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2.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drawings/drawing3.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theme/themeOverride1.xml" ContentType="application/vnd.openxmlformats-officedocument.themeOverride+xml"/>
  <Override PartName="/xl/charts/chart60.xml" ContentType="application/vnd.openxmlformats-officedocument.drawingml.chart+xml"/>
  <Override PartName="/xl/theme/themeOverride2.xml" ContentType="application/vnd.openxmlformats-officedocument.themeOverride+xml"/>
  <Override PartName="/xl/comments2.xml" ContentType="application/vnd.openxmlformats-officedocument.spreadsheetml.comments+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drawings/drawing5.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drawings/drawing6.xml" ContentType="application/vnd.openxmlformats-officedocument.drawing+xml"/>
  <Override PartName="/xl/comments3.xml" ContentType="application/vnd.openxmlformats-officedocument.spreadsheetml.comments+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drawings/drawing8.xml" ContentType="application/vnd.openxmlformats-officedocument.drawing+xml"/>
  <Override PartName="/xl/comments5.xml" ContentType="application/vnd.openxmlformats-officedocument.spreadsheetml.comments+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drawings/drawing9.xml" ContentType="application/vnd.openxmlformats-officedocument.drawing+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drawings/drawing10.xml" ContentType="application/vnd.openxmlformats-officedocument.drawing+xml"/>
  <Override PartName="/xl/comments6.xml" ContentType="application/vnd.openxmlformats-officedocument.spreadsheetml.comments+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1.xml" ContentType="application/vnd.openxmlformats-officedocument.drawing+xml"/>
  <Override PartName="/xl/comments7.xml" ContentType="application/vnd.openxmlformats-officedocument.spreadsheetml.comments+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drawings/drawing12.xml" ContentType="application/vnd.openxmlformats-officedocument.drawing+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drawings/drawing13.xml" ContentType="application/vnd.openxmlformats-officedocument.drawing+xml"/>
  <Override PartName="/xl/charts/chart112.xml" ContentType="application/vnd.openxmlformats-officedocument.drawingml.chart+xml"/>
  <Override PartName="/xl/charts/chart113.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114.xml" ContentType="application/vnd.openxmlformats-officedocument.drawingml.chart+xml"/>
  <Override PartName="/xl/charts/chart11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8.xml" ContentType="application/vnd.openxmlformats-officedocument.drawing+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9.xml" ContentType="application/vnd.openxmlformats-officedocument.drawing+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theme/themeOverride3.xml" ContentType="application/vnd.openxmlformats-officedocument.themeOverride+xml"/>
  <Override PartName="/xl/charts/chart126.xml" ContentType="application/vnd.openxmlformats-officedocument.drawingml.chart+xml"/>
  <Override PartName="/xl/theme/themeOverride4.xml" ContentType="application/vnd.openxmlformats-officedocument.themeOverride+xml"/>
  <Override PartName="/xl/charts/chart127.xml" ContentType="application/vnd.openxmlformats-officedocument.drawingml.chart+xml"/>
  <Override PartName="/xl/theme/themeOverride5.xml" ContentType="application/vnd.openxmlformats-officedocument.themeOverride+xml"/>
  <Override PartName="/xl/charts/chart128.xml" ContentType="application/vnd.openxmlformats-officedocument.drawingml.chart+xml"/>
  <Override PartName="/xl/charts/chart129.xml" ContentType="application/vnd.openxmlformats-officedocument.drawingml.chart+xml"/>
  <Override PartName="/xl/theme/themeOverride6.xml" ContentType="application/vnd.openxmlformats-officedocument.themeOverride+xml"/>
  <Override PartName="/xl/charts/chart130.xml" ContentType="application/vnd.openxmlformats-officedocument.drawingml.chart+xml"/>
  <Override PartName="/xl/theme/themeOverride7.xml" ContentType="application/vnd.openxmlformats-officedocument.themeOverride+xml"/>
  <Override PartName="/xl/charts/chart131.xml" ContentType="application/vnd.openxmlformats-officedocument.drawingml.chart+xml"/>
  <Override PartName="/xl/theme/themeOverride8.xml" ContentType="application/vnd.openxmlformats-officedocument.themeOverride+xml"/>
  <Override PartName="/xl/charts/chart132.xml" ContentType="application/vnd.openxmlformats-officedocument.drawingml.chart+xml"/>
  <Override PartName="/xl/charts/chart133.xml" ContentType="application/vnd.openxmlformats-officedocument.drawingml.chart+xml"/>
  <Override PartName="/xl/theme/themeOverride9.xml" ContentType="application/vnd.openxmlformats-officedocument.themeOverride+xml"/>
  <Override PartName="/xl/charts/chart134.xml" ContentType="application/vnd.openxmlformats-officedocument.drawingml.chart+xml"/>
  <Override PartName="/xl/theme/themeOverride10.xml" ContentType="application/vnd.openxmlformats-officedocument.themeOverride+xml"/>
  <Override PartName="/xl/charts/chart135.xml" ContentType="application/vnd.openxmlformats-officedocument.drawingml.chart+xml"/>
  <Override PartName="/xl/theme/themeOverride11.xml" ContentType="application/vnd.openxmlformats-officedocument.themeOverride+xml"/>
  <Override PartName="/xl/charts/chart136.xml" ContentType="application/vnd.openxmlformats-officedocument.drawingml.chart+xml"/>
  <Override PartName="/xl/theme/themeOverride12.xml" ContentType="application/vnd.openxmlformats-officedocument.themeOverride+xml"/>
  <Override PartName="/xl/charts/chart137.xml" ContentType="application/vnd.openxmlformats-officedocument.drawingml.chart+xml"/>
  <Override PartName="/xl/theme/themeOverride13.xml" ContentType="application/vnd.openxmlformats-officedocument.themeOverride+xml"/>
  <Override PartName="/xl/charts/chart138.xml" ContentType="application/vnd.openxmlformats-officedocument.drawingml.chart+xml"/>
  <Override PartName="/xl/theme/themeOverride14.xml" ContentType="application/vnd.openxmlformats-officedocument.themeOverride+xml"/>
  <Override PartName="/xl/charts/chart139.xml" ContentType="application/vnd.openxmlformats-officedocument.drawingml.chart+xml"/>
  <Override PartName="/xl/theme/themeOverride15.xml" ContentType="application/vnd.openxmlformats-officedocument.themeOverride+xml"/>
  <Override PartName="/xl/charts/chart140.xml" ContentType="application/vnd.openxmlformats-officedocument.drawingml.chart+xml"/>
  <Override PartName="/xl/theme/themeOverride16.xml" ContentType="application/vnd.openxmlformats-officedocument.themeOverride+xml"/>
  <Override PartName="/xl/charts/chart141.xml" ContentType="application/vnd.openxmlformats-officedocument.drawingml.chart+xml"/>
  <Override PartName="/xl/theme/themeOverride17.xml" ContentType="application/vnd.openxmlformats-officedocument.themeOverride+xml"/>
  <Override PartName="/xl/charts/chart142.xml" ContentType="application/vnd.openxmlformats-officedocument.drawingml.chart+xml"/>
  <Override PartName="/xl/theme/themeOverride18.xml" ContentType="application/vnd.openxmlformats-officedocument.themeOverride+xml"/>
  <Override PartName="/xl/charts/chart143.xml" ContentType="application/vnd.openxmlformats-officedocument.drawingml.chart+xml"/>
  <Override PartName="/xl/theme/themeOverride19.xml" ContentType="application/vnd.openxmlformats-officedocument.themeOverride+xml"/>
  <Override PartName="/xl/comments8.xml" ContentType="application/vnd.openxmlformats-officedocument.spreadsheetml.comments+xml"/>
  <Override PartName="/xl/drawings/drawing20.xml" ContentType="application/vnd.openxmlformats-officedocument.drawing+xml"/>
  <Override PartName="/xl/charts/chart144.xml" ContentType="application/vnd.openxmlformats-officedocument.drawingml.chart+xml"/>
  <Override PartName="/xl/charts/chart14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24226"/>
  <mc:AlternateContent xmlns:mc="http://schemas.openxmlformats.org/markup-compatibility/2006">
    <mc:Choice Requires="x15">
      <x15ac:absPath xmlns:x15ac="http://schemas.microsoft.com/office/spreadsheetml/2010/11/ac" url="D:\Indicators - Residential - 2020\"/>
    </mc:Choice>
  </mc:AlternateContent>
  <xr:revisionPtr revIDLastSave="0" documentId="13_ncr:1_{18EAE63B-F936-4807-9B95-FBEC116CA300}" xr6:coauthVersionLast="45" xr6:coauthVersionMax="45" xr10:uidLastSave="{00000000-0000-0000-0000-000000000000}"/>
  <bookViews>
    <workbookView xWindow="6750" yWindow="1200" windowWidth="17100" windowHeight="14055" tabRatio="849" xr2:uid="{00000000-000D-0000-FFFF-FFFF00000000}"/>
  </bookViews>
  <sheets>
    <sheet name="AHS_tables" sheetId="1" r:id="rId1"/>
    <sheet name="Final Floorspace Estimates" sheetId="20" r:id="rId2"/>
    <sheet name="Overall_graphics" sheetId="28" r:id="rId3"/>
    <sheet name="Regional_stock_by_type" sheetId="26" r:id="rId4"/>
    <sheet name="Wgted_Floorspace" sheetId="24" r:id="rId5"/>
    <sheet name="RECS_intensity_data" sheetId="23" r:id="rId6"/>
    <sheet name="Stock_85to95" sheetId="19" r:id="rId7"/>
    <sheet name="Compare_PWT" sheetId="4" r:id="rId8"/>
    <sheet name="Time_series" sheetId="2" r:id="rId9"/>
    <sheet name="Survival_curve_SF" sheetId="5" r:id="rId10"/>
    <sheet name="Survival_curve_MF" sheetId="14" r:id="rId11"/>
    <sheet name="Survival_curve_MH" sheetId="17" r:id="rId12"/>
    <sheet name="Total_stock" sheetId="7" r:id="rId13"/>
    <sheet name="Total_stock_SF" sheetId="8" r:id="rId14"/>
    <sheet name="Total_stock_MF" sheetId="15" r:id="rId15"/>
    <sheet name="Total_stock_MH" sheetId="16" r:id="rId16"/>
    <sheet name="mhstabplcmnt" sheetId="18" r:id="rId17"/>
    <sheet name="place_nsa_all" sheetId="25" r:id="rId18"/>
    <sheet name="CIDR-1" sheetId="32" r:id="rId19"/>
    <sheet name="CIDR-single" sheetId="33" r:id="rId20"/>
    <sheet name="CIDR-3" sheetId="34" r:id="rId21"/>
    <sheet name="histplac" sheetId="29" r:id="rId22"/>
    <sheet name="Sheet4" sheetId="13" r:id="rId23"/>
    <sheet name="Comps Ann_2015" sheetId="6" r:id="rId24"/>
    <sheet name="Comps Ann" sheetId="30" r:id="rId25"/>
    <sheet name="SFTotalMedAvgSqFt_2012" sheetId="9" r:id="rId26"/>
    <sheet name="SFTotalMedAvgSqFt" sheetId="31" r:id="rId27"/>
    <sheet name="Plot_CNH" sheetId="27" r:id="rId28"/>
    <sheet name="Compare_size" sheetId="21" r:id="rId29"/>
    <sheet name="Compare_FS" sheetId="22" r:id="rId30"/>
    <sheet name="RECS_4_adj" sheetId="10" r:id="rId31"/>
    <sheet name="RECS_ManHome" sheetId="35" r:id="rId32"/>
    <sheet name="Estimate" sheetId="12" r:id="rId33"/>
    <sheet name="RECS_2" sheetId="11"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j">#REF!</definedName>
    <definedName name="_1982" localSheetId="31">[10]RECS_Total_Units!#REF!</definedName>
    <definedName name="_1982" localSheetId="10">RECS_2!#REF!</definedName>
    <definedName name="_1982" localSheetId="11">RECS_2!#REF!</definedName>
    <definedName name="_1982" localSheetId="14">RECS_2!#REF!</definedName>
    <definedName name="_1982" localSheetId="15">RECS_2!#REF!</definedName>
    <definedName name="_1982">RECS_2!#REF!</definedName>
    <definedName name="_1982a">[10]RECS_Total_Units!#REF!</definedName>
    <definedName name="_AMO_UniqueIdentifier" hidden="1">"'46887475-fc2a-4256-a759-51041f4b66cd'"</definedName>
    <definedName name="AllData" localSheetId="24">#REF!</definedName>
    <definedName name="AllData" localSheetId="10">#REF!</definedName>
    <definedName name="AllData" localSheetId="11">#REF!</definedName>
    <definedName name="AllData" localSheetId="14">#REF!</definedName>
    <definedName name="AllData" localSheetId="15">#REF!</definedName>
    <definedName name="AllData" localSheetId="13">#REF!</definedName>
    <definedName name="AllData">#REF!</definedName>
    <definedName name="base_row">[1]General_inputs!$M$6</definedName>
    <definedName name="Base_year">[1]General_inputs!$F$6</definedName>
    <definedName name="Base_year2">[1]General_inputs!$F$7</definedName>
    <definedName name="HTML_CodePage" hidden="1">1252</definedName>
    <definedName name="HTML_Control" localSheetId="31" hidden="1">{"'Sheet1'!$A$1:$K$41"}</definedName>
    <definedName name="HTML_Control"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dex_label">[1]General_inputs!$U$6</definedName>
    <definedName name="_xlnm.Print_Area" localSheetId="32">Estimate!$A$1:$G$130</definedName>
    <definedName name="_xlnm.Print_Area" localSheetId="21">histplac!$A$1:$P$606</definedName>
    <definedName name="_xlnm.Print_Area" localSheetId="16">mhstabplcmnt!$A$1:$P$148</definedName>
    <definedName name="_xlnm.Print_Area" localSheetId="33">RECS_2!$A$4:$K$46</definedName>
    <definedName name="_xlnm.Print_Area" localSheetId="30">RECS_4_adj!$A$4:$K$47</definedName>
    <definedName name="_xlnm.Print_Area" localSheetId="26">SFTotalMedAvgSqFt!$A$1:$K$69</definedName>
    <definedName name="_xlnm.Print_Area" localSheetId="25">SFTotalMedAvgSqFt_2012!$A$1:$O$57</definedName>
    <definedName name="Print_Area_MI">[2]Price!#REF!</definedName>
    <definedName name="_xlnm.Print_Titles" localSheetId="24">'Comps Ann'!$1:$9</definedName>
    <definedName name="_xlnm.Print_Titles" localSheetId="23">'Comps Ann_2015'!$1:$9</definedName>
    <definedName name="_xlnm.Print_Titles" localSheetId="32">Estimate!$1:$10</definedName>
    <definedName name="_xlnm.Print_Titles" localSheetId="21">histplac!$1:$5</definedName>
    <definedName name="_xlnm.Print_Titles" localSheetId="16">mhstabplcmnt!$1:$6</definedName>
    <definedName name="QtrData" localSheetId="24">'[3]Authnot Prelim'!#REF!</definedName>
    <definedName name="QtrData" localSheetId="10">'[4]Authnot Prelim'!#REF!</definedName>
    <definedName name="QtrData" localSheetId="11">'[4]Authnot Prelim'!#REF!</definedName>
    <definedName name="QtrData" localSheetId="14">'[4]Authnot Prelim'!#REF!</definedName>
    <definedName name="QtrData" localSheetId="15">'[4]Authnot Prelim'!#REF!</definedName>
    <definedName name="QtrData" localSheetId="13">'[4]Authnot Prelim'!#REF!</definedName>
    <definedName name="QtrData">'[4]Authnot Prelim'!#REF!</definedName>
    <definedName name="solver_adj" localSheetId="10" hidden="1">Survival_curve_MF!$T$182:$T$184</definedName>
    <definedName name="solver_adj" localSheetId="11" hidden="1">Survival_curve_MH!$T$181:$T$183</definedName>
    <definedName name="solver_adj" localSheetId="9" hidden="1">Survival_curve_SF!$T$181:$T$183</definedName>
    <definedName name="solver_adj" localSheetId="14" hidden="1">Total_stock_MF!$AJ$8:$AJ$10</definedName>
    <definedName name="solver_adj" localSheetId="15" hidden="1">Total_stock_MH!$AJ$8:$AJ$10</definedName>
    <definedName name="solver_adj" localSheetId="13" hidden="1">Total_stock_SF!$AJ$8:$AJ$10</definedName>
    <definedName name="solver_cvg" localSheetId="10" hidden="1">0.0001</definedName>
    <definedName name="solver_cvg" localSheetId="11" hidden="1">0.0001</definedName>
    <definedName name="solver_cvg" localSheetId="9" hidden="1">0.0001</definedName>
    <definedName name="solver_cvg" localSheetId="14" hidden="1">0.0001</definedName>
    <definedName name="solver_cvg" localSheetId="15" hidden="1">0.0001</definedName>
    <definedName name="solver_cvg" localSheetId="13" hidden="1">0.0001</definedName>
    <definedName name="solver_drv" localSheetId="10" hidden="1">1</definedName>
    <definedName name="solver_drv" localSheetId="11" hidden="1">1</definedName>
    <definedName name="solver_drv" localSheetId="9" hidden="1">1</definedName>
    <definedName name="solver_drv" localSheetId="14" hidden="1">1</definedName>
    <definedName name="solver_drv" localSheetId="15" hidden="1">1</definedName>
    <definedName name="solver_drv" localSheetId="13" hidden="1">1</definedName>
    <definedName name="solver_eng" localSheetId="10" hidden="1">1</definedName>
    <definedName name="solver_eng" localSheetId="11" hidden="1">1</definedName>
    <definedName name="solver_eng" localSheetId="9" hidden="1">1</definedName>
    <definedName name="solver_eng" localSheetId="14" hidden="1">1</definedName>
    <definedName name="solver_eng" localSheetId="15" hidden="1">1</definedName>
    <definedName name="solver_eng" localSheetId="13" hidden="1">1</definedName>
    <definedName name="solver_est" localSheetId="10" hidden="1">1</definedName>
    <definedName name="solver_est" localSheetId="11" hidden="1">1</definedName>
    <definedName name="solver_est" localSheetId="9" hidden="1">1</definedName>
    <definedName name="solver_est" localSheetId="14" hidden="1">1</definedName>
    <definedName name="solver_est" localSheetId="15" hidden="1">1</definedName>
    <definedName name="solver_est" localSheetId="13" hidden="1">1</definedName>
    <definedName name="solver_itr" localSheetId="10" hidden="1">2147483647</definedName>
    <definedName name="solver_itr" localSheetId="11" hidden="1">2147483647</definedName>
    <definedName name="solver_itr" localSheetId="9" hidden="1">2147483647</definedName>
    <definedName name="solver_itr" localSheetId="14" hidden="1">2147483647</definedName>
    <definedName name="solver_itr" localSheetId="15" hidden="1">2147483647</definedName>
    <definedName name="solver_itr" localSheetId="13" hidden="1">32767</definedName>
    <definedName name="solver_lhs1" localSheetId="14" hidden="1">Total_stock_MF!$AJ$9</definedName>
    <definedName name="solver_lhs1" localSheetId="15" hidden="1">Total_stock_MH!$AJ$9</definedName>
    <definedName name="solver_lhs1" localSheetId="13" hidden="1">Total_stock_SF!$AJ$8</definedName>
    <definedName name="solver_lhs2" localSheetId="14" hidden="1">Total_stock_MF!$AJ$9</definedName>
    <definedName name="solver_lhs2" localSheetId="15" hidden="1">Total_stock_MH!$AJ$9</definedName>
    <definedName name="solver_lhs2" localSheetId="13" hidden="1">Total_stock_SF!$AJ$9</definedName>
    <definedName name="solver_lhs3" localSheetId="14" hidden="1">Total_stock_MF!$AJ$9</definedName>
    <definedName name="solver_lhs3" localSheetId="15" hidden="1">Total_stock_MH!$AJ$9</definedName>
    <definedName name="solver_lhs3" localSheetId="13" hidden="1">Total_stock_SF!$BN$7</definedName>
    <definedName name="solver_lin" localSheetId="14" hidden="1">2</definedName>
    <definedName name="solver_lin" localSheetId="15" hidden="1">2</definedName>
    <definedName name="solver_lin" localSheetId="13" hidden="1">2</definedName>
    <definedName name="solver_mip" localSheetId="10" hidden="1">2147483647</definedName>
    <definedName name="solver_mip" localSheetId="11" hidden="1">2147483647</definedName>
    <definedName name="solver_mip" localSheetId="9" hidden="1">2147483647</definedName>
    <definedName name="solver_mip" localSheetId="14" hidden="1">2147483647</definedName>
    <definedName name="solver_mip" localSheetId="15" hidden="1">2147483647</definedName>
    <definedName name="solver_mip" localSheetId="13" hidden="1">2147483647</definedName>
    <definedName name="solver_mni" localSheetId="10" hidden="1">30</definedName>
    <definedName name="solver_mni" localSheetId="11" hidden="1">30</definedName>
    <definedName name="solver_mni" localSheetId="9" hidden="1">30</definedName>
    <definedName name="solver_mni" localSheetId="14" hidden="1">30</definedName>
    <definedName name="solver_mni" localSheetId="15" hidden="1">30</definedName>
    <definedName name="solver_mni" localSheetId="13" hidden="1">30</definedName>
    <definedName name="solver_mrt" localSheetId="10" hidden="1">0.075</definedName>
    <definedName name="solver_mrt" localSheetId="11" hidden="1">0.075</definedName>
    <definedName name="solver_mrt" localSheetId="9" hidden="1">0.075</definedName>
    <definedName name="solver_mrt" localSheetId="14" hidden="1">0.075</definedName>
    <definedName name="solver_mrt" localSheetId="15" hidden="1">0.075</definedName>
    <definedName name="solver_mrt" localSheetId="13" hidden="1">0.075</definedName>
    <definedName name="solver_msl" localSheetId="10" hidden="1">2</definedName>
    <definedName name="solver_msl" localSheetId="11" hidden="1">2</definedName>
    <definedName name="solver_msl" localSheetId="9" hidden="1">2</definedName>
    <definedName name="solver_msl" localSheetId="14" hidden="1">2</definedName>
    <definedName name="solver_msl" localSheetId="15" hidden="1">2</definedName>
    <definedName name="solver_msl" localSheetId="13" hidden="1">2</definedName>
    <definedName name="solver_neg" localSheetId="10" hidden="1">1</definedName>
    <definedName name="solver_neg" localSheetId="11" hidden="1">1</definedName>
    <definedName name="solver_neg" localSheetId="9" hidden="1">1</definedName>
    <definedName name="solver_neg" localSheetId="14" hidden="1">2</definedName>
    <definedName name="solver_neg" localSheetId="15" hidden="1">1</definedName>
    <definedName name="solver_neg" localSheetId="13" hidden="1">2</definedName>
    <definedName name="solver_nod" localSheetId="10" hidden="1">2147483647</definedName>
    <definedName name="solver_nod" localSheetId="11" hidden="1">2147483647</definedName>
    <definedName name="solver_nod" localSheetId="9" hidden="1">2147483647</definedName>
    <definedName name="solver_nod" localSheetId="14" hidden="1">2147483647</definedName>
    <definedName name="solver_nod" localSheetId="15" hidden="1">2147483647</definedName>
    <definedName name="solver_nod" localSheetId="13" hidden="1">2147483647</definedName>
    <definedName name="solver_num" localSheetId="10" hidden="1">0</definedName>
    <definedName name="solver_num" localSheetId="11" hidden="1">0</definedName>
    <definedName name="solver_num" localSheetId="9" hidden="1">0</definedName>
    <definedName name="solver_num" localSheetId="14" hidden="1">1</definedName>
    <definedName name="solver_num" localSheetId="15" hidden="1">1</definedName>
    <definedName name="solver_num" localSheetId="13" hidden="1">2</definedName>
    <definedName name="solver_nwt" localSheetId="10" hidden="1">1</definedName>
    <definedName name="solver_nwt" localSheetId="11" hidden="1">1</definedName>
    <definedName name="solver_nwt" localSheetId="9" hidden="1">1</definedName>
    <definedName name="solver_nwt" localSheetId="14" hidden="1">1</definedName>
    <definedName name="solver_nwt" localSheetId="15" hidden="1">1</definedName>
    <definedName name="solver_nwt" localSheetId="13" hidden="1">1</definedName>
    <definedName name="solver_opt" localSheetId="10" hidden="1">Survival_curve_MF!$T$186</definedName>
    <definedName name="solver_opt" localSheetId="11" hidden="1">Survival_curve_MH!$T$185</definedName>
    <definedName name="solver_opt" localSheetId="9" hidden="1">Survival_curve_SF!$T$185</definedName>
    <definedName name="solver_opt" localSheetId="14" hidden="1">Total_stock_MF!$AJ$11</definedName>
    <definedName name="solver_opt" localSheetId="15" hidden="1">Total_stock_MH!$AK$2</definedName>
    <definedName name="solver_opt" localSheetId="13" hidden="1">Total_stock_SF!$AJ$11</definedName>
    <definedName name="solver_pre" localSheetId="10" hidden="1">0.000001</definedName>
    <definedName name="solver_pre" localSheetId="11" hidden="1">0.000001</definedName>
    <definedName name="solver_pre" localSheetId="9" hidden="1">0.000001</definedName>
    <definedName name="solver_pre" localSheetId="14" hidden="1">0.000001</definedName>
    <definedName name="solver_pre" localSheetId="15" hidden="1">0.000001</definedName>
    <definedName name="solver_pre" localSheetId="13" hidden="1">0.000001</definedName>
    <definedName name="solver_rbv" localSheetId="10" hidden="1">1</definedName>
    <definedName name="solver_rbv" localSheetId="11" hidden="1">1</definedName>
    <definedName name="solver_rbv" localSheetId="9" hidden="1">1</definedName>
    <definedName name="solver_rbv" localSheetId="14" hidden="1">1</definedName>
    <definedName name="solver_rbv" localSheetId="15" hidden="1">1</definedName>
    <definedName name="solver_rbv" localSheetId="13" hidden="1">1</definedName>
    <definedName name="solver_rel1" localSheetId="14" hidden="1">3</definedName>
    <definedName name="solver_rel1" localSheetId="15" hidden="1">1</definedName>
    <definedName name="solver_rel1" localSheetId="13" hidden="1">3</definedName>
    <definedName name="solver_rel2" localSheetId="14" hidden="1">1</definedName>
    <definedName name="solver_rel2" localSheetId="15" hidden="1">1</definedName>
    <definedName name="solver_rel2" localSheetId="13" hidden="1">2</definedName>
    <definedName name="solver_rel3" localSheetId="14" hidden="1">3</definedName>
    <definedName name="solver_rel3" localSheetId="15" hidden="1">1</definedName>
    <definedName name="solver_rel3" localSheetId="13" hidden="1">3</definedName>
    <definedName name="solver_rhs1" localSheetId="14" hidden="1">0.8</definedName>
    <definedName name="solver_rhs1" localSheetId="15" hidden="1">1.05</definedName>
    <definedName name="solver_rhs1" localSheetId="13" hidden="1">0</definedName>
    <definedName name="solver_rhs2" localSheetId="14" hidden="1">1.2</definedName>
    <definedName name="solver_rhs2" localSheetId="15" hidden="1">1.05</definedName>
    <definedName name="solver_rhs2" localSheetId="13" hidden="1">1</definedName>
    <definedName name="solver_rhs3" localSheetId="14" hidden="1">0.8</definedName>
    <definedName name="solver_rhs3" localSheetId="15" hidden="1">1.05</definedName>
    <definedName name="solver_rhs3" localSheetId="13" hidden="1">0.9</definedName>
    <definedName name="solver_rlx" localSheetId="10" hidden="1">2</definedName>
    <definedName name="solver_rlx" localSheetId="11" hidden="1">2</definedName>
    <definedName name="solver_rlx" localSheetId="9" hidden="1">2</definedName>
    <definedName name="solver_rlx" localSheetId="14" hidden="1">2</definedName>
    <definedName name="solver_rlx" localSheetId="15" hidden="1">2</definedName>
    <definedName name="solver_rlx" localSheetId="13" hidden="1">2</definedName>
    <definedName name="solver_rsd" localSheetId="10" hidden="1">0</definedName>
    <definedName name="solver_rsd" localSheetId="11" hidden="1">0</definedName>
    <definedName name="solver_rsd" localSheetId="9" hidden="1">0</definedName>
    <definedName name="solver_rsd" localSheetId="14" hidden="1">0</definedName>
    <definedName name="solver_rsd" localSheetId="15" hidden="1">0</definedName>
    <definedName name="solver_rsd" localSheetId="13" hidden="1">0</definedName>
    <definedName name="solver_scl" localSheetId="10" hidden="1">1</definedName>
    <definedName name="solver_scl" localSheetId="11" hidden="1">1</definedName>
    <definedName name="solver_scl" localSheetId="9" hidden="1">1</definedName>
    <definedName name="solver_scl" localSheetId="14" hidden="1">1</definedName>
    <definedName name="solver_scl" localSheetId="15" hidden="1">1</definedName>
    <definedName name="solver_scl" localSheetId="13" hidden="1">1</definedName>
    <definedName name="solver_sho" localSheetId="10" hidden="1">2</definedName>
    <definedName name="solver_sho" localSheetId="11" hidden="1">2</definedName>
    <definedName name="solver_sho" localSheetId="9" hidden="1">2</definedName>
    <definedName name="solver_sho" localSheetId="14" hidden="1">2</definedName>
    <definedName name="solver_sho" localSheetId="15" hidden="1">2</definedName>
    <definedName name="solver_sho" localSheetId="13" hidden="1">2</definedName>
    <definedName name="solver_ssz" localSheetId="10" hidden="1">100</definedName>
    <definedName name="solver_ssz" localSheetId="11" hidden="1">100</definedName>
    <definedName name="solver_ssz" localSheetId="9" hidden="1">100</definedName>
    <definedName name="solver_ssz" localSheetId="14" hidden="1">100</definedName>
    <definedName name="solver_ssz" localSheetId="15" hidden="1">100</definedName>
    <definedName name="solver_ssz" localSheetId="13" hidden="1">100</definedName>
    <definedName name="solver_tim" localSheetId="10" hidden="1">2147483647</definedName>
    <definedName name="solver_tim" localSheetId="11" hidden="1">2147483647</definedName>
    <definedName name="solver_tim" localSheetId="9" hidden="1">2147483647</definedName>
    <definedName name="solver_tim" localSheetId="14" hidden="1">2147483647</definedName>
    <definedName name="solver_tim" localSheetId="15" hidden="1">2147483647</definedName>
    <definedName name="solver_tim" localSheetId="13" hidden="1">32767</definedName>
    <definedName name="solver_tol" localSheetId="10" hidden="1">0.01</definedName>
    <definedName name="solver_tol" localSheetId="11" hidden="1">0.01</definedName>
    <definedName name="solver_tol" localSheetId="9" hidden="1">0.01</definedName>
    <definedName name="solver_tol" localSheetId="14" hidden="1">0.01</definedName>
    <definedName name="solver_tol" localSheetId="15" hidden="1">0.01</definedName>
    <definedName name="solver_tol" localSheetId="13" hidden="1">0.01</definedName>
    <definedName name="solver_typ" localSheetId="10" hidden="1">2</definedName>
    <definedName name="solver_typ" localSheetId="11" hidden="1">2</definedName>
    <definedName name="solver_typ" localSheetId="9" hidden="1">2</definedName>
    <definedName name="solver_typ" localSheetId="14" hidden="1">2</definedName>
    <definedName name="solver_typ" localSheetId="15" hidden="1">2</definedName>
    <definedName name="solver_typ" localSheetId="13" hidden="1">2</definedName>
    <definedName name="solver_val" localSheetId="10" hidden="1">0</definedName>
    <definedName name="solver_val" localSheetId="11" hidden="1">0</definedName>
    <definedName name="solver_val" localSheetId="9" hidden="1">0</definedName>
    <definedName name="solver_val" localSheetId="14" hidden="1">0</definedName>
    <definedName name="solver_val" localSheetId="15" hidden="1">0</definedName>
    <definedName name="solver_val" localSheetId="13" hidden="1">0</definedName>
    <definedName name="solver_ver" localSheetId="10" hidden="1">3</definedName>
    <definedName name="solver_ver" localSheetId="11" hidden="1">3</definedName>
    <definedName name="solver_ver" localSheetId="9" hidden="1">3</definedName>
    <definedName name="solver_ver" localSheetId="14" hidden="1">3</definedName>
    <definedName name="solver_ver" localSheetId="15" hidden="1">3</definedName>
    <definedName name="solver_ver" localSheetId="13"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M49" i="35" l="1"/>
  <c r="AM50" i="35"/>
  <c r="AM51" i="35"/>
  <c r="AM52" i="35"/>
  <c r="AM53" i="35"/>
  <c r="AM54" i="35"/>
  <c r="AN52" i="35"/>
  <c r="AL50" i="35"/>
  <c r="AL51" i="35"/>
  <c r="AL52" i="35"/>
  <c r="AL53" i="35"/>
  <c r="AL54" i="35"/>
  <c r="AD53" i="35"/>
  <c r="AD54" i="35"/>
  <c r="AD48" i="35"/>
  <c r="AD49" i="35" s="1"/>
  <c r="AD50" i="35" s="1"/>
  <c r="AD51" i="35" s="1"/>
  <c r="AD47" i="35"/>
  <c r="AE46" i="35"/>
  <c r="AD52" i="35"/>
  <c r="AG7" i="35"/>
  <c r="AA7" i="35" s="1"/>
  <c r="AD7" i="35" s="1"/>
  <c r="AL7" i="35"/>
  <c r="I8" i="35"/>
  <c r="N8" i="35"/>
  <c r="N18" i="35" s="1"/>
  <c r="M18" i="35" s="1"/>
  <c r="R8" i="35"/>
  <c r="R19" i="35" s="1"/>
  <c r="Q19" i="35" s="1"/>
  <c r="V8" i="35"/>
  <c r="V20" i="35" s="1"/>
  <c r="U20" i="35" s="1"/>
  <c r="AA8" i="35"/>
  <c r="AD11" i="35" s="1"/>
  <c r="AG8" i="35"/>
  <c r="AL8" i="35"/>
  <c r="I9" i="35"/>
  <c r="N9" i="35"/>
  <c r="N20" i="35" s="1"/>
  <c r="M20" i="35" s="1"/>
  <c r="R9" i="35"/>
  <c r="V9" i="35"/>
  <c r="AA9" i="35"/>
  <c r="AC9" i="35"/>
  <c r="AL9" i="35"/>
  <c r="I10" i="35"/>
  <c r="N10" i="35"/>
  <c r="R10" i="35"/>
  <c r="V10" i="35"/>
  <c r="V18" i="35" s="1"/>
  <c r="U18" i="35" s="1"/>
  <c r="U75" i="35" s="1"/>
  <c r="AA10" i="35"/>
  <c r="AD21" i="35" s="1"/>
  <c r="AC10" i="35"/>
  <c r="AC11" i="35" s="1"/>
  <c r="I11" i="35"/>
  <c r="N11" i="35"/>
  <c r="R11" i="35"/>
  <c r="V11" i="35"/>
  <c r="AA11" i="35"/>
  <c r="N12" i="35"/>
  <c r="R12" i="35"/>
  <c r="V12" i="35"/>
  <c r="AA12" i="35"/>
  <c r="AD27" i="35" s="1"/>
  <c r="I13" i="35"/>
  <c r="N13" i="35"/>
  <c r="R13" i="35"/>
  <c r="V13" i="35"/>
  <c r="AA13" i="35"/>
  <c r="I14" i="35"/>
  <c r="N14" i="35"/>
  <c r="R14" i="35"/>
  <c r="V14" i="35"/>
  <c r="AA14" i="35"/>
  <c r="I15" i="35"/>
  <c r="N15" i="35"/>
  <c r="R15" i="35"/>
  <c r="V15" i="35"/>
  <c r="AA15" i="35"/>
  <c r="AA16" i="35"/>
  <c r="AA17" i="35"/>
  <c r="AD17" i="35"/>
  <c r="AM17" i="35"/>
  <c r="AN17" i="35"/>
  <c r="F18" i="35"/>
  <c r="H18" i="35"/>
  <c r="I18" i="35"/>
  <c r="L18" i="35"/>
  <c r="P18" i="35"/>
  <c r="R18" i="35"/>
  <c r="Q18" i="35" s="1"/>
  <c r="T18" i="35"/>
  <c r="F19" i="35"/>
  <c r="I19" i="35" s="1"/>
  <c r="H19" i="35"/>
  <c r="L19" i="35"/>
  <c r="N19" i="35"/>
  <c r="M19" i="35" s="1"/>
  <c r="P19" i="35"/>
  <c r="T19" i="35"/>
  <c r="F20" i="35"/>
  <c r="H20" i="35"/>
  <c r="I20" i="35" s="1"/>
  <c r="L20" i="35"/>
  <c r="P20" i="35"/>
  <c r="R20" i="35"/>
  <c r="Q20" i="35" s="1"/>
  <c r="T20" i="35"/>
  <c r="F21" i="35"/>
  <c r="H21" i="35"/>
  <c r="I21" i="35"/>
  <c r="L21" i="35"/>
  <c r="P21" i="35"/>
  <c r="R21" i="35"/>
  <c r="Q21" i="35" s="1"/>
  <c r="T21" i="35"/>
  <c r="AD24" i="35"/>
  <c r="AD30" i="35"/>
  <c r="AE27" i="35" s="1"/>
  <c r="AM30" i="35"/>
  <c r="AN30" i="35"/>
  <c r="I31" i="35"/>
  <c r="N31" i="35"/>
  <c r="R31" i="35"/>
  <c r="R42" i="35" s="1"/>
  <c r="Q42" i="35" s="1"/>
  <c r="V31" i="35"/>
  <c r="V44" i="35" s="1"/>
  <c r="U44" i="35" s="1"/>
  <c r="I32" i="35"/>
  <c r="N32" i="35"/>
  <c r="N44" i="35" s="1"/>
  <c r="M44" i="35" s="1"/>
  <c r="R32" i="35"/>
  <c r="V32" i="35"/>
  <c r="I33" i="35"/>
  <c r="N33" i="35"/>
  <c r="N45" i="35" s="1"/>
  <c r="R33" i="35"/>
  <c r="V33" i="35"/>
  <c r="I34" i="35"/>
  <c r="N34" i="35"/>
  <c r="R34" i="35"/>
  <c r="V34" i="35"/>
  <c r="N35" i="35"/>
  <c r="R35" i="35"/>
  <c r="V35" i="35"/>
  <c r="I36" i="35"/>
  <c r="N36" i="35"/>
  <c r="R36" i="35"/>
  <c r="V36" i="35"/>
  <c r="I37" i="35"/>
  <c r="N37" i="35"/>
  <c r="R37" i="35"/>
  <c r="V37" i="35"/>
  <c r="I38" i="35"/>
  <c r="N38" i="35"/>
  <c r="R38" i="35"/>
  <c r="V38" i="35"/>
  <c r="AD38" i="35"/>
  <c r="AM38" i="35" s="1"/>
  <c r="F42" i="35"/>
  <c r="H42" i="35"/>
  <c r="L42" i="35"/>
  <c r="N42" i="35"/>
  <c r="M42" i="35" s="1"/>
  <c r="P42" i="35"/>
  <c r="T42" i="35"/>
  <c r="V42" i="35"/>
  <c r="U42" i="35" s="1"/>
  <c r="AD42" i="35"/>
  <c r="AE38" i="35" s="1"/>
  <c r="AM42" i="35"/>
  <c r="AN42" i="35"/>
  <c r="F43" i="35"/>
  <c r="H43" i="35"/>
  <c r="I43" i="35" s="1"/>
  <c r="L43" i="35"/>
  <c r="P43" i="35"/>
  <c r="T43" i="35"/>
  <c r="V43" i="35"/>
  <c r="U43" i="35" s="1"/>
  <c r="F44" i="35"/>
  <c r="H44" i="35"/>
  <c r="I44" i="35"/>
  <c r="L44" i="35"/>
  <c r="P44" i="35"/>
  <c r="T44" i="35"/>
  <c r="F45" i="35"/>
  <c r="H45" i="35"/>
  <c r="I45" i="35"/>
  <c r="L45" i="35"/>
  <c r="P45" i="35"/>
  <c r="T45" i="35"/>
  <c r="F46" i="35"/>
  <c r="H46" i="35"/>
  <c r="I46" i="35" s="1"/>
  <c r="L46" i="35"/>
  <c r="P46" i="35"/>
  <c r="T46" i="35"/>
  <c r="V46" i="35"/>
  <c r="U46" i="35" s="1"/>
  <c r="AD46" i="35"/>
  <c r="AM46" i="35" s="1"/>
  <c r="AL48" i="35"/>
  <c r="AL49" i="35"/>
  <c r="G56" i="35"/>
  <c r="I56" i="35"/>
  <c r="N56" i="35"/>
  <c r="N67" i="35" s="1"/>
  <c r="M67" i="35" s="1"/>
  <c r="R56" i="35"/>
  <c r="R67" i="35" s="1"/>
  <c r="Q67" i="35" s="1"/>
  <c r="V56" i="35"/>
  <c r="G57" i="35"/>
  <c r="I57" i="35"/>
  <c r="N57" i="35"/>
  <c r="R57" i="35"/>
  <c r="R68" i="35" s="1"/>
  <c r="Q68" i="35" s="1"/>
  <c r="V57" i="35"/>
  <c r="V70" i="35" s="1"/>
  <c r="U70" i="35" s="1"/>
  <c r="G58" i="35"/>
  <c r="I58" i="35"/>
  <c r="N58" i="35"/>
  <c r="R58" i="35"/>
  <c r="U58" i="35"/>
  <c r="V58" i="35"/>
  <c r="G59" i="35"/>
  <c r="I59" i="35"/>
  <c r="N59" i="35"/>
  <c r="R59" i="35"/>
  <c r="V59" i="35"/>
  <c r="G60" i="35"/>
  <c r="N60" i="35"/>
  <c r="R60" i="35"/>
  <c r="V60" i="35"/>
  <c r="G61" i="35"/>
  <c r="I61" i="35"/>
  <c r="N61" i="35"/>
  <c r="R61" i="35"/>
  <c r="V61" i="35"/>
  <c r="G62" i="35"/>
  <c r="I62" i="35"/>
  <c r="N62" i="35"/>
  <c r="R62" i="35"/>
  <c r="V62" i="35"/>
  <c r="G63" i="35"/>
  <c r="I63" i="35"/>
  <c r="N63" i="35"/>
  <c r="R63" i="35"/>
  <c r="V63" i="35"/>
  <c r="L64" i="35"/>
  <c r="P64" i="35"/>
  <c r="T64" i="35"/>
  <c r="H67" i="35"/>
  <c r="L67" i="35"/>
  <c r="P67" i="35"/>
  <c r="T67" i="35"/>
  <c r="H68" i="35"/>
  <c r="L68" i="35"/>
  <c r="P68" i="35"/>
  <c r="T68" i="35"/>
  <c r="H69" i="35"/>
  <c r="L69" i="35"/>
  <c r="P69" i="35"/>
  <c r="R69" i="35"/>
  <c r="Q69" i="35" s="1"/>
  <c r="T69" i="35"/>
  <c r="H70" i="35"/>
  <c r="L70" i="35"/>
  <c r="P70" i="35"/>
  <c r="T70" i="35"/>
  <c r="H71" i="35"/>
  <c r="L71" i="35"/>
  <c r="P71" i="35"/>
  <c r="T71" i="35"/>
  <c r="Q75" i="35"/>
  <c r="U77" i="35"/>
  <c r="M76" i="35" l="1"/>
  <c r="AM7" i="35"/>
  <c r="R71" i="35"/>
  <c r="Q71" i="35" s="1"/>
  <c r="F69" i="35"/>
  <c r="F71" i="35"/>
  <c r="I71" i="35" s="1"/>
  <c r="F68" i="35"/>
  <c r="I68" i="35" s="1"/>
  <c r="I42" i="35"/>
  <c r="F67" i="35"/>
  <c r="I67" i="35" s="1"/>
  <c r="F70" i="35"/>
  <c r="I70" i="35" s="1"/>
  <c r="I69" i="35"/>
  <c r="AL11" i="35"/>
  <c r="AC12" i="35"/>
  <c r="R70" i="35"/>
  <c r="Q70" i="35" s="1"/>
  <c r="M45" i="35"/>
  <c r="AM27" i="35"/>
  <c r="AD28" i="35"/>
  <c r="AE24" i="35"/>
  <c r="AD25" i="35" s="1"/>
  <c r="AE7" i="35"/>
  <c r="AD8" i="35" s="1"/>
  <c r="AE11" i="35"/>
  <c r="AM11" i="35"/>
  <c r="AD12" i="35"/>
  <c r="AE21" i="35"/>
  <c r="M77" i="35"/>
  <c r="AE17" i="35"/>
  <c r="AD18" i="35" s="1"/>
  <c r="AM21" i="35"/>
  <c r="AN21" i="35"/>
  <c r="AD22" i="35"/>
  <c r="R44" i="35"/>
  <c r="Q44" i="35" s="1"/>
  <c r="Q77" i="35" s="1"/>
  <c r="Q78" i="35"/>
  <c r="M75" i="35"/>
  <c r="V71" i="35"/>
  <c r="U71" i="35" s="1"/>
  <c r="V69" i="35"/>
  <c r="U69" i="35" s="1"/>
  <c r="V68" i="35"/>
  <c r="U68" i="35" s="1"/>
  <c r="V67" i="35"/>
  <c r="U67" i="35" s="1"/>
  <c r="AE30" i="35"/>
  <c r="AD31" i="35" s="1"/>
  <c r="AN24" i="35"/>
  <c r="R46" i="35"/>
  <c r="Q46" i="35" s="1"/>
  <c r="R43" i="35"/>
  <c r="Q43" i="35" s="1"/>
  <c r="Q76" i="35" s="1"/>
  <c r="AE42" i="35"/>
  <c r="AM24" i="35"/>
  <c r="V45" i="35"/>
  <c r="U45" i="35" s="1"/>
  <c r="AD39" i="35"/>
  <c r="N21" i="35"/>
  <c r="M21" i="35" s="1"/>
  <c r="N46" i="35"/>
  <c r="M46" i="35" s="1"/>
  <c r="N43" i="35"/>
  <c r="M43" i="35" s="1"/>
  <c r="V19" i="35"/>
  <c r="U19" i="35" s="1"/>
  <c r="U76" i="35" s="1"/>
  <c r="AN38" i="35"/>
  <c r="AN46" i="35"/>
  <c r="R45" i="35"/>
  <c r="Q45" i="35" s="1"/>
  <c r="N71" i="35"/>
  <c r="M71" i="35" s="1"/>
  <c r="N70" i="35"/>
  <c r="M70" i="35" s="1"/>
  <c r="N69" i="35"/>
  <c r="M69" i="35" s="1"/>
  <c r="N68" i="35"/>
  <c r="M68" i="35" s="1"/>
  <c r="AL10" i="35"/>
  <c r="V21" i="35"/>
  <c r="U21" i="35" s="1"/>
  <c r="AM18" i="35" l="1"/>
  <c r="AD19" i="35"/>
  <c r="AM8" i="35"/>
  <c r="AD9" i="35"/>
  <c r="AM22" i="35"/>
  <c r="AD23" i="35"/>
  <c r="AM23" i="35" s="1"/>
  <c r="AM25" i="35"/>
  <c r="AD26" i="35"/>
  <c r="AM26" i="35" s="1"/>
  <c r="AM12" i="35"/>
  <c r="AD13" i="35"/>
  <c r="AM28" i="35"/>
  <c r="AD29" i="35"/>
  <c r="AM29" i="35" s="1"/>
  <c r="AD32" i="35"/>
  <c r="AM31" i="35"/>
  <c r="U78" i="35"/>
  <c r="M78" i="35"/>
  <c r="AC13" i="35"/>
  <c r="AL12" i="35"/>
  <c r="AD43" i="35"/>
  <c r="AM39" i="35"/>
  <c r="AD40" i="35"/>
  <c r="AD10" i="35" l="1"/>
  <c r="AM10" i="35" s="1"/>
  <c r="AM9" i="35"/>
  <c r="AM19" i="35"/>
  <c r="AD20" i="35"/>
  <c r="AM20" i="35" s="1"/>
  <c r="AD33" i="35"/>
  <c r="AM32" i="35"/>
  <c r="AM40" i="35"/>
  <c r="AD41" i="35"/>
  <c r="AM41" i="35" s="1"/>
  <c r="AD14" i="35"/>
  <c r="AM13" i="35"/>
  <c r="AM47" i="35"/>
  <c r="AM43" i="35"/>
  <c r="AD44" i="35"/>
  <c r="AC14" i="35"/>
  <c r="AL13" i="35"/>
  <c r="AD45" i="35" l="1"/>
  <c r="AM45" i="35" s="1"/>
  <c r="AM44" i="35"/>
  <c r="AM48" i="35"/>
  <c r="AC15" i="35"/>
  <c r="AL14" i="35"/>
  <c r="AM14" i="35"/>
  <c r="AD15" i="35"/>
  <c r="AM33" i="35"/>
  <c r="AD34" i="35"/>
  <c r="AD35" i="35" l="1"/>
  <c r="AM34" i="35"/>
  <c r="AM15" i="35"/>
  <c r="AD16" i="35"/>
  <c r="AM16" i="35" s="1"/>
  <c r="AL15" i="35"/>
  <c r="AC16" i="35"/>
  <c r="AM35" i="35" l="1"/>
  <c r="AD36" i="35"/>
  <c r="AL16" i="35"/>
  <c r="AC17" i="35"/>
  <c r="AL17" i="35" l="1"/>
  <c r="AC18" i="35"/>
  <c r="AM36" i="35"/>
  <c r="AD37" i="35"/>
  <c r="AM37" i="35" s="1"/>
  <c r="DA460" i="1"/>
  <c r="CZ454" i="1"/>
  <c r="CZ455" i="1" s="1"/>
  <c r="CZ456" i="1" s="1"/>
  <c r="CZ457" i="1" s="1"/>
  <c r="CZ446" i="1"/>
  <c r="CZ447" i="1"/>
  <c r="CZ448" i="1"/>
  <c r="CZ449" i="1"/>
  <c r="CZ450" i="1"/>
  <c r="CZ451" i="1"/>
  <c r="CZ452" i="1"/>
  <c r="CZ453" i="1"/>
  <c r="DA452" i="1"/>
  <c r="DA450" i="1"/>
  <c r="CY451" i="1"/>
  <c r="CY452" i="1" s="1"/>
  <c r="CY453" i="1" s="1"/>
  <c r="CY454" i="1" s="1"/>
  <c r="CY455" i="1" s="1"/>
  <c r="CY456" i="1" s="1"/>
  <c r="CY457" i="1" s="1"/>
  <c r="CY410" i="1" a="1"/>
  <c r="CZ410" i="1" s="1"/>
  <c r="CZ407" i="1"/>
  <c r="CZ406" i="1"/>
  <c r="CU450" i="1"/>
  <c r="CS451" i="1"/>
  <c r="CS452" i="1"/>
  <c r="CS453" i="1" s="1"/>
  <c r="CS454" i="1" s="1"/>
  <c r="CS455" i="1" s="1"/>
  <c r="CS456" i="1" s="1"/>
  <c r="CS457" i="1" s="1"/>
  <c r="CT406" i="1"/>
  <c r="CO450" i="1"/>
  <c r="CN406" i="1"/>
  <c r="CN405" i="1"/>
  <c r="AL18" i="35" l="1"/>
  <c r="AC19" i="35"/>
  <c r="CY410" i="1"/>
  <c r="CZ415" i="1"/>
  <c r="CY415" i="1"/>
  <c r="CZ414" i="1"/>
  <c r="CY414" i="1"/>
  <c r="CZ413" i="1"/>
  <c r="CY413" i="1"/>
  <c r="CZ412" i="1"/>
  <c r="CY412" i="1"/>
  <c r="CZ411" i="1"/>
  <c r="CY411" i="1"/>
  <c r="CI185" i="1"/>
  <c r="CN185" i="1"/>
  <c r="BC41" i="16"/>
  <c r="BC43" i="16"/>
  <c r="BC27" i="16"/>
  <c r="BC29" i="16"/>
  <c r="BC31" i="16"/>
  <c r="BC33" i="16"/>
  <c r="BC35" i="16"/>
  <c r="BC37" i="16"/>
  <c r="BC39" i="16"/>
  <c r="AL19" i="35" l="1"/>
  <c r="AC20" i="35"/>
  <c r="BW45" i="15"/>
  <c r="AL20" i="35" l="1"/>
  <c r="AC21" i="35"/>
  <c r="CM451" i="1"/>
  <c r="CM452" i="1"/>
  <c r="CM453" i="1" s="1"/>
  <c r="CM454" i="1" s="1"/>
  <c r="CM455" i="1" s="1"/>
  <c r="CM456" i="1" s="1"/>
  <c r="CM457" i="1" s="1"/>
  <c r="CJ450" i="1"/>
  <c r="CI406" i="1"/>
  <c r="CF404" i="1"/>
  <c r="CE402" i="1"/>
  <c r="CE403" i="1"/>
  <c r="CE404" i="1"/>
  <c r="CE401" i="1"/>
  <c r="FW392" i="1"/>
  <c r="FW388" i="1"/>
  <c r="FI392" i="1"/>
  <c r="FI391" i="1"/>
  <c r="FI390" i="1"/>
  <c r="FI389" i="1"/>
  <c r="FI388" i="1"/>
  <c r="AL21" i="35" l="1"/>
  <c r="AC22" i="35"/>
  <c r="CY288" i="1" a="1"/>
  <c r="CZ293" i="1" s="1"/>
  <c r="CZ285" i="1"/>
  <c r="DA330" i="1" s="1"/>
  <c r="CZ284" i="1"/>
  <c r="DA328" i="1" s="1"/>
  <c r="CO339" i="1"/>
  <c r="CT284" i="1"/>
  <c r="CU328" i="1" s="1"/>
  <c r="CJ328" i="1"/>
  <c r="CI284" i="1"/>
  <c r="CF282" i="1"/>
  <c r="CE280" i="1"/>
  <c r="CN284" i="1" s="1"/>
  <c r="CE281" i="1"/>
  <c r="CE282" i="1"/>
  <c r="CE279" i="1"/>
  <c r="FW274" i="1"/>
  <c r="FW270" i="1"/>
  <c r="FI274" i="1"/>
  <c r="FI273" i="1"/>
  <c r="FI272" i="1"/>
  <c r="FI271" i="1"/>
  <c r="FI270" i="1"/>
  <c r="CY174" i="1" a="1"/>
  <c r="CZ179" i="1" s="1"/>
  <c r="DA216" i="1"/>
  <c r="DA214" i="1"/>
  <c r="CZ172" i="1"/>
  <c r="CZ171" i="1"/>
  <c r="CU214" i="1"/>
  <c r="CT171" i="1"/>
  <c r="CN171" i="1"/>
  <c r="CO214" i="1" s="1"/>
  <c r="CJ214" i="1"/>
  <c r="CI171" i="1"/>
  <c r="CG169" i="1"/>
  <c r="FW98" i="1"/>
  <c r="FW99" i="1"/>
  <c r="FW100" i="1"/>
  <c r="FW101" i="1"/>
  <c r="FW273" i="1" s="1"/>
  <c r="CF281" i="1" s="1"/>
  <c r="CT285" i="1" s="1"/>
  <c r="FW102" i="1"/>
  <c r="FW391" i="1" s="1"/>
  <c r="CF403" i="1" s="1"/>
  <c r="CT407" i="1" s="1"/>
  <c r="FW103" i="1"/>
  <c r="FW106" i="1"/>
  <c r="FW107" i="1"/>
  <c r="FW108" i="1"/>
  <c r="FW109" i="1"/>
  <c r="FW110" i="1"/>
  <c r="FW111" i="1"/>
  <c r="FW114" i="1"/>
  <c r="FW115" i="1"/>
  <c r="FW116" i="1"/>
  <c r="FW117" i="1"/>
  <c r="FW118" i="1"/>
  <c r="FW119" i="1"/>
  <c r="FW69" i="1"/>
  <c r="FW70" i="1"/>
  <c r="FW71" i="1"/>
  <c r="FW72" i="1"/>
  <c r="FW272" i="1" s="1"/>
  <c r="CF280" i="1" s="1"/>
  <c r="CN285" i="1" s="1"/>
  <c r="CO330" i="1" s="1"/>
  <c r="FW73" i="1"/>
  <c r="FW390" i="1" s="1"/>
  <c r="CF402" i="1" s="1"/>
  <c r="CN407" i="1" s="1"/>
  <c r="FW74" i="1"/>
  <c r="FW77" i="1"/>
  <c r="FW78" i="1"/>
  <c r="FW79" i="1"/>
  <c r="FW80" i="1"/>
  <c r="FW81" i="1"/>
  <c r="FW82" i="1"/>
  <c r="FW85" i="1"/>
  <c r="FW86" i="1"/>
  <c r="FW87" i="1"/>
  <c r="FW88" i="1"/>
  <c r="FW89" i="1"/>
  <c r="FW90" i="1"/>
  <c r="FW40" i="1"/>
  <c r="FW41" i="1"/>
  <c r="FW42" i="1"/>
  <c r="FW43" i="1"/>
  <c r="FW271" i="1" s="1"/>
  <c r="CF279" i="1" s="1"/>
  <c r="CI285" i="1" s="1"/>
  <c r="CJ330" i="1" s="1"/>
  <c r="FW44" i="1"/>
  <c r="FW389" i="1" s="1"/>
  <c r="CF401" i="1" s="1"/>
  <c r="CI407" i="1" s="1"/>
  <c r="FW45" i="1"/>
  <c r="FW46" i="1"/>
  <c r="FW47" i="1"/>
  <c r="FW48" i="1"/>
  <c r="FW49" i="1"/>
  <c r="FW50" i="1"/>
  <c r="FW51" i="1"/>
  <c r="FW52" i="1"/>
  <c r="FW53" i="1"/>
  <c r="FW54" i="1"/>
  <c r="FW55" i="1"/>
  <c r="FW56" i="1"/>
  <c r="FW57" i="1"/>
  <c r="FW58" i="1"/>
  <c r="FW59" i="1"/>
  <c r="FW60" i="1"/>
  <c r="FW61" i="1"/>
  <c r="AL22" i="35" l="1"/>
  <c r="AC23" i="35"/>
  <c r="CJ452" i="1"/>
  <c r="CJ460" i="1" s="1"/>
  <c r="CH410" i="1" a="1"/>
  <c r="CM410" i="1" a="1"/>
  <c r="CO452" i="1"/>
  <c r="CO460" i="1" s="1"/>
  <c r="CU452" i="1"/>
  <c r="CU460" i="1" s="1"/>
  <c r="CS410" i="1" a="1"/>
  <c r="CO328" i="1"/>
  <c r="CM288" i="1" a="1"/>
  <c r="CN290" i="1" s="1"/>
  <c r="CS288" i="1" a="1"/>
  <c r="CS290" i="1" s="1"/>
  <c r="CU330" i="1"/>
  <c r="FY18" i="1"/>
  <c r="CZ290" i="1"/>
  <c r="CZ289" i="1"/>
  <c r="CY288" i="1"/>
  <c r="CY293" i="1"/>
  <c r="CZ292" i="1"/>
  <c r="CY292" i="1"/>
  <c r="CZ291" i="1"/>
  <c r="CY291" i="1"/>
  <c r="CY290" i="1"/>
  <c r="CY289" i="1"/>
  <c r="CZ288" i="1"/>
  <c r="FY19" i="1"/>
  <c r="FY22" i="1"/>
  <c r="FY20" i="1"/>
  <c r="FY21" i="1"/>
  <c r="FY17" i="1"/>
  <c r="CY179" i="1"/>
  <c r="CZ178" i="1"/>
  <c r="CY178" i="1"/>
  <c r="CZ177" i="1"/>
  <c r="CY177" i="1"/>
  <c r="CZ176" i="1"/>
  <c r="CY176" i="1"/>
  <c r="CY174" i="1"/>
  <c r="CZ175" i="1"/>
  <c r="CY175" i="1"/>
  <c r="CZ174" i="1"/>
  <c r="FW161" i="1"/>
  <c r="FW160" i="1"/>
  <c r="CG168" i="1" s="1"/>
  <c r="CT172" i="1" s="1"/>
  <c r="FW159" i="1"/>
  <c r="CG167" i="1" s="1"/>
  <c r="CN172" i="1" s="1"/>
  <c r="CO216" i="1" s="1"/>
  <c r="FW158" i="1"/>
  <c r="CG166" i="1" s="1"/>
  <c r="CI172" i="1" s="1"/>
  <c r="FW157" i="1"/>
  <c r="AL23" i="35" l="1"/>
  <c r="AC24" i="35"/>
  <c r="CS410" i="1"/>
  <c r="CT414" i="1"/>
  <c r="CS414" i="1"/>
  <c r="CT412" i="1"/>
  <c r="CS412" i="1"/>
  <c r="CT411" i="1"/>
  <c r="CT413" i="1"/>
  <c r="CS413" i="1"/>
  <c r="CT415" i="1"/>
  <c r="CS411" i="1"/>
  <c r="CS415" i="1"/>
  <c r="CT410" i="1"/>
  <c r="CM412" i="1"/>
  <c r="CM410" i="1"/>
  <c r="CM414" i="1"/>
  <c r="CN411" i="1"/>
  <c r="CM411" i="1"/>
  <c r="CN415" i="1"/>
  <c r="CN410" i="1"/>
  <c r="CM415" i="1"/>
  <c r="CM413" i="1"/>
  <c r="CN414" i="1"/>
  <c r="CN413" i="1"/>
  <c r="CN412" i="1"/>
  <c r="CI415" i="1"/>
  <c r="CH413" i="1"/>
  <c r="CI412" i="1"/>
  <c r="CI410" i="1"/>
  <c r="CH410" i="1"/>
  <c r="CH412" i="1"/>
  <c r="CI414" i="1"/>
  <c r="CH414" i="1"/>
  <c r="CI413" i="1"/>
  <c r="CI411" i="1"/>
  <c r="CH411" i="1"/>
  <c r="CH415" i="1"/>
  <c r="CS291" i="1"/>
  <c r="CN288" i="1"/>
  <c r="CN289" i="1"/>
  <c r="CT288" i="1"/>
  <c r="CM288" i="1"/>
  <c r="CT292" i="1"/>
  <c r="CT293" i="1"/>
  <c r="CS288" i="1"/>
  <c r="CM290" i="1"/>
  <c r="CS289" i="1"/>
  <c r="CM292" i="1"/>
  <c r="CT289" i="1"/>
  <c r="CM291" i="1"/>
  <c r="CN292" i="1"/>
  <c r="CS293" i="1"/>
  <c r="CM293" i="1"/>
  <c r="CM289" i="1"/>
  <c r="CT290" i="1"/>
  <c r="CN291" i="1"/>
  <c r="CT291" i="1"/>
  <c r="CN293" i="1"/>
  <c r="CS292" i="1"/>
  <c r="CU216" i="1"/>
  <c r="CS174" i="1" a="1"/>
  <c r="CH174" i="1" a="1"/>
  <c r="CJ216" i="1"/>
  <c r="S43" i="20"/>
  <c r="S40" i="20"/>
  <c r="S41" i="20"/>
  <c r="S42" i="20"/>
  <c r="CD47" i="16"/>
  <c r="CD46" i="16"/>
  <c r="CD45" i="16"/>
  <c r="BC43" i="15"/>
  <c r="BS43" i="15" s="1"/>
  <c r="BW43" i="15" s="1"/>
  <c r="FW34" i="1"/>
  <c r="AC25" i="35" l="1"/>
  <c r="AL24" i="35"/>
  <c r="CI449" i="1"/>
  <c r="CI451" i="1"/>
  <c r="CI450" i="1"/>
  <c r="CI452" i="1"/>
  <c r="CN448" i="1"/>
  <c r="CN449" i="1"/>
  <c r="CN450" i="1"/>
  <c r="CN451" i="1"/>
  <c r="CN452" i="1"/>
  <c r="CT450" i="1"/>
  <c r="CT451" i="1"/>
  <c r="CT452" i="1"/>
  <c r="CT449" i="1"/>
  <c r="CT328" i="1"/>
  <c r="CT329" i="1"/>
  <c r="CH176" i="1"/>
  <c r="CI174" i="1"/>
  <c r="CH174" i="1"/>
  <c r="CI179" i="1"/>
  <c r="CI178" i="1"/>
  <c r="CH178" i="1"/>
  <c r="CI177" i="1"/>
  <c r="CH177" i="1"/>
  <c r="CI176" i="1"/>
  <c r="CI175" i="1"/>
  <c r="CH175" i="1"/>
  <c r="CH179" i="1"/>
  <c r="CS176" i="1"/>
  <c r="CT175" i="1"/>
  <c r="CS174" i="1"/>
  <c r="CT179" i="1"/>
  <c r="CT178" i="1"/>
  <c r="CS178" i="1"/>
  <c r="CT177" i="1"/>
  <c r="CS177" i="1"/>
  <c r="CT174" i="1"/>
  <c r="CT176" i="1"/>
  <c r="CS175" i="1"/>
  <c r="CS179" i="1"/>
  <c r="BX42" i="8"/>
  <c r="BX48" i="8"/>
  <c r="BX47" i="8"/>
  <c r="BX46" i="8"/>
  <c r="BX45" i="8"/>
  <c r="BX44" i="8"/>
  <c r="BX43" i="8"/>
  <c r="AL25" i="35" l="1"/>
  <c r="AC26" i="35"/>
  <c r="CT453" i="1"/>
  <c r="CT454" i="1" s="1"/>
  <c r="CT455" i="1" s="1"/>
  <c r="CT456" i="1" s="1"/>
  <c r="CT457" i="1" s="1"/>
  <c r="AK2" i="8"/>
  <c r="AC27" i="35" l="1"/>
  <c r="AL26" i="35"/>
  <c r="J47" i="15"/>
  <c r="AC28" i="35" l="1"/>
  <c r="AL27" i="35"/>
  <c r="J47" i="8"/>
  <c r="X47" i="8"/>
  <c r="AL28" i="35" l="1"/>
  <c r="AC29" i="35"/>
  <c r="CM632" i="1"/>
  <c r="CM633" i="1"/>
  <c r="CM634" i="1"/>
  <c r="CM635" i="1"/>
  <c r="CM636" i="1"/>
  <c r="CM567" i="1"/>
  <c r="CM568" i="1"/>
  <c r="CM569" i="1"/>
  <c r="CM570" i="1"/>
  <c r="CM571" i="1"/>
  <c r="CM509" i="1"/>
  <c r="CM510" i="1"/>
  <c r="CM511" i="1"/>
  <c r="CM512" i="1"/>
  <c r="CM513" i="1"/>
  <c r="AL29" i="35" l="1"/>
  <c r="AC30" i="35"/>
  <c r="D77" i="26"/>
  <c r="D70" i="26"/>
  <c r="D71" i="26" s="1"/>
  <c r="D72" i="26" s="1"/>
  <c r="D73" i="26" s="1"/>
  <c r="D74" i="26" s="1"/>
  <c r="D75" i="26" s="1"/>
  <c r="D76" i="26" s="1"/>
  <c r="C191" i="28"/>
  <c r="C184" i="28"/>
  <c r="C185" i="28" s="1"/>
  <c r="C186" i="28" s="1"/>
  <c r="C187" i="28" s="1"/>
  <c r="C188" i="28" s="1"/>
  <c r="C189" i="28" s="1"/>
  <c r="C190" i="28" s="1"/>
  <c r="C108" i="28"/>
  <c r="C109" i="28" s="1"/>
  <c r="C110" i="28" s="1"/>
  <c r="C111" i="28" s="1"/>
  <c r="C112" i="28" s="1"/>
  <c r="C113" i="28" s="1"/>
  <c r="C114" i="28" s="1"/>
  <c r="C115" i="28" s="1"/>
  <c r="CH335" i="1"/>
  <c r="CH334" i="1"/>
  <c r="CH333" i="1"/>
  <c r="CH332" i="1"/>
  <c r="CH331" i="1"/>
  <c r="CY335" i="1"/>
  <c r="CY334" i="1"/>
  <c r="CY333" i="1"/>
  <c r="CY332" i="1"/>
  <c r="CY331" i="1"/>
  <c r="CS331" i="1"/>
  <c r="CS332" i="1"/>
  <c r="CS333" i="1"/>
  <c r="CS334" i="1"/>
  <c r="CS335" i="1"/>
  <c r="AL30" i="35" l="1"/>
  <c r="AC31" i="35"/>
  <c r="CL632" i="1"/>
  <c r="CL633" i="1"/>
  <c r="CL634" i="1"/>
  <c r="CL635" i="1"/>
  <c r="CL636" i="1"/>
  <c r="CK632" i="1"/>
  <c r="CK633" i="1"/>
  <c r="CK634" i="1"/>
  <c r="CK635" i="1"/>
  <c r="CK636" i="1"/>
  <c r="AC32" i="35" l="1"/>
  <c r="AL31" i="35"/>
  <c r="CL641" i="1"/>
  <c r="CL644" i="1"/>
  <c r="CL643" i="1"/>
  <c r="CL642" i="1"/>
  <c r="CK641" i="1"/>
  <c r="CK642" i="1"/>
  <c r="CM643" i="1"/>
  <c r="CK643" i="1"/>
  <c r="CM641" i="1"/>
  <c r="CM642" i="1"/>
  <c r="CK644" i="1"/>
  <c r="CM644" i="1"/>
  <c r="AL32" i="35" l="1"/>
  <c r="AC33" i="35"/>
  <c r="CM579" i="1"/>
  <c r="CM576" i="1"/>
  <c r="CM577" i="1"/>
  <c r="CM578" i="1"/>
  <c r="CL567" i="1"/>
  <c r="CL568" i="1"/>
  <c r="CL569" i="1"/>
  <c r="CL570" i="1"/>
  <c r="CL571" i="1"/>
  <c r="AL33" i="35" l="1"/>
  <c r="AC34" i="35"/>
  <c r="CL576" i="1"/>
  <c r="CL578" i="1"/>
  <c r="CL577" i="1"/>
  <c r="CL579" i="1"/>
  <c r="CK567" i="1"/>
  <c r="CK568" i="1"/>
  <c r="CK569" i="1"/>
  <c r="CK570" i="1"/>
  <c r="CK571" i="1"/>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49" i="20"/>
  <c r="CK509" i="1"/>
  <c r="CK510" i="1"/>
  <c r="CK511" i="1"/>
  <c r="CK512" i="1"/>
  <c r="CK513" i="1"/>
  <c r="AC35" i="35" l="1"/>
  <c r="AL34" i="35"/>
  <c r="CK579" i="1"/>
  <c r="CK578" i="1"/>
  <c r="CK577" i="1"/>
  <c r="CK576" i="1"/>
  <c r="CL509" i="1"/>
  <c r="CL510" i="1"/>
  <c r="CL511" i="1"/>
  <c r="CL512" i="1"/>
  <c r="CL513" i="1"/>
  <c r="AL35" i="35" l="1"/>
  <c r="AC36" i="35"/>
  <c r="CL519" i="1"/>
  <c r="CL521" i="1"/>
  <c r="CL520" i="1"/>
  <c r="CL518" i="1"/>
  <c r="CM521" i="1"/>
  <c r="CM518" i="1"/>
  <c r="CM520" i="1"/>
  <c r="CM519" i="1"/>
  <c r="AN52" i="8"/>
  <c r="AN51" i="8"/>
  <c r="F39" i="20"/>
  <c r="F40" i="20"/>
  <c r="F41" i="20"/>
  <c r="F42" i="20"/>
  <c r="F43" i="20"/>
  <c r="AC37" i="35" l="1"/>
  <c r="AL36" i="35"/>
  <c r="AF40" i="25"/>
  <c r="AG40" i="25"/>
  <c r="AH40" i="25"/>
  <c r="AI40" i="25"/>
  <c r="AF41" i="25"/>
  <c r="AG41" i="25"/>
  <c r="AH41" i="25"/>
  <c r="AI41" i="25"/>
  <c r="AF42" i="25"/>
  <c r="AG42" i="25"/>
  <c r="AH42" i="25"/>
  <c r="AI42" i="25"/>
  <c r="AF43" i="25"/>
  <c r="AG43" i="25"/>
  <c r="AH43" i="25"/>
  <c r="AI43" i="25"/>
  <c r="AF44" i="25"/>
  <c r="AG44" i="25"/>
  <c r="AH44" i="25"/>
  <c r="AI44" i="25"/>
  <c r="AF45" i="25"/>
  <c r="AG45" i="25"/>
  <c r="AH45" i="25"/>
  <c r="AI45" i="25"/>
  <c r="AF46" i="25"/>
  <c r="AG46" i="25"/>
  <c r="AH46" i="25"/>
  <c r="AI46" i="25"/>
  <c r="AF47" i="25"/>
  <c r="AG47" i="25"/>
  <c r="AH47" i="25"/>
  <c r="AI47" i="25"/>
  <c r="AE40" i="25"/>
  <c r="AE41" i="25"/>
  <c r="AE42" i="25"/>
  <c r="AE43" i="25"/>
  <c r="AE44" i="25"/>
  <c r="AE45" i="25"/>
  <c r="AE46" i="25"/>
  <c r="AE47" i="25"/>
  <c r="AD40" i="25"/>
  <c r="AD41" i="25"/>
  <c r="AD42" i="25"/>
  <c r="AD43" i="25"/>
  <c r="AD44" i="25"/>
  <c r="AD45" i="25"/>
  <c r="AD46" i="25"/>
  <c r="AD47" i="25"/>
  <c r="AC40" i="25"/>
  <c r="AC41" i="25"/>
  <c r="AC42" i="25"/>
  <c r="AC43" i="25"/>
  <c r="AC44" i="25"/>
  <c r="AC45" i="25"/>
  <c r="AC46" i="25"/>
  <c r="AC47" i="25"/>
  <c r="AB40" i="25"/>
  <c r="AB41" i="25"/>
  <c r="AB42" i="25"/>
  <c r="AB43" i="25"/>
  <c r="AB44" i="25"/>
  <c r="AB45" i="25"/>
  <c r="AB46" i="25"/>
  <c r="AB47" i="25"/>
  <c r="Z44" i="25"/>
  <c r="AA44" i="25"/>
  <c r="Z45" i="25"/>
  <c r="AA45" i="25"/>
  <c r="Z46" i="25"/>
  <c r="AA46" i="25"/>
  <c r="Z47" i="25"/>
  <c r="AA47" i="25"/>
  <c r="Z40" i="25"/>
  <c r="AA40" i="25"/>
  <c r="Z41" i="25"/>
  <c r="AA41" i="25"/>
  <c r="Z42" i="25"/>
  <c r="AA42" i="25"/>
  <c r="Z43" i="25"/>
  <c r="AA43" i="25"/>
  <c r="E44" i="25"/>
  <c r="E45" i="25"/>
  <c r="E46" i="25"/>
  <c r="E47" i="25"/>
  <c r="E43" i="25"/>
  <c r="BK42" i="15"/>
  <c r="BK43" i="15"/>
  <c r="BK44" i="15"/>
  <c r="BK45" i="15"/>
  <c r="BK46" i="15"/>
  <c r="BK47" i="15"/>
  <c r="BK48" i="15"/>
  <c r="BJ44" i="15"/>
  <c r="BJ45" i="15"/>
  <c r="BJ46" i="15"/>
  <c r="BJ47" i="15"/>
  <c r="BJ48" i="15" s="1"/>
  <c r="BI42" i="15"/>
  <c r="BI43" i="15" s="1"/>
  <c r="BI44" i="15" s="1"/>
  <c r="BI45" i="15" s="1"/>
  <c r="BI46" i="15" s="1"/>
  <c r="BI47" i="15" s="1"/>
  <c r="BI48" i="15" s="1"/>
  <c r="BN43" i="15"/>
  <c r="BN44" i="15"/>
  <c r="BN45" i="15"/>
  <c r="BN46" i="15"/>
  <c r="BN47" i="15"/>
  <c r="BN48" i="15"/>
  <c r="BF5" i="15"/>
  <c r="BF6" i="15"/>
  <c r="BF7" i="15"/>
  <c r="BF8" i="15"/>
  <c r="BF9" i="15"/>
  <c r="BF10" i="15"/>
  <c r="BF11" i="15"/>
  <c r="BF12" i="15"/>
  <c r="BF13" i="15"/>
  <c r="BF14" i="15"/>
  <c r="BF15" i="15"/>
  <c r="BF16" i="15"/>
  <c r="BF17" i="15"/>
  <c r="BF18" i="15"/>
  <c r="BF19" i="15"/>
  <c r="BF20" i="15"/>
  <c r="BF21" i="15"/>
  <c r="BF22" i="15"/>
  <c r="BF23" i="15"/>
  <c r="BF24" i="15"/>
  <c r="BF25" i="15"/>
  <c r="BF26" i="15"/>
  <c r="BF27" i="15"/>
  <c r="BF28" i="15"/>
  <c r="BF29" i="15"/>
  <c r="BF30" i="15"/>
  <c r="BF31" i="15"/>
  <c r="BF32" i="15"/>
  <c r="BF33" i="15"/>
  <c r="BF34" i="15"/>
  <c r="BF35" i="15"/>
  <c r="BF36" i="15"/>
  <c r="BF37" i="15"/>
  <c r="BF38" i="15"/>
  <c r="BF39" i="15"/>
  <c r="BF40" i="15"/>
  <c r="BF41" i="15"/>
  <c r="BF42" i="15"/>
  <c r="BF43" i="15"/>
  <c r="BF44" i="15"/>
  <c r="BF45" i="15"/>
  <c r="BF46" i="15"/>
  <c r="BF47" i="15"/>
  <c r="BF48" i="15"/>
  <c r="BF4" i="15"/>
  <c r="BF3" i="15"/>
  <c r="CP44" i="15"/>
  <c r="CP45" i="15"/>
  <c r="CP46" i="15"/>
  <c r="CP47" i="15"/>
  <c r="CP48" i="15"/>
  <c r="CM44" i="15"/>
  <c r="CM45" i="15"/>
  <c r="CM46" i="15"/>
  <c r="CM47" i="15"/>
  <c r="CM48" i="15"/>
  <c r="BX42" i="15"/>
  <c r="BY42" i="15"/>
  <c r="BX43" i="15"/>
  <c r="BY43" i="15"/>
  <c r="BX44" i="15"/>
  <c r="BY44" i="15" s="1"/>
  <c r="BX45" i="15"/>
  <c r="BY45" i="15"/>
  <c r="BX46" i="15"/>
  <c r="BY46" i="15"/>
  <c r="BX47" i="15"/>
  <c r="BY47" i="15"/>
  <c r="BX48" i="15"/>
  <c r="BY48" i="15"/>
  <c r="BN42" i="15"/>
  <c r="DH42" i="15"/>
  <c r="BT8" i="8"/>
  <c r="BT7" i="8"/>
  <c r="BT6" i="8"/>
  <c r="AV9" i="8"/>
  <c r="AV8" i="8"/>
  <c r="AV7" i="8"/>
  <c r="AV6" i="8"/>
  <c r="P52" i="10"/>
  <c r="Q52" i="10"/>
  <c r="R52" i="10"/>
  <c r="S52" i="10"/>
  <c r="T52" i="10"/>
  <c r="U52" i="10"/>
  <c r="V52" i="10"/>
  <c r="W52" i="10"/>
  <c r="X52" i="10"/>
  <c r="O52" i="10"/>
  <c r="P51" i="10"/>
  <c r="Q51" i="10"/>
  <c r="R51" i="10"/>
  <c r="S51" i="10"/>
  <c r="T51" i="10"/>
  <c r="U51" i="10"/>
  <c r="V51" i="10"/>
  <c r="W51" i="10"/>
  <c r="X51" i="10"/>
  <c r="O51" i="10"/>
  <c r="N49" i="10"/>
  <c r="O49" i="10"/>
  <c r="P49" i="10"/>
  <c r="Q49" i="10"/>
  <c r="R49" i="10"/>
  <c r="S49" i="10"/>
  <c r="T49" i="10"/>
  <c r="U49" i="10"/>
  <c r="V49" i="10"/>
  <c r="W49" i="10"/>
  <c r="X49" i="10"/>
  <c r="W33" i="10"/>
  <c r="X33" i="10"/>
  <c r="W20" i="10"/>
  <c r="X20" i="10"/>
  <c r="W32" i="10"/>
  <c r="X32" i="10"/>
  <c r="X31" i="10"/>
  <c r="W31" i="10"/>
  <c r="N48" i="10"/>
  <c r="O48" i="10"/>
  <c r="P48" i="10"/>
  <c r="Q48" i="10"/>
  <c r="R48" i="10"/>
  <c r="S48" i="10"/>
  <c r="T48" i="10"/>
  <c r="U48" i="10"/>
  <c r="V48" i="10"/>
  <c r="X19" i="10"/>
  <c r="X48" i="10" s="1"/>
  <c r="W19" i="10"/>
  <c r="W48" i="10" s="1"/>
  <c r="AC38" i="35" l="1"/>
  <c r="AL37" i="35"/>
  <c r="FW33" i="1"/>
  <c r="D36" i="21"/>
  <c r="K16" i="21"/>
  <c r="D42" i="21"/>
  <c r="K17" i="21"/>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4" i="27"/>
  <c r="CY40" i="8"/>
  <c r="CY41" i="8" s="1"/>
  <c r="CY42" i="8" s="1"/>
  <c r="CY43" i="8" s="1"/>
  <c r="CY44" i="8" s="1"/>
  <c r="CY45" i="8" s="1"/>
  <c r="CY46" i="8" s="1"/>
  <c r="CY47" i="8" s="1"/>
  <c r="CZ3" i="8"/>
  <c r="CZ4" i="8"/>
  <c r="CZ5" i="8"/>
  <c r="CZ6" i="8"/>
  <c r="CZ7" i="8"/>
  <c r="CZ8" i="8"/>
  <c r="CZ9" i="8"/>
  <c r="CZ10" i="8"/>
  <c r="CZ11" i="8"/>
  <c r="CZ12" i="8"/>
  <c r="CZ13" i="8"/>
  <c r="CZ14" i="8"/>
  <c r="CZ15" i="8"/>
  <c r="CZ16" i="8"/>
  <c r="CZ17" i="8"/>
  <c r="CZ18" i="8"/>
  <c r="CZ19" i="8"/>
  <c r="CZ20" i="8"/>
  <c r="CZ21" i="8"/>
  <c r="CZ22" i="8"/>
  <c r="CZ23" i="8"/>
  <c r="CZ24" i="8"/>
  <c r="CZ25" i="8"/>
  <c r="CZ26" i="8"/>
  <c r="CZ27" i="8"/>
  <c r="CZ28" i="8"/>
  <c r="CZ29" i="8"/>
  <c r="CZ30" i="8"/>
  <c r="CZ31" i="8"/>
  <c r="CZ32" i="8"/>
  <c r="CZ33" i="8"/>
  <c r="CZ34" i="8"/>
  <c r="CZ35" i="8"/>
  <c r="CZ36" i="8"/>
  <c r="CZ37" i="8"/>
  <c r="CZ38" i="8"/>
  <c r="CZ39" i="8"/>
  <c r="CZ40" i="8"/>
  <c r="CZ41" i="8"/>
  <c r="CZ42" i="8"/>
  <c r="CZ43" i="8"/>
  <c r="CZ44" i="8"/>
  <c r="CZ45" i="8"/>
  <c r="CZ46" i="8"/>
  <c r="CZ47" i="8"/>
  <c r="CZ2" i="8"/>
  <c r="AL38" i="35" l="1"/>
  <c r="AC39" i="35"/>
  <c r="AY47" i="16"/>
  <c r="AY45" i="16"/>
  <c r="AY43" i="16"/>
  <c r="AW44" i="16"/>
  <c r="AW45" i="16"/>
  <c r="AW46" i="16"/>
  <c r="AW47" i="16"/>
  <c r="AW48" i="16"/>
  <c r="AT47" i="16"/>
  <c r="AT45" i="16"/>
  <c r="AP42" i="16"/>
  <c r="AP44" i="16"/>
  <c r="AP46" i="16"/>
  <c r="AP48" i="16"/>
  <c r="AN47" i="16"/>
  <c r="AN45" i="16"/>
  <c r="AL45" i="16"/>
  <c r="AI45" i="16" s="1"/>
  <c r="AL46" i="16"/>
  <c r="AI46" i="16" s="1"/>
  <c r="AL47" i="16"/>
  <c r="AI47" i="16" s="1"/>
  <c r="AL48" i="16"/>
  <c r="AI48" i="16" s="1"/>
  <c r="Z48" i="16"/>
  <c r="Y47" i="16"/>
  <c r="Y45" i="16"/>
  <c r="Z45" i="16" s="1"/>
  <c r="Z46" i="16" s="1"/>
  <c r="Z47" i="16"/>
  <c r="R47" i="16"/>
  <c r="R45" i="16"/>
  <c r="R43" i="16"/>
  <c r="X45" i="16"/>
  <c r="F44" i="16"/>
  <c r="F45" i="16"/>
  <c r="F46" i="16"/>
  <c r="F47" i="16"/>
  <c r="F48" i="16"/>
  <c r="E44" i="16"/>
  <c r="E45" i="16"/>
  <c r="E46" i="16"/>
  <c r="E47" i="16"/>
  <c r="E48" i="16"/>
  <c r="C43" i="25"/>
  <c r="D43" i="25"/>
  <c r="C44" i="25"/>
  <c r="D44" i="25"/>
  <c r="C45" i="25"/>
  <c r="D45" i="25"/>
  <c r="C46" i="25"/>
  <c r="D46" i="25"/>
  <c r="C47" i="25"/>
  <c r="D47" i="25"/>
  <c r="G8" i="32"/>
  <c r="G9" i="32"/>
  <c r="G10" i="32"/>
  <c r="G11" i="32"/>
  <c r="G12" i="32"/>
  <c r="F12" i="32"/>
  <c r="F11" i="32"/>
  <c r="F10" i="32"/>
  <c r="F9" i="32"/>
  <c r="F8" i="32"/>
  <c r="F12" i="33"/>
  <c r="F11" i="33"/>
  <c r="F10" i="33"/>
  <c r="F9" i="33"/>
  <c r="F8" i="33"/>
  <c r="C68" i="33"/>
  <c r="C56" i="33"/>
  <c r="C44" i="33"/>
  <c r="C32" i="33"/>
  <c r="C20" i="33"/>
  <c r="AC40" i="35" l="1"/>
  <c r="AL39" i="35"/>
  <c r="C68" i="32"/>
  <c r="C56" i="32"/>
  <c r="C44" i="32"/>
  <c r="C32" i="32"/>
  <c r="C20" i="32"/>
  <c r="AY45" i="15"/>
  <c r="Z45" i="15"/>
  <c r="R47" i="15"/>
  <c r="AY47" i="15" s="1"/>
  <c r="R45" i="15"/>
  <c r="Y45" i="15" s="1"/>
  <c r="AW42" i="15"/>
  <c r="AW43" i="15"/>
  <c r="AW44" i="15"/>
  <c r="AW45" i="15"/>
  <c r="AW46" i="15"/>
  <c r="AW47" i="15"/>
  <c r="AW48" i="15"/>
  <c r="AT47" i="15"/>
  <c r="AT45" i="15"/>
  <c r="AN47" i="15"/>
  <c r="AN45" i="15"/>
  <c r="AS42" i="15"/>
  <c r="AS43" i="15"/>
  <c r="AS44" i="15"/>
  <c r="AS45" i="15"/>
  <c r="AS46" i="15"/>
  <c r="AS47" i="15"/>
  <c r="AS48" i="15"/>
  <c r="AL40" i="35" l="1"/>
  <c r="AC41" i="35"/>
  <c r="Y47" i="15"/>
  <c r="Z47" i="15" s="1"/>
  <c r="Z48" i="15" s="1"/>
  <c r="F42" i="15"/>
  <c r="F44" i="15"/>
  <c r="F46"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AL44" i="15" s="1"/>
  <c r="AI44" i="15" s="1"/>
  <c r="E44" i="15"/>
  <c r="E45" i="15"/>
  <c r="AL46" i="15" s="1"/>
  <c r="AI46" i="15" s="1"/>
  <c r="E46" i="15"/>
  <c r="AL47" i="15" s="1"/>
  <c r="AI47" i="15" s="1"/>
  <c r="E47" i="15"/>
  <c r="E48" i="15"/>
  <c r="F48" i="15" s="1"/>
  <c r="E11" i="15"/>
  <c r="E10" i="15"/>
  <c r="D42" i="15"/>
  <c r="D43" i="15"/>
  <c r="D44" i="15" s="1"/>
  <c r="D45" i="15" s="1"/>
  <c r="D46" i="15" s="1"/>
  <c r="D47" i="15" s="1"/>
  <c r="D48" i="15" s="1"/>
  <c r="AZ102" i="8"/>
  <c r="AZ103" i="8"/>
  <c r="AZ104" i="8"/>
  <c r="AZ105" i="8"/>
  <c r="AZ106" i="8"/>
  <c r="AZ107" i="8"/>
  <c r="AZ108" i="8"/>
  <c r="AZ109" i="8"/>
  <c r="AZ110" i="8"/>
  <c r="AZ111" i="8"/>
  <c r="AZ112" i="8"/>
  <c r="AZ113" i="8"/>
  <c r="AZ114" i="8"/>
  <c r="AZ115" i="8"/>
  <c r="AZ116" i="8"/>
  <c r="AZ117" i="8"/>
  <c r="AZ118" i="8"/>
  <c r="AZ119" i="8"/>
  <c r="AZ120" i="8"/>
  <c r="AZ121" i="8"/>
  <c r="AZ122" i="8"/>
  <c r="AZ123" i="8"/>
  <c r="AZ124" i="8"/>
  <c r="AZ125" i="8"/>
  <c r="AZ126" i="8"/>
  <c r="AZ127" i="8"/>
  <c r="AZ128" i="8"/>
  <c r="AZ129" i="8"/>
  <c r="AZ130" i="8"/>
  <c r="AZ131" i="8"/>
  <c r="AZ132" i="8"/>
  <c r="AZ133" i="8"/>
  <c r="AZ134" i="8"/>
  <c r="AZ101" i="8"/>
  <c r="X43" i="8"/>
  <c r="J43" i="8"/>
  <c r="AL41" i="35" l="1"/>
  <c r="AC42" i="35"/>
  <c r="Z46" i="15"/>
  <c r="AL48" i="15"/>
  <c r="AI48" i="15" s="1"/>
  <c r="F47" i="15"/>
  <c r="AL45" i="15"/>
  <c r="AI45" i="15" s="1"/>
  <c r="F45" i="15"/>
  <c r="F43" i="15"/>
  <c r="AY45" i="8"/>
  <c r="AW44" i="8"/>
  <c r="AW45" i="8"/>
  <c r="AW46" i="8"/>
  <c r="AW47" i="8"/>
  <c r="AW48" i="8"/>
  <c r="AT45" i="8"/>
  <c r="AN47" i="8"/>
  <c r="AT47" i="8" s="1"/>
  <c r="AT50" i="8" s="1"/>
  <c r="AN45" i="8"/>
  <c r="E48"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AL44" i="8" s="1"/>
  <c r="AI44" i="8" s="1"/>
  <c r="E44" i="8"/>
  <c r="AL45" i="8" s="1"/>
  <c r="AI45" i="8" s="1"/>
  <c r="E45" i="8"/>
  <c r="E46" i="8"/>
  <c r="E47" i="8"/>
  <c r="AL47" i="8" s="1"/>
  <c r="AI47" i="8" s="1"/>
  <c r="E14" i="8"/>
  <c r="E15" i="8"/>
  <c r="E10" i="8"/>
  <c r="E11" i="8"/>
  <c r="E12" i="8"/>
  <c r="E13" i="8"/>
  <c r="AL46" i="8"/>
  <c r="AI46" i="8" s="1"/>
  <c r="Z45" i="8"/>
  <c r="R47" i="8"/>
  <c r="AY47" i="8" s="1"/>
  <c r="R45" i="8"/>
  <c r="Y45" i="8" s="1"/>
  <c r="AC43" i="35" l="1"/>
  <c r="AL42" i="35"/>
  <c r="Y47" i="8"/>
  <c r="Z47" i="8" s="1"/>
  <c r="Z46" i="8" s="1"/>
  <c r="AL48" i="8"/>
  <c r="AI48" i="8" s="1"/>
  <c r="BG6" i="8"/>
  <c r="BG7" i="8"/>
  <c r="BG8" i="8"/>
  <c r="BG9" i="8"/>
  <c r="BG10" i="8"/>
  <c r="BG11" i="8"/>
  <c r="BG12" i="8"/>
  <c r="BG13" i="8"/>
  <c r="BG14" i="8"/>
  <c r="BG15" i="8"/>
  <c r="BG16" i="8"/>
  <c r="BG17" i="8"/>
  <c r="BG18" i="8"/>
  <c r="BG19" i="8"/>
  <c r="BG20" i="8"/>
  <c r="BG21" i="8"/>
  <c r="BG22" i="8"/>
  <c r="BG23" i="8"/>
  <c r="BG24" i="8"/>
  <c r="BG25" i="8"/>
  <c r="BG26" i="8"/>
  <c r="BG27" i="8"/>
  <c r="BG28" i="8"/>
  <c r="BG29" i="8"/>
  <c r="BG30" i="8"/>
  <c r="BG31" i="8"/>
  <c r="BG32" i="8"/>
  <c r="BG33" i="8"/>
  <c r="BG34" i="8"/>
  <c r="BG35" i="8"/>
  <c r="BG36" i="8"/>
  <c r="BG37" i="8"/>
  <c r="BG38" i="8"/>
  <c r="BG39" i="8"/>
  <c r="BG40" i="8"/>
  <c r="BG41" i="8"/>
  <c r="BG42" i="8"/>
  <c r="BG43" i="8"/>
  <c r="BG44" i="8"/>
  <c r="BG45" i="8"/>
  <c r="BG46" i="8"/>
  <c r="BG47" i="8"/>
  <c r="BG48" i="8"/>
  <c r="BG3" i="8"/>
  <c r="BG4" i="8"/>
  <c r="BG5" i="8"/>
  <c r="M54" i="31"/>
  <c r="M53" i="31"/>
  <c r="M52" i="31"/>
  <c r="M51" i="31"/>
  <c r="M50" i="31"/>
  <c r="M49" i="31"/>
  <c r="M48" i="31"/>
  <c r="M47" i="31"/>
  <c r="M46" i="31"/>
  <c r="M45" i="31"/>
  <c r="M44" i="31"/>
  <c r="M43" i="31"/>
  <c r="M42" i="31"/>
  <c r="M41" i="31"/>
  <c r="M40" i="31"/>
  <c r="M39" i="31"/>
  <c r="M38" i="31"/>
  <c r="M37" i="31"/>
  <c r="M36" i="31"/>
  <c r="M35" i="31"/>
  <c r="M34" i="31"/>
  <c r="M33" i="31"/>
  <c r="M32" i="31"/>
  <c r="M31" i="31"/>
  <c r="M30" i="31"/>
  <c r="M29" i="31"/>
  <c r="M28" i="31"/>
  <c r="M27" i="31"/>
  <c r="M26" i="31"/>
  <c r="M25" i="31"/>
  <c r="M24" i="31"/>
  <c r="M23" i="31"/>
  <c r="M22" i="31"/>
  <c r="M21" i="31"/>
  <c r="M20" i="31"/>
  <c r="M19" i="31"/>
  <c r="M18" i="31"/>
  <c r="M17" i="31"/>
  <c r="M16" i="31"/>
  <c r="M15" i="31"/>
  <c r="M14" i="31"/>
  <c r="M13" i="31"/>
  <c r="M12" i="31"/>
  <c r="M11" i="31"/>
  <c r="M10" i="31"/>
  <c r="M9" i="31"/>
  <c r="BF46" i="8"/>
  <c r="BH46" i="8" s="1"/>
  <c r="BF47" i="8"/>
  <c r="BH47" i="8" s="1"/>
  <c r="BE6" i="8"/>
  <c r="BE7" i="8"/>
  <c r="BE8" i="8"/>
  <c r="BE9" i="8"/>
  <c r="BE10" i="8"/>
  <c r="BE11" i="8"/>
  <c r="BE12" i="8"/>
  <c r="BE13" i="8"/>
  <c r="BE14" i="8"/>
  <c r="BE15" i="8"/>
  <c r="BE16" i="8"/>
  <c r="BE17" i="8"/>
  <c r="BE18" i="8"/>
  <c r="BE19"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F45" i="8" s="1"/>
  <c r="BH45" i="8" s="1"/>
  <c r="BE46" i="8"/>
  <c r="BE47" i="8"/>
  <c r="BE48" i="8"/>
  <c r="BF48" i="8" s="1"/>
  <c r="BH48" i="8" s="1"/>
  <c r="BE3" i="8"/>
  <c r="BE4" i="8"/>
  <c r="BE5" i="8"/>
  <c r="AL43" i="35" l="1"/>
  <c r="AC44" i="35"/>
  <c r="Z48" i="8"/>
  <c r="AN55" i="8" s="1"/>
  <c r="AN54" i="8"/>
  <c r="AN53" i="8"/>
  <c r="CD16" i="16"/>
  <c r="CD17" i="16"/>
  <c r="S11" i="20" s="1"/>
  <c r="CD18" i="16"/>
  <c r="CD19" i="16"/>
  <c r="CD20" i="16"/>
  <c r="CD21" i="16"/>
  <c r="CD22" i="16"/>
  <c r="CD23" i="16"/>
  <c r="CD24" i="16"/>
  <c r="CD25" i="16"/>
  <c r="CD26" i="16"/>
  <c r="CD27" i="16"/>
  <c r="CD28" i="16"/>
  <c r="CD29" i="16"/>
  <c r="CD30" i="16"/>
  <c r="CD31" i="16"/>
  <c r="CD32" i="16"/>
  <c r="CD33" i="16"/>
  <c r="CD34" i="16"/>
  <c r="CD35" i="16"/>
  <c r="CD36" i="16"/>
  <c r="CD37" i="16"/>
  <c r="CD38" i="16"/>
  <c r="CD39" i="16"/>
  <c r="CD15" i="16"/>
  <c r="AC45" i="35" l="1"/>
  <c r="AL44" i="35"/>
  <c r="CE45" i="16"/>
  <c r="CE46" i="16" s="1"/>
  <c r="CD40" i="16" s="1"/>
  <c r="CD41" i="16" s="1"/>
  <c r="CD42" i="16" s="1"/>
  <c r="CD43" i="16" s="1"/>
  <c r="CD44" i="16" s="1"/>
  <c r="S39" i="20" s="1"/>
  <c r="CP42" i="15"/>
  <c r="CP43" i="15"/>
  <c r="AL45" i="35" l="1"/>
  <c r="AC46" i="35"/>
  <c r="DJ658" i="1"/>
  <c r="CJ628" i="1"/>
  <c r="CJ632" i="1"/>
  <c r="CJ633" i="1"/>
  <c r="CJ641" i="1" s="1"/>
  <c r="CJ634" i="1"/>
  <c r="CJ635" i="1"/>
  <c r="CJ636" i="1"/>
  <c r="CJ644" i="1" s="1"/>
  <c r="S37" i="20"/>
  <c r="S38" i="20"/>
  <c r="E43" i="16"/>
  <c r="Y43" i="16"/>
  <c r="Z43" i="16" s="1"/>
  <c r="Z44" i="16" s="1"/>
  <c r="AN43" i="16"/>
  <c r="AW42" i="16"/>
  <c r="AW43" i="16"/>
  <c r="AL46" i="35" l="1"/>
  <c r="AC47" i="35"/>
  <c r="AL47" i="35" s="1"/>
  <c r="F34" i="28"/>
  <c r="F33" i="28"/>
  <c r="AT43" i="16"/>
  <c r="AL44" i="16"/>
  <c r="AI44" i="16" s="1"/>
  <c r="F43" i="16"/>
  <c r="CJ643" i="1"/>
  <c r="CJ642" i="1"/>
  <c r="CK518" i="1"/>
  <c r="CK520" i="1"/>
  <c r="CK521" i="1"/>
  <c r="CK519" i="1"/>
  <c r="F35" i="28" l="1"/>
  <c r="W39" i="20"/>
  <c r="CK523" i="1"/>
  <c r="BF44" i="8"/>
  <c r="BH44" i="8" s="1"/>
  <c r="BF42" i="8"/>
  <c r="BF43" i="8"/>
  <c r="BH43" i="8" s="1"/>
  <c r="F74" i="28" l="1"/>
  <c r="F36" i="28"/>
  <c r="W40" i="20"/>
  <c r="F75" i="28" s="1"/>
  <c r="AN43" i="8"/>
  <c r="A43" i="15" s="1"/>
  <c r="X43" i="15" s="1"/>
  <c r="AN43" i="15" s="1"/>
  <c r="AT43" i="15" s="1"/>
  <c r="F37" i="28" l="1"/>
  <c r="W41" i="20"/>
  <c r="F76" i="28" s="1"/>
  <c r="AL43" i="15"/>
  <c r="AI43" i="15" s="1"/>
  <c r="FW32" i="1"/>
  <c r="B43" i="15" s="1"/>
  <c r="J43" i="15" s="1"/>
  <c r="R43" i="15" s="1"/>
  <c r="FI32" i="1"/>
  <c r="F43" i="8"/>
  <c r="F38" i="28" l="1"/>
  <c r="W42" i="20"/>
  <c r="F77" i="28" s="1"/>
  <c r="Y43" i="15"/>
  <c r="Z43" i="15" s="1"/>
  <c r="Z44" i="15" s="1"/>
  <c r="AY43" i="15"/>
  <c r="AL43" i="8"/>
  <c r="AI43" i="8" s="1"/>
  <c r="F42" i="8"/>
  <c r="R43" i="8"/>
  <c r="AT43" i="8"/>
  <c r="AW42" i="8"/>
  <c r="AW43" i="8"/>
  <c r="F39" i="28" l="1"/>
  <c r="W43" i="20"/>
  <c r="F78" i="28" s="1"/>
  <c r="AY43" i="8"/>
  <c r="Y43" i="8"/>
  <c r="Z43" i="8" s="1"/>
  <c r="Z44" i="8" s="1"/>
  <c r="FI161" i="1"/>
  <c r="FH161" i="1"/>
  <c r="FG161" i="1"/>
  <c r="FF161" i="1"/>
  <c r="FE161" i="1"/>
  <c r="FD161" i="1"/>
  <c r="FC161" i="1"/>
  <c r="FB161" i="1"/>
  <c r="FA161" i="1"/>
  <c r="FI160" i="1"/>
  <c r="FH160" i="1"/>
  <c r="FG160" i="1"/>
  <c r="FF160" i="1"/>
  <c r="FE160" i="1"/>
  <c r="FD160" i="1"/>
  <c r="FC160" i="1"/>
  <c r="FB160" i="1"/>
  <c r="FA160" i="1"/>
  <c r="FI159" i="1"/>
  <c r="FH159" i="1"/>
  <c r="FG159" i="1"/>
  <c r="FF159" i="1"/>
  <c r="FE159" i="1"/>
  <c r="FD159" i="1"/>
  <c r="FC159" i="1"/>
  <c r="FB159" i="1"/>
  <c r="FA159" i="1"/>
  <c r="FI158" i="1"/>
  <c r="FH158" i="1"/>
  <c r="FG158" i="1"/>
  <c r="FF158" i="1"/>
  <c r="FE158" i="1"/>
  <c r="FD158" i="1"/>
  <c r="FC158" i="1"/>
  <c r="FB158" i="1"/>
  <c r="FA158" i="1"/>
  <c r="FI157" i="1"/>
  <c r="FH157" i="1"/>
  <c r="FG157" i="1"/>
  <c r="FF157" i="1"/>
  <c r="FE157" i="1"/>
  <c r="FD157" i="1"/>
  <c r="FC157" i="1"/>
  <c r="FB157" i="1"/>
  <c r="FA157" i="1"/>
  <c r="CF166" i="1" l="1"/>
  <c r="CF167" i="1"/>
  <c r="CF168" i="1"/>
  <c r="CF169" i="1"/>
  <c r="W39" i="15" l="1"/>
  <c r="C131" i="20" l="1"/>
  <c r="B53" i="6"/>
  <c r="A53" i="6"/>
  <c r="B51" i="6"/>
  <c r="A51" i="6"/>
  <c r="A55" i="6" l="1"/>
  <c r="B55" i="6"/>
  <c r="CL297" i="1" s="1"/>
  <c r="S36" i="20"/>
  <c r="F32" i="28" l="1"/>
  <c r="BE41" i="16"/>
  <c r="BG41" i="16"/>
  <c r="AM11" i="8" l="1"/>
  <c r="AM10" i="8"/>
  <c r="AM9" i="8"/>
  <c r="AM8" i="8"/>
  <c r="AM7" i="8"/>
  <c r="AL11" i="8"/>
  <c r="AL10" i="8"/>
  <c r="AL9" i="8"/>
  <c r="AL8" i="8"/>
  <c r="AL7" i="8"/>
  <c r="FK18" i="1"/>
  <c r="FK19" i="1"/>
  <c r="FK20" i="1"/>
  <c r="FK21" i="1"/>
  <c r="FK22" i="1"/>
  <c r="FK17" i="1"/>
  <c r="FL18" i="1"/>
  <c r="FL19" i="1"/>
  <c r="FL20" i="1"/>
  <c r="FL21" i="1"/>
  <c r="FL22" i="1"/>
  <c r="FL17" i="1"/>
  <c r="AL32" i="7" l="1"/>
  <c r="AL38" i="7"/>
  <c r="AL39" i="7"/>
  <c r="AK28" i="7"/>
  <c r="AK29" i="7" s="1"/>
  <c r="AK30" i="7" s="1"/>
  <c r="AK31" i="7" s="1"/>
  <c r="AK32" i="7" s="1"/>
  <c r="AK33" i="7" s="1"/>
  <c r="AK34" i="7" s="1"/>
  <c r="AK35" i="7" s="1"/>
  <c r="AK36" i="7" s="1"/>
  <c r="AK37" i="7" s="1"/>
  <c r="AK38" i="7" s="1"/>
  <c r="AK39" i="7" s="1"/>
  <c r="KG17" i="1"/>
  <c r="AM39" i="7" s="1"/>
  <c r="KG15" i="1"/>
  <c r="AM37" i="7" s="1"/>
  <c r="KG13" i="1"/>
  <c r="AM35" i="7" s="1"/>
  <c r="KG11" i="1"/>
  <c r="AM33" i="7" s="1"/>
  <c r="KG9" i="1"/>
  <c r="AM31" i="7" s="1"/>
  <c r="KG7" i="1"/>
  <c r="AM29" i="7" s="1"/>
  <c r="KG5" i="1"/>
  <c r="AM27" i="7" s="1"/>
  <c r="KF6" i="1"/>
  <c r="KF7" i="1" s="1"/>
  <c r="KF8" i="1" s="1"/>
  <c r="KF9" i="1" s="1"/>
  <c r="KF10" i="1" s="1"/>
  <c r="KF11" i="1" s="1"/>
  <c r="KF12" i="1" s="1"/>
  <c r="KF13" i="1" s="1"/>
  <c r="KF14" i="1" s="1"/>
  <c r="KF15" i="1" s="1"/>
  <c r="KF16" i="1" s="1"/>
  <c r="KF17" i="1" s="1"/>
  <c r="KF18" i="1" s="1"/>
  <c r="KF19" i="1" s="1"/>
  <c r="CQ8" i="15" l="1"/>
  <c r="CQ7" i="15"/>
  <c r="CQ6" i="15"/>
  <c r="CQ5" i="15"/>
  <c r="CJ571" i="1"/>
  <c r="CO571" i="1" s="1"/>
  <c r="CJ570" i="1"/>
  <c r="CO570" i="1" s="1"/>
  <c r="CJ569" i="1"/>
  <c r="CO569" i="1" s="1"/>
  <c r="CJ568" i="1"/>
  <c r="CO568" i="1" s="1"/>
  <c r="CJ567" i="1"/>
  <c r="CJ576" i="1" l="1"/>
  <c r="CO567" i="1"/>
  <c r="CJ577" i="1"/>
  <c r="CJ579" i="1"/>
  <c r="CJ578" i="1"/>
  <c r="CJ513" i="1"/>
  <c r="CO513" i="1" s="1"/>
  <c r="CJ512" i="1"/>
  <c r="CO512" i="1" s="1"/>
  <c r="CJ511" i="1"/>
  <c r="CO511" i="1" s="1"/>
  <c r="CJ510" i="1"/>
  <c r="CO510" i="1" s="1"/>
  <c r="CJ509" i="1"/>
  <c r="CO509" i="1" s="1"/>
  <c r="AN41" i="16"/>
  <c r="T41" i="16"/>
  <c r="L41" i="16"/>
  <c r="K41" i="16"/>
  <c r="J41" i="16"/>
  <c r="R41" i="16" s="1"/>
  <c r="BF41" i="16"/>
  <c r="BH41" i="16" s="1"/>
  <c r="E42" i="16"/>
  <c r="A38" i="25"/>
  <c r="K549" i="29"/>
  <c r="E549" i="29"/>
  <c r="DH41" i="15"/>
  <c r="T41" i="15"/>
  <c r="L41" i="15"/>
  <c r="K41" i="15"/>
  <c r="AT41" i="16" l="1"/>
  <c r="AL43" i="16"/>
  <c r="AI43" i="16" s="1"/>
  <c r="F42" i="16"/>
  <c r="S41" i="16"/>
  <c r="AY41" i="16"/>
  <c r="Y41" i="16"/>
  <c r="Z41" i="16" s="1"/>
  <c r="Z42" i="16" s="1"/>
  <c r="CJ518" i="1"/>
  <c r="CJ521" i="1"/>
  <c r="CJ519" i="1"/>
  <c r="U41" i="16"/>
  <c r="CJ520" i="1"/>
  <c r="E41" i="16"/>
  <c r="A40" i="25"/>
  <c r="A42" i="25" s="1"/>
  <c r="CL419" i="1" s="1"/>
  <c r="F41" i="16"/>
  <c r="AL42" i="16"/>
  <c r="AI42" i="16" s="1"/>
  <c r="AN40" i="8"/>
  <c r="AN41" i="8"/>
  <c r="A41" i="16" s="1"/>
  <c r="T41" i="8"/>
  <c r="L41" i="8"/>
  <c r="K41" i="8"/>
  <c r="X41" i="8"/>
  <c r="CK41" i="15"/>
  <c r="CP41" i="15" s="1"/>
  <c r="BE41" i="15"/>
  <c r="J41" i="8"/>
  <c r="A47" i="9"/>
  <c r="C42" i="27" s="1"/>
  <c r="B47" i="9"/>
  <c r="C47" i="9"/>
  <c r="D47" i="9"/>
  <c r="E47" i="9"/>
  <c r="F47" i="9"/>
  <c r="G47" i="9"/>
  <c r="H47" i="9"/>
  <c r="I47" i="9"/>
  <c r="J47" i="9"/>
  <c r="K47" i="9"/>
  <c r="L47" i="9"/>
  <c r="M47" i="9"/>
  <c r="N47" i="9"/>
  <c r="O47" i="9"/>
  <c r="A48" i="9"/>
  <c r="C43" i="27" s="1"/>
  <c r="B48" i="9"/>
  <c r="C48" i="9"/>
  <c r="D48" i="9"/>
  <c r="E48" i="9"/>
  <c r="F48" i="9"/>
  <c r="G48" i="9"/>
  <c r="H48" i="9"/>
  <c r="I48" i="9"/>
  <c r="J48" i="9"/>
  <c r="K48" i="9"/>
  <c r="L48" i="9"/>
  <c r="M48" i="9"/>
  <c r="N48" i="9"/>
  <c r="O48" i="9"/>
  <c r="BF41" i="8"/>
  <c r="F84" i="6"/>
  <c r="F83" i="6"/>
  <c r="E84" i="6"/>
  <c r="E83" i="6"/>
  <c r="E82" i="6"/>
  <c r="FI35" i="1"/>
  <c r="FH35" i="1"/>
  <c r="FE35" i="1"/>
  <c r="FD35" i="1"/>
  <c r="FI34" i="1"/>
  <c r="BC41" i="15" s="1"/>
  <c r="BS41" i="15" s="1"/>
  <c r="CQ41" i="15" s="1"/>
  <c r="FE34" i="1"/>
  <c r="FD34" i="1"/>
  <c r="FI33" i="1"/>
  <c r="FH33" i="1"/>
  <c r="FE33" i="1"/>
  <c r="FD33" i="1"/>
  <c r="IQ14" i="1"/>
  <c r="JV36" i="1" s="1"/>
  <c r="IR14" i="1"/>
  <c r="JW36" i="1" s="1"/>
  <c r="IS14" i="1"/>
  <c r="JX36" i="1" s="1"/>
  <c r="IT14" i="1"/>
  <c r="JY36" i="1" s="1"/>
  <c r="IU14" i="1"/>
  <c r="JZ36" i="1" s="1"/>
  <c r="IV14" i="1"/>
  <c r="KA36" i="1" s="1"/>
  <c r="IP14" i="1"/>
  <c r="JU36" i="1" s="1"/>
  <c r="IX14" i="1"/>
  <c r="JI14" i="1" s="1"/>
  <c r="HL14" i="1"/>
  <c r="JV23" i="1" s="1"/>
  <c r="HM14" i="1"/>
  <c r="JW23" i="1" s="1"/>
  <c r="HN14" i="1"/>
  <c r="JX23" i="1" s="1"/>
  <c r="HO14" i="1"/>
  <c r="JY23" i="1" s="1"/>
  <c r="HP14" i="1"/>
  <c r="JZ23" i="1" s="1"/>
  <c r="HQ14" i="1"/>
  <c r="KA23" i="1" s="1"/>
  <c r="HK14" i="1"/>
  <c r="JU23" i="1" s="1"/>
  <c r="HS14" i="1"/>
  <c r="ID14" i="1" s="1"/>
  <c r="A41" i="15" l="1"/>
  <c r="AT41" i="8"/>
  <c r="BG41" i="15"/>
  <c r="BH41" i="15" s="1"/>
  <c r="F41" i="15"/>
  <c r="AL42" i="15"/>
  <c r="AI42" i="15" s="1"/>
  <c r="BH42" i="8"/>
  <c r="BH41" i="8"/>
  <c r="BW41" i="15"/>
  <c r="BD41" i="8"/>
  <c r="BU41" i="16"/>
  <c r="BZ41" i="16" s="1"/>
  <c r="F41" i="8"/>
  <c r="AL42" i="8"/>
  <c r="AI42" i="8" s="1"/>
  <c r="IE14" i="1"/>
  <c r="IG14" i="1" s="1"/>
  <c r="II14" i="1" s="1"/>
  <c r="IY14" i="1"/>
  <c r="JA14" i="1" s="1"/>
  <c r="JC14" i="1" s="1"/>
  <c r="HT14" i="1"/>
  <c r="HV14" i="1" s="1"/>
  <c r="HX14" i="1" s="1"/>
  <c r="JJ14" i="1"/>
  <c r="JL14" i="1" s="1"/>
  <c r="JN14" i="1" s="1"/>
  <c r="B41" i="16"/>
  <c r="B41" i="15"/>
  <c r="R41" i="8"/>
  <c r="GF14" i="1"/>
  <c r="GG14" i="1"/>
  <c r="JW10" i="1" s="1"/>
  <c r="GH14" i="1"/>
  <c r="JX10" i="1" s="1"/>
  <c r="GI14" i="1"/>
  <c r="JY10" i="1" s="1"/>
  <c r="GJ14" i="1"/>
  <c r="JZ10" i="1" s="1"/>
  <c r="GK14" i="1"/>
  <c r="KA10" i="1" s="1"/>
  <c r="GE14" i="1"/>
  <c r="JU10" i="1" s="1"/>
  <c r="GM14" i="1"/>
  <c r="GX14" i="1" s="1"/>
  <c r="GF45" i="1"/>
  <c r="GG45" i="1"/>
  <c r="GH45" i="1"/>
  <c r="GI45" i="1"/>
  <c r="GJ45" i="1"/>
  <c r="GK45" i="1"/>
  <c r="GE45" i="1"/>
  <c r="GF77" i="1"/>
  <c r="GG77" i="1"/>
  <c r="GH77" i="1"/>
  <c r="GI77" i="1"/>
  <c r="GJ77" i="1"/>
  <c r="GK77" i="1"/>
  <c r="GE77" i="1"/>
  <c r="BS41" i="8" l="1"/>
  <c r="BW41" i="8" s="1"/>
  <c r="E38" i="21" s="1"/>
  <c r="BD43" i="8"/>
  <c r="CQ43" i="15"/>
  <c r="X41" i="15"/>
  <c r="AN41" i="15" s="1"/>
  <c r="AT41" i="15" s="1"/>
  <c r="GN14" i="1"/>
  <c r="GP14" i="1" s="1"/>
  <c r="GR14" i="1" s="1"/>
  <c r="J41" i="15"/>
  <c r="R41" i="15" s="1"/>
  <c r="JV10" i="1"/>
  <c r="GY14" i="1"/>
  <c r="HA14" i="1" s="1"/>
  <c r="HC14" i="1" s="1"/>
  <c r="GL14" i="1"/>
  <c r="S41" i="8"/>
  <c r="AY41" i="8"/>
  <c r="Y41" i="8"/>
  <c r="Z41" i="8" s="1"/>
  <c r="Z42" i="8" s="1"/>
  <c r="U41" i="8"/>
  <c r="GF110" i="1"/>
  <c r="GG110" i="1"/>
  <c r="GH110" i="1"/>
  <c r="GI110" i="1"/>
  <c r="GJ110" i="1"/>
  <c r="GK110" i="1"/>
  <c r="GE110" i="1"/>
  <c r="GF142" i="1"/>
  <c r="GG142" i="1"/>
  <c r="GH142" i="1"/>
  <c r="GI142" i="1"/>
  <c r="GJ142" i="1"/>
  <c r="GK142" i="1"/>
  <c r="GE142" i="1"/>
  <c r="BD45" i="8" l="1"/>
  <c r="BS43" i="8"/>
  <c r="BW43" i="8" s="1"/>
  <c r="E40" i="21" s="1"/>
  <c r="BW47" i="15"/>
  <c r="U41" i="15"/>
  <c r="S41" i="15"/>
  <c r="Y41" i="15"/>
  <c r="Z41" i="15" s="1"/>
  <c r="Z42" i="15" s="1"/>
  <c r="AY41" i="15"/>
  <c r="AG41" i="15" s="1"/>
  <c r="S10" i="20"/>
  <c r="S12" i="20"/>
  <c r="S13" i="20"/>
  <c r="S14" i="20"/>
  <c r="S15" i="20"/>
  <c r="S16" i="20"/>
  <c r="S17" i="20"/>
  <c r="S18" i="20"/>
  <c r="S19" i="20"/>
  <c r="S20" i="20"/>
  <c r="S21" i="20"/>
  <c r="S22" i="20"/>
  <c r="S23" i="20"/>
  <c r="S24" i="20"/>
  <c r="S25" i="20"/>
  <c r="S26" i="20"/>
  <c r="S27" i="20"/>
  <c r="S28" i="20"/>
  <c r="S29" i="20"/>
  <c r="S30" i="20"/>
  <c r="S31" i="20"/>
  <c r="S32" i="20"/>
  <c r="S33" i="20"/>
  <c r="S34" i="20"/>
  <c r="S35" i="20"/>
  <c r="AC9" i="25"/>
  <c r="AS37" i="20" l="1"/>
  <c r="AS38" i="20"/>
  <c r="AS39" i="20"/>
  <c r="AS40" i="20"/>
  <c r="AS41" i="20"/>
  <c r="AS42" i="20"/>
  <c r="AS43" i="20"/>
  <c r="AS36" i="20"/>
  <c r="BD47" i="8"/>
  <c r="BS47" i="8" s="1"/>
  <c r="BW47" i="8" s="1"/>
  <c r="BS45" i="8"/>
  <c r="BW45" i="8" s="1"/>
  <c r="AA41" i="15"/>
  <c r="CT14" i="15"/>
  <c r="CO34" i="1"/>
  <c r="CO33" i="1" l="1"/>
  <c r="K95" i="19"/>
  <c r="CP15" i="1" l="1"/>
  <c r="CO15" i="1"/>
  <c r="CN15" i="1"/>
  <c r="CM15" i="1"/>
  <c r="CC34" i="1"/>
  <c r="CC33" i="1"/>
  <c r="CB15" i="1"/>
  <c r="K20" i="1" l="1"/>
  <c r="K21" i="1"/>
  <c r="K19" i="1"/>
  <c r="K18" i="1"/>
  <c r="C158" i="28" l="1"/>
  <c r="C159" i="28" s="1"/>
  <c r="C160" i="28" s="1"/>
  <c r="C161" i="28" s="1"/>
  <c r="C162" i="28" s="1"/>
  <c r="C163" i="28" s="1"/>
  <c r="C164" i="28" s="1"/>
  <c r="C165" i="28" s="1"/>
  <c r="C166" i="28" s="1"/>
  <c r="C167" i="28" s="1"/>
  <c r="C168" i="28" s="1"/>
  <c r="C169" i="28" s="1"/>
  <c r="C170" i="28" s="1"/>
  <c r="C171" i="28" s="1"/>
  <c r="C172" i="28" s="1"/>
  <c r="C173" i="28" s="1"/>
  <c r="C174" i="28" s="1"/>
  <c r="C175" i="28" s="1"/>
  <c r="C176" i="28" s="1"/>
  <c r="C177" i="28" s="1"/>
  <c r="C178" i="28" s="1"/>
  <c r="C179" i="28" s="1"/>
  <c r="C180" i="28" s="1"/>
  <c r="C181" i="28" s="1"/>
  <c r="C182" i="28" s="1"/>
  <c r="C183" i="28" s="1"/>
  <c r="C120" i="28"/>
  <c r="C121" i="28" s="1"/>
  <c r="C122" i="28" s="1"/>
  <c r="C123" i="28" s="1"/>
  <c r="C124" i="28" s="1"/>
  <c r="C125" i="28" s="1"/>
  <c r="C126" i="28" s="1"/>
  <c r="C127" i="28" s="1"/>
  <c r="C128" i="28" s="1"/>
  <c r="C129" i="28" s="1"/>
  <c r="C130" i="28" s="1"/>
  <c r="C131" i="28" s="1"/>
  <c r="C132" i="28" s="1"/>
  <c r="C133" i="28" s="1"/>
  <c r="C134" i="28" s="1"/>
  <c r="C135" i="28" s="1"/>
  <c r="C136" i="28" s="1"/>
  <c r="C137" i="28" s="1"/>
  <c r="C138" i="28" s="1"/>
  <c r="C139" i="28" s="1"/>
  <c r="C140" i="28" s="1"/>
  <c r="C141" i="28" s="1"/>
  <c r="C142" i="28" s="1"/>
  <c r="C143" i="28" s="1"/>
  <c r="C144" i="28" s="1"/>
  <c r="C145" i="28" s="1"/>
  <c r="C146" i="28" s="1"/>
  <c r="C147" i="28" s="1"/>
  <c r="C148" i="28" s="1"/>
  <c r="C149" i="28" s="1"/>
  <c r="C150" i="28" s="1"/>
  <c r="C151" i="28" s="1"/>
  <c r="C152" i="28" s="1"/>
  <c r="C82" i="28" l="1"/>
  <c r="C83" i="28" s="1"/>
  <c r="C84" i="28" s="1"/>
  <c r="C85" i="28" s="1"/>
  <c r="C86" i="28" s="1"/>
  <c r="C87" i="28" s="1"/>
  <c r="C88" i="28" s="1"/>
  <c r="C89" i="28" s="1"/>
  <c r="C90" i="28" s="1"/>
  <c r="C91" i="28" s="1"/>
  <c r="C92" i="28" s="1"/>
  <c r="C93" i="28" s="1"/>
  <c r="C94" i="28" s="1"/>
  <c r="C95" i="28" s="1"/>
  <c r="C96" i="28" s="1"/>
  <c r="C97" i="28" s="1"/>
  <c r="C98" i="28" s="1"/>
  <c r="C99" i="28" s="1"/>
  <c r="C100" i="28" s="1"/>
  <c r="C101" i="28" s="1"/>
  <c r="C102" i="28" s="1"/>
  <c r="C103" i="28" s="1"/>
  <c r="C104" i="28" s="1"/>
  <c r="C105" i="28" s="1"/>
  <c r="C106" i="28" s="1"/>
  <c r="C107" i="28" s="1"/>
  <c r="C45" i="28"/>
  <c r="C7" i="28"/>
  <c r="C46" i="28" s="1"/>
  <c r="C8" i="28" l="1"/>
  <c r="AE9" i="25"/>
  <c r="AF10" i="25"/>
  <c r="AG10" i="25"/>
  <c r="AH10" i="25"/>
  <c r="AI10" i="25"/>
  <c r="AF11" i="25"/>
  <c r="AG11" i="25"/>
  <c r="AH11" i="25"/>
  <c r="AI11" i="25"/>
  <c r="AF12" i="25"/>
  <c r="AG12" i="25"/>
  <c r="AH12" i="25"/>
  <c r="AI12" i="25"/>
  <c r="AF13" i="25"/>
  <c r="AG13" i="25"/>
  <c r="AH13" i="25"/>
  <c r="AI13" i="25"/>
  <c r="AF14" i="25"/>
  <c r="AG14" i="25"/>
  <c r="AH14" i="25"/>
  <c r="AJ28" i="25" s="1"/>
  <c r="AI14" i="25"/>
  <c r="AF15" i="25"/>
  <c r="AG15" i="25"/>
  <c r="AH15" i="25"/>
  <c r="AI15" i="25"/>
  <c r="AF16" i="25"/>
  <c r="AG16" i="25"/>
  <c r="AH16" i="25"/>
  <c r="AI16" i="25"/>
  <c r="AF17" i="25"/>
  <c r="AG17" i="25"/>
  <c r="AH17" i="25"/>
  <c r="AI17" i="25"/>
  <c r="AF18" i="25"/>
  <c r="AG18" i="25"/>
  <c r="AH18" i="25"/>
  <c r="AI18" i="25"/>
  <c r="AF19" i="25"/>
  <c r="AG19" i="25"/>
  <c r="AH19" i="25"/>
  <c r="AI19" i="25"/>
  <c r="AF20" i="25"/>
  <c r="AG20" i="25"/>
  <c r="AH20" i="25"/>
  <c r="AI20" i="25"/>
  <c r="AF21" i="25"/>
  <c r="AG21" i="25"/>
  <c r="AH21" i="25"/>
  <c r="AI21" i="25"/>
  <c r="AF22" i="25"/>
  <c r="AG22" i="25"/>
  <c r="AH22" i="25"/>
  <c r="AI22" i="25"/>
  <c r="AF23" i="25"/>
  <c r="AG23" i="25"/>
  <c r="AH23" i="25"/>
  <c r="AI23" i="25"/>
  <c r="AF24" i="25"/>
  <c r="AG24" i="25"/>
  <c r="AH24" i="25"/>
  <c r="AI24" i="25"/>
  <c r="AF25" i="25"/>
  <c r="AG25" i="25"/>
  <c r="AH25" i="25"/>
  <c r="AI25" i="25"/>
  <c r="AF26" i="25"/>
  <c r="AG26" i="25"/>
  <c r="AH26" i="25"/>
  <c r="AI26" i="25"/>
  <c r="AF27" i="25"/>
  <c r="AG27" i="25"/>
  <c r="AH27" i="25"/>
  <c r="AI27" i="25"/>
  <c r="AF28" i="25"/>
  <c r="AG28" i="25"/>
  <c r="AH28" i="25"/>
  <c r="AI28" i="25"/>
  <c r="AF29" i="25"/>
  <c r="AG29" i="25"/>
  <c r="AH29" i="25"/>
  <c r="AI29" i="25"/>
  <c r="AF30" i="25"/>
  <c r="AG30" i="25"/>
  <c r="AH30" i="25"/>
  <c r="AI30" i="25"/>
  <c r="AF31" i="25"/>
  <c r="AG31" i="25"/>
  <c r="AH31" i="25"/>
  <c r="AI31" i="25"/>
  <c r="AF32" i="25"/>
  <c r="AG32" i="25"/>
  <c r="AH32" i="25"/>
  <c r="AI32" i="25"/>
  <c r="AF33" i="25"/>
  <c r="AG33" i="25"/>
  <c r="AH33" i="25"/>
  <c r="AI33" i="25"/>
  <c r="AF34" i="25"/>
  <c r="AG34" i="25"/>
  <c r="AH34" i="25"/>
  <c r="AI34" i="25"/>
  <c r="AF35" i="25"/>
  <c r="AG35" i="25"/>
  <c r="AH35" i="25"/>
  <c r="AI35" i="25"/>
  <c r="AF36" i="25"/>
  <c r="AG36" i="25"/>
  <c r="AH36" i="25"/>
  <c r="AI36" i="25"/>
  <c r="AF37" i="25"/>
  <c r="AG37" i="25"/>
  <c r="AH37" i="25"/>
  <c r="AI37" i="25"/>
  <c r="AF39" i="25"/>
  <c r="AG39" i="25"/>
  <c r="AH39" i="25"/>
  <c r="AI39" i="25"/>
  <c r="AI9" i="25"/>
  <c r="AH9" i="25"/>
  <c r="AG9" i="25"/>
  <c r="AF9" i="25"/>
  <c r="C9" i="28" l="1"/>
  <c r="C47" i="28"/>
  <c r="C173" i="20"/>
  <c r="C174" i="20" s="1"/>
  <c r="C175" i="20" s="1"/>
  <c r="C176" i="20" s="1"/>
  <c r="C177" i="20" s="1"/>
  <c r="C178" i="20" s="1"/>
  <c r="C179" i="20" s="1"/>
  <c r="C180" i="20" s="1"/>
  <c r="C181" i="20" s="1"/>
  <c r="C182" i="20" s="1"/>
  <c r="C183" i="20" s="1"/>
  <c r="C184" i="20" s="1"/>
  <c r="C185" i="20" s="1"/>
  <c r="C186" i="20" s="1"/>
  <c r="C187" i="20" s="1"/>
  <c r="C188" i="20" s="1"/>
  <c r="C189" i="20" s="1"/>
  <c r="C190" i="20" s="1"/>
  <c r="C191" i="20" s="1"/>
  <c r="C192" i="20" s="1"/>
  <c r="C193" i="20" s="1"/>
  <c r="C194" i="20" s="1"/>
  <c r="C195" i="20" s="1"/>
  <c r="C196" i="20" s="1"/>
  <c r="C197" i="20" s="1"/>
  <c r="C172" i="20"/>
  <c r="BP56" i="10"/>
  <c r="AA52" i="11" a="1"/>
  <c r="AA52" i="11" s="1"/>
  <c r="BA53" i="10" s="1"/>
  <c r="AD53" i="11"/>
  <c r="BD54" i="10" s="1"/>
  <c r="AF53" i="11"/>
  <c r="BF54" i="10" s="1"/>
  <c r="AB54" i="11"/>
  <c r="BB55" i="10" s="1"/>
  <c r="AF55" i="11"/>
  <c r="BF56" i="10" s="1"/>
  <c r="AD57" i="11"/>
  <c r="BD58" i="10" s="1"/>
  <c r="AF57" i="11"/>
  <c r="BF58" i="10" s="1"/>
  <c r="AB58" i="11"/>
  <c r="BB59" i="10" s="1"/>
  <c r="AF59" i="11"/>
  <c r="BF60" i="10" s="1"/>
  <c r="AD61" i="11"/>
  <c r="BD62" i="10" s="1"/>
  <c r="AF61" i="11"/>
  <c r="BF62" i="10" s="1"/>
  <c r="AR53" i="10" a="1"/>
  <c r="AR53" i="10" s="1"/>
  <c r="BK53" i="10" s="1"/>
  <c r="AU53" i="10"/>
  <c r="AW53" i="10"/>
  <c r="AS54" i="10"/>
  <c r="AW55" i="10"/>
  <c r="AW56" i="10"/>
  <c r="AU57" i="10"/>
  <c r="AW57" i="10"/>
  <c r="AS58" i="10"/>
  <c r="AW59" i="10"/>
  <c r="AW60" i="10"/>
  <c r="BP60" i="10" s="1"/>
  <c r="AU61" i="10"/>
  <c r="AW61" i="10"/>
  <c r="AS62" i="10"/>
  <c r="BD39" i="10"/>
  <c r="BF40" i="10"/>
  <c r="BB43" i="10"/>
  <c r="BB47" i="10"/>
  <c r="BD47" i="10"/>
  <c r="AA38" i="11" a="1"/>
  <c r="AA38" i="11" s="1"/>
  <c r="BA38" i="10" s="1"/>
  <c r="AD38" i="11"/>
  <c r="BD38" i="10" s="1"/>
  <c r="AD39" i="11"/>
  <c r="AB40" i="11"/>
  <c r="BB40" i="10" s="1"/>
  <c r="AD40" i="11"/>
  <c r="BD40" i="10" s="1"/>
  <c r="AF40" i="11"/>
  <c r="AF41" i="11"/>
  <c r="BF41" i="10" s="1"/>
  <c r="AD42" i="11"/>
  <c r="BD42" i="10" s="1"/>
  <c r="AB43" i="11"/>
  <c r="AD43" i="11"/>
  <c r="BD43" i="10" s="1"/>
  <c r="AB44" i="11"/>
  <c r="BB44" i="10" s="1"/>
  <c r="AD44" i="11"/>
  <c r="BD44" i="10" s="1"/>
  <c r="AF44" i="11"/>
  <c r="BF44" i="10" s="1"/>
  <c r="AF45" i="11"/>
  <c r="BF45" i="10" s="1"/>
  <c r="AD46" i="11"/>
  <c r="BD46" i="10" s="1"/>
  <c r="AB47" i="11"/>
  <c r="AD47" i="11"/>
  <c r="AR38" i="10" a="1"/>
  <c r="AR38" i="10" s="1"/>
  <c r="BK38" i="10" s="1"/>
  <c r="AS38" i="10"/>
  <c r="AU38" i="10"/>
  <c r="BN38" i="10" s="1"/>
  <c r="AS39" i="10"/>
  <c r="AU39" i="10"/>
  <c r="BN39" i="10" s="1"/>
  <c r="AW39" i="10"/>
  <c r="AW40" i="10"/>
  <c r="BP40" i="10" s="1"/>
  <c r="AU41" i="10"/>
  <c r="AW41" i="10"/>
  <c r="AS42" i="10"/>
  <c r="AU42" i="10"/>
  <c r="AS43" i="10"/>
  <c r="AU43" i="10"/>
  <c r="AW43" i="10"/>
  <c r="AW44" i="10"/>
  <c r="AU45" i="10"/>
  <c r="AW45" i="10"/>
  <c r="BP45" i="10" s="1"/>
  <c r="AS46" i="10"/>
  <c r="AU46" i="10"/>
  <c r="BN46" i="10" s="1"/>
  <c r="AS47" i="10"/>
  <c r="BL47" i="10" s="1"/>
  <c r="AW124" i="22" s="1"/>
  <c r="AU47" i="10"/>
  <c r="BN47" i="10" s="1"/>
  <c r="AW47" i="10"/>
  <c r="AR23" i="10" a="1"/>
  <c r="AR23" i="10" s="1"/>
  <c r="AS23" i="10"/>
  <c r="AU23" i="10"/>
  <c r="AW23" i="10"/>
  <c r="AS24" i="10"/>
  <c r="AW24" i="10"/>
  <c r="AS25" i="10"/>
  <c r="AU25" i="10"/>
  <c r="AU26" i="10"/>
  <c r="AW26" i="10"/>
  <c r="AS27" i="10"/>
  <c r="AU27" i="10"/>
  <c r="AW27" i="10"/>
  <c r="AS28" i="10"/>
  <c r="AW28" i="10"/>
  <c r="AS29" i="10"/>
  <c r="AU29" i="10"/>
  <c r="AU30" i="10"/>
  <c r="AW30" i="10"/>
  <c r="AS31" i="10"/>
  <c r="AU31" i="10"/>
  <c r="AW31" i="10"/>
  <c r="AS32" i="10"/>
  <c r="AW32" i="10"/>
  <c r="BB29" i="10"/>
  <c r="AA24" i="11" a="1"/>
  <c r="AF27" i="11" s="1"/>
  <c r="BF26" i="10" s="1"/>
  <c r="AB25" i="11"/>
  <c r="BB24" i="10" s="1"/>
  <c r="AD26" i="11"/>
  <c r="BD25" i="10" s="1"/>
  <c r="AF26" i="11"/>
  <c r="BF25" i="10" s="1"/>
  <c r="AB30" i="11"/>
  <c r="AD31" i="11"/>
  <c r="BD30" i="10" s="1"/>
  <c r="AF31" i="11"/>
  <c r="BF30" i="10" s="1"/>
  <c r="AA9" i="11" a="1"/>
  <c r="AA9" i="11" s="1"/>
  <c r="BA8" i="10" s="1"/>
  <c r="BK8" i="10" s="1"/>
  <c r="AR8" i="10" a="1"/>
  <c r="AR8" i="10" s="1"/>
  <c r="BQ7" i="16"/>
  <c r="BQ6" i="16"/>
  <c r="BQ5" i="16"/>
  <c r="BQ4" i="16"/>
  <c r="BQ3" i="16"/>
  <c r="BQ2" i="16"/>
  <c r="AB31" i="11" l="1"/>
  <c r="BB30" i="10" s="1"/>
  <c r="AB26" i="11"/>
  <c r="BB25" i="10" s="1"/>
  <c r="BP53" i="10"/>
  <c r="AF30" i="11"/>
  <c r="BF29" i="10" s="1"/>
  <c r="BP29" i="10" s="1"/>
  <c r="AF25" i="11"/>
  <c r="BF24" i="10" s="1"/>
  <c r="AD30" i="11"/>
  <c r="BD29" i="10" s="1"/>
  <c r="AD25" i="11"/>
  <c r="BD24" i="10" s="1"/>
  <c r="BN45" i="10"/>
  <c r="AF33" i="11"/>
  <c r="BF32" i="10" s="1"/>
  <c r="AF29" i="11"/>
  <c r="BF28" i="10" s="1"/>
  <c r="AB24" i="11"/>
  <c r="BB23" i="10" s="1"/>
  <c r="BP59" i="10"/>
  <c r="BL58" i="10"/>
  <c r="AW139" i="22" s="1"/>
  <c r="BP44" i="10"/>
  <c r="AB33" i="11"/>
  <c r="BB32" i="10" s="1"/>
  <c r="AB29" i="11"/>
  <c r="BB28" i="10" s="1"/>
  <c r="BL43" i="10"/>
  <c r="AW109" i="22" s="1"/>
  <c r="AF32" i="11"/>
  <c r="BF31" i="10" s="1"/>
  <c r="AB28" i="11"/>
  <c r="BB27" i="10" s="1"/>
  <c r="BL27" i="10" s="1"/>
  <c r="AW76" i="22" s="1"/>
  <c r="BN42" i="10"/>
  <c r="AD33" i="11"/>
  <c r="BD32" i="10" s="1"/>
  <c r="AD29" i="11"/>
  <c r="BD28" i="10" s="1"/>
  <c r="BN28" i="10" s="1"/>
  <c r="BN43" i="10"/>
  <c r="AD32" i="11"/>
  <c r="BD31" i="10" s="1"/>
  <c r="AA24" i="11"/>
  <c r="BA23" i="10" s="1"/>
  <c r="AF24" i="11"/>
  <c r="BF23" i="10" s="1"/>
  <c r="AF28" i="11"/>
  <c r="BF27" i="10" s="1"/>
  <c r="AB27" i="11"/>
  <c r="BB26" i="10" s="1"/>
  <c r="AD24" i="11"/>
  <c r="BD23" i="10" s="1"/>
  <c r="AD28" i="11"/>
  <c r="BD27" i="10" s="1"/>
  <c r="BN27" i="10" s="1"/>
  <c r="AB32" i="11"/>
  <c r="BB31" i="10" s="1"/>
  <c r="AD27" i="11"/>
  <c r="BD26" i="10" s="1"/>
  <c r="BP41" i="10"/>
  <c r="AW29" i="10"/>
  <c r="AW25" i="10"/>
  <c r="AS44" i="10"/>
  <c r="BL44" i="10" s="1"/>
  <c r="AW112" i="22" s="1"/>
  <c r="AS40" i="10"/>
  <c r="BL40" i="10" s="1"/>
  <c r="AB45" i="11"/>
  <c r="BB45" i="10" s="1"/>
  <c r="AB41" i="11"/>
  <c r="BB41" i="10" s="1"/>
  <c r="AU62" i="10"/>
  <c r="BN62" i="10" s="1"/>
  <c r="AU58" i="10"/>
  <c r="BN58" i="10" s="1"/>
  <c r="AU54" i="10"/>
  <c r="BN54" i="10" s="1"/>
  <c r="AD58" i="11"/>
  <c r="BD59" i="10" s="1"/>
  <c r="AD54" i="11"/>
  <c r="BD55" i="10" s="1"/>
  <c r="AU32" i="10"/>
  <c r="AU28" i="10"/>
  <c r="AU24" i="10"/>
  <c r="AW46" i="10"/>
  <c r="AW42" i="10"/>
  <c r="BP42" i="10" s="1"/>
  <c r="AW38" i="10"/>
  <c r="BP38" i="10" s="1"/>
  <c r="AF47" i="11"/>
  <c r="BF47" i="10" s="1"/>
  <c r="BP47" i="10" s="1"/>
  <c r="AF43" i="11"/>
  <c r="BF43" i="10" s="1"/>
  <c r="BP43" i="10" s="1"/>
  <c r="AF39" i="11"/>
  <c r="BF39" i="10" s="1"/>
  <c r="BP39" i="10" s="1"/>
  <c r="AS61" i="10"/>
  <c r="BL61" i="10" s="1"/>
  <c r="AW150" i="22" s="1"/>
  <c r="AS57" i="10"/>
  <c r="BL57" i="10" s="1"/>
  <c r="AW136" i="22" s="1"/>
  <c r="AS53" i="10"/>
  <c r="BL53" i="10" s="1"/>
  <c r="AB61" i="11"/>
  <c r="BB62" i="10" s="1"/>
  <c r="BL62" i="10" s="1"/>
  <c r="AB57" i="11"/>
  <c r="BB58" i="10" s="1"/>
  <c r="AB53" i="11"/>
  <c r="BB54" i="10" s="1"/>
  <c r="BL54" i="10" s="1"/>
  <c r="AF60" i="11"/>
  <c r="BF61" i="10" s="1"/>
  <c r="BP61" i="10" s="1"/>
  <c r="AF56" i="11"/>
  <c r="BF57" i="10" s="1"/>
  <c r="BP57" i="10" s="1"/>
  <c r="AF52" i="11"/>
  <c r="BF53" i="10" s="1"/>
  <c r="AB39" i="11"/>
  <c r="BB39" i="10" s="1"/>
  <c r="BL39" i="10" s="1"/>
  <c r="AU60" i="10"/>
  <c r="BN60" i="10" s="1"/>
  <c r="AU56" i="10"/>
  <c r="BN56" i="10" s="1"/>
  <c r="AD60" i="11"/>
  <c r="BD61" i="10" s="1"/>
  <c r="BN61" i="10" s="1"/>
  <c r="AD56" i="11"/>
  <c r="BD57" i="10" s="1"/>
  <c r="BN57" i="10" s="1"/>
  <c r="AD52" i="11"/>
  <c r="BD53" i="10" s="1"/>
  <c r="BN53" i="10" s="1"/>
  <c r="AF46" i="11"/>
  <c r="BF46" i="10" s="1"/>
  <c r="AF42" i="11"/>
  <c r="BF42" i="10" s="1"/>
  <c r="AF38" i="11"/>
  <c r="BF38" i="10" s="1"/>
  <c r="AS60" i="10"/>
  <c r="AS56" i="10"/>
  <c r="AB60" i="11"/>
  <c r="BB61" i="10" s="1"/>
  <c r="AB56" i="11"/>
  <c r="BB57" i="10" s="1"/>
  <c r="AB52" i="11"/>
  <c r="BB53" i="10" s="1"/>
  <c r="AS45" i="10"/>
  <c r="BL45" i="10" s="1"/>
  <c r="AW116" i="22" s="1"/>
  <c r="AS41" i="10"/>
  <c r="BL41" i="10" s="1"/>
  <c r="AW103" i="22" s="1"/>
  <c r="AB46" i="11"/>
  <c r="BB46" i="10" s="1"/>
  <c r="BL46" i="10" s="1"/>
  <c r="AW120" i="22" s="1"/>
  <c r="AB42" i="11"/>
  <c r="BB42" i="10" s="1"/>
  <c r="BL42" i="10" s="1"/>
  <c r="AW106" i="22" s="1"/>
  <c r="AB38" i="11"/>
  <c r="BB38" i="10" s="1"/>
  <c r="BL38" i="10" s="1"/>
  <c r="AU59" i="10"/>
  <c r="AU55" i="10"/>
  <c r="AD59" i="11"/>
  <c r="BD60" i="10" s="1"/>
  <c r="AD55" i="11"/>
  <c r="BD56" i="10" s="1"/>
  <c r="AS59" i="10"/>
  <c r="BL59" i="10" s="1"/>
  <c r="AW142" i="22" s="1"/>
  <c r="AS55" i="10"/>
  <c r="BL55" i="10" s="1"/>
  <c r="AB59" i="11"/>
  <c r="BB60" i="10" s="1"/>
  <c r="AB55" i="11"/>
  <c r="BB56" i="10" s="1"/>
  <c r="AS30" i="10"/>
  <c r="AS26" i="10"/>
  <c r="AU44" i="10"/>
  <c r="BN44" i="10" s="1"/>
  <c r="AU40" i="10"/>
  <c r="BN40" i="10" s="1"/>
  <c r="AD45" i="11"/>
  <c r="BD45" i="10" s="1"/>
  <c r="AD41" i="11"/>
  <c r="BD41" i="10" s="1"/>
  <c r="BN41" i="10" s="1"/>
  <c r="AW62" i="10"/>
  <c r="BP62" i="10" s="1"/>
  <c r="AW58" i="10"/>
  <c r="BP58" i="10" s="1"/>
  <c r="AW54" i="10"/>
  <c r="BP54" i="10" s="1"/>
  <c r="AF58" i="11"/>
  <c r="BF59" i="10" s="1"/>
  <c r="AF54" i="11"/>
  <c r="BF55" i="10" s="1"/>
  <c r="BP55" i="10" s="1"/>
  <c r="C10" i="28"/>
  <c r="C48" i="28"/>
  <c r="AE61" i="11"/>
  <c r="BE62" i="10" s="1"/>
  <c r="BH62" i="10" s="1"/>
  <c r="AC61" i="11"/>
  <c r="BC62" i="10" s="1"/>
  <c r="BG62" i="10" s="1"/>
  <c r="AA61" i="11"/>
  <c r="BA62" i="10" s="1"/>
  <c r="AE60" i="11"/>
  <c r="BE61" i="10" s="1"/>
  <c r="AC60" i="11"/>
  <c r="BC61" i="10" s="1"/>
  <c r="AA60" i="11"/>
  <c r="BA61" i="10" s="1"/>
  <c r="AE59" i="11"/>
  <c r="BE60" i="10" s="1"/>
  <c r="BH60" i="10" s="1"/>
  <c r="AC59" i="11"/>
  <c r="BC60" i="10" s="1"/>
  <c r="AA59" i="11"/>
  <c r="BA60" i="10" s="1"/>
  <c r="AE58" i="11"/>
  <c r="BE59" i="10" s="1"/>
  <c r="BH59" i="10" s="1"/>
  <c r="AC58" i="11"/>
  <c r="BC59" i="10" s="1"/>
  <c r="BG59" i="10" s="1"/>
  <c r="AA58" i="11"/>
  <c r="BA59" i="10" s="1"/>
  <c r="AE57" i="11"/>
  <c r="BE58" i="10" s="1"/>
  <c r="BH58" i="10" s="1"/>
  <c r="AC57" i="11"/>
  <c r="BC58" i="10" s="1"/>
  <c r="BG58" i="10" s="1"/>
  <c r="AA57" i="11"/>
  <c r="BA58" i="10" s="1"/>
  <c r="AE56" i="11"/>
  <c r="BE57" i="10" s="1"/>
  <c r="AC56" i="11"/>
  <c r="BC57" i="10" s="1"/>
  <c r="AA56" i="11"/>
  <c r="BA57" i="10" s="1"/>
  <c r="AE55" i="11"/>
  <c r="BE56" i="10" s="1"/>
  <c r="BH56" i="10" s="1"/>
  <c r="AC55" i="11"/>
  <c r="BC56" i="10" s="1"/>
  <c r="AA55" i="11"/>
  <c r="BA56" i="10" s="1"/>
  <c r="AE54" i="11"/>
  <c r="BE55" i="10" s="1"/>
  <c r="BH55" i="10" s="1"/>
  <c r="AC54" i="11"/>
  <c r="BC55" i="10" s="1"/>
  <c r="AA54" i="11"/>
  <c r="BA55" i="10" s="1"/>
  <c r="AE53" i="11"/>
  <c r="BE54" i="10" s="1"/>
  <c r="BH54" i="10" s="1"/>
  <c r="AC53" i="11"/>
  <c r="BC54" i="10" s="1"/>
  <c r="BG54" i="10" s="1"/>
  <c r="AA53" i="11"/>
  <c r="BA54" i="10" s="1"/>
  <c r="AE52" i="11"/>
  <c r="BE53" i="10" s="1"/>
  <c r="AC52" i="11"/>
  <c r="BC53" i="10" s="1"/>
  <c r="AV62" i="10"/>
  <c r="AT62" i="10"/>
  <c r="AR62" i="10"/>
  <c r="AV61" i="10"/>
  <c r="AT61" i="10"/>
  <c r="AR61" i="10"/>
  <c r="BK61" i="10" s="1"/>
  <c r="AV60" i="10"/>
  <c r="AT60" i="10"/>
  <c r="AR60" i="10"/>
  <c r="BK60" i="10" s="1"/>
  <c r="AV59" i="10"/>
  <c r="AT59" i="10"/>
  <c r="AR59" i="10"/>
  <c r="AV58" i="10"/>
  <c r="AT58" i="10"/>
  <c r="AR58" i="10"/>
  <c r="AV57" i="10"/>
  <c r="AT57" i="10"/>
  <c r="AR57" i="10"/>
  <c r="BK57" i="10" s="1"/>
  <c r="AV56" i="10"/>
  <c r="AT56" i="10"/>
  <c r="AR56" i="10"/>
  <c r="BK56" i="10" s="1"/>
  <c r="AV55" i="10"/>
  <c r="AT55" i="10"/>
  <c r="AR55" i="10"/>
  <c r="AV54" i="10"/>
  <c r="AT54" i="10"/>
  <c r="AR54" i="10"/>
  <c r="AV53" i="10"/>
  <c r="AT53" i="10"/>
  <c r="AE47" i="11"/>
  <c r="BE47" i="10" s="1"/>
  <c r="BH47" i="10" s="1"/>
  <c r="AC47" i="11"/>
  <c r="BC47" i="10" s="1"/>
  <c r="BG47" i="10" s="1"/>
  <c r="AA47" i="11"/>
  <c r="BA47" i="10" s="1"/>
  <c r="AE46" i="11"/>
  <c r="BE46" i="10" s="1"/>
  <c r="BH46" i="10" s="1"/>
  <c r="AC46" i="11"/>
  <c r="BC46" i="10" s="1"/>
  <c r="BG46" i="10" s="1"/>
  <c r="AA46" i="11"/>
  <c r="BA46" i="10" s="1"/>
  <c r="AE45" i="11"/>
  <c r="BE45" i="10" s="1"/>
  <c r="BH45" i="10" s="1"/>
  <c r="AC45" i="11"/>
  <c r="BC45" i="10" s="1"/>
  <c r="BG45" i="10" s="1"/>
  <c r="AA45" i="11"/>
  <c r="BA45" i="10" s="1"/>
  <c r="AE44" i="11"/>
  <c r="BE44" i="10" s="1"/>
  <c r="BH44" i="10" s="1"/>
  <c r="AC44" i="11"/>
  <c r="BC44" i="10" s="1"/>
  <c r="BG44" i="10" s="1"/>
  <c r="AA44" i="11"/>
  <c r="BA44" i="10" s="1"/>
  <c r="AE43" i="11"/>
  <c r="BE43" i="10" s="1"/>
  <c r="BH43" i="10" s="1"/>
  <c r="AC43" i="11"/>
  <c r="BC43" i="10" s="1"/>
  <c r="BG43" i="10" s="1"/>
  <c r="AA43" i="11"/>
  <c r="BA43" i="10" s="1"/>
  <c r="AE42" i="11"/>
  <c r="BE42" i="10" s="1"/>
  <c r="BH42" i="10" s="1"/>
  <c r="AC42" i="11"/>
  <c r="BC42" i="10" s="1"/>
  <c r="BG42" i="10" s="1"/>
  <c r="AA42" i="11"/>
  <c r="BA42" i="10" s="1"/>
  <c r="AE41" i="11"/>
  <c r="BE41" i="10" s="1"/>
  <c r="BH41" i="10" s="1"/>
  <c r="AC41" i="11"/>
  <c r="BC41" i="10" s="1"/>
  <c r="BG41" i="10" s="1"/>
  <c r="AA41" i="11"/>
  <c r="BA41" i="10" s="1"/>
  <c r="AE40" i="11"/>
  <c r="BE40" i="10" s="1"/>
  <c r="BH40" i="10" s="1"/>
  <c r="AC40" i="11"/>
  <c r="BC40" i="10" s="1"/>
  <c r="BG40" i="10" s="1"/>
  <c r="AA40" i="11"/>
  <c r="BA40" i="10" s="1"/>
  <c r="AE39" i="11"/>
  <c r="BE39" i="10" s="1"/>
  <c r="BH39" i="10" s="1"/>
  <c r="AC39" i="11"/>
  <c r="BC39" i="10" s="1"/>
  <c r="BG39" i="10" s="1"/>
  <c r="AA39" i="11"/>
  <c r="BA39" i="10" s="1"/>
  <c r="AE38" i="11"/>
  <c r="BE38" i="10" s="1"/>
  <c r="BH38" i="10" s="1"/>
  <c r="AC38" i="11"/>
  <c r="BC38" i="10" s="1"/>
  <c r="BG38" i="10" s="1"/>
  <c r="AV47" i="10"/>
  <c r="AT47" i="10"/>
  <c r="AR47" i="10"/>
  <c r="AV46" i="10"/>
  <c r="AT46" i="10"/>
  <c r="AR46" i="10"/>
  <c r="BK46" i="10" s="1"/>
  <c r="AV45" i="10"/>
  <c r="AT45" i="10"/>
  <c r="AR45" i="10"/>
  <c r="BK45" i="10" s="1"/>
  <c r="AV44" i="10"/>
  <c r="AT44" i="10"/>
  <c r="AR44" i="10"/>
  <c r="AV43" i="10"/>
  <c r="AT43" i="10"/>
  <c r="AR43" i="10"/>
  <c r="AV42" i="10"/>
  <c r="AT42" i="10"/>
  <c r="AR42" i="10"/>
  <c r="BK42" i="10" s="1"/>
  <c r="AV41" i="10"/>
  <c r="AT41" i="10"/>
  <c r="AR41" i="10"/>
  <c r="BK41" i="10" s="1"/>
  <c r="AV40" i="10"/>
  <c r="AT40" i="10"/>
  <c r="AR40" i="10"/>
  <c r="AV39" i="10"/>
  <c r="AT39" i="10"/>
  <c r="AR39" i="10"/>
  <c r="AV38" i="10"/>
  <c r="AT38" i="10"/>
  <c r="BM12" i="10"/>
  <c r="BN32" i="10"/>
  <c r="BP31" i="10"/>
  <c r="BL31" i="10"/>
  <c r="AW90" i="22" s="1"/>
  <c r="BN30" i="10"/>
  <c r="BL29" i="10"/>
  <c r="AW82" i="22" s="1"/>
  <c r="BP27" i="10"/>
  <c r="BN26" i="10"/>
  <c r="BP25" i="10"/>
  <c r="BL25" i="10"/>
  <c r="BN24" i="10"/>
  <c r="BP23" i="10"/>
  <c r="BL23" i="10"/>
  <c r="BP32" i="10"/>
  <c r="BL32" i="10"/>
  <c r="AW94" i="22" s="1"/>
  <c r="BN31" i="10"/>
  <c r="BP30" i="10"/>
  <c r="BL30" i="10"/>
  <c r="AW86" i="22" s="1"/>
  <c r="BN29" i="10"/>
  <c r="BP28" i="10"/>
  <c r="BL28" i="10"/>
  <c r="AW79" i="22" s="1"/>
  <c r="BP26" i="10"/>
  <c r="BL26" i="10"/>
  <c r="AW73" i="22" s="1"/>
  <c r="BN25" i="10"/>
  <c r="BP24" i="10"/>
  <c r="BL24" i="10"/>
  <c r="BN23" i="10"/>
  <c r="BK23" i="10"/>
  <c r="AV32" i="10"/>
  <c r="AT32" i="10"/>
  <c r="AR32" i="10"/>
  <c r="BK32" i="10" s="1"/>
  <c r="AV31" i="10"/>
  <c r="AT31" i="10"/>
  <c r="AR31" i="10"/>
  <c r="AV30" i="10"/>
  <c r="AT30" i="10"/>
  <c r="AR30" i="10"/>
  <c r="AV29" i="10"/>
  <c r="AT29" i="10"/>
  <c r="AR29" i="10"/>
  <c r="BK29" i="10" s="1"/>
  <c r="AV28" i="10"/>
  <c r="AT28" i="10"/>
  <c r="AR28" i="10"/>
  <c r="BK28" i="10" s="1"/>
  <c r="AV27" i="10"/>
  <c r="AT27" i="10"/>
  <c r="AR27" i="10"/>
  <c r="AV26" i="10"/>
  <c r="AT26" i="10"/>
  <c r="AR26" i="10"/>
  <c r="AV25" i="10"/>
  <c r="AT25" i="10"/>
  <c r="AR25" i="10"/>
  <c r="BK25" i="10" s="1"/>
  <c r="AV24" i="10"/>
  <c r="AT24" i="10"/>
  <c r="AR24" i="10"/>
  <c r="BK24" i="10" s="1"/>
  <c r="AV23" i="10"/>
  <c r="AT23" i="10"/>
  <c r="AE33" i="11"/>
  <c r="BE32" i="10" s="1"/>
  <c r="BH32" i="10" s="1"/>
  <c r="AC33" i="11"/>
  <c r="BC32" i="10" s="1"/>
  <c r="BG32" i="10" s="1"/>
  <c r="AA33" i="11"/>
  <c r="BA32" i="10" s="1"/>
  <c r="AE32" i="11"/>
  <c r="BE31" i="10" s="1"/>
  <c r="BH31" i="10" s="1"/>
  <c r="AC32" i="11"/>
  <c r="BC31" i="10" s="1"/>
  <c r="BG31" i="10" s="1"/>
  <c r="AA32" i="11"/>
  <c r="BA31" i="10" s="1"/>
  <c r="AE31" i="11"/>
  <c r="BE30" i="10" s="1"/>
  <c r="BH30" i="10" s="1"/>
  <c r="AC31" i="11"/>
  <c r="BC30" i="10" s="1"/>
  <c r="BG30" i="10" s="1"/>
  <c r="AA31" i="11"/>
  <c r="BA30" i="10" s="1"/>
  <c r="AE30" i="11"/>
  <c r="BE29" i="10" s="1"/>
  <c r="BH29" i="10" s="1"/>
  <c r="AC30" i="11"/>
  <c r="BC29" i="10" s="1"/>
  <c r="BG29" i="10" s="1"/>
  <c r="AA30" i="11"/>
  <c r="BA29" i="10" s="1"/>
  <c r="AE29" i="11"/>
  <c r="BE28" i="10" s="1"/>
  <c r="BH28" i="10" s="1"/>
  <c r="AC29" i="11"/>
  <c r="BC28" i="10" s="1"/>
  <c r="AA29" i="11"/>
  <c r="BA28" i="10" s="1"/>
  <c r="AE28" i="11"/>
  <c r="BE27" i="10" s="1"/>
  <c r="BH27" i="10" s="1"/>
  <c r="AC28" i="11"/>
  <c r="BC27" i="10" s="1"/>
  <c r="BG27" i="10" s="1"/>
  <c r="AA28" i="11"/>
  <c r="BA27" i="10" s="1"/>
  <c r="AE27" i="11"/>
  <c r="BE26" i="10" s="1"/>
  <c r="BH26" i="10" s="1"/>
  <c r="AC27" i="11"/>
  <c r="BC26" i="10" s="1"/>
  <c r="BG26" i="10" s="1"/>
  <c r="AA27" i="11"/>
  <c r="BA26" i="10" s="1"/>
  <c r="AE26" i="11"/>
  <c r="BE25" i="10" s="1"/>
  <c r="BH25" i="10" s="1"/>
  <c r="AC26" i="11"/>
  <c r="BC25" i="10" s="1"/>
  <c r="BG25" i="10" s="1"/>
  <c r="AA26" i="11"/>
  <c r="BA25" i="10" s="1"/>
  <c r="AE25" i="11"/>
  <c r="BE24" i="10" s="1"/>
  <c r="BH24" i="10" s="1"/>
  <c r="AC25" i="11"/>
  <c r="BC24" i="10" s="1"/>
  <c r="BG24" i="10" s="1"/>
  <c r="AA25" i="11"/>
  <c r="BA24" i="10" s="1"/>
  <c r="AE24" i="11"/>
  <c r="BE23" i="10" s="1"/>
  <c r="BH23" i="10" s="1"/>
  <c r="AC24" i="11"/>
  <c r="BC23" i="10" s="1"/>
  <c r="BG23" i="10" s="1"/>
  <c r="AF18" i="11"/>
  <c r="BF17" i="10" s="1"/>
  <c r="AD18" i="11"/>
  <c r="BD17" i="10" s="1"/>
  <c r="AB18" i="11"/>
  <c r="BB17" i="10" s="1"/>
  <c r="AF17" i="11"/>
  <c r="BF16" i="10" s="1"/>
  <c r="AD17" i="11"/>
  <c r="BD16" i="10" s="1"/>
  <c r="BN16" i="10" s="1"/>
  <c r="AB17" i="11"/>
  <c r="BB16" i="10" s="1"/>
  <c r="AF16" i="11"/>
  <c r="BF15" i="10" s="1"/>
  <c r="AD16" i="11"/>
  <c r="BD15" i="10" s="1"/>
  <c r="BN15" i="10" s="1"/>
  <c r="AB16" i="11"/>
  <c r="BB15" i="10" s="1"/>
  <c r="BL15" i="10" s="1"/>
  <c r="AW56" i="22" s="1"/>
  <c r="AF15" i="11"/>
  <c r="BF14" i="10" s="1"/>
  <c r="AD15" i="11"/>
  <c r="BD14" i="10" s="1"/>
  <c r="AB15" i="11"/>
  <c r="BB14" i="10" s="1"/>
  <c r="BL14" i="10" s="1"/>
  <c r="AW52" i="22" s="1"/>
  <c r="AF14" i="11"/>
  <c r="BF13" i="10" s="1"/>
  <c r="AD14" i="11"/>
  <c r="BD13" i="10" s="1"/>
  <c r="AB14" i="11"/>
  <c r="BB13" i="10" s="1"/>
  <c r="AF13" i="11"/>
  <c r="BF12" i="10" s="1"/>
  <c r="AD13" i="11"/>
  <c r="BD12" i="10" s="1"/>
  <c r="BN12" i="10" s="1"/>
  <c r="AB13" i="11"/>
  <c r="BB12" i="10" s="1"/>
  <c r="AF12" i="11"/>
  <c r="BF11" i="10" s="1"/>
  <c r="AD12" i="11"/>
  <c r="BD11" i="10" s="1"/>
  <c r="BN11" i="10" s="1"/>
  <c r="AB12" i="11"/>
  <c r="BB11" i="10" s="1"/>
  <c r="BL11" i="10" s="1"/>
  <c r="AW43" i="22" s="1"/>
  <c r="AF11" i="11"/>
  <c r="BF10" i="10" s="1"/>
  <c r="AD11" i="11"/>
  <c r="BD10" i="10" s="1"/>
  <c r="AB11" i="11"/>
  <c r="BB10" i="10" s="1"/>
  <c r="BL10" i="10" s="1"/>
  <c r="AF10" i="11"/>
  <c r="BF9" i="10" s="1"/>
  <c r="AD10" i="11"/>
  <c r="BD9" i="10" s="1"/>
  <c r="AB10" i="11"/>
  <c r="BB9" i="10" s="1"/>
  <c r="AF9" i="11"/>
  <c r="BF8" i="10" s="1"/>
  <c r="AD9" i="11"/>
  <c r="BD8" i="10" s="1"/>
  <c r="BN8" i="10" s="1"/>
  <c r="AB9" i="11"/>
  <c r="BB8" i="10" s="1"/>
  <c r="AE18" i="11"/>
  <c r="BE17" i="10" s="1"/>
  <c r="AC18" i="11"/>
  <c r="BC17" i="10" s="1"/>
  <c r="BM17" i="10" s="1"/>
  <c r="AA18" i="11"/>
  <c r="BA17" i="10" s="1"/>
  <c r="BK17" i="10" s="1"/>
  <c r="AE17" i="11"/>
  <c r="BE16" i="10" s="1"/>
  <c r="AC17" i="11"/>
  <c r="BC16" i="10" s="1"/>
  <c r="AA17" i="11"/>
  <c r="BA16" i="10" s="1"/>
  <c r="BK16" i="10" s="1"/>
  <c r="AE16" i="11"/>
  <c r="BE15" i="10" s="1"/>
  <c r="BH15" i="10" s="1"/>
  <c r="AC16" i="11"/>
  <c r="BC15" i="10" s="1"/>
  <c r="BM15" i="10" s="1"/>
  <c r="AA16" i="11"/>
  <c r="BA15" i="10" s="1"/>
  <c r="AE15" i="11"/>
  <c r="BE14" i="10" s="1"/>
  <c r="BH14" i="10" s="1"/>
  <c r="AC15" i="11"/>
  <c r="BC14" i="10" s="1"/>
  <c r="BG14" i="10" s="1"/>
  <c r="BQ14" i="10" s="1"/>
  <c r="U52" i="22" s="1"/>
  <c r="AA15" i="11"/>
  <c r="BA14" i="10" s="1"/>
  <c r="AE14" i="11"/>
  <c r="BE13" i="10" s="1"/>
  <c r="AC14" i="11"/>
  <c r="BC13" i="10" s="1"/>
  <c r="BM13" i="10" s="1"/>
  <c r="AA14" i="11"/>
  <c r="BA13" i="10" s="1"/>
  <c r="BK13" i="10" s="1"/>
  <c r="AE13" i="11"/>
  <c r="BE12" i="10" s="1"/>
  <c r="AC13" i="11"/>
  <c r="BC12" i="10" s="1"/>
  <c r="AA13" i="11"/>
  <c r="BA12" i="10" s="1"/>
  <c r="BK12" i="10" s="1"/>
  <c r="AE12" i="11"/>
  <c r="BE11" i="10" s="1"/>
  <c r="BH11" i="10" s="1"/>
  <c r="AC12" i="11"/>
  <c r="BC11" i="10" s="1"/>
  <c r="BM11" i="10" s="1"/>
  <c r="AA12" i="11"/>
  <c r="BA11" i="10" s="1"/>
  <c r="AE11" i="11"/>
  <c r="BE10" i="10" s="1"/>
  <c r="BH10" i="10" s="1"/>
  <c r="AC11" i="11"/>
  <c r="BC10" i="10" s="1"/>
  <c r="BG10" i="10" s="1"/>
  <c r="BQ10" i="10" s="1"/>
  <c r="AA11" i="11"/>
  <c r="BA10" i="10" s="1"/>
  <c r="AE10" i="11"/>
  <c r="BE9" i="10" s="1"/>
  <c r="AC10" i="11"/>
  <c r="BC9" i="10" s="1"/>
  <c r="BM9" i="10" s="1"/>
  <c r="AA10" i="11"/>
  <c r="BA9" i="10" s="1"/>
  <c r="BK9" i="10" s="1"/>
  <c r="AE9" i="11"/>
  <c r="BE8" i="10" s="1"/>
  <c r="AC9" i="11"/>
  <c r="BC8" i="10" s="1"/>
  <c r="AW17" i="10"/>
  <c r="AU17" i="10"/>
  <c r="AS17" i="10"/>
  <c r="AW16" i="10"/>
  <c r="AU16" i="10"/>
  <c r="AS16" i="10"/>
  <c r="AW15" i="10"/>
  <c r="AU15" i="10"/>
  <c r="AS15" i="10"/>
  <c r="AW14" i="10"/>
  <c r="AU14" i="10"/>
  <c r="AS14" i="10"/>
  <c r="AW13" i="10"/>
  <c r="AU13" i="10"/>
  <c r="AS13" i="10"/>
  <c r="AW12" i="10"/>
  <c r="AU12" i="10"/>
  <c r="AS12" i="10"/>
  <c r="AW11" i="10"/>
  <c r="AU11" i="10"/>
  <c r="AS11" i="10"/>
  <c r="AW10" i="10"/>
  <c r="AU10" i="10"/>
  <c r="AS10" i="10"/>
  <c r="AW9" i="10"/>
  <c r="AU9" i="10"/>
  <c r="AS9" i="10"/>
  <c r="AW8" i="10"/>
  <c r="AU8" i="10"/>
  <c r="AS8" i="10"/>
  <c r="AV17" i="10"/>
  <c r="AY17" i="10" s="1"/>
  <c r="AT17" i="10"/>
  <c r="AR17" i="10"/>
  <c r="AV16" i="10"/>
  <c r="BO16" i="10" s="1"/>
  <c r="AT16" i="10"/>
  <c r="BM16" i="10" s="1"/>
  <c r="AR16" i="10"/>
  <c r="AV15" i="10"/>
  <c r="AT15" i="10"/>
  <c r="AX15" i="10" s="1"/>
  <c r="AR15" i="10"/>
  <c r="AV14" i="10"/>
  <c r="AY14" i="10" s="1"/>
  <c r="AT14" i="10"/>
  <c r="AX14" i="10" s="1"/>
  <c r="AR14" i="10"/>
  <c r="AV13" i="10"/>
  <c r="AY13" i="10" s="1"/>
  <c r="AT13" i="10"/>
  <c r="AR13" i="10"/>
  <c r="AV12" i="10"/>
  <c r="BO12" i="10" s="1"/>
  <c r="AT12" i="10"/>
  <c r="AR12" i="10"/>
  <c r="AV11" i="10"/>
  <c r="AT11" i="10"/>
  <c r="AX11" i="10" s="1"/>
  <c r="AR11" i="10"/>
  <c r="AV10" i="10"/>
  <c r="AY10" i="10" s="1"/>
  <c r="AT10" i="10"/>
  <c r="AX10" i="10" s="1"/>
  <c r="AR10" i="10"/>
  <c r="AV9" i="10"/>
  <c r="AY9" i="10" s="1"/>
  <c r="AT9" i="10"/>
  <c r="AR9" i="10"/>
  <c r="AV8" i="10"/>
  <c r="AT8" i="10"/>
  <c r="AD10" i="25"/>
  <c r="AD11" i="25"/>
  <c r="AD12" i="25"/>
  <c r="AD13" i="25"/>
  <c r="AD14" i="25"/>
  <c r="AD15" i="25"/>
  <c r="AD16" i="25"/>
  <c r="AD17" i="25"/>
  <c r="AD18" i="25"/>
  <c r="AD19" i="25"/>
  <c r="AD20" i="25"/>
  <c r="AD21" i="25"/>
  <c r="AD22" i="25"/>
  <c r="AD23" i="25"/>
  <c r="AD24" i="25"/>
  <c r="AD25" i="25"/>
  <c r="AD26" i="25"/>
  <c r="AD27" i="25"/>
  <c r="AD28" i="25"/>
  <c r="AD29" i="25"/>
  <c r="AD30" i="25"/>
  <c r="AD31" i="25"/>
  <c r="AD32" i="25"/>
  <c r="AD33" i="25"/>
  <c r="AD34" i="25"/>
  <c r="AD35" i="25"/>
  <c r="AD36" i="25"/>
  <c r="AD37" i="25"/>
  <c r="AD39" i="25"/>
  <c r="AD9" i="25"/>
  <c r="BF11" i="16"/>
  <c r="BF12" i="16"/>
  <c r="BF13" i="16"/>
  <c r="BF14" i="16"/>
  <c r="BF15" i="16"/>
  <c r="BF16" i="16"/>
  <c r="BF17" i="16"/>
  <c r="BF18" i="16"/>
  <c r="BF19" i="16"/>
  <c r="BF20" i="16"/>
  <c r="BF21" i="16"/>
  <c r="BF22" i="16"/>
  <c r="BF23" i="16"/>
  <c r="BF24" i="16"/>
  <c r="BF25" i="16"/>
  <c r="BF26" i="16"/>
  <c r="BF27" i="16"/>
  <c r="BF28" i="16"/>
  <c r="BF29" i="16"/>
  <c r="BF30" i="16"/>
  <c r="BF31" i="16"/>
  <c r="BF32" i="16"/>
  <c r="BF33" i="16"/>
  <c r="BF34" i="16"/>
  <c r="BF35" i="16"/>
  <c r="BF36" i="16"/>
  <c r="BF37" i="16"/>
  <c r="BF38" i="16"/>
  <c r="BF40" i="16"/>
  <c r="BF10" i="16"/>
  <c r="Z10" i="25"/>
  <c r="AA10" i="25"/>
  <c r="AB10" i="25" s="1"/>
  <c r="BG11" i="16" s="1"/>
  <c r="Z11" i="25"/>
  <c r="AA11" i="25"/>
  <c r="Z12" i="25"/>
  <c r="AA12" i="25"/>
  <c r="AB12" i="25" s="1"/>
  <c r="BG13" i="16" s="1"/>
  <c r="Z13" i="25"/>
  <c r="AA13" i="25"/>
  <c r="Z14" i="25"/>
  <c r="AA14" i="25"/>
  <c r="Z15" i="25"/>
  <c r="AA15" i="25"/>
  <c r="Z16" i="25"/>
  <c r="AA16" i="25"/>
  <c r="AB16" i="25" s="1"/>
  <c r="BG17" i="16" s="1"/>
  <c r="Z17" i="25"/>
  <c r="AA17" i="25"/>
  <c r="Z18" i="25"/>
  <c r="AA18" i="25"/>
  <c r="Z19" i="25"/>
  <c r="AA19" i="25"/>
  <c r="Z20" i="25"/>
  <c r="AA20" i="25"/>
  <c r="AB20" i="25" s="1"/>
  <c r="BG21" i="16" s="1"/>
  <c r="Z21" i="25"/>
  <c r="AA21" i="25"/>
  <c r="Z22" i="25"/>
  <c r="AA22" i="25"/>
  <c r="Z23" i="25"/>
  <c r="AA23" i="25"/>
  <c r="Z24" i="25"/>
  <c r="AA24" i="25"/>
  <c r="AB24" i="25" s="1"/>
  <c r="BG25" i="16" s="1"/>
  <c r="Z25" i="25"/>
  <c r="AA25" i="25"/>
  <c r="Z26" i="25"/>
  <c r="AA26" i="25"/>
  <c r="Z27" i="25"/>
  <c r="AA27" i="25"/>
  <c r="Z28" i="25"/>
  <c r="AA28" i="25"/>
  <c r="AB28" i="25" s="1"/>
  <c r="BG29" i="16" s="1"/>
  <c r="Z29" i="25"/>
  <c r="AA29" i="25"/>
  <c r="Z30" i="25"/>
  <c r="AA30" i="25"/>
  <c r="Z31" i="25"/>
  <c r="AA31" i="25"/>
  <c r="Z32" i="25"/>
  <c r="AA32" i="25"/>
  <c r="AB32" i="25" s="1"/>
  <c r="BG33" i="16" s="1"/>
  <c r="Z33" i="25"/>
  <c r="AA33" i="25"/>
  <c r="Z34" i="25"/>
  <c r="AA34" i="25"/>
  <c r="Z35" i="25"/>
  <c r="AA35" i="25"/>
  <c r="AB35" i="25" s="1"/>
  <c r="BG36" i="16" s="1"/>
  <c r="Z36" i="25"/>
  <c r="AA36" i="25"/>
  <c r="AB36" i="25" s="1"/>
  <c r="BG37" i="16" s="1"/>
  <c r="Z37" i="25"/>
  <c r="AA37" i="25"/>
  <c r="Z38" i="25"/>
  <c r="AA38" i="25"/>
  <c r="Z39" i="25"/>
  <c r="AA39" i="25"/>
  <c r="AA9" i="25"/>
  <c r="Z9" i="25"/>
  <c r="V9" i="25"/>
  <c r="X9" i="25" s="1"/>
  <c r="V10" i="25"/>
  <c r="X10" i="25" s="1"/>
  <c r="V11" i="25"/>
  <c r="U11" i="25"/>
  <c r="U10" i="25"/>
  <c r="T10" i="25"/>
  <c r="W10" i="25" s="1"/>
  <c r="U9" i="25"/>
  <c r="T9" i="25"/>
  <c r="W9" i="25" s="1"/>
  <c r="CD57" i="16"/>
  <c r="CE57" i="16"/>
  <c r="CF57" i="16"/>
  <c r="CG57" i="16"/>
  <c r="CH57" i="16"/>
  <c r="CI57" i="16"/>
  <c r="CJ57" i="16"/>
  <c r="CK57" i="16"/>
  <c r="CL57" i="16"/>
  <c r="CD56" i="16"/>
  <c r="CE56" i="16"/>
  <c r="CF56" i="16"/>
  <c r="CG56" i="16"/>
  <c r="CH56" i="16"/>
  <c r="CI56" i="16"/>
  <c r="CJ56" i="16"/>
  <c r="CK56" i="16"/>
  <c r="CL56" i="16"/>
  <c r="CD55" i="16"/>
  <c r="CE55" i="16"/>
  <c r="CF55" i="16"/>
  <c r="CG55" i="16"/>
  <c r="CH55" i="16"/>
  <c r="CI55" i="16"/>
  <c r="CJ55" i="16"/>
  <c r="CK55" i="16"/>
  <c r="CL55" i="16"/>
  <c r="BK10" i="10" l="1"/>
  <c r="BK14" i="10"/>
  <c r="BL8" i="10"/>
  <c r="BL12" i="10"/>
  <c r="AW46" i="22" s="1"/>
  <c r="BL16" i="10"/>
  <c r="AW60" i="22" s="1"/>
  <c r="BO17" i="10"/>
  <c r="BO10" i="10"/>
  <c r="BK40" i="10"/>
  <c r="BK44" i="10"/>
  <c r="AY55" i="10"/>
  <c r="BR55" i="10" s="1"/>
  <c r="BO55" i="10"/>
  <c r="AY59" i="10"/>
  <c r="BR59" i="10" s="1"/>
  <c r="AI142" i="22" s="1"/>
  <c r="BO59" i="10"/>
  <c r="BR10" i="10"/>
  <c r="BR14" i="10"/>
  <c r="AI52" i="22" s="1"/>
  <c r="BP8" i="10"/>
  <c r="BP12" i="10"/>
  <c r="BP16" i="10"/>
  <c r="BO40" i="10"/>
  <c r="AY40" i="10"/>
  <c r="BR40" i="10" s="1"/>
  <c r="BO44" i="10"/>
  <c r="AY44" i="10"/>
  <c r="BR44" i="10" s="1"/>
  <c r="AI112" i="22" s="1"/>
  <c r="BM56" i="10"/>
  <c r="AX56" i="10"/>
  <c r="BQ56" i="10" s="1"/>
  <c r="U133" i="22" s="1"/>
  <c r="BM60" i="10"/>
  <c r="AX60" i="10"/>
  <c r="AB29" i="25"/>
  <c r="AB23" i="25"/>
  <c r="BG24" i="16" s="1"/>
  <c r="AB17" i="25"/>
  <c r="BG18" i="16" s="1"/>
  <c r="AB11" i="25"/>
  <c r="BG12" i="16" s="1"/>
  <c r="BK11" i="10"/>
  <c r="BK15" i="10"/>
  <c r="BL9" i="10"/>
  <c r="BL13" i="10"/>
  <c r="AW49" i="22" s="1"/>
  <c r="BL17" i="10"/>
  <c r="AW64" i="22" s="1"/>
  <c r="BM14" i="10"/>
  <c r="AY56" i="10"/>
  <c r="BR56" i="10" s="1"/>
  <c r="AI133" i="22" s="1"/>
  <c r="BO56" i="10"/>
  <c r="AY60" i="10"/>
  <c r="BR60" i="10" s="1"/>
  <c r="AI146" i="22" s="1"/>
  <c r="BO60" i="10"/>
  <c r="BN9" i="10"/>
  <c r="BN13" i="10"/>
  <c r="BN17" i="10"/>
  <c r="BG17" i="10"/>
  <c r="BO14" i="10"/>
  <c r="BM41" i="10"/>
  <c r="AX41" i="10"/>
  <c r="BQ41" i="10" s="1"/>
  <c r="U103" i="22" s="1"/>
  <c r="AX45" i="10"/>
  <c r="BQ45" i="10" s="1"/>
  <c r="U116" i="22" s="1"/>
  <c r="BM45" i="10"/>
  <c r="BG55" i="10"/>
  <c r="BR11" i="10"/>
  <c r="AI43" i="22" s="1"/>
  <c r="BP9" i="10"/>
  <c r="BP13" i="10"/>
  <c r="BP17" i="10"/>
  <c r="BG15" i="10"/>
  <c r="BQ15" i="10" s="1"/>
  <c r="U56" i="22" s="1"/>
  <c r="BO41" i="10"/>
  <c r="AY41" i="10"/>
  <c r="BR41" i="10" s="1"/>
  <c r="AI103" i="22" s="1"/>
  <c r="AY45" i="10"/>
  <c r="BR45" i="10" s="1"/>
  <c r="AI116" i="22" s="1"/>
  <c r="BO45" i="10"/>
  <c r="BM53" i="10"/>
  <c r="AX53" i="10"/>
  <c r="BM57" i="10"/>
  <c r="AX57" i="10"/>
  <c r="BQ57" i="10" s="1"/>
  <c r="U136" i="22" s="1"/>
  <c r="AX61" i="10"/>
  <c r="BQ61" i="10" s="1"/>
  <c r="U150" i="22" s="1"/>
  <c r="BM61" i="10"/>
  <c r="AY11" i="10"/>
  <c r="AY15" i="10"/>
  <c r="BR15" i="10" s="1"/>
  <c r="AI56" i="22" s="1"/>
  <c r="BG13" i="10"/>
  <c r="BO53" i="10"/>
  <c r="AY53" i="10"/>
  <c r="BR53" i="10" s="1"/>
  <c r="BO57" i="10"/>
  <c r="AY57" i="10"/>
  <c r="AY61" i="10"/>
  <c r="BO61" i="10"/>
  <c r="BM40" i="10"/>
  <c r="AX40" i="10"/>
  <c r="BQ40" i="10" s="1"/>
  <c r="AB39" i="25"/>
  <c r="BG40" i="16" s="1"/>
  <c r="AB33" i="25"/>
  <c r="BG34" i="16" s="1"/>
  <c r="AB27" i="25"/>
  <c r="BG28" i="16" s="1"/>
  <c r="AB21" i="25"/>
  <c r="BG22" i="16" s="1"/>
  <c r="AB15" i="25"/>
  <c r="BG16" i="16" s="1"/>
  <c r="BG8" i="10"/>
  <c r="BQ8" i="10" s="1"/>
  <c r="BG12" i="10"/>
  <c r="BQ12" i="10" s="1"/>
  <c r="U46" i="22" s="1"/>
  <c r="BG16" i="10"/>
  <c r="BN10" i="10"/>
  <c r="BN14" i="10"/>
  <c r="BK26" i="10"/>
  <c r="BK30" i="10"/>
  <c r="BG11" i="10"/>
  <c r="BQ11" i="10" s="1"/>
  <c r="U43" i="22" s="1"/>
  <c r="BM38" i="10"/>
  <c r="AX38" i="10"/>
  <c r="BQ38" i="10" s="1"/>
  <c r="AX42" i="10"/>
  <c r="BQ42" i="10" s="1"/>
  <c r="U106" i="22" s="1"/>
  <c r="BM42" i="10"/>
  <c r="BM46" i="10"/>
  <c r="AX46" i="10"/>
  <c r="BQ46" i="10" s="1"/>
  <c r="U120" i="22" s="1"/>
  <c r="BK54" i="10"/>
  <c r="BK58" i="10"/>
  <c r="BK62" i="10"/>
  <c r="BG56" i="10"/>
  <c r="BG60" i="10"/>
  <c r="AX8" i="10"/>
  <c r="AX12" i="10"/>
  <c r="AX16" i="10"/>
  <c r="BH8" i="10"/>
  <c r="BR8" i="10" s="1"/>
  <c r="BH12" i="10"/>
  <c r="BR12" i="10" s="1"/>
  <c r="AI46" i="22" s="1"/>
  <c r="BH16" i="10"/>
  <c r="BR16" i="10" s="1"/>
  <c r="AI60" i="22" s="1"/>
  <c r="BP10" i="10"/>
  <c r="BP14" i="10"/>
  <c r="BO9" i="10"/>
  <c r="BG9" i="10"/>
  <c r="BO38" i="10"/>
  <c r="AY38" i="10"/>
  <c r="BR38" i="10" s="1"/>
  <c r="BO42" i="10"/>
  <c r="AY42" i="10"/>
  <c r="BR42" i="10" s="1"/>
  <c r="AI106" i="22" s="1"/>
  <c r="BO46" i="10"/>
  <c r="AY46" i="10"/>
  <c r="BR46" i="10" s="1"/>
  <c r="AI120" i="22" s="1"/>
  <c r="BM54" i="10"/>
  <c r="AX54" i="10"/>
  <c r="BQ54" i="10" s="1"/>
  <c r="BM58" i="10"/>
  <c r="AX58" i="10"/>
  <c r="BQ58" i="10" s="1"/>
  <c r="U139" i="22" s="1"/>
  <c r="BM62" i="10"/>
  <c r="AX62" i="10"/>
  <c r="BQ62" i="10" s="1"/>
  <c r="U154" i="22" s="1"/>
  <c r="BL56" i="10"/>
  <c r="AW133" i="22" s="1"/>
  <c r="AY8" i="10"/>
  <c r="AY12" i="10"/>
  <c r="AY16" i="10"/>
  <c r="BG28" i="10"/>
  <c r="BO11" i="10"/>
  <c r="BM8" i="10"/>
  <c r="BK39" i="10"/>
  <c r="BK43" i="10"/>
  <c r="BK47" i="10"/>
  <c r="AY54" i="10"/>
  <c r="BR54" i="10" s="1"/>
  <c r="BO54" i="10"/>
  <c r="BO58" i="10"/>
  <c r="AY58" i="10"/>
  <c r="BR58" i="10" s="1"/>
  <c r="AI139" i="22" s="1"/>
  <c r="BO62" i="10"/>
  <c r="AY62" i="10"/>
  <c r="BR62" i="10" s="1"/>
  <c r="BL60" i="10"/>
  <c r="AW146" i="22" s="1"/>
  <c r="BP46" i="10"/>
  <c r="BM44" i="10"/>
  <c r="AX44" i="10"/>
  <c r="BQ44" i="10" s="1"/>
  <c r="U112" i="22" s="1"/>
  <c r="BK27" i="10"/>
  <c r="BK31" i="10"/>
  <c r="BO13" i="10"/>
  <c r="BO8" i="10"/>
  <c r="BM39" i="10"/>
  <c r="AX39" i="10"/>
  <c r="BQ39" i="10" s="1"/>
  <c r="BM43" i="10"/>
  <c r="AX43" i="10"/>
  <c r="BQ43" i="10" s="1"/>
  <c r="U109" i="22" s="1"/>
  <c r="BM47" i="10"/>
  <c r="AX47" i="10"/>
  <c r="BQ47" i="10" s="1"/>
  <c r="U124" i="22" s="1"/>
  <c r="BK55" i="10"/>
  <c r="BK59" i="10"/>
  <c r="BG53" i="10"/>
  <c r="BG57" i="10"/>
  <c r="BG61" i="10"/>
  <c r="BN55" i="10"/>
  <c r="AB31" i="25"/>
  <c r="BG32" i="16" s="1"/>
  <c r="AB25" i="25"/>
  <c r="BG26" i="16" s="1"/>
  <c r="AB19" i="25"/>
  <c r="BG20" i="16" s="1"/>
  <c r="AB13" i="25"/>
  <c r="BG14" i="16" s="1"/>
  <c r="AX9" i="10"/>
  <c r="AX13" i="10"/>
  <c r="AX17" i="10"/>
  <c r="BH9" i="10"/>
  <c r="BR9" i="10" s="1"/>
  <c r="BH13" i="10"/>
  <c r="BR13" i="10" s="1"/>
  <c r="AI49" i="22" s="1"/>
  <c r="BH17" i="10"/>
  <c r="BR17" i="10" s="1"/>
  <c r="AI64" i="22" s="1"/>
  <c r="BP11" i="10"/>
  <c r="BP15" i="10"/>
  <c r="BO15" i="10"/>
  <c r="BM10" i="10"/>
  <c r="AY39" i="10"/>
  <c r="BR39" i="10" s="1"/>
  <c r="BO39" i="10"/>
  <c r="AY43" i="10"/>
  <c r="BR43" i="10" s="1"/>
  <c r="AI109" i="22" s="1"/>
  <c r="BO43" i="10"/>
  <c r="BO47" i="10"/>
  <c r="AY47" i="10"/>
  <c r="BR47" i="10" s="1"/>
  <c r="AI124" i="22" s="1"/>
  <c r="AX55" i="10"/>
  <c r="BQ55" i="10" s="1"/>
  <c r="BM55" i="10"/>
  <c r="AX59" i="10"/>
  <c r="BQ59" i="10" s="1"/>
  <c r="U142" i="22" s="1"/>
  <c r="BM59" i="10"/>
  <c r="BH53" i="10"/>
  <c r="BH57" i="10"/>
  <c r="BH61" i="10"/>
  <c r="BN59" i="10"/>
  <c r="AB37" i="25"/>
  <c r="BG38" i="16" s="1"/>
  <c r="CF58" i="16"/>
  <c r="CH58" i="16"/>
  <c r="CI58" i="16"/>
  <c r="CL58" i="16"/>
  <c r="CJ58" i="16"/>
  <c r="CK58" i="16"/>
  <c r="CG58" i="16"/>
  <c r="CE58" i="16"/>
  <c r="C11" i="28"/>
  <c r="C49" i="28"/>
  <c r="BO23" i="10"/>
  <c r="AY23" i="10"/>
  <c r="BR23" i="10" s="1"/>
  <c r="BM24" i="10"/>
  <c r="AX24" i="10"/>
  <c r="BQ24" i="10" s="1"/>
  <c r="BO25" i="10"/>
  <c r="AY25" i="10"/>
  <c r="BR25" i="10" s="1"/>
  <c r="BM26" i="10"/>
  <c r="AX26" i="10"/>
  <c r="BQ26" i="10" s="1"/>
  <c r="U73" i="22" s="1"/>
  <c r="BO27" i="10"/>
  <c r="AY27" i="10"/>
  <c r="BR27" i="10" s="1"/>
  <c r="AI76" i="22" s="1"/>
  <c r="BM28" i="10"/>
  <c r="AX28" i="10"/>
  <c r="BQ28" i="10" s="1"/>
  <c r="U79" i="22" s="1"/>
  <c r="BO29" i="10"/>
  <c r="AY29" i="10"/>
  <c r="BR29" i="10" s="1"/>
  <c r="AI82" i="22" s="1"/>
  <c r="BM30" i="10"/>
  <c r="AX30" i="10"/>
  <c r="BQ30" i="10" s="1"/>
  <c r="U86" i="22" s="1"/>
  <c r="BO31" i="10"/>
  <c r="AY31" i="10"/>
  <c r="BR31" i="10" s="1"/>
  <c r="AI90" i="22" s="1"/>
  <c r="BM32" i="10"/>
  <c r="AX32" i="10"/>
  <c r="BQ32" i="10" s="1"/>
  <c r="U94" i="22" s="1"/>
  <c r="BM23" i="10"/>
  <c r="AX23" i="10"/>
  <c r="BQ23" i="10" s="1"/>
  <c r="BO24" i="10"/>
  <c r="AY24" i="10"/>
  <c r="BR24" i="10" s="1"/>
  <c r="BM25" i="10"/>
  <c r="AX25" i="10"/>
  <c r="BQ25" i="10" s="1"/>
  <c r="BO26" i="10"/>
  <c r="AY26" i="10"/>
  <c r="BR26" i="10" s="1"/>
  <c r="AI73" i="22" s="1"/>
  <c r="BM27" i="10"/>
  <c r="AX27" i="10"/>
  <c r="BQ27" i="10" s="1"/>
  <c r="U76" i="22" s="1"/>
  <c r="BO28" i="10"/>
  <c r="AY28" i="10"/>
  <c r="BR28" i="10" s="1"/>
  <c r="AI79" i="22" s="1"/>
  <c r="BM29" i="10"/>
  <c r="AX29" i="10"/>
  <c r="BQ29" i="10" s="1"/>
  <c r="U82" i="22" s="1"/>
  <c r="BO30" i="10"/>
  <c r="AY30" i="10"/>
  <c r="BR30" i="10" s="1"/>
  <c r="AI86" i="22" s="1"/>
  <c r="BM31" i="10"/>
  <c r="AX31" i="10"/>
  <c r="BQ31" i="10" s="1"/>
  <c r="U90" i="22" s="1"/>
  <c r="BO32" i="10"/>
  <c r="AY32" i="10"/>
  <c r="BR32" i="10" s="1"/>
  <c r="AI94" i="22" s="1"/>
  <c r="AB9" i="25"/>
  <c r="BG10" i="16" s="1"/>
  <c r="BG30" i="16"/>
  <c r="AB34" i="25"/>
  <c r="BG35" i="16" s="1"/>
  <c r="AB30" i="25"/>
  <c r="BG31" i="16" s="1"/>
  <c r="AB26" i="25"/>
  <c r="BG27" i="16" s="1"/>
  <c r="AB22" i="25"/>
  <c r="BG23" i="16" s="1"/>
  <c r="AB18" i="25"/>
  <c r="BG19" i="16" s="1"/>
  <c r="AB14" i="25"/>
  <c r="BG15" i="16" s="1"/>
  <c r="BD4" i="15"/>
  <c r="BD5" i="15" s="1"/>
  <c r="BD6" i="15" s="1"/>
  <c r="BD7" i="15" s="1"/>
  <c r="BD8" i="15" s="1"/>
  <c r="BD9" i="15" s="1"/>
  <c r="BD10" i="15" s="1"/>
  <c r="BD11" i="15" s="1"/>
  <c r="BD12" i="15" s="1"/>
  <c r="BD13" i="15" s="1"/>
  <c r="BD14" i="15" s="1"/>
  <c r="BD15" i="15" s="1"/>
  <c r="BD16" i="15" s="1"/>
  <c r="BD17" i="15" s="1"/>
  <c r="BD18" i="15" s="1"/>
  <c r="BD19" i="15" s="1"/>
  <c r="BD20" i="15" s="1"/>
  <c r="BD21" i="15" s="1"/>
  <c r="BD22" i="15" s="1"/>
  <c r="BD23" i="15" s="1"/>
  <c r="BD24" i="15" s="1"/>
  <c r="BD25" i="15" s="1"/>
  <c r="BD26" i="15" s="1"/>
  <c r="BD27" i="15" s="1"/>
  <c r="BD28" i="15" s="1"/>
  <c r="BD29" i="15" s="1"/>
  <c r="BD30" i="15" s="1"/>
  <c r="BD31" i="15" s="1"/>
  <c r="BD32" i="15" s="1"/>
  <c r="BD33" i="15" s="1"/>
  <c r="BD34" i="15" s="1"/>
  <c r="BD35" i="15" s="1"/>
  <c r="BD36" i="15" s="1"/>
  <c r="BD37" i="15" s="1"/>
  <c r="BD38" i="15" s="1"/>
  <c r="BD39" i="15" s="1"/>
  <c r="BD40" i="15" s="1"/>
  <c r="CM27" i="15"/>
  <c r="CA50" i="15"/>
  <c r="CA51" i="15" s="1"/>
  <c r="CA52" i="15" s="1"/>
  <c r="CA53" i="15" s="1"/>
  <c r="CA54" i="15" s="1"/>
  <c r="CA55" i="15" s="1"/>
  <c r="CA56" i="15" s="1"/>
  <c r="CA57" i="15" s="1"/>
  <c r="CA58" i="15" s="1"/>
  <c r="CA59" i="15" s="1"/>
  <c r="CA60" i="15" s="1"/>
  <c r="CA61" i="15" s="1"/>
  <c r="CA62" i="15" s="1"/>
  <c r="CA63" i="15" s="1"/>
  <c r="CA64" i="15" s="1"/>
  <c r="CA65" i="15" s="1"/>
  <c r="CA66" i="15" s="1"/>
  <c r="CA67" i="15" s="1"/>
  <c r="CA68" i="15" s="1"/>
  <c r="CA69" i="15" s="1"/>
  <c r="CA70" i="15" s="1"/>
  <c r="CA71" i="15" s="1"/>
  <c r="CA72" i="15" s="1"/>
  <c r="CA73" i="15" s="1"/>
  <c r="CA74" i="15" s="1"/>
  <c r="CA75" i="15" s="1"/>
  <c r="CA76" i="15" s="1"/>
  <c r="CA77" i="15" s="1"/>
  <c r="CA78" i="15" s="1"/>
  <c r="CA79" i="15" s="1"/>
  <c r="CA80" i="15" s="1"/>
  <c r="CA81" i="15" s="1"/>
  <c r="CA82" i="15" s="1"/>
  <c r="CA83" i="15" s="1"/>
  <c r="CA84" i="15" s="1"/>
  <c r="CA85" i="15" s="1"/>
  <c r="CA86" i="15" s="1"/>
  <c r="CA87" i="15" s="1"/>
  <c r="CA88" i="15" s="1"/>
  <c r="CA37" i="15"/>
  <c r="CB37" i="15"/>
  <c r="CC37" i="15"/>
  <c r="CD37" i="15"/>
  <c r="CE37" i="15"/>
  <c r="CF37" i="15"/>
  <c r="CG37" i="15"/>
  <c r="CH37" i="15"/>
  <c r="CI37" i="15"/>
  <c r="CA36" i="15"/>
  <c r="CB36" i="15"/>
  <c r="CC36" i="15"/>
  <c r="CD36" i="15"/>
  <c r="CE36" i="15"/>
  <c r="CF36" i="15"/>
  <c r="CG36" i="15"/>
  <c r="CH36" i="15"/>
  <c r="CI36" i="15"/>
  <c r="CA35" i="15"/>
  <c r="CB35" i="15"/>
  <c r="CC35" i="15"/>
  <c r="CD35" i="15"/>
  <c r="CE35" i="15"/>
  <c r="CF35" i="15"/>
  <c r="CG35" i="15"/>
  <c r="CH35" i="15"/>
  <c r="CI35" i="15"/>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BQ13" i="10" l="1"/>
  <c r="U49" i="22" s="1"/>
  <c r="BQ17" i="10"/>
  <c r="U64" i="22" s="1"/>
  <c r="AI154" i="22"/>
  <c r="AW154" i="22"/>
  <c r="BQ9" i="10"/>
  <c r="BR61" i="10"/>
  <c r="AI150" i="22" s="1"/>
  <c r="BQ53" i="10"/>
  <c r="BQ60" i="10"/>
  <c r="U146" i="22" s="1"/>
  <c r="BQ16" i="10"/>
  <c r="U60" i="22" s="1"/>
  <c r="BR57" i="10"/>
  <c r="AI136" i="22" s="1"/>
  <c r="CH38" i="15"/>
  <c r="CB80" i="15" s="1"/>
  <c r="CN35" i="15" s="1"/>
  <c r="CF38" i="15"/>
  <c r="CB60" i="15" s="1"/>
  <c r="CN15" i="15" s="1"/>
  <c r="CD38" i="15"/>
  <c r="CB38" i="15"/>
  <c r="C12" i="28"/>
  <c r="C50" i="28"/>
  <c r="CA38" i="15"/>
  <c r="BQ15" i="16"/>
  <c r="Y10" i="25"/>
  <c r="Y9" i="25"/>
  <c r="CI38" i="15"/>
  <c r="CG38" i="15"/>
  <c r="CB70" i="15" s="1"/>
  <c r="CE38" i="15"/>
  <c r="CB50" i="15" s="1"/>
  <c r="CC38" i="15"/>
  <c r="CC50" i="15" l="1"/>
  <c r="CB51" i="15" s="1"/>
  <c r="CB52" i="15" s="1"/>
  <c r="CB53" i="15" s="1"/>
  <c r="CB54" i="15" s="1"/>
  <c r="CB55" i="15" s="1"/>
  <c r="CB56" i="15" s="1"/>
  <c r="CB57" i="15" s="1"/>
  <c r="CB58" i="15" s="1"/>
  <c r="CB59" i="15" s="1"/>
  <c r="CC60" i="15"/>
  <c r="CB61" i="15" s="1"/>
  <c r="CB62" i="15" s="1"/>
  <c r="C13" i="28"/>
  <c r="C51" i="28"/>
  <c r="BR15" i="16"/>
  <c r="BS15" i="16" s="1"/>
  <c r="CE63" i="16"/>
  <c r="CC70" i="15"/>
  <c r="CB71" i="15" s="1"/>
  <c r="CN25" i="15"/>
  <c r="CN16" i="15" l="1"/>
  <c r="CB81" i="15"/>
  <c r="CN36" i="15" s="1"/>
  <c r="C14" i="28"/>
  <c r="C52" i="28"/>
  <c r="CB72" i="15"/>
  <c r="CN26" i="15"/>
  <c r="CB63" i="15"/>
  <c r="CN17" i="15"/>
  <c r="CB82" i="15" l="1"/>
  <c r="CB83" i="15" s="1"/>
  <c r="C15" i="28"/>
  <c r="C53" i="28"/>
  <c r="CB64" i="15"/>
  <c r="CN18" i="15"/>
  <c r="CB73" i="15"/>
  <c r="CN27" i="15"/>
  <c r="CN37" i="15" l="1"/>
  <c r="C16" i="28"/>
  <c r="C54" i="28"/>
  <c r="CB74" i="15"/>
  <c r="CN28" i="15"/>
  <c r="CB84" i="15"/>
  <c r="CN38" i="15"/>
  <c r="CB65" i="15"/>
  <c r="CN19" i="15"/>
  <c r="C17" i="28" l="1"/>
  <c r="C55" i="28"/>
  <c r="CB66" i="15"/>
  <c r="CN20" i="15"/>
  <c r="CB85" i="15"/>
  <c r="CN39" i="15"/>
  <c r="CB75" i="15"/>
  <c r="CN29" i="15"/>
  <c r="CN40" i="15" l="1"/>
  <c r="CB86" i="15"/>
  <c r="C18" i="28"/>
  <c r="C56" i="28"/>
  <c r="CB76" i="15"/>
  <c r="CN30" i="15"/>
  <c r="CB67" i="15"/>
  <c r="CN21" i="15"/>
  <c r="CN41" i="15" l="1"/>
  <c r="CB87" i="15"/>
  <c r="C19" i="28"/>
  <c r="C57" i="28"/>
  <c r="CB68" i="15"/>
  <c r="CN22" i="15"/>
  <c r="CB77" i="15"/>
  <c r="CN31" i="15"/>
  <c r="CN42" i="15" l="1"/>
  <c r="CB88" i="15"/>
  <c r="C20" i="28"/>
  <c r="C58" i="28"/>
  <c r="CB78" i="15"/>
  <c r="CN32" i="15"/>
  <c r="CB69" i="15"/>
  <c r="CN24" i="15" s="1"/>
  <c r="CN23" i="15"/>
  <c r="CN43" i="15" l="1"/>
  <c r="CB89" i="15"/>
  <c r="C21" i="28"/>
  <c r="C59" i="28"/>
  <c r="CB79" i="15"/>
  <c r="CN34" i="15" s="1"/>
  <c r="CN33" i="15"/>
  <c r="CB90" i="15" l="1"/>
  <c r="CN44" i="15"/>
  <c r="C22" i="28"/>
  <c r="C60" i="28"/>
  <c r="CY3" i="8"/>
  <c r="CY4" i="8" s="1"/>
  <c r="CY5" i="8" s="1"/>
  <c r="CY6" i="8" s="1"/>
  <c r="CY7" i="8" s="1"/>
  <c r="CY8" i="8" s="1"/>
  <c r="CY9" i="8" s="1"/>
  <c r="CY10" i="8" s="1"/>
  <c r="CY11" i="8" s="1"/>
  <c r="CY12" i="8" s="1"/>
  <c r="CY13" i="8" s="1"/>
  <c r="CY14" i="8" s="1"/>
  <c r="CY15" i="8" s="1"/>
  <c r="CY16" i="8" s="1"/>
  <c r="CY17" i="8" s="1"/>
  <c r="CY18" i="8" s="1"/>
  <c r="CY19" i="8" s="1"/>
  <c r="CY20" i="8" s="1"/>
  <c r="CY21" i="8" s="1"/>
  <c r="CY22" i="8" s="1"/>
  <c r="CY23" i="8" s="1"/>
  <c r="CY24" i="8" s="1"/>
  <c r="CY25" i="8" s="1"/>
  <c r="CY26" i="8" s="1"/>
  <c r="CY27" i="8" s="1"/>
  <c r="CY28" i="8" s="1"/>
  <c r="CY29" i="8" s="1"/>
  <c r="CY30" i="8" s="1"/>
  <c r="CY31" i="8" s="1"/>
  <c r="CY32" i="8" s="1"/>
  <c r="CY33" i="8" s="1"/>
  <c r="CY34" i="8" s="1"/>
  <c r="CY35" i="8" s="1"/>
  <c r="CY36" i="8" s="1"/>
  <c r="CY37" i="8" s="1"/>
  <c r="CY38" i="8" s="1"/>
  <c r="CY39" i="8" s="1"/>
  <c r="CY2" i="8"/>
  <c r="CO14" i="8"/>
  <c r="ET33" i="1"/>
  <c r="BC39" i="8" s="1"/>
  <c r="CN39" i="8" s="1"/>
  <c r="DC39" i="8" s="1"/>
  <c r="EI33" i="1"/>
  <c r="BC37" i="8" s="1"/>
  <c r="CN37" i="8" s="1"/>
  <c r="DC37" i="8" s="1"/>
  <c r="L35" i="1"/>
  <c r="H35" i="1"/>
  <c r="G35" i="1"/>
  <c r="L34" i="1"/>
  <c r="H34" i="1"/>
  <c r="G34" i="1"/>
  <c r="L33" i="1"/>
  <c r="BD15" i="8" s="1"/>
  <c r="K33" i="1"/>
  <c r="BC15" i="8" s="1"/>
  <c r="CM15" i="8" s="1"/>
  <c r="DC15" i="8" s="1"/>
  <c r="H33" i="1"/>
  <c r="G33" i="1"/>
  <c r="CN45" i="15" l="1"/>
  <c r="CB91" i="15"/>
  <c r="C23" i="28"/>
  <c r="C61" i="28"/>
  <c r="Y30" i="1"/>
  <c r="BU30" i="1"/>
  <c r="CH30" i="1"/>
  <c r="CS30" i="1"/>
  <c r="X35" i="1"/>
  <c r="T35" i="1"/>
  <c r="S35" i="1"/>
  <c r="X34" i="1"/>
  <c r="T34" i="1"/>
  <c r="S34" i="1"/>
  <c r="X33" i="1"/>
  <c r="BD17" i="8" s="1"/>
  <c r="W33" i="1"/>
  <c r="BC17" i="8" s="1"/>
  <c r="CM17" i="8" s="1"/>
  <c r="DC17" i="8" s="1"/>
  <c r="T33" i="1"/>
  <c r="S33" i="1"/>
  <c r="AJ35" i="1"/>
  <c r="AF35" i="1"/>
  <c r="AE35" i="1"/>
  <c r="AJ34" i="1"/>
  <c r="AF34" i="1"/>
  <c r="AE34" i="1"/>
  <c r="AJ33" i="1"/>
  <c r="BD19" i="8" s="1"/>
  <c r="AI33" i="1"/>
  <c r="BC19" i="8" s="1"/>
  <c r="CM19" i="8" s="1"/>
  <c r="DC19" i="8" s="1"/>
  <c r="AF33" i="1"/>
  <c r="AE33" i="1"/>
  <c r="AV35" i="1"/>
  <c r="AR35" i="1"/>
  <c r="AQ35" i="1"/>
  <c r="AV34" i="1"/>
  <c r="AR34" i="1"/>
  <c r="AQ34" i="1"/>
  <c r="AV33" i="1"/>
  <c r="BD21" i="8" s="1"/>
  <c r="AU33" i="1"/>
  <c r="BC21" i="8" s="1"/>
  <c r="CM21" i="8" s="1"/>
  <c r="DC21" i="8" s="1"/>
  <c r="AR33" i="1"/>
  <c r="AQ33" i="1"/>
  <c r="BH35" i="1"/>
  <c r="BD35" i="1"/>
  <c r="BC35" i="1"/>
  <c r="BH34" i="1"/>
  <c r="BD34" i="1"/>
  <c r="BC34" i="1"/>
  <c r="BH33" i="1"/>
  <c r="BD23" i="8" s="1"/>
  <c r="BG33" i="1"/>
  <c r="BC23" i="8" s="1"/>
  <c r="CM23" i="8" s="1"/>
  <c r="DC23" i="8" s="1"/>
  <c r="BD33" i="1"/>
  <c r="BC33" i="1"/>
  <c r="CN46" i="15" l="1"/>
  <c r="CB92" i="15"/>
  <c r="C24" i="28"/>
  <c r="C62" i="28"/>
  <c r="BT35" i="1"/>
  <c r="BP35" i="1"/>
  <c r="BO35" i="1"/>
  <c r="BT34" i="1"/>
  <c r="BP34" i="1"/>
  <c r="BO34" i="1"/>
  <c r="BT33" i="1"/>
  <c r="BD25" i="8" s="1"/>
  <c r="BS33" i="1"/>
  <c r="BC25" i="8" s="1"/>
  <c r="CM25" i="8" s="1"/>
  <c r="DC25" i="8" s="1"/>
  <c r="BP33" i="1"/>
  <c r="BO33" i="1"/>
  <c r="DX33" i="1"/>
  <c r="BC35" i="8" s="1"/>
  <c r="CN35" i="8" s="1"/>
  <c r="DC35" i="8" s="1"/>
  <c r="DM33" i="1"/>
  <c r="BC33" i="8" s="1"/>
  <c r="CN33" i="8" s="1"/>
  <c r="DC33" i="8" s="1"/>
  <c r="DB33" i="1"/>
  <c r="BC31" i="8" s="1"/>
  <c r="CN31" i="8" s="1"/>
  <c r="DC31" i="8" s="1"/>
  <c r="CQ33" i="1"/>
  <c r="BC29" i="8" s="1"/>
  <c r="CN29" i="8" s="1"/>
  <c r="DC29" i="8" s="1"/>
  <c r="CE33" i="1"/>
  <c r="BC27" i="8" s="1"/>
  <c r="CN27" i="8" s="1"/>
  <c r="DC27" i="8" s="1"/>
  <c r="CB93" i="15" l="1"/>
  <c r="CN48" i="15" s="1"/>
  <c r="CN47" i="15"/>
  <c r="C25" i="28"/>
  <c r="C63" i="28"/>
  <c r="D87" i="26"/>
  <c r="D88" i="26" s="1"/>
  <c r="D89" i="26" s="1"/>
  <c r="D90" i="26" s="1"/>
  <c r="D91" i="26" s="1"/>
  <c r="D92" i="26" s="1"/>
  <c r="D93" i="26" s="1"/>
  <c r="D94" i="26" s="1"/>
  <c r="D95" i="26" s="1"/>
  <c r="D96" i="26" s="1"/>
  <c r="D97" i="26" s="1"/>
  <c r="D98" i="26" s="1"/>
  <c r="D99" i="26" s="1"/>
  <c r="D100" i="26" s="1"/>
  <c r="D101" i="26" s="1"/>
  <c r="D102" i="26" s="1"/>
  <c r="D103" i="26" s="1"/>
  <c r="D104" i="26" s="1"/>
  <c r="D105" i="26" s="1"/>
  <c r="D106" i="26" s="1"/>
  <c r="D107" i="26" s="1"/>
  <c r="D108" i="26" s="1"/>
  <c r="D109" i="26" s="1"/>
  <c r="D110" i="26" s="1"/>
  <c r="D111" i="26" s="1"/>
  <c r="D112" i="26" s="1"/>
  <c r="D44" i="26"/>
  <c r="D45" i="26" s="1"/>
  <c r="D46" i="26" s="1"/>
  <c r="D47" i="26" s="1"/>
  <c r="D48" i="26" s="1"/>
  <c r="D49" i="26" s="1"/>
  <c r="D50" i="26" s="1"/>
  <c r="D51" i="26" s="1"/>
  <c r="D52" i="26" s="1"/>
  <c r="D53" i="26" s="1"/>
  <c r="D54" i="26" s="1"/>
  <c r="D55" i="26" s="1"/>
  <c r="D56" i="26" s="1"/>
  <c r="D57" i="26" s="1"/>
  <c r="D58" i="26" s="1"/>
  <c r="D59" i="26" s="1"/>
  <c r="D60" i="26" s="1"/>
  <c r="D61" i="26" s="1"/>
  <c r="D62" i="26" s="1"/>
  <c r="D63" i="26" s="1"/>
  <c r="D64" i="26" s="1"/>
  <c r="D65" i="26" s="1"/>
  <c r="D66" i="26" s="1"/>
  <c r="D67" i="26" s="1"/>
  <c r="D68" i="26" s="1"/>
  <c r="D69" i="26" s="1"/>
  <c r="D6" i="26"/>
  <c r="D7" i="26" s="1"/>
  <c r="D8" i="26" s="1"/>
  <c r="D9" i="26" s="1"/>
  <c r="D10" i="26" s="1"/>
  <c r="D11" i="26" s="1"/>
  <c r="D12" i="26" s="1"/>
  <c r="D13" i="26" s="1"/>
  <c r="D14" i="26" s="1"/>
  <c r="D15" i="26" s="1"/>
  <c r="D16" i="26" s="1"/>
  <c r="D17" i="26" s="1"/>
  <c r="D18" i="26" s="1"/>
  <c r="D19" i="26" s="1"/>
  <c r="D20" i="26" s="1"/>
  <c r="D21" i="26" s="1"/>
  <c r="D22" i="26" s="1"/>
  <c r="D23" i="26" s="1"/>
  <c r="D24" i="26" s="1"/>
  <c r="D25" i="26" s="1"/>
  <c r="D26" i="26" s="1"/>
  <c r="D27" i="26" s="1"/>
  <c r="D28" i="26" s="1"/>
  <c r="D29" i="26" s="1"/>
  <c r="D30" i="26" s="1"/>
  <c r="D31" i="26" s="1"/>
  <c r="D32" i="26" s="1"/>
  <c r="D33" i="26" s="1"/>
  <c r="D34" i="26" s="1"/>
  <c r="D35" i="26" s="1"/>
  <c r="D36" i="26" s="1"/>
  <c r="D37" i="26" s="1"/>
  <c r="D38" i="26" s="1"/>
  <c r="D5" i="26"/>
  <c r="C26" i="28" l="1"/>
  <c r="C64" i="28"/>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40" i="16"/>
  <c r="AL41" i="16" s="1"/>
  <c r="AI41" i="16" s="1"/>
  <c r="B10" i="25"/>
  <c r="B11" i="25" l="1"/>
  <c r="AC10" i="25"/>
  <c r="AE10" i="25"/>
  <c r="C27" i="28"/>
  <c r="C65" i="28"/>
  <c r="AY79" i="15"/>
  <c r="B12" i="25" l="1"/>
  <c r="AC11" i="25"/>
  <c r="AE11" i="25"/>
  <c r="C28" i="28"/>
  <c r="C66" i="28"/>
  <c r="AD127" i="24"/>
  <c r="AD97" i="24"/>
  <c r="AD67" i="24"/>
  <c r="AD37" i="24"/>
  <c r="W127" i="24"/>
  <c r="W97" i="24"/>
  <c r="W67" i="24"/>
  <c r="W37" i="24"/>
  <c r="B13" i="25" l="1"/>
  <c r="AC12" i="25"/>
  <c r="AE12" i="25"/>
  <c r="C29" i="28"/>
  <c r="C67" i="28"/>
  <c r="B14" i="25" l="1"/>
  <c r="AC13" i="25"/>
  <c r="AE13" i="25"/>
  <c r="C30" i="28"/>
  <c r="C68" i="28"/>
  <c r="C90" i="20"/>
  <c r="B15" i="25" l="1"/>
  <c r="AC14" i="25"/>
  <c r="AE14" i="25"/>
  <c r="C31" i="28"/>
  <c r="C69" i="28"/>
  <c r="P127" i="24"/>
  <c r="P97" i="24"/>
  <c r="P67" i="24"/>
  <c r="C70" i="28" l="1"/>
  <c r="C32" i="28"/>
  <c r="B16" i="25"/>
  <c r="AC15" i="25"/>
  <c r="AE15" i="25"/>
  <c r="P37" i="24"/>
  <c r="H127" i="24"/>
  <c r="H97" i="24"/>
  <c r="H67" i="24"/>
  <c r="H37" i="24"/>
  <c r="H7" i="24"/>
  <c r="B10" i="24"/>
  <c r="B11" i="24" s="1"/>
  <c r="B12" i="24" s="1"/>
  <c r="B13" i="24" s="1"/>
  <c r="B14" i="24" s="1"/>
  <c r="B15" i="24" s="1"/>
  <c r="B16" i="24" s="1"/>
  <c r="B17" i="24" s="1"/>
  <c r="B18" i="24" s="1"/>
  <c r="B19" i="24" s="1"/>
  <c r="B20" i="24" s="1"/>
  <c r="B21" i="24" s="1"/>
  <c r="B22" i="24" s="1"/>
  <c r="B23" i="24" s="1"/>
  <c r="B24" i="24" s="1"/>
  <c r="B25" i="24" s="1"/>
  <c r="B26" i="24" s="1"/>
  <c r="B27" i="24" s="1"/>
  <c r="B28" i="24" s="1"/>
  <c r="B29" i="24" s="1"/>
  <c r="B30" i="24" s="1"/>
  <c r="B31" i="24" s="1"/>
  <c r="B32" i="24" s="1"/>
  <c r="B33" i="24" s="1"/>
  <c r="B34" i="24" s="1"/>
  <c r="AC176" i="23"/>
  <c r="AA173" i="23"/>
  <c r="U173" i="23"/>
  <c r="Q176" i="23"/>
  <c r="O173" i="23"/>
  <c r="J173" i="23"/>
  <c r="K173" i="23"/>
  <c r="J174" i="23"/>
  <c r="K174" i="23"/>
  <c r="AC162" i="23"/>
  <c r="AC174" i="23" s="1"/>
  <c r="AB162" i="23"/>
  <c r="AB174" i="23" s="1"/>
  <c r="AA162" i="23"/>
  <c r="AA174" i="23" s="1"/>
  <c r="AC161" i="23"/>
  <c r="AC173" i="23" s="1"/>
  <c r="AB161" i="23"/>
  <c r="AB173" i="23" s="1"/>
  <c r="AA161" i="23"/>
  <c r="W162" i="23"/>
  <c r="W174" i="23" s="1"/>
  <c r="V162" i="23"/>
  <c r="V174" i="23" s="1"/>
  <c r="U162" i="23"/>
  <c r="U174" i="23" s="1"/>
  <c r="W161" i="23"/>
  <c r="W173" i="23" s="1"/>
  <c r="V161" i="23"/>
  <c r="V173" i="23" s="1"/>
  <c r="U161" i="23"/>
  <c r="Q162" i="23"/>
  <c r="Q174" i="23" s="1"/>
  <c r="P162" i="23"/>
  <c r="P174" i="23" s="1"/>
  <c r="O162" i="23"/>
  <c r="O174" i="23" s="1"/>
  <c r="Q161" i="23"/>
  <c r="Q173" i="23" s="1"/>
  <c r="P161" i="23"/>
  <c r="P173" i="23" s="1"/>
  <c r="O161" i="23"/>
  <c r="K165" i="23"/>
  <c r="K168" i="23" s="1"/>
  <c r="K162" i="23"/>
  <c r="K161" i="23"/>
  <c r="J162" i="23"/>
  <c r="J161" i="23"/>
  <c r="I162" i="23"/>
  <c r="I174" i="23" s="1"/>
  <c r="I161" i="23"/>
  <c r="I173" i="23" s="1"/>
  <c r="F198" i="23"/>
  <c r="F197" i="23"/>
  <c r="F196" i="23"/>
  <c r="F195" i="23"/>
  <c r="F194" i="23"/>
  <c r="F193" i="23"/>
  <c r="F192" i="23"/>
  <c r="F191" i="23"/>
  <c r="F190" i="23"/>
  <c r="F158" i="23"/>
  <c r="E158" i="23"/>
  <c r="D158" i="23"/>
  <c r="C158" i="23"/>
  <c r="B158" i="23"/>
  <c r="F157" i="23"/>
  <c r="E157" i="23"/>
  <c r="D157" i="23"/>
  <c r="C157" i="23"/>
  <c r="B157" i="23"/>
  <c r="F156" i="23"/>
  <c r="E156" i="23"/>
  <c r="D156" i="23"/>
  <c r="C156" i="23"/>
  <c r="B156" i="23"/>
  <c r="F155" i="23"/>
  <c r="E155" i="23"/>
  <c r="D155" i="23"/>
  <c r="C155" i="23"/>
  <c r="B155" i="23"/>
  <c r="F154" i="23"/>
  <c r="E154" i="23"/>
  <c r="D154" i="23"/>
  <c r="C154" i="23"/>
  <c r="B154" i="23"/>
  <c r="F153" i="23"/>
  <c r="E153" i="23"/>
  <c r="D153" i="23"/>
  <c r="C153" i="23"/>
  <c r="B153" i="23"/>
  <c r="F152" i="23"/>
  <c r="E152" i="23"/>
  <c r="D152" i="23"/>
  <c r="C152" i="23"/>
  <c r="B152" i="23"/>
  <c r="F151" i="23"/>
  <c r="E151" i="23"/>
  <c r="D151" i="23"/>
  <c r="C151" i="23"/>
  <c r="B151" i="23"/>
  <c r="F150" i="23"/>
  <c r="E150" i="23"/>
  <c r="D150" i="23"/>
  <c r="C150" i="23"/>
  <c r="B150" i="23"/>
  <c r="F149" i="23"/>
  <c r="E149" i="23"/>
  <c r="D149" i="23"/>
  <c r="C149" i="23"/>
  <c r="B149" i="23"/>
  <c r="F148" i="23"/>
  <c r="E148" i="23"/>
  <c r="D148" i="23"/>
  <c r="C148" i="23"/>
  <c r="B148" i="23"/>
  <c r="AE142" i="23"/>
  <c r="AD142" i="23"/>
  <c r="AC142" i="23"/>
  <c r="AB142" i="23"/>
  <c r="AA142" i="23"/>
  <c r="Y142" i="23"/>
  <c r="X142" i="23"/>
  <c r="W142" i="23"/>
  <c r="V142" i="23"/>
  <c r="U142" i="23"/>
  <c r="S142" i="23"/>
  <c r="R142" i="23"/>
  <c r="Q142" i="23"/>
  <c r="P142" i="23"/>
  <c r="O142" i="23"/>
  <c r="M142" i="23"/>
  <c r="L142" i="23"/>
  <c r="K142" i="23"/>
  <c r="J142" i="23"/>
  <c r="I142" i="23"/>
  <c r="F142" i="23"/>
  <c r="E142" i="23"/>
  <c r="D142" i="23"/>
  <c r="C142" i="23"/>
  <c r="B142" i="23"/>
  <c r="X141" i="23"/>
  <c r="AE140" i="23"/>
  <c r="AD140" i="23"/>
  <c r="AC140" i="23"/>
  <c r="AB140" i="23"/>
  <c r="AA140" i="23"/>
  <c r="Y140" i="23"/>
  <c r="X140" i="23"/>
  <c r="W140" i="23"/>
  <c r="V140" i="23"/>
  <c r="U140" i="23"/>
  <c r="S140" i="23"/>
  <c r="R140" i="23"/>
  <c r="Q140" i="23"/>
  <c r="P140" i="23"/>
  <c r="O140" i="23"/>
  <c r="M140" i="23"/>
  <c r="L140" i="23"/>
  <c r="K140" i="23"/>
  <c r="J140" i="23"/>
  <c r="I140" i="23"/>
  <c r="F140" i="23"/>
  <c r="E140" i="23"/>
  <c r="D140" i="23"/>
  <c r="C140" i="23"/>
  <c r="B140" i="23"/>
  <c r="AE139" i="23"/>
  <c r="AD139" i="23"/>
  <c r="AC139" i="23"/>
  <c r="AB139" i="23"/>
  <c r="AA139" i="23"/>
  <c r="Y139" i="23"/>
  <c r="X139" i="23"/>
  <c r="W139" i="23"/>
  <c r="V139" i="23"/>
  <c r="U139" i="23"/>
  <c r="S139" i="23"/>
  <c r="R139" i="23"/>
  <c r="Q139" i="23"/>
  <c r="P139" i="23"/>
  <c r="O139" i="23"/>
  <c r="M139" i="23"/>
  <c r="L139" i="23"/>
  <c r="K139" i="23"/>
  <c r="J139" i="23"/>
  <c r="I139" i="23"/>
  <c r="F139" i="23"/>
  <c r="E139" i="23"/>
  <c r="D139" i="23"/>
  <c r="C139" i="23"/>
  <c r="B139" i="23"/>
  <c r="AE138" i="23"/>
  <c r="AD138" i="23"/>
  <c r="AC138" i="23"/>
  <c r="AB138" i="23"/>
  <c r="AA138" i="23"/>
  <c r="Y138" i="23"/>
  <c r="X138" i="23"/>
  <c r="W138" i="23"/>
  <c r="V138" i="23"/>
  <c r="U138" i="23"/>
  <c r="S138" i="23"/>
  <c r="R138" i="23"/>
  <c r="Q138" i="23"/>
  <c r="P138" i="23"/>
  <c r="O138" i="23"/>
  <c r="M138" i="23"/>
  <c r="L138" i="23"/>
  <c r="K138" i="23"/>
  <c r="J138" i="23"/>
  <c r="I138" i="23"/>
  <c r="F138" i="23"/>
  <c r="E138" i="23"/>
  <c r="D138" i="23"/>
  <c r="C138" i="23"/>
  <c r="B138" i="23"/>
  <c r="AE137" i="23"/>
  <c r="AD137" i="23"/>
  <c r="AC137" i="23"/>
  <c r="AB137" i="23"/>
  <c r="AA137" i="23"/>
  <c r="Y137" i="23"/>
  <c r="X137" i="23"/>
  <c r="W137" i="23"/>
  <c r="V137" i="23"/>
  <c r="U137" i="23"/>
  <c r="S137" i="23"/>
  <c r="R137" i="23"/>
  <c r="Q137" i="23"/>
  <c r="P137" i="23"/>
  <c r="O137" i="23"/>
  <c r="M137" i="23"/>
  <c r="L137" i="23"/>
  <c r="K137" i="23"/>
  <c r="J137" i="23"/>
  <c r="I137" i="23"/>
  <c r="F137" i="23"/>
  <c r="E137" i="23"/>
  <c r="D137" i="23"/>
  <c r="C137" i="23"/>
  <c r="B137" i="23"/>
  <c r="AE136" i="23"/>
  <c r="AD136" i="23"/>
  <c r="AC136" i="23"/>
  <c r="AB136" i="23"/>
  <c r="AA136" i="23"/>
  <c r="Y136" i="23"/>
  <c r="X136" i="23"/>
  <c r="W136" i="23"/>
  <c r="V136" i="23"/>
  <c r="U136" i="23"/>
  <c r="S136" i="23"/>
  <c r="R136" i="23"/>
  <c r="Q136" i="23"/>
  <c r="P136" i="23"/>
  <c r="O136" i="23"/>
  <c r="M136" i="23"/>
  <c r="L136" i="23"/>
  <c r="K136" i="23"/>
  <c r="J136" i="23"/>
  <c r="I136" i="23"/>
  <c r="F136" i="23"/>
  <c r="E136" i="23"/>
  <c r="D136" i="23"/>
  <c r="C136" i="23"/>
  <c r="B136" i="23"/>
  <c r="AE135" i="23"/>
  <c r="AD135" i="23"/>
  <c r="AC135" i="23"/>
  <c r="AB135" i="23"/>
  <c r="AA135" i="23"/>
  <c r="Y135" i="23"/>
  <c r="X135" i="23"/>
  <c r="W135" i="23"/>
  <c r="V135" i="23"/>
  <c r="U135" i="23"/>
  <c r="S135" i="23"/>
  <c r="R135" i="23"/>
  <c r="Q135" i="23"/>
  <c r="P135" i="23"/>
  <c r="O135" i="23"/>
  <c r="M135" i="23"/>
  <c r="L135" i="23"/>
  <c r="K135" i="23"/>
  <c r="J135" i="23"/>
  <c r="I135" i="23"/>
  <c r="F135" i="23"/>
  <c r="E135" i="23"/>
  <c r="D135" i="23"/>
  <c r="C135" i="23"/>
  <c r="B135" i="23"/>
  <c r="AE134" i="23"/>
  <c r="AD134" i="23"/>
  <c r="AC134" i="23"/>
  <c r="AB134" i="23"/>
  <c r="AA134" i="23"/>
  <c r="Y134" i="23"/>
  <c r="X134" i="23"/>
  <c r="W134" i="23"/>
  <c r="V134" i="23"/>
  <c r="U134" i="23"/>
  <c r="S134" i="23"/>
  <c r="R134" i="23"/>
  <c r="Q134" i="23"/>
  <c r="P134" i="23"/>
  <c r="O134" i="23"/>
  <c r="M134" i="23"/>
  <c r="L134" i="23"/>
  <c r="K134" i="23"/>
  <c r="J134" i="23"/>
  <c r="I134" i="23"/>
  <c r="F134" i="23"/>
  <c r="E134" i="23"/>
  <c r="D134" i="23"/>
  <c r="C134" i="23"/>
  <c r="B134" i="23"/>
  <c r="I113" i="23"/>
  <c r="AL110" i="23"/>
  <c r="AE110" i="23"/>
  <c r="AE127" i="23" s="1"/>
  <c r="AD110" i="23"/>
  <c r="AD127" i="23" s="1"/>
  <c r="AB165" i="23" s="1"/>
  <c r="AB168" i="23" s="1"/>
  <c r="AC110" i="23"/>
  <c r="AC127" i="23" s="1"/>
  <c r="AC165" i="23" s="1"/>
  <c r="AC168" i="23" s="1"/>
  <c r="AB110" i="23"/>
  <c r="AB127" i="23" s="1"/>
  <c r="AA110" i="23"/>
  <c r="AA127" i="23" s="1"/>
  <c r="AA165" i="23" s="1"/>
  <c r="AA168" i="23" s="1"/>
  <c r="Y110" i="23"/>
  <c r="Y127" i="23" s="1"/>
  <c r="X110" i="23"/>
  <c r="X127" i="23" s="1"/>
  <c r="V165" i="23" s="1"/>
  <c r="V168" i="23" s="1"/>
  <c r="W110" i="23"/>
  <c r="W127" i="23" s="1"/>
  <c r="W165" i="23" s="1"/>
  <c r="W168" i="23" s="1"/>
  <c r="V110" i="23"/>
  <c r="V127" i="23" s="1"/>
  <c r="U110" i="23"/>
  <c r="U127" i="23" s="1"/>
  <c r="U165" i="23" s="1"/>
  <c r="U168" i="23" s="1"/>
  <c r="S110" i="23"/>
  <c r="S127" i="23" s="1"/>
  <c r="R110" i="23"/>
  <c r="R127" i="23" s="1"/>
  <c r="P165" i="23" s="1"/>
  <c r="P168" i="23" s="1"/>
  <c r="Q110" i="23"/>
  <c r="Q127" i="23" s="1"/>
  <c r="Q165" i="23" s="1"/>
  <c r="Q168" i="23" s="1"/>
  <c r="P110" i="23"/>
  <c r="P127" i="23" s="1"/>
  <c r="O110" i="23"/>
  <c r="O127" i="23" s="1"/>
  <c r="O165" i="23" s="1"/>
  <c r="O168" i="23" s="1"/>
  <c r="M110" i="23"/>
  <c r="M127" i="23" s="1"/>
  <c r="L110" i="23"/>
  <c r="L127" i="23" s="1"/>
  <c r="J165" i="23" s="1"/>
  <c r="J168" i="23" s="1"/>
  <c r="K110" i="23"/>
  <c r="K127" i="23" s="1"/>
  <c r="J110" i="23"/>
  <c r="J127" i="23" s="1"/>
  <c r="I110" i="23"/>
  <c r="I127" i="23" s="1"/>
  <c r="I165" i="23" s="1"/>
  <c r="I168" i="23" s="1"/>
  <c r="F110" i="23"/>
  <c r="F127" i="23" s="1"/>
  <c r="E110" i="23"/>
  <c r="E127" i="23" s="1"/>
  <c r="D110" i="23"/>
  <c r="D127" i="23" s="1"/>
  <c r="C110" i="23"/>
  <c r="C127" i="23" s="1"/>
  <c r="B110" i="23"/>
  <c r="B127" i="23" s="1"/>
  <c r="AL109" i="23"/>
  <c r="AD109" i="23" s="1"/>
  <c r="AD126" i="23" s="1"/>
  <c r="AC109" i="23"/>
  <c r="AC126" i="23" s="1"/>
  <c r="Y109" i="23"/>
  <c r="Y126" i="23" s="1"/>
  <c r="W109" i="23"/>
  <c r="W126" i="23" s="1"/>
  <c r="U109" i="23"/>
  <c r="U126" i="23" s="1"/>
  <c r="S109" i="23"/>
  <c r="S126" i="23" s="1"/>
  <c r="Q109" i="23"/>
  <c r="Q126" i="23" s="1"/>
  <c r="O109" i="23"/>
  <c r="O126" i="23" s="1"/>
  <c r="K109" i="23"/>
  <c r="K126" i="23" s="1"/>
  <c r="I109" i="23"/>
  <c r="I126" i="23" s="1"/>
  <c r="F109" i="23"/>
  <c r="F126" i="23" s="1"/>
  <c r="E109" i="23"/>
  <c r="E126" i="23" s="1"/>
  <c r="D109" i="23"/>
  <c r="D126" i="23" s="1"/>
  <c r="C109" i="23"/>
  <c r="C126" i="23" s="1"/>
  <c r="B109" i="23"/>
  <c r="B126" i="23" s="1"/>
  <c r="G126" i="23" s="1"/>
  <c r="AH126" i="23" s="1"/>
  <c r="AL108" i="23"/>
  <c r="AB108" i="23" s="1"/>
  <c r="AB125" i="23" s="1"/>
  <c r="AE108" i="23"/>
  <c r="AE125" i="23" s="1"/>
  <c r="AD108" i="23"/>
  <c r="AD125" i="23" s="1"/>
  <c r="AB164" i="23" s="1"/>
  <c r="AB167" i="23" s="1"/>
  <c r="AB169" i="23" s="1"/>
  <c r="Q126" i="24" s="1"/>
  <c r="AC108" i="23"/>
  <c r="AC125" i="23" s="1"/>
  <c r="AC164" i="23" s="1"/>
  <c r="AC167" i="23" s="1"/>
  <c r="AC169" i="23" s="1"/>
  <c r="R126" i="24" s="1"/>
  <c r="R127" i="24" s="1"/>
  <c r="U108" i="23"/>
  <c r="U125" i="23" s="1"/>
  <c r="S108" i="23"/>
  <c r="S125" i="23" s="1"/>
  <c r="R108" i="23"/>
  <c r="R125" i="23" s="1"/>
  <c r="P164" i="23" s="1"/>
  <c r="P167" i="23" s="1"/>
  <c r="Q108" i="23"/>
  <c r="Q125" i="23" s="1"/>
  <c r="Q164" i="23" s="1"/>
  <c r="Q167" i="23" s="1"/>
  <c r="Q169" i="23" s="1"/>
  <c r="R66" i="24" s="1"/>
  <c r="P108" i="23"/>
  <c r="P125" i="23" s="1"/>
  <c r="O108" i="23"/>
  <c r="O125" i="23" s="1"/>
  <c r="O164" i="23" s="1"/>
  <c r="O167" i="23" s="1"/>
  <c r="E108" i="23"/>
  <c r="E125" i="23" s="1"/>
  <c r="D108" i="23"/>
  <c r="D125" i="23" s="1"/>
  <c r="C108" i="23"/>
  <c r="C125" i="23" s="1"/>
  <c r="B108" i="23"/>
  <c r="B125" i="23" s="1"/>
  <c r="AL107" i="23"/>
  <c r="AD107" i="23" s="1"/>
  <c r="AD124" i="23" s="1"/>
  <c r="AL106" i="23"/>
  <c r="U106" i="23" s="1"/>
  <c r="U123" i="23" s="1"/>
  <c r="AD106" i="23"/>
  <c r="AD123" i="23" s="1"/>
  <c r="AB106" i="23"/>
  <c r="AB123" i="23" s="1"/>
  <c r="AA106" i="23"/>
  <c r="AA123" i="23" s="1"/>
  <c r="Y106" i="23"/>
  <c r="Y123" i="23" s="1"/>
  <c r="X106" i="23"/>
  <c r="X123" i="23" s="1"/>
  <c r="W106" i="23"/>
  <c r="W123" i="23" s="1"/>
  <c r="V106" i="23"/>
  <c r="V123" i="23" s="1"/>
  <c r="R106" i="23"/>
  <c r="R123" i="23" s="1"/>
  <c r="P106" i="23"/>
  <c r="P123" i="23" s="1"/>
  <c r="M106" i="23"/>
  <c r="M123" i="23" s="1"/>
  <c r="L106" i="23"/>
  <c r="L123" i="23" s="1"/>
  <c r="K106" i="23"/>
  <c r="K123" i="23" s="1"/>
  <c r="J106" i="23"/>
  <c r="J123" i="23" s="1"/>
  <c r="I106" i="23"/>
  <c r="I123" i="23" s="1"/>
  <c r="F106" i="23"/>
  <c r="F123" i="23" s="1"/>
  <c r="D106" i="23"/>
  <c r="D123" i="23" s="1"/>
  <c r="C106" i="23"/>
  <c r="C123" i="23" s="1"/>
  <c r="AL105" i="23"/>
  <c r="AD105" i="23" s="1"/>
  <c r="AD122" i="23" s="1"/>
  <c r="AC105" i="23"/>
  <c r="AC122" i="23" s="1"/>
  <c r="AA105" i="23"/>
  <c r="AA122" i="23" s="1"/>
  <c r="Y105" i="23"/>
  <c r="Y122" i="23" s="1"/>
  <c r="W105" i="23"/>
  <c r="W122" i="23" s="1"/>
  <c r="U105" i="23"/>
  <c r="U122" i="23" s="1"/>
  <c r="S105" i="23"/>
  <c r="S122" i="23" s="1"/>
  <c r="M105" i="23"/>
  <c r="M122" i="23" s="1"/>
  <c r="I105" i="23"/>
  <c r="I122" i="23" s="1"/>
  <c r="D105" i="23"/>
  <c r="D122" i="23" s="1"/>
  <c r="B105" i="23"/>
  <c r="B122" i="23" s="1"/>
  <c r="AL104" i="23"/>
  <c r="AB104" i="23" s="1"/>
  <c r="AB121" i="23" s="1"/>
  <c r="AE104" i="23"/>
  <c r="AE121" i="23" s="1"/>
  <c r="AD104" i="23"/>
  <c r="AD121" i="23" s="1"/>
  <c r="AC104" i="23"/>
  <c r="AC121" i="23" s="1"/>
  <c r="U104" i="23"/>
  <c r="U121" i="23" s="1"/>
  <c r="S104" i="23"/>
  <c r="S121" i="23" s="1"/>
  <c r="R104" i="23"/>
  <c r="R121" i="23" s="1"/>
  <c r="Q104" i="23"/>
  <c r="Q121" i="23" s="1"/>
  <c r="P104" i="23"/>
  <c r="P121" i="23" s="1"/>
  <c r="O104" i="23"/>
  <c r="O121" i="23" s="1"/>
  <c r="E104" i="23"/>
  <c r="E121" i="23" s="1"/>
  <c r="D104" i="23"/>
  <c r="D121" i="23" s="1"/>
  <c r="C104" i="23"/>
  <c r="C121" i="23" s="1"/>
  <c r="B104" i="23"/>
  <c r="B121" i="23" s="1"/>
  <c r="AL103" i="23"/>
  <c r="AD103" i="23" s="1"/>
  <c r="AD120" i="23" s="1"/>
  <c r="AL102" i="23"/>
  <c r="U102" i="23" s="1"/>
  <c r="U119" i="23" s="1"/>
  <c r="Z119" i="23" s="1"/>
  <c r="AD102" i="23"/>
  <c r="AD119" i="23" s="1"/>
  <c r="AB102" i="23"/>
  <c r="AB119" i="23" s="1"/>
  <c r="AA102" i="23"/>
  <c r="AA119" i="23" s="1"/>
  <c r="Y102" i="23"/>
  <c r="Y119" i="23" s="1"/>
  <c r="X102" i="23"/>
  <c r="X119" i="23" s="1"/>
  <c r="W102" i="23"/>
  <c r="W119" i="23" s="1"/>
  <c r="V102" i="23"/>
  <c r="V119" i="23" s="1"/>
  <c r="R102" i="23"/>
  <c r="R119" i="23" s="1"/>
  <c r="P102" i="23"/>
  <c r="P119" i="23" s="1"/>
  <c r="M102" i="23"/>
  <c r="M119" i="23" s="1"/>
  <c r="L102" i="23"/>
  <c r="L119" i="23" s="1"/>
  <c r="K102" i="23"/>
  <c r="K119" i="23" s="1"/>
  <c r="J102" i="23"/>
  <c r="J119" i="23" s="1"/>
  <c r="I102" i="23"/>
  <c r="I119" i="23" s="1"/>
  <c r="N119" i="23" s="1"/>
  <c r="F102" i="23"/>
  <c r="F119" i="23" s="1"/>
  <c r="C102" i="23"/>
  <c r="C119" i="23" s="1"/>
  <c r="AL101" i="23"/>
  <c r="AD101" i="23" s="1"/>
  <c r="AD118" i="23" s="1"/>
  <c r="AC101" i="23"/>
  <c r="AC118" i="23" s="1"/>
  <c r="AA101" i="23"/>
  <c r="AA118" i="23" s="1"/>
  <c r="Y101" i="23"/>
  <c r="Y118" i="23" s="1"/>
  <c r="W101" i="23"/>
  <c r="W118" i="23" s="1"/>
  <c r="U101" i="23"/>
  <c r="U118" i="23" s="1"/>
  <c r="S101" i="23"/>
  <c r="S118" i="23" s="1"/>
  <c r="I101" i="23"/>
  <c r="D101" i="23"/>
  <c r="D118" i="23" s="1"/>
  <c r="B101" i="23"/>
  <c r="AL100" i="23"/>
  <c r="AB100" i="23" s="1"/>
  <c r="AB117" i="23" s="1"/>
  <c r="AE100" i="23"/>
  <c r="AE117" i="23" s="1"/>
  <c r="AD100" i="23"/>
  <c r="AD117" i="23" s="1"/>
  <c r="AC100" i="23"/>
  <c r="AC117" i="23" s="1"/>
  <c r="U100" i="23"/>
  <c r="U117" i="23" s="1"/>
  <c r="S100" i="23"/>
  <c r="S117" i="23" s="1"/>
  <c r="R100" i="23"/>
  <c r="R117" i="23" s="1"/>
  <c r="Q100" i="23"/>
  <c r="Q117" i="23" s="1"/>
  <c r="P100" i="23"/>
  <c r="P117" i="23" s="1"/>
  <c r="O100" i="23"/>
  <c r="O117" i="23" s="1"/>
  <c r="E100" i="23"/>
  <c r="E117" i="23" s="1"/>
  <c r="D100" i="23"/>
  <c r="D117" i="23" s="1"/>
  <c r="C100" i="23"/>
  <c r="C117" i="23" s="1"/>
  <c r="B100" i="23"/>
  <c r="B117" i="23" s="1"/>
  <c r="AA96" i="23"/>
  <c r="U96" i="23"/>
  <c r="O96" i="23"/>
  <c r="I96" i="23"/>
  <c r="AF92" i="23"/>
  <c r="Z92" i="23"/>
  <c r="T92" i="23"/>
  <c r="N92" i="23"/>
  <c r="AI92" i="23" s="1"/>
  <c r="G92" i="23"/>
  <c r="AH92" i="23" s="1"/>
  <c r="AH91" i="23"/>
  <c r="AF91" i="23"/>
  <c r="Z91" i="23"/>
  <c r="T91" i="23"/>
  <c r="N91" i="23"/>
  <c r="G91" i="23"/>
  <c r="AF90" i="23"/>
  <c r="Z90" i="23"/>
  <c r="T90" i="23"/>
  <c r="AI90" i="23" s="1"/>
  <c r="N90" i="23"/>
  <c r="G90" i="23"/>
  <c r="AH90" i="23" s="1"/>
  <c r="AH89" i="23"/>
  <c r="AF89" i="23"/>
  <c r="Z89" i="23"/>
  <c r="T89" i="23"/>
  <c r="N89" i="23"/>
  <c r="G89" i="23"/>
  <c r="AF88" i="23"/>
  <c r="Z88" i="23"/>
  <c r="T88" i="23"/>
  <c r="N88" i="23"/>
  <c r="G88" i="23"/>
  <c r="AH88" i="23" s="1"/>
  <c r="AF87" i="23"/>
  <c r="Z87" i="23"/>
  <c r="T87" i="23"/>
  <c r="N87" i="23"/>
  <c r="AI87" i="23" s="1"/>
  <c r="G87" i="23"/>
  <c r="AH87" i="23" s="1"/>
  <c r="AF86" i="23"/>
  <c r="Z86" i="23"/>
  <c r="T86" i="23"/>
  <c r="AI86" i="23" s="1"/>
  <c r="N86" i="23"/>
  <c r="G86" i="23"/>
  <c r="AH86" i="23" s="1"/>
  <c r="AF85" i="23"/>
  <c r="Z85" i="23"/>
  <c r="T85" i="23"/>
  <c r="N85" i="23"/>
  <c r="G85" i="23"/>
  <c r="AH85" i="23" s="1"/>
  <c r="AF84" i="23"/>
  <c r="Z84" i="23"/>
  <c r="T84" i="23"/>
  <c r="N84" i="23"/>
  <c r="G84" i="23"/>
  <c r="AH84" i="23" s="1"/>
  <c r="AF83" i="23"/>
  <c r="Z83" i="23"/>
  <c r="T83" i="23"/>
  <c r="N83" i="23"/>
  <c r="G83" i="23"/>
  <c r="AH83" i="23" s="1"/>
  <c r="AF82" i="23"/>
  <c r="Z82" i="23"/>
  <c r="T82" i="23"/>
  <c r="N82" i="23"/>
  <c r="G82" i="23"/>
  <c r="AH82" i="23" s="1"/>
  <c r="I78" i="23"/>
  <c r="AF75" i="23"/>
  <c r="Z75" i="23"/>
  <c r="T75" i="23"/>
  <c r="N75" i="23"/>
  <c r="G75" i="23"/>
  <c r="AH75" i="23" s="1"/>
  <c r="AH74" i="23"/>
  <c r="AF74" i="23"/>
  <c r="Z74" i="23"/>
  <c r="T74" i="23"/>
  <c r="N74" i="23"/>
  <c r="G74" i="23"/>
  <c r="AF73" i="23"/>
  <c r="Z73" i="23"/>
  <c r="T73" i="23"/>
  <c r="N73" i="23"/>
  <c r="G73" i="23"/>
  <c r="AH73" i="23" s="1"/>
  <c r="AH72" i="23"/>
  <c r="AF72" i="23"/>
  <c r="Z72" i="23"/>
  <c r="T72" i="23"/>
  <c r="N72" i="23"/>
  <c r="G72" i="23"/>
  <c r="AF71" i="23"/>
  <c r="Z71" i="23"/>
  <c r="T71" i="23"/>
  <c r="AI71" i="23" s="1"/>
  <c r="N71" i="23"/>
  <c r="G71" i="23"/>
  <c r="AH71" i="23" s="1"/>
  <c r="AH70" i="23"/>
  <c r="AF70" i="23"/>
  <c r="Z70" i="23"/>
  <c r="T70" i="23"/>
  <c r="N70" i="23"/>
  <c r="G70" i="23"/>
  <c r="AF69" i="23"/>
  <c r="Z69" i="23"/>
  <c r="T69" i="23"/>
  <c r="N69" i="23"/>
  <c r="G69" i="23"/>
  <c r="AH69" i="23" s="1"/>
  <c r="AF68" i="23"/>
  <c r="Z68" i="23"/>
  <c r="T68" i="23"/>
  <c r="N68" i="23"/>
  <c r="AI68" i="23" s="1"/>
  <c r="G68" i="23"/>
  <c r="AH68" i="23" s="1"/>
  <c r="AF67" i="23"/>
  <c r="Z67" i="23"/>
  <c r="T67" i="23"/>
  <c r="N67" i="23"/>
  <c r="G67" i="23"/>
  <c r="AH67" i="23" s="1"/>
  <c r="AF66" i="23"/>
  <c r="Z66" i="23"/>
  <c r="T66" i="23"/>
  <c r="N66" i="23"/>
  <c r="G66" i="23"/>
  <c r="AH66" i="23" s="1"/>
  <c r="AF65" i="23"/>
  <c r="Z65" i="23"/>
  <c r="T65" i="23"/>
  <c r="N65" i="23"/>
  <c r="G65" i="23"/>
  <c r="AH65" i="23" s="1"/>
  <c r="AA61" i="23"/>
  <c r="U61" i="23"/>
  <c r="O61" i="23"/>
  <c r="I61" i="23"/>
  <c r="AE59" i="23"/>
  <c r="AD59" i="23"/>
  <c r="AC59" i="23"/>
  <c r="AB59" i="23"/>
  <c r="AA59" i="23"/>
  <c r="Y59" i="23"/>
  <c r="X59" i="23"/>
  <c r="W59" i="23"/>
  <c r="V59" i="23"/>
  <c r="U59" i="23"/>
  <c r="S59" i="23"/>
  <c r="R59" i="23"/>
  <c r="Q59" i="23"/>
  <c r="P59" i="23"/>
  <c r="O59" i="23"/>
  <c r="M59" i="23"/>
  <c r="L59" i="23"/>
  <c r="K59" i="23"/>
  <c r="J59" i="23"/>
  <c r="I59" i="23"/>
  <c r="G59" i="23"/>
  <c r="F59" i="23"/>
  <c r="E59" i="23"/>
  <c r="D59" i="23"/>
  <c r="C59" i="23"/>
  <c r="B59" i="23"/>
  <c r="AE58" i="23"/>
  <c r="AD58" i="23"/>
  <c r="AC58" i="23"/>
  <c r="AB58" i="23"/>
  <c r="AA58" i="23"/>
  <c r="Y58" i="23"/>
  <c r="X58" i="23"/>
  <c r="W58" i="23"/>
  <c r="V58" i="23"/>
  <c r="U58" i="23"/>
  <c r="S58" i="23"/>
  <c r="R58" i="23"/>
  <c r="Q58" i="23"/>
  <c r="P58" i="23"/>
  <c r="O58" i="23"/>
  <c r="M58" i="23"/>
  <c r="L58" i="23"/>
  <c r="K58" i="23"/>
  <c r="J58" i="23"/>
  <c r="I58" i="23"/>
  <c r="F58" i="23"/>
  <c r="E58" i="23"/>
  <c r="D58" i="23"/>
  <c r="C58" i="23"/>
  <c r="B58" i="23"/>
  <c r="AE56" i="23"/>
  <c r="AD56" i="23"/>
  <c r="AC56" i="23"/>
  <c r="AC57" i="23" s="1"/>
  <c r="AC36" i="23" s="1"/>
  <c r="AC141" i="23" s="1"/>
  <c r="AB56" i="23"/>
  <c r="AB57" i="23" s="1"/>
  <c r="AB36" i="23" s="1"/>
  <c r="AB141" i="23" s="1"/>
  <c r="AA56" i="23"/>
  <c r="AA57" i="23" s="1"/>
  <c r="AA36" i="23" s="1"/>
  <c r="AA141" i="23" s="1"/>
  <c r="Y56" i="23"/>
  <c r="Y57" i="23" s="1"/>
  <c r="Y36" i="23" s="1"/>
  <c r="Y141" i="23" s="1"/>
  <c r="X56" i="23"/>
  <c r="X57" i="23" s="1"/>
  <c r="W56" i="23"/>
  <c r="W57" i="23" s="1"/>
  <c r="W36" i="23" s="1"/>
  <c r="W141" i="23" s="1"/>
  <c r="V56" i="23"/>
  <c r="V57" i="23" s="1"/>
  <c r="V36" i="23" s="1"/>
  <c r="V141" i="23" s="1"/>
  <c r="U56" i="23"/>
  <c r="S56" i="23"/>
  <c r="S57" i="23" s="1"/>
  <c r="S36" i="23" s="1"/>
  <c r="S141" i="23" s="1"/>
  <c r="R56" i="23"/>
  <c r="R57" i="23" s="1"/>
  <c r="R36" i="23" s="1"/>
  <c r="R141" i="23" s="1"/>
  <c r="Q56" i="23"/>
  <c r="P56" i="23"/>
  <c r="O56" i="23"/>
  <c r="O57" i="23" s="1"/>
  <c r="O36" i="23" s="1"/>
  <c r="O141" i="23" s="1"/>
  <c r="M56" i="23"/>
  <c r="M57" i="23" s="1"/>
  <c r="M36" i="23" s="1"/>
  <c r="M141" i="23" s="1"/>
  <c r="L56" i="23"/>
  <c r="L57" i="23" s="1"/>
  <c r="L36" i="23" s="1"/>
  <c r="L141" i="23" s="1"/>
  <c r="K56" i="23"/>
  <c r="K57" i="23" s="1"/>
  <c r="K36" i="23" s="1"/>
  <c r="K141" i="23" s="1"/>
  <c r="J56" i="23"/>
  <c r="J57" i="23" s="1"/>
  <c r="J36" i="23" s="1"/>
  <c r="J141" i="23" s="1"/>
  <c r="I56" i="23"/>
  <c r="I57" i="23" s="1"/>
  <c r="I36" i="23" s="1"/>
  <c r="I141" i="23" s="1"/>
  <c r="F56" i="23"/>
  <c r="F57" i="23" s="1"/>
  <c r="F36" i="23" s="1"/>
  <c r="F141" i="23" s="1"/>
  <c r="E56" i="23"/>
  <c r="D56" i="23"/>
  <c r="D57" i="23" s="1"/>
  <c r="D36" i="23" s="1"/>
  <c r="D141" i="23" s="1"/>
  <c r="C56" i="23"/>
  <c r="C57" i="23" s="1"/>
  <c r="C36" i="23" s="1"/>
  <c r="C141" i="23" s="1"/>
  <c r="B56" i="23"/>
  <c r="AE55" i="23"/>
  <c r="AD55" i="23"/>
  <c r="AC55" i="23"/>
  <c r="AB55" i="23"/>
  <c r="AA55" i="23"/>
  <c r="Y55" i="23"/>
  <c r="X55" i="23"/>
  <c r="W55" i="23"/>
  <c r="V55" i="23"/>
  <c r="U55" i="23"/>
  <c r="S55" i="23"/>
  <c r="R55" i="23"/>
  <c r="Q55" i="23"/>
  <c r="P55" i="23"/>
  <c r="O55" i="23"/>
  <c r="M55" i="23"/>
  <c r="L55" i="23"/>
  <c r="K55" i="23"/>
  <c r="J55" i="23"/>
  <c r="I55" i="23"/>
  <c r="F55" i="23"/>
  <c r="E55" i="23"/>
  <c r="D55" i="23"/>
  <c r="C55" i="23"/>
  <c r="B55" i="23"/>
  <c r="AE54" i="23"/>
  <c r="AD54" i="23"/>
  <c r="AC54" i="23"/>
  <c r="AB54" i="23"/>
  <c r="AA54" i="23"/>
  <c r="Y54" i="23"/>
  <c r="X54" i="23"/>
  <c r="W54" i="23"/>
  <c r="V54" i="23"/>
  <c r="U54" i="23"/>
  <c r="S54" i="23"/>
  <c r="R54" i="23"/>
  <c r="Q54" i="23"/>
  <c r="P54" i="23"/>
  <c r="O54" i="23"/>
  <c r="M54" i="23"/>
  <c r="L54" i="23"/>
  <c r="K54" i="23"/>
  <c r="J54" i="23"/>
  <c r="I54" i="23"/>
  <c r="F54" i="23"/>
  <c r="E54" i="23"/>
  <c r="D54" i="23"/>
  <c r="C54" i="23"/>
  <c r="B54" i="23"/>
  <c r="AE53" i="23"/>
  <c r="AD53" i="23"/>
  <c r="AC53" i="23"/>
  <c r="AB53" i="23"/>
  <c r="AA53" i="23"/>
  <c r="Y53" i="23"/>
  <c r="X53" i="23"/>
  <c r="W53" i="23"/>
  <c r="V53" i="23"/>
  <c r="U53" i="23"/>
  <c r="S53" i="23"/>
  <c r="R53" i="23"/>
  <c r="Q53" i="23"/>
  <c r="P53" i="23"/>
  <c r="O53" i="23"/>
  <c r="M53" i="23"/>
  <c r="L53" i="23"/>
  <c r="K53" i="23"/>
  <c r="J53" i="23"/>
  <c r="I53" i="23"/>
  <c r="F53" i="23"/>
  <c r="E53" i="23"/>
  <c r="D53" i="23"/>
  <c r="C53" i="23"/>
  <c r="B53" i="23"/>
  <c r="AE52" i="23"/>
  <c r="AD52" i="23"/>
  <c r="AC52" i="23"/>
  <c r="AB52" i="23"/>
  <c r="AA52" i="23"/>
  <c r="Y52" i="23"/>
  <c r="X52" i="23"/>
  <c r="W52" i="23"/>
  <c r="V52" i="23"/>
  <c r="U52" i="23"/>
  <c r="S52" i="23"/>
  <c r="R52" i="23"/>
  <c r="Q52" i="23"/>
  <c r="P52" i="23"/>
  <c r="O52" i="23"/>
  <c r="M52" i="23"/>
  <c r="L52" i="23"/>
  <c r="K52" i="23"/>
  <c r="J52" i="23"/>
  <c r="I52" i="23"/>
  <c r="F52" i="23"/>
  <c r="E52" i="23"/>
  <c r="D52" i="23"/>
  <c r="C52" i="23"/>
  <c r="B52" i="23"/>
  <c r="AE51" i="23"/>
  <c r="AD51" i="23"/>
  <c r="AC51" i="23"/>
  <c r="AB51" i="23"/>
  <c r="AA51" i="23"/>
  <c r="Y51" i="23"/>
  <c r="X51" i="23"/>
  <c r="W51" i="23"/>
  <c r="V51" i="23"/>
  <c r="U51" i="23"/>
  <c r="S51" i="23"/>
  <c r="R51" i="23"/>
  <c r="Q51" i="23"/>
  <c r="P51" i="23"/>
  <c r="O51" i="23"/>
  <c r="M51" i="23"/>
  <c r="L51" i="23"/>
  <c r="K51" i="23"/>
  <c r="J51" i="23"/>
  <c r="I51" i="23"/>
  <c r="F51" i="23"/>
  <c r="E51" i="23"/>
  <c r="D51" i="23"/>
  <c r="C51" i="23"/>
  <c r="B51" i="23"/>
  <c r="AE50" i="23"/>
  <c r="AD50" i="23"/>
  <c r="AD48" i="23" s="1"/>
  <c r="AD27" i="23" s="1"/>
  <c r="AD132" i="23" s="1"/>
  <c r="AC50" i="23"/>
  <c r="AC49" i="23" s="1"/>
  <c r="AC28" i="23" s="1"/>
  <c r="AC133" i="23" s="1"/>
  <c r="AB50" i="23"/>
  <c r="AA50" i="23"/>
  <c r="Y50" i="23"/>
  <c r="Y48" i="23" s="1"/>
  <c r="Y27" i="23" s="1"/>
  <c r="Y132" i="23" s="1"/>
  <c r="X50" i="23"/>
  <c r="X49" i="23" s="1"/>
  <c r="X28" i="23" s="1"/>
  <c r="X133" i="23" s="1"/>
  <c r="W50" i="23"/>
  <c r="V50" i="23"/>
  <c r="U50" i="23"/>
  <c r="S50" i="23"/>
  <c r="R50" i="23"/>
  <c r="R49" i="23" s="1"/>
  <c r="R28" i="23" s="1"/>
  <c r="R133" i="23" s="1"/>
  <c r="Q50" i="23"/>
  <c r="P50" i="23"/>
  <c r="P48" i="23" s="1"/>
  <c r="P27" i="23" s="1"/>
  <c r="P132" i="23" s="1"/>
  <c r="O50" i="23"/>
  <c r="O49" i="23" s="1"/>
  <c r="O28" i="23" s="1"/>
  <c r="O133" i="23" s="1"/>
  <c r="M50" i="23"/>
  <c r="L50" i="23"/>
  <c r="K50" i="23"/>
  <c r="K48" i="23" s="1"/>
  <c r="K27" i="23" s="1"/>
  <c r="K132" i="23" s="1"/>
  <c r="J50" i="23"/>
  <c r="J49" i="23" s="1"/>
  <c r="J28" i="23" s="1"/>
  <c r="J133" i="23" s="1"/>
  <c r="I50" i="23"/>
  <c r="F50" i="23"/>
  <c r="E50" i="23"/>
  <c r="D50" i="23"/>
  <c r="C50" i="23"/>
  <c r="C49" i="23" s="1"/>
  <c r="C28" i="23" s="1"/>
  <c r="C133" i="23" s="1"/>
  <c r="B50" i="23"/>
  <c r="AE49" i="23"/>
  <c r="AE28" i="23" s="1"/>
  <c r="AE133" i="23" s="1"/>
  <c r="AD49" i="23"/>
  <c r="AD28" i="23" s="1"/>
  <c r="AD133" i="23" s="1"/>
  <c r="AB49" i="23"/>
  <c r="AA49" i="23"/>
  <c r="AA28" i="23" s="1"/>
  <c r="AA133" i="23" s="1"/>
  <c r="W49" i="23"/>
  <c r="V49" i="23"/>
  <c r="U49" i="23"/>
  <c r="S49" i="23"/>
  <c r="Q49" i="23"/>
  <c r="Q28" i="23" s="1"/>
  <c r="Q133" i="23" s="1"/>
  <c r="P49" i="23"/>
  <c r="P28" i="23" s="1"/>
  <c r="P133" i="23" s="1"/>
  <c r="M49" i="23"/>
  <c r="L49" i="23"/>
  <c r="L28" i="23" s="1"/>
  <c r="L133" i="23" s="1"/>
  <c r="I49" i="23"/>
  <c r="F49" i="23"/>
  <c r="E49" i="23"/>
  <c r="D49" i="23"/>
  <c r="B49" i="23"/>
  <c r="B28" i="23" s="1"/>
  <c r="B133" i="23" s="1"/>
  <c r="AE48" i="23"/>
  <c r="AE27" i="23" s="1"/>
  <c r="AE132" i="23" s="1"/>
  <c r="AB48" i="23"/>
  <c r="AB27" i="23" s="1"/>
  <c r="AB132" i="23" s="1"/>
  <c r="AA48" i="23"/>
  <c r="AA27" i="23" s="1"/>
  <c r="AA132" i="23" s="1"/>
  <c r="X48" i="23"/>
  <c r="W48" i="23"/>
  <c r="V48" i="23"/>
  <c r="U48" i="23"/>
  <c r="S48" i="23"/>
  <c r="R48" i="23"/>
  <c r="R27" i="23" s="1"/>
  <c r="R132" i="23" s="1"/>
  <c r="Q48" i="23"/>
  <c r="Q27" i="23" s="1"/>
  <c r="Q132" i="23" s="1"/>
  <c r="M48" i="23"/>
  <c r="M27" i="23" s="1"/>
  <c r="M132" i="23" s="1"/>
  <c r="L48" i="23"/>
  <c r="L27" i="23" s="1"/>
  <c r="L132" i="23" s="1"/>
  <c r="J48" i="23"/>
  <c r="I48" i="23"/>
  <c r="F48" i="23"/>
  <c r="E48" i="23"/>
  <c r="D48" i="23"/>
  <c r="C48" i="23"/>
  <c r="B48" i="23"/>
  <c r="B27" i="23" s="1"/>
  <c r="B132" i="23" s="1"/>
  <c r="G37" i="23"/>
  <c r="G35" i="23"/>
  <c r="G34" i="23"/>
  <c r="G55" i="23" s="1"/>
  <c r="G33" i="23"/>
  <c r="G32" i="23"/>
  <c r="G31" i="23"/>
  <c r="G30" i="23"/>
  <c r="G29" i="23"/>
  <c r="AB28" i="23"/>
  <c r="AB133" i="23" s="1"/>
  <c r="W28" i="23"/>
  <c r="W133" i="23" s="1"/>
  <c r="V28" i="23"/>
  <c r="V133" i="23" s="1"/>
  <c r="U28" i="23"/>
  <c r="U133" i="23" s="1"/>
  <c r="S28" i="23"/>
  <c r="S133" i="23" s="1"/>
  <c r="M28" i="23"/>
  <c r="M133" i="23" s="1"/>
  <c r="I28" i="23"/>
  <c r="I133" i="23" s="1"/>
  <c r="F28" i="23"/>
  <c r="F133" i="23" s="1"/>
  <c r="E28" i="23"/>
  <c r="E133" i="23" s="1"/>
  <c r="D28" i="23"/>
  <c r="D133" i="23" s="1"/>
  <c r="X27" i="23"/>
  <c r="X132" i="23" s="1"/>
  <c r="W27" i="23"/>
  <c r="W132" i="23" s="1"/>
  <c r="V27" i="23"/>
  <c r="V132" i="23" s="1"/>
  <c r="U27" i="23"/>
  <c r="U132" i="23" s="1"/>
  <c r="S27" i="23"/>
  <c r="S132" i="23" s="1"/>
  <c r="J27" i="23"/>
  <c r="J132" i="23" s="1"/>
  <c r="I27" i="23"/>
  <c r="I132" i="23" s="1"/>
  <c r="F27" i="23"/>
  <c r="F132" i="23" s="1"/>
  <c r="E27" i="23"/>
  <c r="E132" i="23" s="1"/>
  <c r="D27" i="23"/>
  <c r="D132" i="23" s="1"/>
  <c r="C27" i="23"/>
  <c r="C132" i="23" s="1"/>
  <c r="O20" i="23"/>
  <c r="I20" i="23"/>
  <c r="B20" i="23"/>
  <c r="AF18" i="23"/>
  <c r="G18" i="23"/>
  <c r="AG18" i="23" s="1"/>
  <c r="AF17" i="23"/>
  <c r="G17" i="23"/>
  <c r="AG17" i="23" s="1"/>
  <c r="AF16" i="23"/>
  <c r="G16" i="23"/>
  <c r="AG16" i="23" s="1"/>
  <c r="AF15" i="23"/>
  <c r="G15" i="23"/>
  <c r="AG15" i="23" s="1"/>
  <c r="AF14" i="23"/>
  <c r="G14" i="23"/>
  <c r="AG14" i="23" s="1"/>
  <c r="AF13" i="23"/>
  <c r="G13" i="23"/>
  <c r="AG13" i="23" s="1"/>
  <c r="AF12" i="23"/>
  <c r="G12" i="23"/>
  <c r="AG12" i="23" s="1"/>
  <c r="AF11" i="23"/>
  <c r="G11" i="23"/>
  <c r="AG11" i="23" s="1"/>
  <c r="AF10" i="23"/>
  <c r="G10" i="23"/>
  <c r="AG10" i="23" s="1"/>
  <c r="AF9" i="23"/>
  <c r="G9" i="23"/>
  <c r="AG9" i="23" s="1"/>
  <c r="AF8" i="23"/>
  <c r="G8" i="23"/>
  <c r="AG8" i="23" s="1"/>
  <c r="AA4" i="23"/>
  <c r="U4" i="23"/>
  <c r="O4" i="23"/>
  <c r="I4" i="23"/>
  <c r="AY34" i="20"/>
  <c r="AZ34" i="20"/>
  <c r="BA34" i="20"/>
  <c r="BB34" i="20"/>
  <c r="BC34" i="20"/>
  <c r="BC35" i="20" s="1"/>
  <c r="D138" i="22"/>
  <c r="D139" i="22" s="1"/>
  <c r="D140" i="22" s="1"/>
  <c r="D141" i="22" s="1"/>
  <c r="D142" i="22" s="1"/>
  <c r="D143" i="22" s="1"/>
  <c r="D144" i="22" s="1"/>
  <c r="D145" i="22" s="1"/>
  <c r="D146" i="22" s="1"/>
  <c r="D147" i="22" s="1"/>
  <c r="D148" i="22" s="1"/>
  <c r="D149" i="22" s="1"/>
  <c r="D150" i="22" s="1"/>
  <c r="D151" i="22" s="1"/>
  <c r="D152" i="22" s="1"/>
  <c r="D153" i="22" s="1"/>
  <c r="D154" i="22" s="1"/>
  <c r="D155" i="22" s="1"/>
  <c r="D156" i="22" s="1"/>
  <c r="D157" i="22" s="1"/>
  <c r="D158" i="22" s="1"/>
  <c r="D159" i="22" s="1"/>
  <c r="D160" i="22" s="1"/>
  <c r="D161" i="22" s="1"/>
  <c r="D162" i="22" s="1"/>
  <c r="D163" i="22" s="1"/>
  <c r="D164" i="22" s="1"/>
  <c r="D107" i="22"/>
  <c r="D108" i="22" s="1"/>
  <c r="D109" i="22" s="1"/>
  <c r="D110" i="22" s="1"/>
  <c r="D111" i="22" s="1"/>
  <c r="D112" i="22" s="1"/>
  <c r="D113" i="22" s="1"/>
  <c r="D114" i="22" s="1"/>
  <c r="D115" i="22" s="1"/>
  <c r="D116" i="22" s="1"/>
  <c r="D117" i="22" s="1"/>
  <c r="D118" i="22" s="1"/>
  <c r="D119" i="22" s="1"/>
  <c r="D120" i="22" s="1"/>
  <c r="D121" i="22" s="1"/>
  <c r="D122" i="22" s="1"/>
  <c r="D123" i="22" s="1"/>
  <c r="D124" i="22" s="1"/>
  <c r="D125" i="22" s="1"/>
  <c r="D126" i="22" s="1"/>
  <c r="D127" i="22" s="1"/>
  <c r="D128" i="22" s="1"/>
  <c r="D129" i="22" s="1"/>
  <c r="D130" i="22" s="1"/>
  <c r="D131" i="22" s="1"/>
  <c r="D132" i="22" s="1"/>
  <c r="D133" i="22" s="1"/>
  <c r="D75" i="22"/>
  <c r="D76" i="22" s="1"/>
  <c r="D77" i="22" s="1"/>
  <c r="D78" i="22" s="1"/>
  <c r="D79" i="22" s="1"/>
  <c r="D80" i="22" s="1"/>
  <c r="D81" i="22" s="1"/>
  <c r="D82" i="22" s="1"/>
  <c r="D83" i="22" s="1"/>
  <c r="D84" i="22" s="1"/>
  <c r="D85" i="22" s="1"/>
  <c r="D86" i="22" s="1"/>
  <c r="D87" i="22" s="1"/>
  <c r="D88" i="22" s="1"/>
  <c r="D89" i="22" s="1"/>
  <c r="D90" i="22" s="1"/>
  <c r="D91" i="22" s="1"/>
  <c r="D92" i="22" s="1"/>
  <c r="D93" i="22" s="1"/>
  <c r="D94" i="22" s="1"/>
  <c r="D95" i="22" s="1"/>
  <c r="D96" i="22" s="1"/>
  <c r="D97" i="22" s="1"/>
  <c r="D98" i="22" s="1"/>
  <c r="D99" i="22" s="1"/>
  <c r="D100" i="22" s="1"/>
  <c r="D101" i="22" s="1"/>
  <c r="D43" i="22"/>
  <c r="AA8" i="10"/>
  <c r="AB8" i="10"/>
  <c r="AC8" i="10"/>
  <c r="AD8" i="10"/>
  <c r="AE8" i="10"/>
  <c r="AF8" i="10"/>
  <c r="AG8" i="10"/>
  <c r="AH8" i="10"/>
  <c r="AI8" i="10"/>
  <c r="AJ8" i="10"/>
  <c r="AA12" i="10"/>
  <c r="AB12" i="10"/>
  <c r="AC12" i="10"/>
  <c r="AD12" i="10"/>
  <c r="AE12" i="10"/>
  <c r="AF12" i="10"/>
  <c r="AG12" i="10"/>
  <c r="AH12" i="10"/>
  <c r="AI12" i="10"/>
  <c r="AJ12" i="10"/>
  <c r="AA11" i="10"/>
  <c r="AB11" i="10"/>
  <c r="AC11" i="10"/>
  <c r="AD11" i="10"/>
  <c r="AE11" i="10"/>
  <c r="AF11" i="10"/>
  <c r="AG11" i="10"/>
  <c r="AH11" i="10"/>
  <c r="AI11" i="10"/>
  <c r="AJ11" i="10"/>
  <c r="AA10" i="10"/>
  <c r="AB10" i="10"/>
  <c r="AC10" i="10"/>
  <c r="AD10" i="10"/>
  <c r="AE10" i="10"/>
  <c r="AF10" i="10"/>
  <c r="AG10" i="10"/>
  <c r="AH10" i="10"/>
  <c r="AI10" i="10"/>
  <c r="AJ10" i="10"/>
  <c r="AA9" i="10"/>
  <c r="AL8" i="10" s="1" a="1"/>
  <c r="AB9" i="10"/>
  <c r="AC9" i="10"/>
  <c r="AD9" i="10"/>
  <c r="AE9" i="10"/>
  <c r="AF9" i="10"/>
  <c r="AG9" i="10"/>
  <c r="AH9" i="10"/>
  <c r="AI9" i="10"/>
  <c r="AJ9" i="10"/>
  <c r="D6" i="22"/>
  <c r="D7" i="22" s="1"/>
  <c r="D8" i="22" s="1"/>
  <c r="D9" i="22" s="1"/>
  <c r="D10" i="22" s="1"/>
  <c r="D11" i="22" s="1"/>
  <c r="D12" i="22" s="1"/>
  <c r="D13" i="22" s="1"/>
  <c r="D14" i="22" s="1"/>
  <c r="D15" i="22" s="1"/>
  <c r="D16" i="22" s="1"/>
  <c r="D17" i="22" s="1"/>
  <c r="D18" i="22" s="1"/>
  <c r="D19" i="22" s="1"/>
  <c r="D20" i="22" s="1"/>
  <c r="D21" i="22" s="1"/>
  <c r="D22" i="22" s="1"/>
  <c r="D23" i="22" s="1"/>
  <c r="D24" i="22" s="1"/>
  <c r="D25" i="22" s="1"/>
  <c r="D26" i="22" s="1"/>
  <c r="D27" i="22" s="1"/>
  <c r="D28" i="22" s="1"/>
  <c r="D29" i="22" s="1"/>
  <c r="D30" i="22" s="1"/>
  <c r="D31" i="22" s="1"/>
  <c r="D32" i="22" s="1"/>
  <c r="AJ8" i="21"/>
  <c r="AJ9" i="21" s="1"/>
  <c r="AJ10" i="21" s="1"/>
  <c r="AJ11" i="21" s="1"/>
  <c r="AJ12" i="21" s="1"/>
  <c r="AJ13" i="21" s="1"/>
  <c r="AJ14" i="21" s="1"/>
  <c r="AJ15" i="21" s="1"/>
  <c r="AJ16" i="21" s="1"/>
  <c r="AJ17" i="21" s="1"/>
  <c r="AJ18" i="21" s="1"/>
  <c r="AJ19" i="21" s="1"/>
  <c r="AJ20" i="21" s="1"/>
  <c r="AJ21" i="21" s="1"/>
  <c r="AJ22" i="21" s="1"/>
  <c r="AJ23" i="21" s="1"/>
  <c r="AJ24" i="21" s="1"/>
  <c r="AJ25" i="21" s="1"/>
  <c r="AJ26" i="21" s="1"/>
  <c r="AJ27" i="21" s="1"/>
  <c r="AJ28" i="21" s="1"/>
  <c r="AJ29" i="21" s="1"/>
  <c r="AJ30" i="21" s="1"/>
  <c r="AJ31" i="21" s="1"/>
  <c r="AJ32" i="21" s="1"/>
  <c r="AJ33" i="21" s="1"/>
  <c r="U8" i="21"/>
  <c r="U9" i="21" s="1"/>
  <c r="U10" i="21" s="1"/>
  <c r="U11" i="21" s="1"/>
  <c r="U12" i="21" s="1"/>
  <c r="U13" i="21" s="1"/>
  <c r="U14" i="21" s="1"/>
  <c r="U15" i="21" s="1"/>
  <c r="U16" i="21" s="1"/>
  <c r="U17" i="21" s="1"/>
  <c r="U18" i="21" s="1"/>
  <c r="U19" i="21" s="1"/>
  <c r="U20" i="21" s="1"/>
  <c r="U21" i="21" s="1"/>
  <c r="U22" i="21" s="1"/>
  <c r="U23" i="21" s="1"/>
  <c r="U24" i="21" s="1"/>
  <c r="U25" i="21" s="1"/>
  <c r="U26" i="21" s="1"/>
  <c r="U27" i="21" s="1"/>
  <c r="U28" i="21" s="1"/>
  <c r="U29" i="21" s="1"/>
  <c r="U30" i="21" s="1"/>
  <c r="U31" i="21" s="1"/>
  <c r="U32" i="21" s="1"/>
  <c r="U33" i="21" s="1"/>
  <c r="C12" i="21"/>
  <c r="C13" i="21" s="1"/>
  <c r="C14" i="21" s="1"/>
  <c r="C15" i="21" s="1"/>
  <c r="C16" i="21" s="1"/>
  <c r="C17" i="21" s="1"/>
  <c r="C18" i="21" s="1"/>
  <c r="C19" i="21" s="1"/>
  <c r="C20" i="21" s="1"/>
  <c r="C21" i="21" s="1"/>
  <c r="C22" i="21" s="1"/>
  <c r="C23" i="21" s="1"/>
  <c r="C24" i="21" s="1"/>
  <c r="C25" i="21" s="1"/>
  <c r="C26" i="21" s="1"/>
  <c r="C27" i="21" s="1"/>
  <c r="C28" i="21" s="1"/>
  <c r="C29" i="21" s="1"/>
  <c r="C30" i="21" s="1"/>
  <c r="C31" i="21" s="1"/>
  <c r="C32" i="21" s="1"/>
  <c r="C33" i="21" s="1"/>
  <c r="C34" i="21" s="1"/>
  <c r="C35" i="21" s="1"/>
  <c r="C36" i="21" s="1"/>
  <c r="C37" i="21" s="1"/>
  <c r="C38" i="21" s="1"/>
  <c r="C39" i="21" s="1"/>
  <c r="C40" i="21" s="1"/>
  <c r="C41" i="21" s="1"/>
  <c r="C42" i="21" s="1"/>
  <c r="C49" i="20"/>
  <c r="AN40" i="16"/>
  <c r="F40" i="16"/>
  <c r="L40" i="8"/>
  <c r="T40" i="8"/>
  <c r="C11" i="20"/>
  <c r="C132" i="20" s="1"/>
  <c r="CI635" i="1"/>
  <c r="CH635" i="1"/>
  <c r="CH643" i="1" s="1"/>
  <c r="CG635" i="1"/>
  <c r="CF635" i="1"/>
  <c r="CE635" i="1"/>
  <c r="CI636" i="1"/>
  <c r="CI634" i="1"/>
  <c r="CI633" i="1"/>
  <c r="CI632" i="1"/>
  <c r="CI641" i="1" s="1"/>
  <c r="CH636" i="1"/>
  <c r="CH634" i="1"/>
  <c r="CH633" i="1"/>
  <c r="CH632" i="1"/>
  <c r="CG636" i="1"/>
  <c r="CG644" i="1" s="1"/>
  <c r="CG634" i="1"/>
  <c r="CG633" i="1"/>
  <c r="CG632" i="1"/>
  <c r="CF636" i="1"/>
  <c r="CF634" i="1"/>
  <c r="CF633" i="1"/>
  <c r="CF632" i="1"/>
  <c r="CE636" i="1"/>
  <c r="CE634" i="1"/>
  <c r="CE633" i="1"/>
  <c r="CE632" i="1"/>
  <c r="CD636" i="1"/>
  <c r="CD635" i="1"/>
  <c r="CD634" i="1"/>
  <c r="CD633" i="1"/>
  <c r="CD632" i="1"/>
  <c r="CI628" i="1"/>
  <c r="CH628" i="1"/>
  <c r="CG628" i="1"/>
  <c r="CE628" i="1"/>
  <c r="CD628" i="1"/>
  <c r="CC636" i="1"/>
  <c r="CC635" i="1"/>
  <c r="CC634" i="1"/>
  <c r="CC633" i="1"/>
  <c r="CC632" i="1"/>
  <c r="CF641" i="1"/>
  <c r="CB632" i="1"/>
  <c r="CB633" i="1"/>
  <c r="CB634" i="1"/>
  <c r="CB635" i="1"/>
  <c r="CB636" i="1"/>
  <c r="CA632" i="1"/>
  <c r="CA633" i="1"/>
  <c r="CA634" i="1"/>
  <c r="CA635" i="1"/>
  <c r="CA636" i="1"/>
  <c r="BY632" i="1"/>
  <c r="BY633" i="1"/>
  <c r="BY634" i="1"/>
  <c r="BY635" i="1"/>
  <c r="BY636" i="1"/>
  <c r="BX632" i="1"/>
  <c r="BX633" i="1"/>
  <c r="BX634" i="1"/>
  <c r="BX635" i="1"/>
  <c r="BX636" i="1"/>
  <c r="BW632" i="1"/>
  <c r="BW633" i="1"/>
  <c r="BW634" i="1"/>
  <c r="BW635" i="1"/>
  <c r="BW636" i="1"/>
  <c r="CB567" i="1"/>
  <c r="CB568" i="1"/>
  <c r="CB569" i="1"/>
  <c r="CB570" i="1"/>
  <c r="CB571" i="1"/>
  <c r="CA567" i="1"/>
  <c r="CA568" i="1"/>
  <c r="CA569" i="1"/>
  <c r="CA577" i="1" s="1"/>
  <c r="CA570" i="1"/>
  <c r="CA571" i="1"/>
  <c r="BY567" i="1"/>
  <c r="BY568" i="1"/>
  <c r="BY569" i="1"/>
  <c r="BY570" i="1"/>
  <c r="BY571" i="1"/>
  <c r="BX567" i="1"/>
  <c r="BX568" i="1"/>
  <c r="BX569" i="1"/>
  <c r="BX570" i="1"/>
  <c r="BX571" i="1"/>
  <c r="BW567" i="1"/>
  <c r="BW568" i="1"/>
  <c r="BW569" i="1"/>
  <c r="BW570" i="1"/>
  <c r="BW571" i="1"/>
  <c r="DJ631" i="1"/>
  <c r="DJ632" i="1" s="1"/>
  <c r="DJ633" i="1" s="1"/>
  <c r="DJ634" i="1" s="1"/>
  <c r="DJ635" i="1" s="1"/>
  <c r="DJ636" i="1" s="1"/>
  <c r="DJ637" i="1" s="1"/>
  <c r="DJ638" i="1" s="1"/>
  <c r="DJ639" i="1" s="1"/>
  <c r="DJ640" i="1" s="1"/>
  <c r="DJ641" i="1" s="1"/>
  <c r="DJ642" i="1" s="1"/>
  <c r="DJ643" i="1" s="1"/>
  <c r="DJ644" i="1" s="1"/>
  <c r="DJ645" i="1" s="1"/>
  <c r="DJ646" i="1" s="1"/>
  <c r="DJ647" i="1" s="1"/>
  <c r="DJ648" i="1" s="1"/>
  <c r="DJ649" i="1" s="1"/>
  <c r="DJ650" i="1" s="1"/>
  <c r="DJ651" i="1" s="1"/>
  <c r="DJ652" i="1" s="1"/>
  <c r="DJ653" i="1" s="1"/>
  <c r="DJ654" i="1" s="1"/>
  <c r="DJ655" i="1" s="1"/>
  <c r="DJ656" i="1" s="1"/>
  <c r="BV631" i="1"/>
  <c r="CI570" i="1"/>
  <c r="CI571" i="1"/>
  <c r="CI569" i="1"/>
  <c r="CI568" i="1"/>
  <c r="CI567" i="1"/>
  <c r="CI579" i="1" s="1"/>
  <c r="CH571" i="1"/>
  <c r="CH579" i="1" s="1"/>
  <c r="CH570" i="1"/>
  <c r="CH569" i="1"/>
  <c r="CH568" i="1"/>
  <c r="CH576" i="1" s="1"/>
  <c r="CH567" i="1"/>
  <c r="CG571" i="1"/>
  <c r="CG570" i="1"/>
  <c r="CG569" i="1"/>
  <c r="CG568" i="1"/>
  <c r="CG567" i="1"/>
  <c r="CF571" i="1"/>
  <c r="CF570" i="1"/>
  <c r="CF569" i="1"/>
  <c r="CF568" i="1"/>
  <c r="CF567" i="1"/>
  <c r="CE571" i="1"/>
  <c r="CE579" i="1" s="1"/>
  <c r="CE570" i="1"/>
  <c r="CE569" i="1"/>
  <c r="CE568" i="1"/>
  <c r="CE576" i="1" s="1"/>
  <c r="CE567" i="1"/>
  <c r="CD571" i="1"/>
  <c r="CD570" i="1"/>
  <c r="CD569" i="1"/>
  <c r="CD568" i="1"/>
  <c r="CD567" i="1"/>
  <c r="CD578" i="1" s="1"/>
  <c r="CC571" i="1"/>
  <c r="CI576" i="1"/>
  <c r="CC570" i="1"/>
  <c r="CC569" i="1"/>
  <c r="CC568" i="1"/>
  <c r="CC567" i="1"/>
  <c r="DK566" i="1"/>
  <c r="DK567" i="1" s="1"/>
  <c r="DK568" i="1" s="1"/>
  <c r="DK569" i="1" s="1"/>
  <c r="DK570" i="1" s="1"/>
  <c r="DK571" i="1" s="1"/>
  <c r="DK572" i="1" s="1"/>
  <c r="DK573" i="1" s="1"/>
  <c r="DK574" i="1" s="1"/>
  <c r="DK575" i="1" s="1"/>
  <c r="DK576" i="1" s="1"/>
  <c r="DK577" i="1" s="1"/>
  <c r="DK578" i="1" s="1"/>
  <c r="DK579" i="1" s="1"/>
  <c r="DK580" i="1" s="1"/>
  <c r="DK581" i="1" s="1"/>
  <c r="DK582" i="1" s="1"/>
  <c r="DK583" i="1" s="1"/>
  <c r="DK584" i="1" s="1"/>
  <c r="DK585" i="1" s="1"/>
  <c r="DK586" i="1" s="1"/>
  <c r="DK587" i="1" s="1"/>
  <c r="DK588" i="1" s="1"/>
  <c r="DK589" i="1" s="1"/>
  <c r="DK590" i="1" s="1"/>
  <c r="DK591" i="1" s="1"/>
  <c r="BV566" i="1"/>
  <c r="BV508" i="1"/>
  <c r="EF508" i="1"/>
  <c r="EF509" i="1" s="1"/>
  <c r="EF510" i="1" s="1"/>
  <c r="EF511" i="1" s="1"/>
  <c r="EF512" i="1" s="1"/>
  <c r="EF513" i="1" s="1"/>
  <c r="EF514" i="1" s="1"/>
  <c r="EF515" i="1" s="1"/>
  <c r="EF516" i="1" s="1"/>
  <c r="EF517" i="1" s="1"/>
  <c r="EF518" i="1" s="1"/>
  <c r="EF519" i="1" s="1"/>
  <c r="EF520" i="1" s="1"/>
  <c r="EF521" i="1" s="1"/>
  <c r="EF522" i="1" s="1"/>
  <c r="EF523" i="1" s="1"/>
  <c r="EF524" i="1" s="1"/>
  <c r="EF525" i="1" s="1"/>
  <c r="EF526" i="1" s="1"/>
  <c r="EF527" i="1" s="1"/>
  <c r="EF528" i="1" s="1"/>
  <c r="EF529" i="1" s="1"/>
  <c r="EF530" i="1" s="1"/>
  <c r="EF531" i="1" s="1"/>
  <c r="EF532" i="1" s="1"/>
  <c r="EF533" i="1" s="1"/>
  <c r="EF534" i="1" s="1"/>
  <c r="BW509" i="1"/>
  <c r="BW510" i="1"/>
  <c r="BW511" i="1"/>
  <c r="BW512" i="1"/>
  <c r="BW513" i="1"/>
  <c r="BX509" i="1"/>
  <c r="BX510" i="1"/>
  <c r="BX511" i="1"/>
  <c r="BX512" i="1"/>
  <c r="BX513" i="1"/>
  <c r="BY509" i="1"/>
  <c r="BY510" i="1"/>
  <c r="BY511" i="1"/>
  <c r="BY512" i="1"/>
  <c r="BY513" i="1"/>
  <c r="BX579" i="1" l="1"/>
  <c r="C71" i="28"/>
  <c r="C33" i="28"/>
  <c r="BW644" i="1"/>
  <c r="P169" i="23"/>
  <c r="Q66" i="24" s="1"/>
  <c r="R67" i="24" s="1"/>
  <c r="AL8" i="10"/>
  <c r="AL11" i="10"/>
  <c r="AP15" i="10"/>
  <c r="X13" i="22" s="1"/>
  <c r="G151" i="22" s="1"/>
  <c r="AM10" i="10"/>
  <c r="U8" i="22" s="1"/>
  <c r="AN11" i="10"/>
  <c r="V9" i="22" s="1"/>
  <c r="G75" i="22" s="1"/>
  <c r="AM16" i="10"/>
  <c r="U14" i="22" s="1"/>
  <c r="G60" i="22" s="1"/>
  <c r="AP11" i="10"/>
  <c r="X9" i="22" s="1"/>
  <c r="G138" i="22" s="1"/>
  <c r="AO16" i="10"/>
  <c r="W14" i="22" s="1"/>
  <c r="G124" i="22" s="1"/>
  <c r="AM12" i="10"/>
  <c r="U10" i="22" s="1"/>
  <c r="G46" i="22" s="1"/>
  <c r="AL17" i="10"/>
  <c r="AL15" i="10"/>
  <c r="AO12" i="10"/>
  <c r="W10" i="22" s="1"/>
  <c r="G110" i="22" s="1"/>
  <c r="AN17" i="10"/>
  <c r="V15" i="22" s="1"/>
  <c r="G96" i="22" s="1"/>
  <c r="AM8" i="10"/>
  <c r="U6" i="22" s="1"/>
  <c r="AL13" i="10"/>
  <c r="AP17" i="10"/>
  <c r="X15" i="22" s="1"/>
  <c r="G159" i="22" s="1"/>
  <c r="AL9" i="10"/>
  <c r="AO8" i="10"/>
  <c r="W6" i="22" s="1"/>
  <c r="AN13" i="10"/>
  <c r="V11" i="22" s="1"/>
  <c r="G81" i="22" s="1"/>
  <c r="AP13" i="10"/>
  <c r="X11" i="22" s="1"/>
  <c r="G144" i="22" s="1"/>
  <c r="AN9" i="10"/>
  <c r="V7" i="22" s="1"/>
  <c r="AM14" i="10"/>
  <c r="U12" i="22" s="1"/>
  <c r="G52" i="22" s="1"/>
  <c r="AP9" i="10"/>
  <c r="X7" i="22" s="1"/>
  <c r="AO14" i="10"/>
  <c r="W12" i="22" s="1"/>
  <c r="G116" i="22" s="1"/>
  <c r="AO10" i="10"/>
  <c r="W8" i="22" s="1"/>
  <c r="AN15" i="10"/>
  <c r="V13" i="22" s="1"/>
  <c r="G88" i="22" s="1"/>
  <c r="O169" i="23"/>
  <c r="P66" i="24" s="1"/>
  <c r="Q67" i="24" s="1"/>
  <c r="K49" i="23"/>
  <c r="K28" i="23" s="1"/>
  <c r="K133" i="23" s="1"/>
  <c r="Y49" i="23"/>
  <c r="Y28" i="23" s="1"/>
  <c r="Y133" i="23" s="1"/>
  <c r="B57" i="23"/>
  <c r="B36" i="23" s="1"/>
  <c r="Q57" i="23"/>
  <c r="Q36" i="23" s="1"/>
  <c r="Q141" i="23" s="1"/>
  <c r="AE57" i="23"/>
  <c r="AE36" i="23" s="1"/>
  <c r="AE141" i="23" s="1"/>
  <c r="AI70" i="23"/>
  <c r="AI89" i="23"/>
  <c r="F103" i="23"/>
  <c r="F120" i="23" s="1"/>
  <c r="AE103" i="23"/>
  <c r="AE120" i="23" s="1"/>
  <c r="F107" i="23"/>
  <c r="F124" i="23" s="1"/>
  <c r="AE107" i="23"/>
  <c r="AE124" i="23" s="1"/>
  <c r="P176" i="23"/>
  <c r="P179" i="23" s="1"/>
  <c r="P181" i="23" s="1"/>
  <c r="I66" i="24" s="1"/>
  <c r="AB176" i="23"/>
  <c r="AB179" i="23" s="1"/>
  <c r="AB181" i="23" s="1"/>
  <c r="I126" i="24" s="1"/>
  <c r="AC179" i="23"/>
  <c r="CG641" i="1"/>
  <c r="O48" i="23"/>
  <c r="O27" i="23" s="1"/>
  <c r="O132" i="23" s="1"/>
  <c r="AC48" i="23"/>
  <c r="AC27" i="23" s="1"/>
  <c r="AC132" i="23" s="1"/>
  <c r="AI66" i="23"/>
  <c r="AI85" i="23"/>
  <c r="K103" i="23"/>
  <c r="K120" i="23" s="1"/>
  <c r="K107" i="23"/>
  <c r="K124" i="23" s="1"/>
  <c r="O177" i="23"/>
  <c r="O180" i="23" s="1"/>
  <c r="U177" i="23"/>
  <c r="U180" i="23" s="1"/>
  <c r="AA177" i="23"/>
  <c r="AA180" i="23" s="1"/>
  <c r="I103" i="23"/>
  <c r="I120" i="23" s="1"/>
  <c r="G58" i="23"/>
  <c r="E57" i="23"/>
  <c r="E36" i="23" s="1"/>
  <c r="E141" i="23" s="1"/>
  <c r="U57" i="23"/>
  <c r="U36" i="23" s="1"/>
  <c r="U141" i="23" s="1"/>
  <c r="AI83" i="23"/>
  <c r="M103" i="23"/>
  <c r="M120" i="23" s="1"/>
  <c r="M107" i="23"/>
  <c r="M124" i="23" s="1"/>
  <c r="P177" i="23"/>
  <c r="P180" i="23" s="1"/>
  <c r="V177" i="23"/>
  <c r="V180" i="23" s="1"/>
  <c r="AB177" i="23"/>
  <c r="AB180" i="23" s="1"/>
  <c r="O103" i="23"/>
  <c r="O120" i="23" s="1"/>
  <c r="O107" i="23"/>
  <c r="O124" i="23" s="1"/>
  <c r="Q177" i="23"/>
  <c r="Q180" i="23" s="1"/>
  <c r="W177" i="23"/>
  <c r="W180" i="23" s="1"/>
  <c r="AC177" i="23"/>
  <c r="AC180" i="23" s="1"/>
  <c r="AI75" i="23"/>
  <c r="Q103" i="23"/>
  <c r="Q120" i="23" s="1"/>
  <c r="Q107" i="23"/>
  <c r="Q124" i="23" s="1"/>
  <c r="CE641" i="1"/>
  <c r="AI73" i="23"/>
  <c r="F100" i="23"/>
  <c r="F117" i="23" s="1"/>
  <c r="V100" i="23"/>
  <c r="V117" i="23" s="1"/>
  <c r="F101" i="23"/>
  <c r="F118" i="23" s="1"/>
  <c r="AE101" i="23"/>
  <c r="AE118" i="23" s="1"/>
  <c r="O102" i="23"/>
  <c r="O119" i="23" s="1"/>
  <c r="AC102" i="23"/>
  <c r="AC119" i="23" s="1"/>
  <c r="S103" i="23"/>
  <c r="S120" i="23" s="1"/>
  <c r="F104" i="23"/>
  <c r="F121" i="23" s="1"/>
  <c r="V104" i="23"/>
  <c r="V121" i="23" s="1"/>
  <c r="F105" i="23"/>
  <c r="F122" i="23" s="1"/>
  <c r="AE105" i="23"/>
  <c r="AE122" i="23" s="1"/>
  <c r="O106" i="23"/>
  <c r="O123" i="23" s="1"/>
  <c r="AC106" i="23"/>
  <c r="AC123" i="23" s="1"/>
  <c r="S107" i="23"/>
  <c r="S124" i="23" s="1"/>
  <c r="F108" i="23"/>
  <c r="F125" i="23" s="1"/>
  <c r="V108" i="23"/>
  <c r="V125" i="23" s="1"/>
  <c r="U164" i="23" s="1"/>
  <c r="U167" i="23" s="1"/>
  <c r="U169" i="23" s="1"/>
  <c r="P96" i="24" s="1"/>
  <c r="AA109" i="23"/>
  <c r="AA126" i="23" s="1"/>
  <c r="I107" i="23"/>
  <c r="I124" i="23" s="1"/>
  <c r="Q179" i="23"/>
  <c r="Q181" i="23" s="1"/>
  <c r="J66" i="24" s="1"/>
  <c r="J67" i="24" s="1"/>
  <c r="I100" i="23"/>
  <c r="I117" i="23" s="1"/>
  <c r="W100" i="23"/>
  <c r="W117" i="23" s="1"/>
  <c r="U103" i="23"/>
  <c r="U120" i="23" s="1"/>
  <c r="I104" i="23"/>
  <c r="I121" i="23" s="1"/>
  <c r="W104" i="23"/>
  <c r="W121" i="23" s="1"/>
  <c r="U107" i="23"/>
  <c r="U124" i="23" s="1"/>
  <c r="I108" i="23"/>
  <c r="W108" i="23"/>
  <c r="AI69" i="23"/>
  <c r="AI88" i="23"/>
  <c r="J100" i="23"/>
  <c r="J117" i="23" s="1"/>
  <c r="X100" i="23"/>
  <c r="X117" i="23" s="1"/>
  <c r="Z117" i="23" s="1"/>
  <c r="K101" i="23"/>
  <c r="K118" i="23" s="1"/>
  <c r="B102" i="23"/>
  <c r="B119" i="23" s="1"/>
  <c r="Q102" i="23"/>
  <c r="Q119" i="23" s="1"/>
  <c r="AE102" i="23"/>
  <c r="AE119" i="23" s="1"/>
  <c r="W103" i="23"/>
  <c r="W120" i="23" s="1"/>
  <c r="J104" i="23"/>
  <c r="J121" i="23" s="1"/>
  <c r="X104" i="23"/>
  <c r="X121" i="23" s="1"/>
  <c r="K105" i="23"/>
  <c r="K122" i="23" s="1"/>
  <c r="B106" i="23"/>
  <c r="B123" i="23" s="1"/>
  <c r="Q106" i="23"/>
  <c r="Q123" i="23" s="1"/>
  <c r="AE106" i="23"/>
  <c r="AE123" i="23" s="1"/>
  <c r="W107" i="23"/>
  <c r="W124" i="23" s="1"/>
  <c r="J108" i="23"/>
  <c r="J125" i="23" s="1"/>
  <c r="X108" i="23"/>
  <c r="AE109" i="23"/>
  <c r="AE126" i="23" s="1"/>
  <c r="I177" i="23"/>
  <c r="I180" i="23" s="1"/>
  <c r="G51" i="23"/>
  <c r="AI67" i="23"/>
  <c r="K100" i="23"/>
  <c r="K117" i="23" s="1"/>
  <c r="Y100" i="23"/>
  <c r="Y117" i="23" s="1"/>
  <c r="M101" i="23"/>
  <c r="M118" i="23" s="1"/>
  <c r="Y103" i="23"/>
  <c r="Y120" i="23" s="1"/>
  <c r="K104" i="23"/>
  <c r="K121" i="23" s="1"/>
  <c r="Y104" i="23"/>
  <c r="Y121" i="23" s="1"/>
  <c r="Z121" i="23" s="1"/>
  <c r="Y107" i="23"/>
  <c r="Y124" i="23" s="1"/>
  <c r="K108" i="23"/>
  <c r="Y108" i="23"/>
  <c r="Y125" i="23" s="1"/>
  <c r="J177" i="23"/>
  <c r="J180" i="23" s="1"/>
  <c r="CF643" i="1"/>
  <c r="D44" i="22"/>
  <c r="S43" i="22"/>
  <c r="AI65" i="23"/>
  <c r="AI74" i="23"/>
  <c r="AI84" i="23"/>
  <c r="L100" i="23"/>
  <c r="L117" i="23" s="1"/>
  <c r="AA100" i="23"/>
  <c r="AA117" i="23" s="1"/>
  <c r="AF117" i="23" s="1"/>
  <c r="O101" i="23"/>
  <c r="D102" i="23"/>
  <c r="D119" i="23" s="1"/>
  <c r="S102" i="23"/>
  <c r="S119" i="23" s="1"/>
  <c r="B103" i="23"/>
  <c r="B120" i="23" s="1"/>
  <c r="AA103" i="23"/>
  <c r="AA120" i="23" s="1"/>
  <c r="L104" i="23"/>
  <c r="L121" i="23" s="1"/>
  <c r="AA104" i="23"/>
  <c r="AA121" i="23" s="1"/>
  <c r="O105" i="23"/>
  <c r="O122" i="23" s="1"/>
  <c r="S106" i="23"/>
  <c r="S123" i="23" s="1"/>
  <c r="T123" i="23" s="1"/>
  <c r="B107" i="23"/>
  <c r="B124" i="23" s="1"/>
  <c r="AA107" i="23"/>
  <c r="AA124" i="23" s="1"/>
  <c r="L108" i="23"/>
  <c r="AA108" i="23"/>
  <c r="K177" i="23"/>
  <c r="K180" i="23" s="1"/>
  <c r="CI578" i="1"/>
  <c r="G53" i="23"/>
  <c r="P57" i="23"/>
  <c r="P36" i="23" s="1"/>
  <c r="P141" i="23" s="1"/>
  <c r="AD57" i="23"/>
  <c r="AD36" i="23" s="1"/>
  <c r="AD141" i="23" s="1"/>
  <c r="AI72" i="23"/>
  <c r="AI82" i="23"/>
  <c r="AI91" i="23"/>
  <c r="M100" i="23"/>
  <c r="M117" i="23" s="1"/>
  <c r="Q101" i="23"/>
  <c r="Q118" i="23" s="1"/>
  <c r="E102" i="23"/>
  <c r="E119" i="23" s="1"/>
  <c r="D103" i="23"/>
  <c r="D120" i="23" s="1"/>
  <c r="AC103" i="23"/>
  <c r="AC120" i="23" s="1"/>
  <c r="M104" i="23"/>
  <c r="M121" i="23" s="1"/>
  <c r="Q105" i="23"/>
  <c r="Q122" i="23" s="1"/>
  <c r="E106" i="23"/>
  <c r="E123" i="23" s="1"/>
  <c r="D107" i="23"/>
  <c r="D124" i="23" s="1"/>
  <c r="AC107" i="23"/>
  <c r="AC124" i="23" s="1"/>
  <c r="M108" i="23"/>
  <c r="M125" i="23" s="1"/>
  <c r="M109" i="23"/>
  <c r="M126" i="23" s="1"/>
  <c r="O176" i="23"/>
  <c r="O179" i="23" s="1"/>
  <c r="O181" i="23" s="1"/>
  <c r="H66" i="24" s="1"/>
  <c r="AD66" i="24" s="1"/>
  <c r="U176" i="23"/>
  <c r="U179" i="23" s="1"/>
  <c r="U181" i="23" s="1"/>
  <c r="H96" i="24" s="1"/>
  <c r="AC16" i="25"/>
  <c r="AE16" i="25"/>
  <c r="B17" i="25"/>
  <c r="BW519" i="1"/>
  <c r="BY578" i="1"/>
  <c r="CB644" i="1"/>
  <c r="BW579" i="1"/>
  <c r="BY644" i="1"/>
  <c r="CB643" i="1"/>
  <c r="CB576" i="1"/>
  <c r="CB642" i="1"/>
  <c r="BW521" i="1"/>
  <c r="BW577" i="1"/>
  <c r="BY642" i="1"/>
  <c r="CB641" i="1"/>
  <c r="CD576" i="1"/>
  <c r="CG577" i="1"/>
  <c r="CG578" i="1"/>
  <c r="CI644" i="1"/>
  <c r="CD577" i="1"/>
  <c r="CE644" i="1"/>
  <c r="BY521" i="1"/>
  <c r="CD579" i="1"/>
  <c r="CH641" i="1"/>
  <c r="CE578" i="1"/>
  <c r="BX642" i="1"/>
  <c r="CI642" i="1"/>
  <c r="CI643" i="1"/>
  <c r="CE577" i="1"/>
  <c r="BX577" i="1"/>
  <c r="BX578" i="1"/>
  <c r="BY519" i="1"/>
  <c r="BW642" i="1"/>
  <c r="CG642" i="1"/>
  <c r="CF644" i="1"/>
  <c r="CH644" i="1"/>
  <c r="CG579" i="1"/>
  <c r="CI577" i="1"/>
  <c r="CE642" i="1"/>
  <c r="CC576" i="1"/>
  <c r="CE643" i="1"/>
  <c r="CC578" i="1"/>
  <c r="CF642" i="1"/>
  <c r="CH642" i="1"/>
  <c r="CG643" i="1"/>
  <c r="CB579" i="1"/>
  <c r="CB577" i="1"/>
  <c r="CA576" i="1"/>
  <c r="BX521" i="1"/>
  <c r="BY577" i="1"/>
  <c r="BY579" i="1"/>
  <c r="CB578" i="1"/>
  <c r="CA644" i="1"/>
  <c r="BX644" i="1"/>
  <c r="BX519" i="1"/>
  <c r="CA579" i="1"/>
  <c r="BX643" i="1"/>
  <c r="CA642" i="1"/>
  <c r="BW576" i="1"/>
  <c r="BW578" i="1"/>
  <c r="CC579" i="1"/>
  <c r="BY576" i="1"/>
  <c r="CA578" i="1"/>
  <c r="BW643" i="1"/>
  <c r="BY643" i="1"/>
  <c r="CA643" i="1"/>
  <c r="CA641" i="1"/>
  <c r="BX520" i="1"/>
  <c r="BX518" i="1"/>
  <c r="CC577" i="1"/>
  <c r="BX641" i="1"/>
  <c r="BY641" i="1"/>
  <c r="BW641" i="1"/>
  <c r="BY520" i="1"/>
  <c r="BY518" i="1"/>
  <c r="BW520" i="1"/>
  <c r="CF577" i="1"/>
  <c r="CF579" i="1"/>
  <c r="CH577" i="1"/>
  <c r="CC642" i="1"/>
  <c r="CC644" i="1"/>
  <c r="CD641" i="1"/>
  <c r="CD643" i="1"/>
  <c r="CH578" i="1"/>
  <c r="CC641" i="1"/>
  <c r="CC643" i="1"/>
  <c r="CD642" i="1"/>
  <c r="CD644" i="1"/>
  <c r="BW518" i="1"/>
  <c r="BX576" i="1"/>
  <c r="W66" i="24"/>
  <c r="X66" i="24"/>
  <c r="X67" i="24" s="1"/>
  <c r="AE66" i="24"/>
  <c r="AE126" i="24"/>
  <c r="X126" i="24"/>
  <c r="C12" i="20"/>
  <c r="C91" i="20"/>
  <c r="C50" i="20"/>
  <c r="BA35" i="20"/>
  <c r="AY35" i="20"/>
  <c r="BB35" i="20"/>
  <c r="AZ35" i="20"/>
  <c r="B141" i="23"/>
  <c r="G36" i="23"/>
  <c r="H58" i="23"/>
  <c r="G191" i="23"/>
  <c r="G193" i="23"/>
  <c r="G195" i="23"/>
  <c r="G197" i="23"/>
  <c r="G50" i="23"/>
  <c r="G52" i="23"/>
  <c r="G54" i="23"/>
  <c r="G56" i="23"/>
  <c r="H56" i="23" s="1"/>
  <c r="G149" i="23"/>
  <c r="G151" i="23"/>
  <c r="G153" i="23"/>
  <c r="G155" i="23"/>
  <c r="G157" i="23"/>
  <c r="G117" i="23"/>
  <c r="AH117" i="23" s="1"/>
  <c r="N117" i="23"/>
  <c r="T117" i="23"/>
  <c r="B118" i="23"/>
  <c r="O118" i="23"/>
  <c r="G119" i="23"/>
  <c r="AH119" i="23" s="1"/>
  <c r="T119" i="23"/>
  <c r="AF119" i="23"/>
  <c r="G121" i="23"/>
  <c r="AH121" i="23" s="1"/>
  <c r="G27" i="23"/>
  <c r="G48" i="23" s="1"/>
  <c r="G28" i="23"/>
  <c r="G192" i="23"/>
  <c r="G194" i="23"/>
  <c r="G196" i="23"/>
  <c r="G148" i="23"/>
  <c r="G150" i="23"/>
  <c r="G152" i="23"/>
  <c r="G154" i="23"/>
  <c r="G156" i="23"/>
  <c r="G158" i="23"/>
  <c r="G100" i="23"/>
  <c r="AH100" i="23" s="1"/>
  <c r="N100" i="23"/>
  <c r="T100" i="23"/>
  <c r="I118" i="23"/>
  <c r="AI119" i="23"/>
  <c r="N102" i="23"/>
  <c r="T102" i="23"/>
  <c r="Z102" i="23"/>
  <c r="AF102" i="23"/>
  <c r="G104" i="23"/>
  <c r="AH104" i="23" s="1"/>
  <c r="N104" i="23"/>
  <c r="T104" i="23"/>
  <c r="AF104" i="23"/>
  <c r="G106" i="23"/>
  <c r="AH106" i="23" s="1"/>
  <c r="N106" i="23"/>
  <c r="T106" i="23"/>
  <c r="Z106" i="23"/>
  <c r="AF106" i="23"/>
  <c r="G108" i="23"/>
  <c r="AH108" i="23" s="1"/>
  <c r="T108" i="23"/>
  <c r="Z108" i="23"/>
  <c r="AF108" i="23"/>
  <c r="G110" i="23"/>
  <c r="AH110" i="23" s="1"/>
  <c r="N110" i="23"/>
  <c r="T110" i="23"/>
  <c r="Z110" i="23"/>
  <c r="AF110" i="23"/>
  <c r="C101" i="23"/>
  <c r="C118" i="23" s="1"/>
  <c r="E101" i="23"/>
  <c r="E118" i="23" s="1"/>
  <c r="J101" i="23"/>
  <c r="J118" i="23" s="1"/>
  <c r="L101" i="23"/>
  <c r="L118" i="23" s="1"/>
  <c r="P101" i="23"/>
  <c r="P118" i="23" s="1"/>
  <c r="R101" i="23"/>
  <c r="R118" i="23" s="1"/>
  <c r="V101" i="23"/>
  <c r="V118" i="23" s="1"/>
  <c r="Z118" i="23" s="1"/>
  <c r="X101" i="23"/>
  <c r="X118" i="23" s="1"/>
  <c r="AB101" i="23"/>
  <c r="AB118" i="23" s="1"/>
  <c r="AF118" i="23" s="1"/>
  <c r="C103" i="23"/>
  <c r="C120" i="23" s="1"/>
  <c r="G120" i="23" s="1"/>
  <c r="AH120" i="23" s="1"/>
  <c r="E103" i="23"/>
  <c r="E120" i="23" s="1"/>
  <c r="J103" i="23"/>
  <c r="J120" i="23" s="1"/>
  <c r="N120" i="23" s="1"/>
  <c r="L103" i="23"/>
  <c r="L120" i="23" s="1"/>
  <c r="P103" i="23"/>
  <c r="P120" i="23" s="1"/>
  <c r="R103" i="23"/>
  <c r="R120" i="23" s="1"/>
  <c r="V103" i="23"/>
  <c r="V120" i="23" s="1"/>
  <c r="Z120" i="23" s="1"/>
  <c r="X103" i="23"/>
  <c r="X120" i="23" s="1"/>
  <c r="AB103" i="23"/>
  <c r="AB120" i="23" s="1"/>
  <c r="AF120" i="23" s="1"/>
  <c r="N121" i="23"/>
  <c r="T121" i="23"/>
  <c r="AF121" i="23"/>
  <c r="C105" i="23"/>
  <c r="C122" i="23" s="1"/>
  <c r="G122" i="23" s="1"/>
  <c r="AH122" i="23" s="1"/>
  <c r="E105" i="23"/>
  <c r="E122" i="23" s="1"/>
  <c r="J105" i="23"/>
  <c r="J122" i="23" s="1"/>
  <c r="L105" i="23"/>
  <c r="L122" i="23" s="1"/>
  <c r="P105" i="23"/>
  <c r="P122" i="23" s="1"/>
  <c r="T122" i="23" s="1"/>
  <c r="R105" i="23"/>
  <c r="R122" i="23" s="1"/>
  <c r="T105" i="23"/>
  <c r="V105" i="23"/>
  <c r="V122" i="23" s="1"/>
  <c r="Z122" i="23" s="1"/>
  <c r="X105" i="23"/>
  <c r="X122" i="23" s="1"/>
  <c r="AB105" i="23"/>
  <c r="AB122" i="23" s="1"/>
  <c r="AF122" i="23" s="1"/>
  <c r="G123" i="23"/>
  <c r="AH123" i="23" s="1"/>
  <c r="N123" i="23"/>
  <c r="Z123" i="23"/>
  <c r="AF123" i="23"/>
  <c r="C107" i="23"/>
  <c r="C124" i="23" s="1"/>
  <c r="G124" i="23" s="1"/>
  <c r="AH124" i="23" s="1"/>
  <c r="E107" i="23"/>
  <c r="E124" i="23" s="1"/>
  <c r="J107" i="23"/>
  <c r="J124" i="23" s="1"/>
  <c r="L107" i="23"/>
  <c r="L124" i="23" s="1"/>
  <c r="N107" i="23"/>
  <c r="P107" i="23"/>
  <c r="P124" i="23" s="1"/>
  <c r="R107" i="23"/>
  <c r="R124" i="23" s="1"/>
  <c r="V107" i="23"/>
  <c r="V124" i="23" s="1"/>
  <c r="Z124" i="23" s="1"/>
  <c r="X107" i="23"/>
  <c r="X124" i="23" s="1"/>
  <c r="AB107" i="23"/>
  <c r="AB124" i="23" s="1"/>
  <c r="AF124" i="23" s="1"/>
  <c r="AF107" i="23"/>
  <c r="G125" i="23"/>
  <c r="AH125" i="23" s="1"/>
  <c r="T125" i="23"/>
  <c r="G109" i="23"/>
  <c r="AH109" i="23" s="1"/>
  <c r="J109" i="23"/>
  <c r="J126" i="23" s="1"/>
  <c r="L109" i="23"/>
  <c r="L126" i="23" s="1"/>
  <c r="P109" i="23"/>
  <c r="P126" i="23" s="1"/>
  <c r="T126" i="23" s="1"/>
  <c r="R109" i="23"/>
  <c r="R126" i="23" s="1"/>
  <c r="V109" i="23"/>
  <c r="V126" i="23" s="1"/>
  <c r="X109" i="23"/>
  <c r="X126" i="23" s="1"/>
  <c r="AB109" i="23"/>
  <c r="AB126" i="23" s="1"/>
  <c r="AF126" i="23" s="1"/>
  <c r="G127" i="23"/>
  <c r="AH127" i="23" s="1"/>
  <c r="N127" i="23"/>
  <c r="T127" i="23"/>
  <c r="Z127" i="23"/>
  <c r="AF127" i="23"/>
  <c r="AO17" i="10"/>
  <c r="W15" i="22" s="1"/>
  <c r="G128" i="22" s="1"/>
  <c r="AM17" i="10"/>
  <c r="U15" i="22" s="1"/>
  <c r="G64" i="22" s="1"/>
  <c r="AP16" i="10"/>
  <c r="X14" i="22" s="1"/>
  <c r="G155" i="22" s="1"/>
  <c r="AN16" i="10"/>
  <c r="V14" i="22" s="1"/>
  <c r="G92" i="22" s="1"/>
  <c r="AL16" i="10"/>
  <c r="AO15" i="10"/>
  <c r="W13" i="22" s="1"/>
  <c r="G120" i="22" s="1"/>
  <c r="AM15" i="10"/>
  <c r="U13" i="22" s="1"/>
  <c r="G56" i="22" s="1"/>
  <c r="AP14" i="10"/>
  <c r="X12" i="22" s="1"/>
  <c r="G147" i="22" s="1"/>
  <c r="AN14" i="10"/>
  <c r="V12" i="22" s="1"/>
  <c r="G84" i="22" s="1"/>
  <c r="AL14" i="10"/>
  <c r="AO13" i="10"/>
  <c r="W11" i="22" s="1"/>
  <c r="G113" i="22" s="1"/>
  <c r="AM13" i="10"/>
  <c r="U11" i="22" s="1"/>
  <c r="G49" i="22" s="1"/>
  <c r="AP12" i="10"/>
  <c r="X10" i="22" s="1"/>
  <c r="G141" i="22" s="1"/>
  <c r="AN12" i="10"/>
  <c r="V10" i="22" s="1"/>
  <c r="G78" i="22" s="1"/>
  <c r="AL12" i="10"/>
  <c r="AO11" i="10"/>
  <c r="W9" i="22" s="1"/>
  <c r="G107" i="22" s="1"/>
  <c r="AM11" i="10"/>
  <c r="U9" i="22" s="1"/>
  <c r="G43" i="22" s="1"/>
  <c r="AP10" i="10"/>
  <c r="X8" i="22" s="1"/>
  <c r="AN10" i="10"/>
  <c r="V8" i="22" s="1"/>
  <c r="AL10" i="10"/>
  <c r="AO9" i="10"/>
  <c r="W7" i="22" s="1"/>
  <c r="AM9" i="10"/>
  <c r="U7" i="22" s="1"/>
  <c r="AP8" i="10"/>
  <c r="X6" i="22" s="1"/>
  <c r="AN8" i="10"/>
  <c r="V6" i="22" s="1"/>
  <c r="CG576" i="1"/>
  <c r="CF576" i="1"/>
  <c r="CF578" i="1"/>
  <c r="C72" i="28" l="1"/>
  <c r="C34" i="28"/>
  <c r="AD96" i="24"/>
  <c r="W96" i="24"/>
  <c r="AA125" i="23"/>
  <c r="AA176" i="23"/>
  <c r="AA179" i="23" s="1"/>
  <c r="AA181" i="23" s="1"/>
  <c r="H126" i="24" s="1"/>
  <c r="G103" i="23"/>
  <c r="AH103" i="23" s="1"/>
  <c r="T124" i="23"/>
  <c r="G102" i="23"/>
  <c r="AH102" i="23" s="1"/>
  <c r="AC181" i="23"/>
  <c r="J126" i="24" s="1"/>
  <c r="BJ9" i="10"/>
  <c r="BJ24" i="10" s="1"/>
  <c r="BJ39" i="10" s="1"/>
  <c r="BJ54" i="10" s="1"/>
  <c r="T7" i="22"/>
  <c r="W125" i="23"/>
  <c r="W176" i="23"/>
  <c r="W179" i="23" s="1"/>
  <c r="W181" i="23" s="1"/>
  <c r="J96" i="24" s="1"/>
  <c r="BJ10" i="10"/>
  <c r="BJ25" i="10" s="1"/>
  <c r="BJ40" i="10" s="1"/>
  <c r="BJ55" i="10" s="1"/>
  <c r="T8" i="22"/>
  <c r="N124" i="23"/>
  <c r="Z103" i="23"/>
  <c r="Z101" i="23"/>
  <c r="AF100" i="23"/>
  <c r="I67" i="24"/>
  <c r="AG43" i="22"/>
  <c r="S73" i="22"/>
  <c r="S103" i="22" s="1"/>
  <c r="S133" i="22" s="1"/>
  <c r="I125" i="23"/>
  <c r="I176" i="23"/>
  <c r="I179" i="23" s="1"/>
  <c r="I181" i="23" s="1"/>
  <c r="H36" i="24" s="1"/>
  <c r="BJ13" i="10"/>
  <c r="BJ28" i="10" s="1"/>
  <c r="BJ43" i="10" s="1"/>
  <c r="BJ58" i="10" s="1"/>
  <c r="T11" i="22"/>
  <c r="N126" i="23"/>
  <c r="BJ14" i="10"/>
  <c r="BJ29" i="10" s="1"/>
  <c r="BJ44" i="10" s="1"/>
  <c r="BJ59" i="10" s="1"/>
  <c r="T12" i="22"/>
  <c r="AE67" i="24"/>
  <c r="Z104" i="23"/>
  <c r="Z100" i="23"/>
  <c r="Y66" i="24"/>
  <c r="D45" i="22"/>
  <c r="S44" i="22"/>
  <c r="BJ11" i="10"/>
  <c r="BJ26" i="10" s="1"/>
  <c r="BJ41" i="10" s="1"/>
  <c r="BJ56" i="10" s="1"/>
  <c r="T9" i="22"/>
  <c r="AF66" i="24"/>
  <c r="BJ8" i="10"/>
  <c r="BJ23" i="10" s="1"/>
  <c r="BJ38" i="10" s="1"/>
  <c r="BJ53" i="10" s="1"/>
  <c r="T6" i="22"/>
  <c r="Z126" i="23"/>
  <c r="N122" i="23"/>
  <c r="AI122" i="23" s="1"/>
  <c r="T103" i="23"/>
  <c r="L125" i="23"/>
  <c r="J164" i="23" s="1"/>
  <c r="J167" i="23" s="1"/>
  <c r="J169" i="23" s="1"/>
  <c r="Q36" i="24" s="1"/>
  <c r="J176" i="23"/>
  <c r="J179" i="23" s="1"/>
  <c r="J181" i="23" s="1"/>
  <c r="I36" i="24" s="1"/>
  <c r="BJ16" i="10"/>
  <c r="BJ31" i="10" s="1"/>
  <c r="BJ46" i="10" s="1"/>
  <c r="BJ61" i="10" s="1"/>
  <c r="T14" i="22"/>
  <c r="T109" i="23"/>
  <c r="G105" i="23"/>
  <c r="AH105" i="23" s="1"/>
  <c r="BJ15" i="10"/>
  <c r="BJ30" i="10" s="1"/>
  <c r="BJ45" i="10" s="1"/>
  <c r="BJ60" i="10" s="1"/>
  <c r="T13" i="22"/>
  <c r="BJ12" i="10"/>
  <c r="BJ27" i="10" s="1"/>
  <c r="BJ42" i="10" s="1"/>
  <c r="BJ57" i="10" s="1"/>
  <c r="T10" i="22"/>
  <c r="Z107" i="23"/>
  <c r="T120" i="23"/>
  <c r="AI120" i="23" s="1"/>
  <c r="N108" i="23"/>
  <c r="AI108" i="23" s="1"/>
  <c r="B18" i="25"/>
  <c r="AC17" i="25"/>
  <c r="AE17" i="25"/>
  <c r="K125" i="23"/>
  <c r="K164" i="23" s="1"/>
  <c r="K167" i="23" s="1"/>
  <c r="K169" i="23" s="1"/>
  <c r="R36" i="24" s="1"/>
  <c r="K176" i="23"/>
  <c r="K179" i="23" s="1"/>
  <c r="K181" i="23" s="1"/>
  <c r="J36" i="24" s="1"/>
  <c r="X125" i="23"/>
  <c r="V164" i="23" s="1"/>
  <c r="V167" i="23" s="1"/>
  <c r="V169" i="23" s="1"/>
  <c r="Q96" i="24" s="1"/>
  <c r="V176" i="23"/>
  <c r="V179" i="23" s="1"/>
  <c r="V181" i="23" s="1"/>
  <c r="I96" i="24" s="1"/>
  <c r="BJ17" i="10"/>
  <c r="BJ32" i="10" s="1"/>
  <c r="BJ47" i="10" s="1"/>
  <c r="BJ62" i="10" s="1"/>
  <c r="T15" i="22"/>
  <c r="C13" i="20"/>
  <c r="C134" i="20" s="1"/>
  <c r="C133" i="20"/>
  <c r="C51" i="20"/>
  <c r="C92" i="20"/>
  <c r="AF67" i="24"/>
  <c r="Y67" i="24"/>
  <c r="AI126" i="23"/>
  <c r="AI124" i="23"/>
  <c r="AI127" i="23"/>
  <c r="AF109" i="23"/>
  <c r="Z109" i="23"/>
  <c r="N109" i="23"/>
  <c r="AI109" i="23" s="1"/>
  <c r="T107" i="23"/>
  <c r="AI107" i="23" s="1"/>
  <c r="G107" i="23"/>
  <c r="AH107" i="23" s="1"/>
  <c r="AI123" i="23"/>
  <c r="AF105" i="23"/>
  <c r="Z105" i="23"/>
  <c r="N105" i="23"/>
  <c r="AF103" i="23"/>
  <c r="N103" i="23"/>
  <c r="AI103" i="23" s="1"/>
  <c r="AF101" i="23"/>
  <c r="AI110" i="23"/>
  <c r="AI102" i="23"/>
  <c r="N101" i="23"/>
  <c r="G190" i="23"/>
  <c r="G49" i="23"/>
  <c r="T101" i="23"/>
  <c r="G101" i="23"/>
  <c r="AH101" i="23" s="1"/>
  <c r="H59" i="23"/>
  <c r="G198" i="23"/>
  <c r="I198" i="23" s="1"/>
  <c r="G57" i="23"/>
  <c r="H57" i="23" s="1"/>
  <c r="AI121" i="23"/>
  <c r="AI106" i="23"/>
  <c r="AI104" i="23"/>
  <c r="N118" i="23"/>
  <c r="AI100" i="23"/>
  <c r="T118" i="23"/>
  <c r="G118" i="23"/>
  <c r="AH118" i="23" s="1"/>
  <c r="AI117" i="23"/>
  <c r="C35" i="28" l="1"/>
  <c r="C73" i="28"/>
  <c r="J97" i="24"/>
  <c r="I37" i="24"/>
  <c r="AE36" i="24"/>
  <c r="X36" i="24"/>
  <c r="AG44" i="22"/>
  <c r="S74" i="22"/>
  <c r="S104" i="22" s="1"/>
  <c r="S134" i="22" s="1"/>
  <c r="I164" i="23"/>
  <c r="I167" i="23" s="1"/>
  <c r="I169" i="23" s="1"/>
  <c r="P36" i="24" s="1"/>
  <c r="Q37" i="24" s="1"/>
  <c r="N125" i="23"/>
  <c r="D46" i="22"/>
  <c r="S45" i="22"/>
  <c r="B19" i="25"/>
  <c r="AC18" i="25"/>
  <c r="AE18" i="25"/>
  <c r="AG73" i="22"/>
  <c r="AG103" i="22" s="1"/>
  <c r="AG133" i="22" s="1"/>
  <c r="AU43" i="22"/>
  <c r="AU73" i="22" s="1"/>
  <c r="AU103" i="22" s="1"/>
  <c r="AU133" i="22" s="1"/>
  <c r="J127" i="24"/>
  <c r="AF126" i="24"/>
  <c r="AF127" i="24" s="1"/>
  <c r="Y126" i="24"/>
  <c r="Y127" i="24" s="1"/>
  <c r="AD36" i="24"/>
  <c r="W36" i="24"/>
  <c r="W164" i="23"/>
  <c r="W167" i="23" s="1"/>
  <c r="W169" i="23" s="1"/>
  <c r="R96" i="24" s="1"/>
  <c r="AF96" i="24" s="1"/>
  <c r="AF97" i="24" s="1"/>
  <c r="Z125" i="23"/>
  <c r="AI101" i="23"/>
  <c r="I97" i="24"/>
  <c r="X96" i="24"/>
  <c r="X97" i="24" s="1"/>
  <c r="AE96" i="24"/>
  <c r="AE97" i="24" s="1"/>
  <c r="I127" i="24"/>
  <c r="Q97" i="24"/>
  <c r="AA164" i="23"/>
  <c r="AA167" i="23" s="1"/>
  <c r="AA169" i="23" s="1"/>
  <c r="P126" i="24" s="1"/>
  <c r="Q127" i="24" s="1"/>
  <c r="AF125" i="23"/>
  <c r="AI105" i="23"/>
  <c r="Y36" i="24"/>
  <c r="Y37" i="24" s="1"/>
  <c r="J37" i="24"/>
  <c r="AF36" i="24"/>
  <c r="AF37" i="24" s="1"/>
  <c r="R37" i="24"/>
  <c r="C52" i="20"/>
  <c r="C93" i="20"/>
  <c r="C14" i="20"/>
  <c r="C135" i="20" s="1"/>
  <c r="AI118" i="23"/>
  <c r="I195" i="23"/>
  <c r="C36" i="28" l="1"/>
  <c r="C74" i="28"/>
  <c r="D47" i="22"/>
  <c r="S46" i="22"/>
  <c r="AG45" i="22"/>
  <c r="S75" i="22"/>
  <c r="S105" i="22" s="1"/>
  <c r="S135" i="22" s="1"/>
  <c r="R97" i="24"/>
  <c r="C53" i="20"/>
  <c r="AG74" i="22"/>
  <c r="AG104" i="22" s="1"/>
  <c r="AG134" i="22" s="1"/>
  <c r="AU44" i="22"/>
  <c r="AU74" i="22" s="1"/>
  <c r="AU104" i="22" s="1"/>
  <c r="AU134" i="22" s="1"/>
  <c r="W126" i="24"/>
  <c r="X127" i="24" s="1"/>
  <c r="X37" i="24"/>
  <c r="AD126" i="24"/>
  <c r="AE127" i="24" s="1"/>
  <c r="AE37" i="24"/>
  <c r="AI125" i="23"/>
  <c r="Y96" i="24"/>
  <c r="Y97" i="24" s="1"/>
  <c r="AC19" i="25"/>
  <c r="B20" i="25"/>
  <c r="AE19" i="25"/>
  <c r="C94" i="20"/>
  <c r="C15" i="20"/>
  <c r="C136" i="20" s="1"/>
  <c r="C37" i="28" l="1"/>
  <c r="C75" i="28"/>
  <c r="B21" i="25"/>
  <c r="AC20" i="25"/>
  <c r="AE20" i="25"/>
  <c r="AG75" i="22"/>
  <c r="AG105" i="22" s="1"/>
  <c r="AG135" i="22" s="1"/>
  <c r="AU45" i="22"/>
  <c r="AU75" i="22" s="1"/>
  <c r="AU105" i="22" s="1"/>
  <c r="AU135" i="22" s="1"/>
  <c r="AG46" i="22"/>
  <c r="S76" i="22"/>
  <c r="S106" i="22" s="1"/>
  <c r="S136" i="22" s="1"/>
  <c r="D48" i="22"/>
  <c r="S47" i="22"/>
  <c r="C54" i="20"/>
  <c r="C95" i="20"/>
  <c r="C16" i="20"/>
  <c r="C137" i="20" s="1"/>
  <c r="C38" i="28" l="1"/>
  <c r="C76" i="28"/>
  <c r="D49" i="22"/>
  <c r="S48" i="22"/>
  <c r="AG76" i="22"/>
  <c r="AG106" i="22" s="1"/>
  <c r="AG136" i="22" s="1"/>
  <c r="AU46" i="22"/>
  <c r="AU76" i="22" s="1"/>
  <c r="AU106" i="22" s="1"/>
  <c r="AU136" i="22" s="1"/>
  <c r="AG47" i="22"/>
  <c r="S77" i="22"/>
  <c r="S107" i="22" s="1"/>
  <c r="S137" i="22" s="1"/>
  <c r="AE21" i="25"/>
  <c r="B22" i="25"/>
  <c r="AC21" i="25"/>
  <c r="C55" i="20"/>
  <c r="C96" i="20"/>
  <c r="C17" i="20"/>
  <c r="C138" i="20" s="1"/>
  <c r="C39" i="28" l="1"/>
  <c r="C78" i="28" s="1"/>
  <c r="C77" i="28"/>
  <c r="B23" i="25"/>
  <c r="AC22" i="25"/>
  <c r="AE22" i="25"/>
  <c r="AG48" i="22"/>
  <c r="S78" i="22"/>
  <c r="S108" i="22" s="1"/>
  <c r="S138" i="22" s="1"/>
  <c r="AU47" i="22"/>
  <c r="AU77" i="22" s="1"/>
  <c r="AU107" i="22" s="1"/>
  <c r="AU137" i="22" s="1"/>
  <c r="AG77" i="22"/>
  <c r="AG107" i="22" s="1"/>
  <c r="AG137" i="22" s="1"/>
  <c r="S49" i="22"/>
  <c r="D50" i="22"/>
  <c r="C56" i="20"/>
  <c r="C97" i="20"/>
  <c r="C18" i="20"/>
  <c r="C139" i="20" s="1"/>
  <c r="C6" i="2"/>
  <c r="D51" i="22" l="1"/>
  <c r="S50" i="22"/>
  <c r="AG49" i="22"/>
  <c r="S79" i="22"/>
  <c r="S109" i="22" s="1"/>
  <c r="S139" i="22" s="1"/>
  <c r="AU48" i="22"/>
  <c r="AU78" i="22" s="1"/>
  <c r="AU108" i="22" s="1"/>
  <c r="AU138" i="22" s="1"/>
  <c r="AG78" i="22"/>
  <c r="AG108" i="22" s="1"/>
  <c r="AG138" i="22" s="1"/>
  <c r="B24" i="25"/>
  <c r="AC23" i="25"/>
  <c r="AE23" i="25"/>
  <c r="C19" i="20"/>
  <c r="C140" i="20" s="1"/>
  <c r="C57" i="20"/>
  <c r="C98" i="20"/>
  <c r="G63" i="19"/>
  <c r="BZ635" i="1" s="1"/>
  <c r="G62" i="19"/>
  <c r="BZ634" i="1" s="1"/>
  <c r="G61" i="19"/>
  <c r="BZ633" i="1" s="1"/>
  <c r="G60" i="19"/>
  <c r="BZ632" i="1" s="1"/>
  <c r="O67" i="19"/>
  <c r="Q67" i="19"/>
  <c r="G64" i="19" s="1"/>
  <c r="BZ636" i="1" s="1"/>
  <c r="S67" i="19"/>
  <c r="I64" i="19" s="1"/>
  <c r="BZ513" i="1" s="1"/>
  <c r="N67" i="19"/>
  <c r="T66" i="19"/>
  <c r="R66" i="19"/>
  <c r="R67" i="19" s="1"/>
  <c r="S66" i="19"/>
  <c r="P66" i="19"/>
  <c r="P67" i="19" s="1"/>
  <c r="Q66" i="19"/>
  <c r="BZ644" i="1" l="1"/>
  <c r="F62" i="19"/>
  <c r="BZ569" i="1" s="1"/>
  <c r="F63" i="19"/>
  <c r="BZ570" i="1" s="1"/>
  <c r="F64" i="19"/>
  <c r="BZ571" i="1" s="1"/>
  <c r="F60" i="19"/>
  <c r="BZ567" i="1" s="1"/>
  <c r="F61" i="19"/>
  <c r="BZ568" i="1" s="1"/>
  <c r="BZ643" i="1"/>
  <c r="CQ630" i="1" s="1" a="1"/>
  <c r="AC24" i="25"/>
  <c r="B25" i="25"/>
  <c r="AE24" i="25"/>
  <c r="C58" i="20"/>
  <c r="I60" i="19"/>
  <c r="BZ509" i="1" s="1"/>
  <c r="C99" i="20"/>
  <c r="BZ641" i="1"/>
  <c r="C20" i="20"/>
  <c r="C141" i="20" s="1"/>
  <c r="BZ642" i="1"/>
  <c r="I61" i="19"/>
  <c r="BZ510" i="1" s="1"/>
  <c r="I62" i="19"/>
  <c r="BZ511" i="1" s="1"/>
  <c r="I63" i="19"/>
  <c r="BZ512" i="1" s="1"/>
  <c r="AU49" i="22"/>
  <c r="AU79" i="22" s="1"/>
  <c r="AU109" i="22" s="1"/>
  <c r="AU139" i="22" s="1"/>
  <c r="AG79" i="22"/>
  <c r="AG109" i="22" s="1"/>
  <c r="AG139" i="22" s="1"/>
  <c r="AG50" i="22"/>
  <c r="S80" i="22"/>
  <c r="S110" i="22" s="1"/>
  <c r="S140" i="22" s="1"/>
  <c r="D52" i="22"/>
  <c r="S51" i="22"/>
  <c r="CA509" i="1"/>
  <c r="CA510" i="1"/>
  <c r="CA511" i="1"/>
  <c r="CA519" i="1" s="1"/>
  <c r="CA512" i="1"/>
  <c r="CA513" i="1"/>
  <c r="CU645" i="1" l="1"/>
  <c r="CV634" i="1"/>
  <c r="DE643" i="1"/>
  <c r="DE664" i="1" s="1"/>
  <c r="CS635" i="1"/>
  <c r="DB644" i="1"/>
  <c r="DB665" i="1" s="1"/>
  <c r="DK659" i="1" s="1"/>
  <c r="CS639" i="1"/>
  <c r="DE635" i="1"/>
  <c r="DE656" i="1" s="1"/>
  <c r="DN639" i="1" s="1"/>
  <c r="CY645" i="1"/>
  <c r="DB632" i="1"/>
  <c r="DB653" i="1" s="1"/>
  <c r="DK633" i="1" s="1"/>
  <c r="CS643" i="1"/>
  <c r="DB636" i="1"/>
  <c r="DB657" i="1" s="1"/>
  <c r="DK641" i="1" s="1"/>
  <c r="CV646" i="1"/>
  <c r="CV642" i="1"/>
  <c r="CY637" i="1"/>
  <c r="CV638" i="1"/>
  <c r="CV630" i="1"/>
  <c r="DE639" i="1"/>
  <c r="DE660" i="1" s="1"/>
  <c r="DN647" i="1" s="1"/>
  <c r="CS631" i="1"/>
  <c r="DB640" i="1"/>
  <c r="DB661" i="1" s="1"/>
  <c r="DK649" i="1" s="1"/>
  <c r="CY633" i="1"/>
  <c r="DE631" i="1"/>
  <c r="DE652" i="1" s="1"/>
  <c r="DN631" i="1" s="1"/>
  <c r="CY641" i="1"/>
  <c r="DA646" i="1"/>
  <c r="DA667" i="1" s="1"/>
  <c r="CR637" i="1"/>
  <c r="CX637" i="1"/>
  <c r="DA631" i="1"/>
  <c r="CT633" i="1"/>
  <c r="CS641" i="1"/>
  <c r="CY631" i="1"/>
  <c r="CZ638" i="1"/>
  <c r="CU642" i="1"/>
  <c r="CU633" i="1"/>
  <c r="CS644" i="1"/>
  <c r="CY634" i="1"/>
  <c r="DA641" i="1"/>
  <c r="DA662" i="1" s="1"/>
  <c r="CR632" i="1"/>
  <c r="CT639" i="1"/>
  <c r="DA644" i="1"/>
  <c r="DC643" i="1"/>
  <c r="DC664" i="1" s="1"/>
  <c r="CT634" i="1"/>
  <c r="CS642" i="1"/>
  <c r="CY632" i="1"/>
  <c r="DC639" i="1"/>
  <c r="DC660" i="1" s="1"/>
  <c r="DL647" i="1" s="1"/>
  <c r="CT637" i="1"/>
  <c r="CQ633" i="1"/>
  <c r="CY638" i="1"/>
  <c r="CZ633" i="1"/>
  <c r="CY636" i="1"/>
  <c r="CU646" i="1"/>
  <c r="CW631" i="1"/>
  <c r="CX634" i="1"/>
  <c r="CY644" i="1"/>
  <c r="CR643" i="1"/>
  <c r="CZ630" i="1"/>
  <c r="CW645" i="1"/>
  <c r="DD639" i="1"/>
  <c r="DD660" i="1" s="1"/>
  <c r="DM647" i="1" s="1"/>
  <c r="CV635" i="1"/>
  <c r="DD645" i="1"/>
  <c r="DD666" i="1" s="1"/>
  <c r="DM661" i="1" s="1"/>
  <c r="CU636" i="1"/>
  <c r="DD631" i="1"/>
  <c r="DD652" i="1" s="1"/>
  <c r="DM631" i="1" s="1"/>
  <c r="DD630" i="1"/>
  <c r="CW632" i="1"/>
  <c r="CV640" i="1"/>
  <c r="DB630" i="1"/>
  <c r="DC637" i="1"/>
  <c r="DA640" i="1"/>
  <c r="DA661" i="1" s="1"/>
  <c r="CR630" i="1"/>
  <c r="CV643" i="1"/>
  <c r="DB633" i="1"/>
  <c r="DB654" i="1" s="1"/>
  <c r="DK635" i="1" s="1"/>
  <c r="DD640" i="1"/>
  <c r="DD661" i="1" s="1"/>
  <c r="DM649" i="1" s="1"/>
  <c r="CU631" i="1"/>
  <c r="CW638" i="1"/>
  <c r="CX641" i="1"/>
  <c r="CQ643" i="1"/>
  <c r="CW633" i="1"/>
  <c r="CV641" i="1"/>
  <c r="DB631" i="1"/>
  <c r="DB652" i="1" s="1"/>
  <c r="DK631" i="1" s="1"/>
  <c r="CR638" i="1"/>
  <c r="DA632" i="1"/>
  <c r="DA653" i="1" s="1"/>
  <c r="CZ635" i="1"/>
  <c r="CR644" i="1"/>
  <c r="DE634" i="1"/>
  <c r="DE655" i="1" s="1"/>
  <c r="DN637" i="1" s="1"/>
  <c r="CS633" i="1"/>
  <c r="DB645" i="1"/>
  <c r="DB666" i="1" s="1"/>
  <c r="DK661" i="1" s="1"/>
  <c r="CT631" i="1"/>
  <c r="CQ634" i="1"/>
  <c r="DA635" i="1"/>
  <c r="DA656" i="1" s="1"/>
  <c r="CQ640" i="1"/>
  <c r="CR645" i="1"/>
  <c r="CX635" i="1"/>
  <c r="DD646" i="1"/>
  <c r="DD667" i="1" s="1"/>
  <c r="DM663" i="1" s="1"/>
  <c r="DC646" i="1"/>
  <c r="DC667" i="1" s="1"/>
  <c r="DL663" i="1" s="1"/>
  <c r="CZ631" i="1"/>
  <c r="CY639" i="1"/>
  <c r="CZ646" i="1"/>
  <c r="CQ637" i="1"/>
  <c r="CU638" i="1"/>
  <c r="CQ646" i="1"/>
  <c r="CY642" i="1"/>
  <c r="DE632" i="1"/>
  <c r="CR640" i="1"/>
  <c r="CX630" i="1"/>
  <c r="CZ637" i="1"/>
  <c r="CR639" i="1"/>
  <c r="CT642" i="1"/>
  <c r="CZ632" i="1"/>
  <c r="CY640" i="1"/>
  <c r="DE630" i="1"/>
  <c r="CT630" i="1"/>
  <c r="CX631" i="1"/>
  <c r="CZ642" i="1"/>
  <c r="DA645" i="1"/>
  <c r="DA666" i="1" s="1"/>
  <c r="DE633" i="1"/>
  <c r="DE654" i="1" s="1"/>
  <c r="DN635" i="1" s="1"/>
  <c r="CU644" i="1"/>
  <c r="DA634" i="1"/>
  <c r="DA655" i="1" s="1"/>
  <c r="CX644" i="1"/>
  <c r="CT645" i="1"/>
  <c r="DC630" i="1"/>
  <c r="DB638" i="1"/>
  <c r="DB659" i="1" s="1"/>
  <c r="DK645" i="1" s="1"/>
  <c r="DC645" i="1"/>
  <c r="DC666" i="1" s="1"/>
  <c r="DL661" i="1" s="1"/>
  <c r="CT636" i="1"/>
  <c r="DD635" i="1"/>
  <c r="DD656" i="1" s="1"/>
  <c r="DM639" i="1" s="1"/>
  <c r="CW644" i="1"/>
  <c r="DB641" i="1"/>
  <c r="DB662" i="1" s="1"/>
  <c r="DK651" i="1" s="1"/>
  <c r="CS632" i="1"/>
  <c r="CU639" i="1"/>
  <c r="CW646" i="1"/>
  <c r="DC636" i="1"/>
  <c r="DC657" i="1" s="1"/>
  <c r="DL641" i="1" s="1"/>
  <c r="DA636" i="1"/>
  <c r="DA657" i="1" s="1"/>
  <c r="CW641" i="1"/>
  <c r="DC631" i="1"/>
  <c r="DC652" i="1" s="1"/>
  <c r="DL631" i="1" s="1"/>
  <c r="DB639" i="1"/>
  <c r="DB660" i="1" s="1"/>
  <c r="DK647" i="1" s="1"/>
  <c r="CS630" i="1"/>
  <c r="CY635" i="1"/>
  <c r="DC638" i="1"/>
  <c r="DC659" i="1" s="1"/>
  <c r="DL645" i="1" s="1"/>
  <c r="CR636" i="1"/>
  <c r="CT638" i="1"/>
  <c r="CX639" i="1"/>
  <c r="CY646" i="1"/>
  <c r="CT646" i="1"/>
  <c r="DB642" i="1"/>
  <c r="DB663" i="1" s="1"/>
  <c r="DK653" i="1" s="1"/>
  <c r="CS636" i="1"/>
  <c r="DB643" i="1"/>
  <c r="DB664" i="1" s="1"/>
  <c r="DD637" i="1"/>
  <c r="DD658" i="1" s="1"/>
  <c r="DM643" i="1" s="1"/>
  <c r="DE644" i="1"/>
  <c r="DE665" i="1" s="1"/>
  <c r="DN659" i="1" s="1"/>
  <c r="CZ644" i="1"/>
  <c r="CX643" i="1"/>
  <c r="DD633" i="1"/>
  <c r="DD654" i="1" s="1"/>
  <c r="DM635" i="1" s="1"/>
  <c r="DD642" i="1"/>
  <c r="DD663" i="1" s="1"/>
  <c r="DM653" i="1" s="1"/>
  <c r="CZ643" i="1"/>
  <c r="CQ630" i="1"/>
  <c r="DE637" i="1"/>
  <c r="DE658" i="1" s="1"/>
  <c r="DN643" i="1" s="1"/>
  <c r="CQ645" i="1"/>
  <c r="CW635" i="1"/>
  <c r="CR631" i="1"/>
  <c r="DC642" i="1"/>
  <c r="DC663" i="1" s="1"/>
  <c r="DL653" i="1" s="1"/>
  <c r="DE640" i="1"/>
  <c r="DE661" i="1" s="1"/>
  <c r="DN649" i="1" s="1"/>
  <c r="CV631" i="1"/>
  <c r="CX638" i="1"/>
  <c r="CZ645" i="1"/>
  <c r="CQ636" i="1"/>
  <c r="CR635" i="1"/>
  <c r="CZ640" i="1"/>
  <c r="CQ631" i="1"/>
  <c r="DE638" i="1"/>
  <c r="DE659" i="1" s="1"/>
  <c r="DN645" i="1" s="1"/>
  <c r="DD643" i="1"/>
  <c r="DD664" i="1" s="1"/>
  <c r="CR641" i="1"/>
  <c r="CR642" i="1"/>
  <c r="CT643" i="1"/>
  <c r="CS646" i="1"/>
  <c r="DD634" i="1"/>
  <c r="DD655" i="1" s="1"/>
  <c r="DM637" i="1" s="1"/>
  <c r="DD638" i="1"/>
  <c r="DD659" i="1" s="1"/>
  <c r="DM645" i="1" s="1"/>
  <c r="CZ641" i="1"/>
  <c r="DC634" i="1"/>
  <c r="DC655" i="1" s="1"/>
  <c r="DL637" i="1" s="1"/>
  <c r="DC640" i="1"/>
  <c r="DC661" i="1" s="1"/>
  <c r="DL649" i="1" s="1"/>
  <c r="CX632" i="1"/>
  <c r="CX645" i="1"/>
  <c r="DD632" i="1"/>
  <c r="DD653" i="1" s="1"/>
  <c r="DM633" i="1" s="1"/>
  <c r="DE642" i="1"/>
  <c r="DE663" i="1" s="1"/>
  <c r="DN653" i="1" s="1"/>
  <c r="DA642" i="1"/>
  <c r="DA663" i="1" s="1"/>
  <c r="CR633" i="1"/>
  <c r="CU641" i="1"/>
  <c r="CQ642" i="1"/>
  <c r="DB646" i="1"/>
  <c r="DB667" i="1" s="1"/>
  <c r="DK663" i="1" s="1"/>
  <c r="CS637" i="1"/>
  <c r="CT644" i="1"/>
  <c r="CZ634" i="1"/>
  <c r="CR646" i="1"/>
  <c r="CT641" i="1"/>
  <c r="CS640" i="1"/>
  <c r="CY630" i="1"/>
  <c r="DA637" i="1"/>
  <c r="DA658" i="1" s="1"/>
  <c r="DC644" i="1"/>
  <c r="DC665" i="1" s="1"/>
  <c r="DL659" i="1" s="1"/>
  <c r="CT635" i="1"/>
  <c r="CU634" i="1"/>
  <c r="CS638" i="1"/>
  <c r="CS645" i="1"/>
  <c r="CQ632" i="1"/>
  <c r="CT640" i="1"/>
  <c r="CU643" i="1"/>
  <c r="CS634" i="1"/>
  <c r="DE641" i="1"/>
  <c r="DE662" i="1" s="1"/>
  <c r="DN651" i="1" s="1"/>
  <c r="CW630" i="1"/>
  <c r="DD641" i="1"/>
  <c r="DD662" i="1" s="1"/>
  <c r="DM651" i="1" s="1"/>
  <c r="CU632" i="1"/>
  <c r="DA639" i="1"/>
  <c r="DA660" i="1" s="1"/>
  <c r="CZ639" i="1"/>
  <c r="DE645" i="1"/>
  <c r="DE666" i="1" s="1"/>
  <c r="DN661" i="1" s="1"/>
  <c r="CV636" i="1"/>
  <c r="CW643" i="1"/>
  <c r="DC633" i="1"/>
  <c r="DC654" i="1" s="1"/>
  <c r="DL635" i="1" s="1"/>
  <c r="DA643" i="1"/>
  <c r="DA664" i="1" s="1"/>
  <c r="CW640" i="1"/>
  <c r="CV639" i="1"/>
  <c r="CX646" i="1"/>
  <c r="DD636" i="1"/>
  <c r="DD657" i="1" s="1"/>
  <c r="DM641" i="1" s="1"/>
  <c r="CQ644" i="1"/>
  <c r="CW634" i="1"/>
  <c r="CX633" i="1"/>
  <c r="CQ639" i="1"/>
  <c r="DE646" i="1"/>
  <c r="DE667" i="1" s="1"/>
  <c r="DN663" i="1" s="1"/>
  <c r="CV637" i="1"/>
  <c r="DA638" i="1"/>
  <c r="DA659" i="1" s="1"/>
  <c r="DA633" i="1"/>
  <c r="DA654" i="1" s="1"/>
  <c r="CV632" i="1"/>
  <c r="CX642" i="1"/>
  <c r="CV633" i="1"/>
  <c r="CU640" i="1"/>
  <c r="DA630" i="1"/>
  <c r="CX636" i="1"/>
  <c r="CW636" i="1"/>
  <c r="CV644" i="1"/>
  <c r="DB634" i="1"/>
  <c r="DB655" i="1" s="1"/>
  <c r="DK637" i="1" s="1"/>
  <c r="DC641" i="1"/>
  <c r="DC662" i="1" s="1"/>
  <c r="DL651" i="1" s="1"/>
  <c r="CT632" i="1"/>
  <c r="CX640" i="1"/>
  <c r="CQ638" i="1"/>
  <c r="DB637" i="1"/>
  <c r="DB658" i="1" s="1"/>
  <c r="DK643" i="1" s="1"/>
  <c r="DD644" i="1"/>
  <c r="DD665" i="1" s="1"/>
  <c r="DM659" i="1" s="1"/>
  <c r="CU635" i="1"/>
  <c r="CW642" i="1"/>
  <c r="DC632" i="1"/>
  <c r="DC653" i="1" s="1"/>
  <c r="DL633" i="1" s="1"/>
  <c r="CU630" i="1"/>
  <c r="CW637" i="1"/>
  <c r="CV645" i="1"/>
  <c r="DB635" i="1"/>
  <c r="DB656" i="1" s="1"/>
  <c r="DK639" i="1" s="1"/>
  <c r="CY643" i="1"/>
  <c r="CQ641" i="1"/>
  <c r="DE636" i="1"/>
  <c r="DE657" i="1" s="1"/>
  <c r="DN641" i="1" s="1"/>
  <c r="CZ636" i="1"/>
  <c r="CR634" i="1"/>
  <c r="CU637" i="1"/>
  <c r="DC635" i="1"/>
  <c r="DC656" i="1" s="1"/>
  <c r="DL639" i="1" s="1"/>
  <c r="CW639" i="1"/>
  <c r="CQ635" i="1"/>
  <c r="BZ521" i="1"/>
  <c r="BZ576" i="1"/>
  <c r="BZ577" i="1"/>
  <c r="C59" i="20"/>
  <c r="C100" i="20"/>
  <c r="C21" i="20"/>
  <c r="C142" i="20" s="1"/>
  <c r="DC658" i="1"/>
  <c r="DL643" i="1" s="1"/>
  <c r="DA652" i="1"/>
  <c r="DA665" i="1"/>
  <c r="DE653" i="1"/>
  <c r="DN633" i="1" s="1"/>
  <c r="BZ520" i="1"/>
  <c r="BZ518" i="1"/>
  <c r="AG80" i="22"/>
  <c r="AG110" i="22" s="1"/>
  <c r="AG140" i="22" s="1"/>
  <c r="AU50" i="22"/>
  <c r="AU80" i="22" s="1"/>
  <c r="AU110" i="22" s="1"/>
  <c r="AU140" i="22" s="1"/>
  <c r="B26" i="25"/>
  <c r="AC25" i="25"/>
  <c r="AE25" i="25"/>
  <c r="BZ579" i="1"/>
  <c r="BZ519" i="1"/>
  <c r="BZ578" i="1"/>
  <c r="S52" i="22"/>
  <c r="D53" i="22"/>
  <c r="AG51" i="22"/>
  <c r="S81" i="22"/>
  <c r="S111" i="22" s="1"/>
  <c r="S141" i="22" s="1"/>
  <c r="CA521" i="1"/>
  <c r="CA520" i="1"/>
  <c r="CA518" i="1"/>
  <c r="C22" i="20"/>
  <c r="C143" i="20" s="1"/>
  <c r="C101" i="20"/>
  <c r="C60" i="20"/>
  <c r="CB509" i="1"/>
  <c r="CB510" i="1"/>
  <c r="CB511" i="1"/>
  <c r="CB512" i="1"/>
  <c r="CB513" i="1"/>
  <c r="CC509" i="1"/>
  <c r="CD509" i="1"/>
  <c r="CE509" i="1"/>
  <c r="CF509" i="1"/>
  <c r="CG509" i="1"/>
  <c r="CH509" i="1"/>
  <c r="CI509" i="1"/>
  <c r="CC510" i="1"/>
  <c r="CD510" i="1"/>
  <c r="CE510" i="1"/>
  <c r="CF510" i="1"/>
  <c r="CG510" i="1"/>
  <c r="CH510" i="1"/>
  <c r="CI510" i="1"/>
  <c r="CC511" i="1"/>
  <c r="CD511" i="1"/>
  <c r="CE511" i="1"/>
  <c r="CF511" i="1"/>
  <c r="CG511" i="1"/>
  <c r="CH511" i="1"/>
  <c r="CH519" i="1" s="1"/>
  <c r="CI511" i="1"/>
  <c r="CC512" i="1"/>
  <c r="CD512" i="1"/>
  <c r="CE512" i="1"/>
  <c r="CF512" i="1"/>
  <c r="CG512" i="1"/>
  <c r="CH512" i="1"/>
  <c r="CI512" i="1"/>
  <c r="CC513" i="1"/>
  <c r="CD513" i="1"/>
  <c r="CE513" i="1"/>
  <c r="CF513" i="1"/>
  <c r="CG513" i="1"/>
  <c r="CH513" i="1"/>
  <c r="CI513" i="1"/>
  <c r="CS565" i="1" l="1" a="1"/>
  <c r="DB572" i="1" s="1"/>
  <c r="K159" i="20"/>
  <c r="DM660" i="1"/>
  <c r="K160" i="20" s="1"/>
  <c r="F160" i="20" s="1"/>
  <c r="K118" i="20"/>
  <c r="DL660" i="1"/>
  <c r="K119" i="20" s="1"/>
  <c r="F119" i="20" s="1"/>
  <c r="K199" i="20"/>
  <c r="DN660" i="1"/>
  <c r="K200" i="20" s="1"/>
  <c r="F200" i="20" s="1"/>
  <c r="K120" i="20"/>
  <c r="F120" i="20" s="1"/>
  <c r="DL662" i="1"/>
  <c r="K121" i="20" s="1"/>
  <c r="F121" i="20" s="1"/>
  <c r="DK662" i="1"/>
  <c r="K80" i="20" s="1"/>
  <c r="F80" i="20" s="1"/>
  <c r="K79" i="20"/>
  <c r="F79" i="20" s="1"/>
  <c r="DL664" i="1"/>
  <c r="K123" i="20" s="1"/>
  <c r="F123" i="20" s="1"/>
  <c r="K122" i="20"/>
  <c r="F122" i="20" s="1"/>
  <c r="DK660" i="1"/>
  <c r="K78" i="20" s="1"/>
  <c r="F78" i="20" s="1"/>
  <c r="DM664" i="1"/>
  <c r="K164" i="20" s="1"/>
  <c r="F164" i="20" s="1"/>
  <c r="K163" i="20"/>
  <c r="F163" i="20" s="1"/>
  <c r="K161" i="20"/>
  <c r="F161" i="20" s="1"/>
  <c r="DM662" i="1"/>
  <c r="K162" i="20" s="1"/>
  <c r="F162" i="20" s="1"/>
  <c r="K203" i="20"/>
  <c r="F203" i="20" s="1"/>
  <c r="DN664" i="1"/>
  <c r="K204" i="20" s="1"/>
  <c r="F204" i="20" s="1"/>
  <c r="DN662" i="1"/>
  <c r="K202" i="20" s="1"/>
  <c r="F202" i="20" s="1"/>
  <c r="K201" i="20"/>
  <c r="F201" i="20" s="1"/>
  <c r="K81" i="20"/>
  <c r="F81" i="20" s="1"/>
  <c r="DK664" i="1"/>
  <c r="K82" i="20" s="1"/>
  <c r="F82" i="20" s="1"/>
  <c r="DM652" i="1"/>
  <c r="K152" i="20" s="1"/>
  <c r="K151" i="20"/>
  <c r="DO651" i="1"/>
  <c r="K69" i="20"/>
  <c r="DK652" i="1"/>
  <c r="K177" i="20"/>
  <c r="DN638" i="1"/>
  <c r="K178" i="20" s="1"/>
  <c r="K106" i="20"/>
  <c r="DL648" i="1"/>
  <c r="K107" i="20" s="1"/>
  <c r="DN640" i="1"/>
  <c r="K180" i="20" s="1"/>
  <c r="K179" i="20"/>
  <c r="K189" i="20"/>
  <c r="DN650" i="1"/>
  <c r="K190" i="20" s="1"/>
  <c r="AG81" i="22"/>
  <c r="AG111" i="22" s="1"/>
  <c r="AG141" i="22" s="1"/>
  <c r="AU51" i="22"/>
  <c r="AU81" i="22" s="1"/>
  <c r="AU111" i="22" s="1"/>
  <c r="AU141" i="22" s="1"/>
  <c r="K100" i="20"/>
  <c r="DL642" i="1"/>
  <c r="K101" i="20" s="1"/>
  <c r="K153" i="20"/>
  <c r="K63" i="20"/>
  <c r="DK646" i="1"/>
  <c r="DO645" i="1"/>
  <c r="K187" i="20"/>
  <c r="DN648" i="1"/>
  <c r="K188" i="20" s="1"/>
  <c r="S82" i="22"/>
  <c r="S112" i="22" s="1"/>
  <c r="S142" i="22" s="1"/>
  <c r="AG52" i="22"/>
  <c r="K112" i="20"/>
  <c r="DN657" i="1"/>
  <c r="DN655" i="1"/>
  <c r="DN654" i="1" s="1"/>
  <c r="K194" i="20" s="1"/>
  <c r="DK636" i="1"/>
  <c r="K53" i="20"/>
  <c r="DO635" i="1"/>
  <c r="K183" i="20"/>
  <c r="DN644" i="1"/>
  <c r="K184" i="20" s="1"/>
  <c r="K147" i="20"/>
  <c r="DM648" i="1"/>
  <c r="K148" i="20" s="1"/>
  <c r="K61" i="20"/>
  <c r="DO643" i="1"/>
  <c r="DK644" i="1"/>
  <c r="K90" i="20"/>
  <c r="DL632" i="1"/>
  <c r="K91" i="20" s="1"/>
  <c r="K141" i="20"/>
  <c r="DM642" i="1"/>
  <c r="K142" i="20" s="1"/>
  <c r="DO647" i="1"/>
  <c r="DK648" i="1"/>
  <c r="K65" i="20"/>
  <c r="K181" i="20"/>
  <c r="DN642" i="1"/>
  <c r="K182" i="20" s="1"/>
  <c r="DM657" i="1"/>
  <c r="DM655" i="1"/>
  <c r="DM654" i="1" s="1"/>
  <c r="K154" i="20" s="1"/>
  <c r="K131" i="20"/>
  <c r="DM632" i="1"/>
  <c r="K132" i="20" s="1"/>
  <c r="K137" i="20"/>
  <c r="DM638" i="1"/>
  <c r="K138" i="20" s="1"/>
  <c r="K92" i="20"/>
  <c r="DL634" i="1"/>
  <c r="K93" i="20" s="1"/>
  <c r="K193" i="20"/>
  <c r="K191" i="20"/>
  <c r="DN652" i="1"/>
  <c r="K192" i="20" s="1"/>
  <c r="K133" i="20"/>
  <c r="DM634" i="1"/>
  <c r="K134" i="20" s="1"/>
  <c r="K98" i="20"/>
  <c r="DL640" i="1"/>
  <c r="K99" i="20" s="1"/>
  <c r="K49" i="20"/>
  <c r="DK632" i="1"/>
  <c r="DO631" i="1"/>
  <c r="K171" i="20"/>
  <c r="DN632" i="1"/>
  <c r="K172" i="20" s="1"/>
  <c r="K135" i="20"/>
  <c r="DM636" i="1"/>
  <c r="K136" i="20" s="1"/>
  <c r="K108" i="20"/>
  <c r="DL650" i="1"/>
  <c r="K109" i="20" s="1"/>
  <c r="K67" i="20"/>
  <c r="DK650" i="1"/>
  <c r="DO649" i="1"/>
  <c r="K145" i="20"/>
  <c r="DM646" i="1"/>
  <c r="K146" i="20" s="1"/>
  <c r="K175" i="20"/>
  <c r="DN636" i="1"/>
  <c r="K176" i="20" s="1"/>
  <c r="K149" i="20"/>
  <c r="DM650" i="1"/>
  <c r="K150" i="20" s="1"/>
  <c r="DO658" i="1"/>
  <c r="K77" i="20"/>
  <c r="DO659" i="1"/>
  <c r="K71" i="20"/>
  <c r="DO653" i="1"/>
  <c r="K55" i="20"/>
  <c r="DK638" i="1"/>
  <c r="DO637" i="1"/>
  <c r="K185" i="20"/>
  <c r="DN646" i="1"/>
  <c r="K186" i="20" s="1"/>
  <c r="DO639" i="1"/>
  <c r="DK640" i="1"/>
  <c r="K57" i="20"/>
  <c r="DK642" i="1"/>
  <c r="DO641" i="1"/>
  <c r="K59" i="20"/>
  <c r="B27" i="25"/>
  <c r="AC26" i="25"/>
  <c r="AE26" i="25"/>
  <c r="DM640" i="1"/>
  <c r="K140" i="20" s="1"/>
  <c r="K139" i="20"/>
  <c r="DL657" i="1"/>
  <c r="DL655" i="1"/>
  <c r="DL654" i="1" s="1"/>
  <c r="K113" i="20" s="1"/>
  <c r="K102" i="20"/>
  <c r="DL644" i="1"/>
  <c r="K103" i="20" s="1"/>
  <c r="CH520" i="1"/>
  <c r="K110" i="20"/>
  <c r="DL652" i="1"/>
  <c r="K111" i="20" s="1"/>
  <c r="K143" i="20"/>
  <c r="DM644" i="1"/>
  <c r="K144" i="20" s="1"/>
  <c r="K51" i="20"/>
  <c r="DO633" i="1"/>
  <c r="DK634" i="1"/>
  <c r="D54" i="22"/>
  <c r="S53" i="22"/>
  <c r="DK657" i="1"/>
  <c r="DK655" i="1"/>
  <c r="DK654" i="1" s="1"/>
  <c r="K173" i="20"/>
  <c r="DN634" i="1"/>
  <c r="K174" i="20" s="1"/>
  <c r="K96" i="20"/>
  <c r="DL638" i="1"/>
  <c r="K97" i="20" s="1"/>
  <c r="K94" i="20"/>
  <c r="DL636" i="1"/>
  <c r="K95" i="20" s="1"/>
  <c r="K104" i="20"/>
  <c r="DL646" i="1"/>
  <c r="K105" i="20" s="1"/>
  <c r="CD518" i="1"/>
  <c r="CF521" i="1"/>
  <c r="CD519" i="1"/>
  <c r="CE521" i="1"/>
  <c r="CD520" i="1"/>
  <c r="CC519" i="1"/>
  <c r="CD521" i="1"/>
  <c r="CC521" i="1"/>
  <c r="CH518" i="1"/>
  <c r="CF518" i="1"/>
  <c r="CH521" i="1"/>
  <c r="CF519" i="1"/>
  <c r="CI519" i="1"/>
  <c r="CI521" i="1"/>
  <c r="CG519" i="1"/>
  <c r="CG521" i="1"/>
  <c r="CF520" i="1"/>
  <c r="CE519" i="1"/>
  <c r="CB521" i="1"/>
  <c r="CB519" i="1"/>
  <c r="CI520" i="1"/>
  <c r="CG520" i="1"/>
  <c r="CE520" i="1"/>
  <c r="CC520" i="1"/>
  <c r="CI518" i="1"/>
  <c r="CG518" i="1"/>
  <c r="CE518" i="1"/>
  <c r="CC518" i="1"/>
  <c r="CB520" i="1"/>
  <c r="CB518" i="1"/>
  <c r="C23" i="20"/>
  <c r="C144" i="20" s="1"/>
  <c r="C102" i="20"/>
  <c r="C61" i="20"/>
  <c r="EN388" i="1"/>
  <c r="EO388" i="1"/>
  <c r="EP388" i="1"/>
  <c r="EQ388" i="1"/>
  <c r="ER388" i="1"/>
  <c r="ES388" i="1"/>
  <c r="ET388" i="1"/>
  <c r="EU388" i="1"/>
  <c r="EN389" i="1"/>
  <c r="EO389" i="1"/>
  <c r="EP389" i="1"/>
  <c r="EQ389" i="1"/>
  <c r="ER389" i="1"/>
  <c r="ES389" i="1"/>
  <c r="ET389" i="1"/>
  <c r="EU389" i="1"/>
  <c r="EN390" i="1"/>
  <c r="EO390" i="1"/>
  <c r="EP390" i="1"/>
  <c r="EQ390" i="1"/>
  <c r="ER390" i="1"/>
  <c r="ES390" i="1"/>
  <c r="ET390" i="1"/>
  <c r="EU390" i="1"/>
  <c r="EN391" i="1"/>
  <c r="EO391" i="1"/>
  <c r="EP391" i="1"/>
  <c r="EQ391" i="1"/>
  <c r="ER391" i="1"/>
  <c r="ES391" i="1"/>
  <c r="ET391" i="1"/>
  <c r="EU391" i="1"/>
  <c r="CD403" i="1" s="1"/>
  <c r="CT405" i="1" s="1"/>
  <c r="CU448" i="1" s="1"/>
  <c r="EN392" i="1"/>
  <c r="EO392" i="1"/>
  <c r="EP392" i="1"/>
  <c r="EQ392" i="1"/>
  <c r="ER392" i="1"/>
  <c r="ES392" i="1"/>
  <c r="ET392" i="1"/>
  <c r="EU392" i="1"/>
  <c r="EC388" i="1"/>
  <c r="ED388" i="1"/>
  <c r="EE388" i="1"/>
  <c r="EF388" i="1"/>
  <c r="EG388" i="1"/>
  <c r="EH388" i="1"/>
  <c r="EI388" i="1"/>
  <c r="EJ388" i="1"/>
  <c r="EC389" i="1"/>
  <c r="ED389" i="1"/>
  <c r="EE389" i="1"/>
  <c r="EF389" i="1"/>
  <c r="EG389" i="1"/>
  <c r="EH389" i="1"/>
  <c r="EI389" i="1"/>
  <c r="EJ389" i="1"/>
  <c r="CC401" i="1" s="1"/>
  <c r="CI404" i="1" s="1"/>
  <c r="CJ446" i="1" s="1"/>
  <c r="EC390" i="1"/>
  <c r="ED390" i="1"/>
  <c r="EE390" i="1"/>
  <c r="EF390" i="1"/>
  <c r="EG390" i="1"/>
  <c r="EH390" i="1"/>
  <c r="EI390" i="1"/>
  <c r="EJ390" i="1"/>
  <c r="CC402" i="1" s="1"/>
  <c r="CN404" i="1" s="1"/>
  <c r="CO446" i="1" s="1"/>
  <c r="EC391" i="1"/>
  <c r="ED391" i="1"/>
  <c r="EE391" i="1"/>
  <c r="EF391" i="1"/>
  <c r="EG391" i="1"/>
  <c r="EH391" i="1"/>
  <c r="EI391" i="1"/>
  <c r="EJ391" i="1"/>
  <c r="CC403" i="1" s="1"/>
  <c r="CT404" i="1" s="1"/>
  <c r="CU446" i="1" s="1"/>
  <c r="EC392" i="1"/>
  <c r="ED392" i="1"/>
  <c r="EE392" i="1"/>
  <c r="EF392" i="1"/>
  <c r="EG392" i="1"/>
  <c r="EH392" i="1"/>
  <c r="EI392" i="1"/>
  <c r="EJ392" i="1"/>
  <c r="CC404" i="1" s="1"/>
  <c r="CZ404" i="1" s="1"/>
  <c r="DA446" i="1" s="1"/>
  <c r="EM392" i="1"/>
  <c r="EM391" i="1"/>
  <c r="EM390" i="1"/>
  <c r="EM389" i="1"/>
  <c r="EM388" i="1"/>
  <c r="EB392" i="1"/>
  <c r="DR392" i="1"/>
  <c r="DS392" i="1"/>
  <c r="DT392" i="1"/>
  <c r="DU392" i="1"/>
  <c r="DV392" i="1"/>
  <c r="DW392" i="1"/>
  <c r="DX392" i="1"/>
  <c r="DY392" i="1"/>
  <c r="DQ392" i="1"/>
  <c r="EB391" i="1"/>
  <c r="EB390" i="1"/>
  <c r="EB389" i="1"/>
  <c r="EB388" i="1"/>
  <c r="DR388" i="1"/>
  <c r="DS388" i="1"/>
  <c r="DT388" i="1"/>
  <c r="DU388" i="1"/>
  <c r="DV388" i="1"/>
  <c r="DW388" i="1"/>
  <c r="DX388" i="1"/>
  <c r="DY388" i="1"/>
  <c r="DR389" i="1"/>
  <c r="DS389" i="1"/>
  <c r="DT389" i="1"/>
  <c r="DU389" i="1"/>
  <c r="DV389" i="1"/>
  <c r="DW389" i="1"/>
  <c r="DX389" i="1"/>
  <c r="DY389" i="1"/>
  <c r="CB401" i="1" s="1"/>
  <c r="CI403" i="1" s="1"/>
  <c r="CJ444" i="1" s="1"/>
  <c r="DR390" i="1"/>
  <c r="DS390" i="1"/>
  <c r="DT390" i="1"/>
  <c r="DU390" i="1"/>
  <c r="DV390" i="1"/>
  <c r="DW390" i="1"/>
  <c r="DX390" i="1"/>
  <c r="DY390" i="1"/>
  <c r="CB402" i="1" s="1"/>
  <c r="CN403" i="1" s="1"/>
  <c r="CO444" i="1" s="1"/>
  <c r="DR391" i="1"/>
  <c r="DS391" i="1"/>
  <c r="DT391" i="1"/>
  <c r="DU391" i="1"/>
  <c r="DV391" i="1"/>
  <c r="DW391" i="1"/>
  <c r="DX391" i="1"/>
  <c r="DY391" i="1"/>
  <c r="CB403" i="1" s="1"/>
  <c r="CT403" i="1" s="1"/>
  <c r="CU444" i="1" s="1"/>
  <c r="DG392" i="1"/>
  <c r="DH392" i="1"/>
  <c r="DI392" i="1"/>
  <c r="DJ392" i="1"/>
  <c r="DK392" i="1"/>
  <c r="DL392" i="1"/>
  <c r="DM392" i="1"/>
  <c r="DN392" i="1"/>
  <c r="DF392" i="1"/>
  <c r="CV392" i="1"/>
  <c r="CW392" i="1"/>
  <c r="CX392" i="1"/>
  <c r="CY392" i="1"/>
  <c r="CZ392" i="1"/>
  <c r="DA392" i="1"/>
  <c r="DB392" i="1"/>
  <c r="DC392" i="1"/>
  <c r="CU392" i="1"/>
  <c r="CK392" i="1"/>
  <c r="CL392" i="1"/>
  <c r="CM392" i="1"/>
  <c r="CN392" i="1"/>
  <c r="CO392" i="1"/>
  <c r="CP392" i="1"/>
  <c r="CQ392" i="1"/>
  <c r="CR392" i="1"/>
  <c r="CJ392" i="1"/>
  <c r="DQ391" i="1"/>
  <c r="DQ390" i="1"/>
  <c r="DQ389" i="1"/>
  <c r="DQ388" i="1"/>
  <c r="DG388" i="1"/>
  <c r="DH388" i="1"/>
  <c r="DI388" i="1"/>
  <c r="DJ388" i="1"/>
  <c r="DK388" i="1"/>
  <c r="DL388" i="1"/>
  <c r="DM388" i="1"/>
  <c r="DN388" i="1"/>
  <c r="DG389" i="1"/>
  <c r="DH389" i="1"/>
  <c r="DI389" i="1"/>
  <c r="DJ389" i="1"/>
  <c r="DK389" i="1"/>
  <c r="DL389" i="1"/>
  <c r="DM389" i="1"/>
  <c r="DN389" i="1"/>
  <c r="CA401" i="1" s="1"/>
  <c r="CI402" i="1" s="1"/>
  <c r="CJ442" i="1" s="1"/>
  <c r="DG390" i="1"/>
  <c r="DH390" i="1"/>
  <c r="DI390" i="1"/>
  <c r="DJ390" i="1"/>
  <c r="DK390" i="1"/>
  <c r="DL390" i="1"/>
  <c r="DM390" i="1"/>
  <c r="DN390" i="1"/>
  <c r="CA402" i="1" s="1"/>
  <c r="CN402" i="1" s="1"/>
  <c r="CO442" i="1" s="1"/>
  <c r="DG391" i="1"/>
  <c r="DH391" i="1"/>
  <c r="DI391" i="1"/>
  <c r="DJ391" i="1"/>
  <c r="DK391" i="1"/>
  <c r="DL391" i="1"/>
  <c r="DM391" i="1"/>
  <c r="DN391" i="1"/>
  <c r="CA403" i="1" s="1"/>
  <c r="CT402" i="1" s="1"/>
  <c r="CU442" i="1" s="1"/>
  <c r="DF391" i="1"/>
  <c r="DF390" i="1"/>
  <c r="DF389" i="1"/>
  <c r="DF388" i="1"/>
  <c r="CV388" i="1"/>
  <c r="CW388" i="1"/>
  <c r="CX388" i="1"/>
  <c r="CY388" i="1"/>
  <c r="CZ388" i="1"/>
  <c r="DA388" i="1"/>
  <c r="DB388" i="1"/>
  <c r="DC388" i="1"/>
  <c r="CV389" i="1"/>
  <c r="CW389" i="1"/>
  <c r="CX389" i="1"/>
  <c r="CY389" i="1"/>
  <c r="CZ389" i="1"/>
  <c r="DA389" i="1"/>
  <c r="DB389" i="1"/>
  <c r="DC389" i="1"/>
  <c r="BZ401" i="1" s="1"/>
  <c r="CI401" i="1" s="1"/>
  <c r="CJ440" i="1" s="1"/>
  <c r="CV390" i="1"/>
  <c r="CW390" i="1"/>
  <c r="CX390" i="1"/>
  <c r="CY390" i="1"/>
  <c r="CZ390" i="1"/>
  <c r="DA390" i="1"/>
  <c r="DB390" i="1"/>
  <c r="DC390" i="1"/>
  <c r="BZ402" i="1" s="1"/>
  <c r="CN401" i="1" s="1"/>
  <c r="CO440" i="1" s="1"/>
  <c r="CV391" i="1"/>
  <c r="CW391" i="1"/>
  <c r="CX391" i="1"/>
  <c r="CY391" i="1"/>
  <c r="CZ391" i="1"/>
  <c r="DA391" i="1"/>
  <c r="DB391" i="1"/>
  <c r="DC391" i="1"/>
  <c r="BZ403" i="1" s="1"/>
  <c r="CT401" i="1" s="1"/>
  <c r="CU440" i="1" s="1"/>
  <c r="CU391" i="1"/>
  <c r="CU390" i="1"/>
  <c r="CU389" i="1"/>
  <c r="CU388" i="1"/>
  <c r="CK388" i="1"/>
  <c r="CL388" i="1"/>
  <c r="CM388" i="1"/>
  <c r="CN388" i="1"/>
  <c r="CO388" i="1"/>
  <c r="CP388" i="1"/>
  <c r="CQ388" i="1"/>
  <c r="CR388" i="1"/>
  <c r="CK389" i="1"/>
  <c r="CL389" i="1"/>
  <c r="CM389" i="1"/>
  <c r="CN389" i="1"/>
  <c r="CO389" i="1"/>
  <c r="CP389" i="1"/>
  <c r="CQ389" i="1"/>
  <c r="CR389" i="1"/>
  <c r="BY401" i="1" s="1"/>
  <c r="CI400" i="1" s="1"/>
  <c r="CJ438" i="1" s="1"/>
  <c r="CK390" i="1"/>
  <c r="CL390" i="1"/>
  <c r="CM390" i="1"/>
  <c r="CN390" i="1"/>
  <c r="CO390" i="1"/>
  <c r="CP390" i="1"/>
  <c r="CQ390" i="1"/>
  <c r="CR390" i="1"/>
  <c r="BY402" i="1" s="1"/>
  <c r="CN400" i="1" s="1"/>
  <c r="CO438" i="1" s="1"/>
  <c r="CK391" i="1"/>
  <c r="CL391" i="1"/>
  <c r="CM391" i="1"/>
  <c r="CN391" i="1"/>
  <c r="CO391" i="1"/>
  <c r="CP391" i="1"/>
  <c r="CQ391" i="1"/>
  <c r="CR391" i="1"/>
  <c r="BY403" i="1" s="1"/>
  <c r="CT400" i="1" s="1"/>
  <c r="CU438" i="1" s="1"/>
  <c r="CJ391" i="1"/>
  <c r="CJ390" i="1"/>
  <c r="CJ389" i="1"/>
  <c r="CJ388" i="1"/>
  <c r="BY388" i="1"/>
  <c r="BZ388" i="1"/>
  <c r="CA388" i="1"/>
  <c r="CB388" i="1"/>
  <c r="CC388" i="1"/>
  <c r="CD388" i="1"/>
  <c r="CE388" i="1"/>
  <c r="CF388" i="1"/>
  <c r="BY389" i="1"/>
  <c r="BZ389" i="1"/>
  <c r="CA389" i="1"/>
  <c r="CB389" i="1"/>
  <c r="CC389" i="1"/>
  <c r="CD389" i="1"/>
  <c r="CE389" i="1"/>
  <c r="CF389" i="1"/>
  <c r="BY390" i="1"/>
  <c r="BZ390" i="1"/>
  <c r="CA390" i="1"/>
  <c r="CB390" i="1"/>
  <c r="CC390" i="1"/>
  <c r="CD390" i="1"/>
  <c r="CE390" i="1"/>
  <c r="CF390" i="1"/>
  <c r="BY391" i="1"/>
  <c r="BZ391" i="1"/>
  <c r="CA391" i="1"/>
  <c r="CB391" i="1"/>
  <c r="CC391" i="1"/>
  <c r="CD391" i="1"/>
  <c r="CE391" i="1"/>
  <c r="CF391" i="1"/>
  <c r="BY392" i="1"/>
  <c r="BZ392" i="1"/>
  <c r="CA392" i="1"/>
  <c r="CB392" i="1"/>
  <c r="CC392" i="1"/>
  <c r="CD392" i="1"/>
  <c r="CE392" i="1"/>
  <c r="CF392" i="1"/>
  <c r="BX392" i="1"/>
  <c r="BX391" i="1"/>
  <c r="BX390" i="1"/>
  <c r="BX389" i="1"/>
  <c r="BX388" i="1"/>
  <c r="CY424" i="1"/>
  <c r="CS424" i="1"/>
  <c r="CM424" i="1"/>
  <c r="CH424" i="1"/>
  <c r="CY404" i="1"/>
  <c r="CS404" i="1"/>
  <c r="CM404" i="1"/>
  <c r="CH404" i="1"/>
  <c r="CY403" i="1"/>
  <c r="CS403" i="1"/>
  <c r="CM403" i="1"/>
  <c r="CH403" i="1"/>
  <c r="CY402" i="1"/>
  <c r="CS402" i="1"/>
  <c r="CM402" i="1"/>
  <c r="CH402" i="1"/>
  <c r="CY401" i="1"/>
  <c r="CS401" i="1"/>
  <c r="CM401" i="1"/>
  <c r="CH401" i="1"/>
  <c r="CY400" i="1"/>
  <c r="CS400" i="1"/>
  <c r="CM400" i="1"/>
  <c r="CH400" i="1"/>
  <c r="K42" i="20" l="1"/>
  <c r="K40" i="20"/>
  <c r="K41" i="20"/>
  <c r="K43" i="20"/>
  <c r="K39" i="20"/>
  <c r="DE574" i="1"/>
  <c r="DE595" i="1" s="1"/>
  <c r="DM582" i="1" s="1"/>
  <c r="CS572" i="1"/>
  <c r="DB571" i="1"/>
  <c r="CS580" i="1"/>
  <c r="DC571" i="1"/>
  <c r="DC592" i="1" s="1"/>
  <c r="DG572" i="1"/>
  <c r="DG593" i="1" s="1"/>
  <c r="DO578" i="1" s="1"/>
  <c r="J183" i="20" s="1"/>
  <c r="CX577" i="1"/>
  <c r="CW570" i="1"/>
  <c r="CT567" i="1"/>
  <c r="CW577" i="1"/>
  <c r="CV582" i="1"/>
  <c r="CW576" i="1"/>
  <c r="CS565" i="1"/>
  <c r="CY575" i="1"/>
  <c r="DC574" i="1"/>
  <c r="DC595" i="1" s="1"/>
  <c r="DB582" i="1"/>
  <c r="CV572" i="1"/>
  <c r="DG578" i="1"/>
  <c r="DG599" i="1" s="1"/>
  <c r="DO590" i="1" s="1"/>
  <c r="J195" i="20" s="1"/>
  <c r="DC582" i="1"/>
  <c r="DD575" i="1"/>
  <c r="DD596" i="1" s="1"/>
  <c r="DL584" i="1" s="1"/>
  <c r="J67" i="20" s="1"/>
  <c r="CW582" i="1"/>
  <c r="CW567" i="1"/>
  <c r="DB573" i="1"/>
  <c r="DG571" i="1"/>
  <c r="DG592" i="1" s="1"/>
  <c r="DO576" i="1" s="1"/>
  <c r="J181" i="20" s="1"/>
  <c r="DE578" i="1"/>
  <c r="DE599" i="1" s="1"/>
  <c r="DM590" i="1" s="1"/>
  <c r="J114" i="20" s="1"/>
  <c r="DG567" i="1"/>
  <c r="DG588" i="1" s="1"/>
  <c r="DO568" i="1" s="1"/>
  <c r="J173" i="20" s="1"/>
  <c r="DC572" i="1"/>
  <c r="DC593" i="1" s="1"/>
  <c r="CV575" i="1"/>
  <c r="DC580" i="1"/>
  <c r="DB574" i="1"/>
  <c r="CS575" i="1"/>
  <c r="CX580" i="1"/>
  <c r="DD566" i="1"/>
  <c r="DD587" i="1" s="1"/>
  <c r="DL566" i="1" s="1"/>
  <c r="DC579" i="1"/>
  <c r="DC600" i="1" s="1"/>
  <c r="DB565" i="1"/>
  <c r="DG568" i="1"/>
  <c r="DG589" i="1" s="1"/>
  <c r="DO570" i="1" s="1"/>
  <c r="J175" i="20" s="1"/>
  <c r="DG581" i="1"/>
  <c r="DG602" i="1" s="1"/>
  <c r="DO596" i="1" s="1"/>
  <c r="J201" i="20" s="1"/>
  <c r="CY570" i="1"/>
  <c r="CW579" i="1"/>
  <c r="DE579" i="1"/>
  <c r="CY581" i="1"/>
  <c r="CZ575" i="1"/>
  <c r="CZ582" i="1"/>
  <c r="CT581" i="1"/>
  <c r="CX565" i="1"/>
  <c r="DC569" i="1"/>
  <c r="DC590" i="1" s="1"/>
  <c r="DA574" i="1"/>
  <c r="DE582" i="1"/>
  <c r="DE603" i="1" s="1"/>
  <c r="DM598" i="1" s="1"/>
  <c r="DB568" i="1"/>
  <c r="CW572" i="1"/>
  <c r="CW573" i="1"/>
  <c r="DE565" i="1"/>
  <c r="DB577" i="1"/>
  <c r="CU577" i="1"/>
  <c r="DD570" i="1"/>
  <c r="DD591" i="1" s="1"/>
  <c r="DL574" i="1" s="1"/>
  <c r="J57" i="20" s="1"/>
  <c r="DA570" i="1"/>
  <c r="CU573" i="1"/>
  <c r="CU565" i="1"/>
  <c r="CU569" i="1"/>
  <c r="DC575" i="1"/>
  <c r="DC596" i="1" s="1"/>
  <c r="CS574" i="1"/>
  <c r="DF579" i="1"/>
  <c r="CX581" i="1"/>
  <c r="CV581" i="1"/>
  <c r="DC567" i="1"/>
  <c r="DC588" i="1" s="1"/>
  <c r="DB581" i="1"/>
  <c r="CS577" i="1"/>
  <c r="DA578" i="1"/>
  <c r="DD580" i="1"/>
  <c r="DD601" i="1" s="1"/>
  <c r="DL594" i="1" s="1"/>
  <c r="J77" i="20" s="1"/>
  <c r="CU572" i="1"/>
  <c r="DE570" i="1"/>
  <c r="DE591" i="1" s="1"/>
  <c r="DM574" i="1" s="1"/>
  <c r="J98" i="20" s="1"/>
  <c r="CY572" i="1"/>
  <c r="CY574" i="1"/>
  <c r="CX575" i="1"/>
  <c r="CZ570" i="1"/>
  <c r="CS568" i="1"/>
  <c r="DE566" i="1"/>
  <c r="DE587" i="1" s="1"/>
  <c r="DM566" i="1" s="1"/>
  <c r="CZ574" i="1"/>
  <c r="DA580" i="1"/>
  <c r="CV570" i="1"/>
  <c r="CS573" i="1"/>
  <c r="DC570" i="1"/>
  <c r="DC591" i="1" s="1"/>
  <c r="CZ571" i="1"/>
  <c r="CX567" i="1"/>
  <c r="CV580" i="1"/>
  <c r="DE568" i="1"/>
  <c r="DE589" i="1" s="1"/>
  <c r="DM570" i="1" s="1"/>
  <c r="J94" i="20" s="1"/>
  <c r="DA573" i="1"/>
  <c r="CW569" i="1"/>
  <c r="CY576" i="1"/>
  <c r="CU567" i="1"/>
  <c r="CZ568" i="1"/>
  <c r="CV565" i="1"/>
  <c r="CX576" i="1"/>
  <c r="DG566" i="1"/>
  <c r="DG587" i="1" s="1"/>
  <c r="DO566" i="1" s="1"/>
  <c r="J171" i="20" s="1"/>
  <c r="DD582" i="1"/>
  <c r="DD603" i="1" s="1"/>
  <c r="DL598" i="1" s="1"/>
  <c r="DL599" i="1" s="1"/>
  <c r="J82" i="20" s="1"/>
  <c r="DF574" i="1"/>
  <c r="DF595" i="1" s="1"/>
  <c r="DN582" i="1" s="1"/>
  <c r="DF578" i="1"/>
  <c r="DF599" i="1" s="1"/>
  <c r="DN590" i="1" s="1"/>
  <c r="DF575" i="1"/>
  <c r="DF596" i="1" s="1"/>
  <c r="DN584" i="1" s="1"/>
  <c r="J149" i="20" s="1"/>
  <c r="CV577" i="1"/>
  <c r="DF567" i="1"/>
  <c r="DF588" i="1" s="1"/>
  <c r="DN568" i="1" s="1"/>
  <c r="CZ565" i="1"/>
  <c r="CX566" i="1"/>
  <c r="CW581" i="1"/>
  <c r="DA579" i="1"/>
  <c r="CS582" i="1"/>
  <c r="CT577" i="1"/>
  <c r="DF581" i="1"/>
  <c r="DF602" i="1" s="1"/>
  <c r="DN596" i="1" s="1"/>
  <c r="CT573" i="1"/>
  <c r="CY580" i="1"/>
  <c r="DE573" i="1"/>
  <c r="DE594" i="1" s="1"/>
  <c r="DM580" i="1" s="1"/>
  <c r="J104" i="20" s="1"/>
  <c r="CZ577" i="1"/>
  <c r="CZ576" i="1"/>
  <c r="DF571" i="1"/>
  <c r="DF592" i="1" s="1"/>
  <c r="DN576" i="1" s="1"/>
  <c r="J141" i="20" s="1"/>
  <c r="DD573" i="1"/>
  <c r="DD594" i="1" s="1"/>
  <c r="DL580" i="1" s="1"/>
  <c r="DF570" i="1"/>
  <c r="DF591" i="1" s="1"/>
  <c r="DN574" i="1" s="1"/>
  <c r="J139" i="20" s="1"/>
  <c r="DD567" i="1"/>
  <c r="DD588" i="1" s="1"/>
  <c r="DL568" i="1" s="1"/>
  <c r="J51" i="20" s="1"/>
  <c r="CS571" i="1"/>
  <c r="DE577" i="1"/>
  <c r="DE598" i="1" s="1"/>
  <c r="DM588" i="1" s="1"/>
  <c r="J112" i="20" s="1"/>
  <c r="DG570" i="1"/>
  <c r="DG591" i="1" s="1"/>
  <c r="DO574" i="1" s="1"/>
  <c r="CW578" i="1"/>
  <c r="CU566" i="1"/>
  <c r="CS569" i="1"/>
  <c r="CZ579" i="1"/>
  <c r="CW575" i="1"/>
  <c r="CX578" i="1"/>
  <c r="DA576" i="1"/>
  <c r="CW574" i="1"/>
  <c r="CY573" i="1"/>
  <c r="DG579" i="1"/>
  <c r="CZ578" i="1"/>
  <c r="CU568" i="1"/>
  <c r="CU578" i="1"/>
  <c r="DG565" i="1"/>
  <c r="DB580" i="1"/>
  <c r="CX582" i="1"/>
  <c r="DD568" i="1"/>
  <c r="DD589" i="1" s="1"/>
  <c r="DL570" i="1" s="1"/>
  <c r="DF568" i="1"/>
  <c r="DF589" i="1" s="1"/>
  <c r="DN570" i="1" s="1"/>
  <c r="J135" i="20" s="1"/>
  <c r="DB578" i="1"/>
  <c r="DE571" i="1"/>
  <c r="DE592" i="1" s="1"/>
  <c r="DM576" i="1" s="1"/>
  <c r="CU571" i="1"/>
  <c r="CS578" i="1"/>
  <c r="CX570" i="1"/>
  <c r="DE572" i="1"/>
  <c r="DE593" i="1" s="1"/>
  <c r="DM578" i="1" s="1"/>
  <c r="CV579" i="1"/>
  <c r="DE580" i="1"/>
  <c r="DE601" i="1" s="1"/>
  <c r="DM594" i="1" s="1"/>
  <c r="J118" i="20" s="1"/>
  <c r="DG575" i="1"/>
  <c r="DG596" i="1" s="1"/>
  <c r="DO584" i="1" s="1"/>
  <c r="J189" i="20" s="1"/>
  <c r="CU581" i="1"/>
  <c r="DF582" i="1"/>
  <c r="DF603" i="1" s="1"/>
  <c r="DN598" i="1" s="1"/>
  <c r="J163" i="20" s="1"/>
  <c r="CY578" i="1"/>
  <c r="DF565" i="1"/>
  <c r="DC565" i="1"/>
  <c r="CW571" i="1"/>
  <c r="CT582" i="1"/>
  <c r="CZ580" i="1"/>
  <c r="DF572" i="1"/>
  <c r="DF593" i="1" s="1"/>
  <c r="DN578" i="1" s="1"/>
  <c r="J143" i="20" s="1"/>
  <c r="CZ581" i="1"/>
  <c r="DA581" i="1"/>
  <c r="CY571" i="1"/>
  <c r="DG582" i="1"/>
  <c r="DG603" i="1" s="1"/>
  <c r="DO598" i="1" s="1"/>
  <c r="DO599" i="1" s="1"/>
  <c r="J204" i="20" s="1"/>
  <c r="DD577" i="1"/>
  <c r="DD598" i="1" s="1"/>
  <c r="DL588" i="1" s="1"/>
  <c r="J71" i="20" s="1"/>
  <c r="CU579" i="1"/>
  <c r="DC573" i="1"/>
  <c r="DC594" i="1" s="1"/>
  <c r="CU574" i="1"/>
  <c r="CT574" i="1"/>
  <c r="CX569" i="1"/>
  <c r="DA568" i="1"/>
  <c r="CX571" i="1"/>
  <c r="CX568" i="1"/>
  <c r="DD578" i="1"/>
  <c r="DD599" i="1" s="1"/>
  <c r="DL590" i="1" s="1"/>
  <c r="CU575" i="1"/>
  <c r="CU582" i="1"/>
  <c r="CZ569" i="1"/>
  <c r="DD576" i="1"/>
  <c r="DD597" i="1" s="1"/>
  <c r="DL586" i="1" s="1"/>
  <c r="J69" i="20" s="1"/>
  <c r="DA571" i="1"/>
  <c r="DG573" i="1"/>
  <c r="DG594" i="1" s="1"/>
  <c r="DO580" i="1" s="1"/>
  <c r="J185" i="20" s="1"/>
  <c r="DD579" i="1"/>
  <c r="CV567" i="1"/>
  <c r="DA572" i="1"/>
  <c r="CY568" i="1"/>
  <c r="DE575" i="1"/>
  <c r="DE596" i="1" s="1"/>
  <c r="DM584" i="1" s="1"/>
  <c r="J108" i="20" s="1"/>
  <c r="DD574" i="1"/>
  <c r="DD595" i="1" s="1"/>
  <c r="DL582" i="1" s="1"/>
  <c r="J65" i="20" s="1"/>
  <c r="CT580" i="1"/>
  <c r="CT569" i="1"/>
  <c r="DA565" i="1"/>
  <c r="DE567" i="1"/>
  <c r="DE588" i="1" s="1"/>
  <c r="DM568" i="1" s="1"/>
  <c r="CX573" i="1"/>
  <c r="DC577" i="1"/>
  <c r="DC598" i="1" s="1"/>
  <c r="DB566" i="1"/>
  <c r="DC578" i="1"/>
  <c r="DC599" i="1" s="1"/>
  <c r="DB575" i="1"/>
  <c r="CZ566" i="1"/>
  <c r="CW566" i="1"/>
  <c r="DB567" i="1"/>
  <c r="CT575" i="1"/>
  <c r="CY582" i="1"/>
  <c r="CS579" i="1"/>
  <c r="DF577" i="1"/>
  <c r="DF598" i="1" s="1"/>
  <c r="DN588" i="1" s="1"/>
  <c r="CY577" i="1"/>
  <c r="DE569" i="1"/>
  <c r="DE590" i="1" s="1"/>
  <c r="DM572" i="1" s="1"/>
  <c r="DA569" i="1"/>
  <c r="CZ573" i="1"/>
  <c r="CV578" i="1"/>
  <c r="CT565" i="1"/>
  <c r="DE576" i="1"/>
  <c r="DE597" i="1" s="1"/>
  <c r="DM586" i="1" s="1"/>
  <c r="J110" i="20" s="1"/>
  <c r="DD581" i="1"/>
  <c r="DD602" i="1" s="1"/>
  <c r="DL596" i="1" s="1"/>
  <c r="J79" i="20" s="1"/>
  <c r="DG574" i="1"/>
  <c r="DG595" i="1" s="1"/>
  <c r="DO582" i="1" s="1"/>
  <c r="J187" i="20" s="1"/>
  <c r="CX579" i="1"/>
  <c r="CS576" i="1"/>
  <c r="CY567" i="1"/>
  <c r="DG580" i="1"/>
  <c r="DG601" i="1" s="1"/>
  <c r="DO594" i="1" s="1"/>
  <c r="DF580" i="1"/>
  <c r="DF601" i="1" s="1"/>
  <c r="DN594" i="1" s="1"/>
  <c r="J159" i="20" s="1"/>
  <c r="CZ567" i="1"/>
  <c r="CT576" i="1"/>
  <c r="CW568" i="1"/>
  <c r="DG569" i="1"/>
  <c r="DG590" i="1" s="1"/>
  <c r="DO572" i="1" s="1"/>
  <c r="J177" i="20" s="1"/>
  <c r="CU576" i="1"/>
  <c r="DE581" i="1"/>
  <c r="DE602" i="1" s="1"/>
  <c r="DM596" i="1" s="1"/>
  <c r="J120" i="20" s="1"/>
  <c r="CV566" i="1"/>
  <c r="DA567" i="1"/>
  <c r="CY579" i="1"/>
  <c r="DB569" i="1"/>
  <c r="CS567" i="1"/>
  <c r="CW580" i="1"/>
  <c r="DB579" i="1"/>
  <c r="DC576" i="1"/>
  <c r="DC597" i="1" s="1"/>
  <c r="CZ572" i="1"/>
  <c r="CY569" i="1"/>
  <c r="CV576" i="1"/>
  <c r="CT568" i="1"/>
  <c r="CV569" i="1"/>
  <c r="CV574" i="1"/>
  <c r="DA577" i="1"/>
  <c r="CX574" i="1"/>
  <c r="CS570" i="1"/>
  <c r="DA566" i="1"/>
  <c r="CV573" i="1"/>
  <c r="DG577" i="1"/>
  <c r="DG598" i="1" s="1"/>
  <c r="DO588" i="1" s="1"/>
  <c r="J193" i="20" s="1"/>
  <c r="CT572" i="1"/>
  <c r="DC568" i="1"/>
  <c r="DC589" i="1" s="1"/>
  <c r="CT570" i="1"/>
  <c r="CU580" i="1"/>
  <c r="DA582" i="1"/>
  <c r="DB576" i="1"/>
  <c r="DG576" i="1"/>
  <c r="DG597" i="1" s="1"/>
  <c r="DO586" i="1" s="1"/>
  <c r="J191" i="20" s="1"/>
  <c r="DC581" i="1"/>
  <c r="DD571" i="1"/>
  <c r="DD592" i="1" s="1"/>
  <c r="DL576" i="1" s="1"/>
  <c r="J59" i="20" s="1"/>
  <c r="CT578" i="1"/>
  <c r="DF566" i="1"/>
  <c r="DF587" i="1" s="1"/>
  <c r="DN566" i="1" s="1"/>
  <c r="DF573" i="1"/>
  <c r="DF594" i="1" s="1"/>
  <c r="DN580" i="1" s="1"/>
  <c r="DF569" i="1"/>
  <c r="DF590" i="1" s="1"/>
  <c r="DN572" i="1" s="1"/>
  <c r="J137" i="20" s="1"/>
  <c r="DB570" i="1"/>
  <c r="DD569" i="1"/>
  <c r="DD590" i="1" s="1"/>
  <c r="DL572" i="1" s="1"/>
  <c r="CT571" i="1"/>
  <c r="CW565" i="1"/>
  <c r="DD565" i="1"/>
  <c r="DA575" i="1"/>
  <c r="DC566" i="1"/>
  <c r="DC587" i="1" s="1"/>
  <c r="CT566" i="1"/>
  <c r="CX572" i="1"/>
  <c r="DD572" i="1"/>
  <c r="DD593" i="1" s="1"/>
  <c r="DL578" i="1" s="1"/>
  <c r="CY565" i="1"/>
  <c r="CU570" i="1"/>
  <c r="CS566" i="1"/>
  <c r="CV571" i="1"/>
  <c r="CY566" i="1"/>
  <c r="CV568" i="1"/>
  <c r="CT579" i="1"/>
  <c r="CS581" i="1"/>
  <c r="DF576" i="1"/>
  <c r="DF597" i="1" s="1"/>
  <c r="DN586" i="1" s="1"/>
  <c r="DP507" i="1" a="1"/>
  <c r="K52" i="20"/>
  <c r="DO634" i="1"/>
  <c r="DL658" i="1"/>
  <c r="K117" i="20" s="1"/>
  <c r="K116" i="20"/>
  <c r="K66" i="20"/>
  <c r="DO648" i="1"/>
  <c r="J133" i="20"/>
  <c r="K56" i="20"/>
  <c r="DO638" i="1"/>
  <c r="K50" i="20"/>
  <c r="DO632" i="1"/>
  <c r="K54" i="20"/>
  <c r="DO636" i="1"/>
  <c r="K64" i="20"/>
  <c r="DO646" i="1"/>
  <c r="DN656" i="1"/>
  <c r="K196" i="20" s="1"/>
  <c r="K195" i="20"/>
  <c r="B28" i="25"/>
  <c r="AE27" i="25"/>
  <c r="AC27" i="25"/>
  <c r="K72" i="20"/>
  <c r="DO654" i="1"/>
  <c r="DN658" i="1"/>
  <c r="K198" i="20" s="1"/>
  <c r="K197" i="20"/>
  <c r="CD404" i="1"/>
  <c r="CZ405" i="1" s="1"/>
  <c r="DA448" i="1" s="1"/>
  <c r="CD401" i="1"/>
  <c r="CI405" i="1" s="1"/>
  <c r="CJ448" i="1" s="1"/>
  <c r="K68" i="20"/>
  <c r="DO650" i="1"/>
  <c r="K62" i="20"/>
  <c r="DO644" i="1"/>
  <c r="K155" i="20"/>
  <c r="DM656" i="1"/>
  <c r="K156" i="20" s="1"/>
  <c r="K70" i="20"/>
  <c r="DO652" i="1"/>
  <c r="K73" i="20"/>
  <c r="DK656" i="1"/>
  <c r="K74" i="20" s="1"/>
  <c r="DO655" i="1"/>
  <c r="K60" i="20"/>
  <c r="DO642" i="1"/>
  <c r="DM658" i="1"/>
  <c r="K158" i="20" s="1"/>
  <c r="K157" i="20"/>
  <c r="AU52" i="22"/>
  <c r="AU82" i="22" s="1"/>
  <c r="AU112" i="22" s="1"/>
  <c r="AU142" i="22" s="1"/>
  <c r="AG82" i="22"/>
  <c r="AG112" i="22" s="1"/>
  <c r="AG142" i="22" s="1"/>
  <c r="K75" i="20"/>
  <c r="DK658" i="1"/>
  <c r="DO656" i="1"/>
  <c r="J100" i="20"/>
  <c r="CD402" i="1"/>
  <c r="CO448" i="1" s="1"/>
  <c r="S83" i="22"/>
  <c r="S113" i="22" s="1"/>
  <c r="S143" i="22" s="1"/>
  <c r="AG53" i="22"/>
  <c r="K58" i="20"/>
  <c r="DO640" i="1"/>
  <c r="J49" i="20"/>
  <c r="D55" i="22"/>
  <c r="S54" i="22"/>
  <c r="K114" i="20"/>
  <c r="DL656" i="1"/>
  <c r="K115" i="20" s="1"/>
  <c r="CA404" i="1"/>
  <c r="CZ402" i="1" s="1"/>
  <c r="DA442" i="1" s="1"/>
  <c r="BY404" i="1"/>
  <c r="CZ400" i="1" s="1"/>
  <c r="BZ404" i="1"/>
  <c r="CZ401" i="1" s="1"/>
  <c r="DA440" i="1" s="1"/>
  <c r="CB404" i="1"/>
  <c r="CZ403" i="1" s="1"/>
  <c r="DA444" i="1" s="1"/>
  <c r="C24" i="20"/>
  <c r="C145" i="20" s="1"/>
  <c r="C103" i="20"/>
  <c r="C62" i="20"/>
  <c r="CP460" i="1"/>
  <c r="CK460" i="1"/>
  <c r="CV460" i="1"/>
  <c r="CH425" i="1"/>
  <c r="CM425" i="1"/>
  <c r="CS425" i="1"/>
  <c r="CY425" i="1"/>
  <c r="EN270" i="1"/>
  <c r="EO270" i="1"/>
  <c r="EP270" i="1"/>
  <c r="EQ270" i="1"/>
  <c r="ER270" i="1"/>
  <c r="ES270" i="1"/>
  <c r="ET270" i="1"/>
  <c r="EU270" i="1"/>
  <c r="EN271" i="1"/>
  <c r="EO271" i="1"/>
  <c r="EP271" i="1"/>
  <c r="EQ271" i="1"/>
  <c r="ER271" i="1"/>
  <c r="ES271" i="1"/>
  <c r="ET271" i="1"/>
  <c r="EU271" i="1"/>
  <c r="EN272" i="1"/>
  <c r="EO272" i="1"/>
  <c r="EP272" i="1"/>
  <c r="EQ272" i="1"/>
  <c r="ER272" i="1"/>
  <c r="ES272" i="1"/>
  <c r="ET272" i="1"/>
  <c r="EU272" i="1"/>
  <c r="EN273" i="1"/>
  <c r="EO273" i="1"/>
  <c r="EP273" i="1"/>
  <c r="EQ273" i="1"/>
  <c r="ER273" i="1"/>
  <c r="ES273" i="1"/>
  <c r="ET273" i="1"/>
  <c r="EU273" i="1"/>
  <c r="CD281" i="1" s="1"/>
  <c r="CT283" i="1" s="1"/>
  <c r="CU326" i="1" s="1"/>
  <c r="EN274" i="1"/>
  <c r="EO274" i="1"/>
  <c r="EP274" i="1"/>
  <c r="EQ274" i="1"/>
  <c r="ER274" i="1"/>
  <c r="ES274" i="1"/>
  <c r="ET274" i="1"/>
  <c r="EU274" i="1"/>
  <c r="EM274" i="1"/>
  <c r="EM273" i="1"/>
  <c r="EM272" i="1"/>
  <c r="EM271" i="1"/>
  <c r="EM270" i="1"/>
  <c r="EC270" i="1"/>
  <c r="ED270" i="1"/>
  <c r="EE270" i="1"/>
  <c r="EF270" i="1"/>
  <c r="EG270" i="1"/>
  <c r="EH270" i="1"/>
  <c r="EI270" i="1"/>
  <c r="EJ270" i="1"/>
  <c r="EC271" i="1"/>
  <c r="ED271" i="1"/>
  <c r="EE271" i="1"/>
  <c r="EF271" i="1"/>
  <c r="EG271" i="1"/>
  <c r="EH271" i="1"/>
  <c r="EI271" i="1"/>
  <c r="EJ271" i="1"/>
  <c r="EC272" i="1"/>
  <c r="ED272" i="1"/>
  <c r="EE272" i="1"/>
  <c r="EF272" i="1"/>
  <c r="EG272" i="1"/>
  <c r="EH272" i="1"/>
  <c r="EI272" i="1"/>
  <c r="EJ272" i="1"/>
  <c r="EC273" i="1"/>
  <c r="ED273" i="1"/>
  <c r="EE273" i="1"/>
  <c r="EF273" i="1"/>
  <c r="EG273" i="1"/>
  <c r="EH273" i="1"/>
  <c r="EI273" i="1"/>
  <c r="EJ273" i="1"/>
  <c r="CC281" i="1" s="1"/>
  <c r="CT282" i="1" s="1"/>
  <c r="CU324" i="1" s="1"/>
  <c r="EC274" i="1"/>
  <c r="ED274" i="1"/>
  <c r="EE274" i="1"/>
  <c r="EF274" i="1"/>
  <c r="EG274" i="1"/>
  <c r="EH274" i="1"/>
  <c r="EI274" i="1"/>
  <c r="EJ274" i="1"/>
  <c r="EB274" i="1"/>
  <c r="EB273" i="1"/>
  <c r="EB272" i="1"/>
  <c r="EB271" i="1"/>
  <c r="EB270" i="1"/>
  <c r="DR270" i="1"/>
  <c r="DS270" i="1"/>
  <c r="DT270" i="1"/>
  <c r="DU270" i="1"/>
  <c r="DV270" i="1"/>
  <c r="DW270" i="1"/>
  <c r="DX270" i="1"/>
  <c r="DY270" i="1"/>
  <c r="DR271" i="1"/>
  <c r="DS271" i="1"/>
  <c r="DT271" i="1"/>
  <c r="DU271" i="1"/>
  <c r="DV271" i="1"/>
  <c r="DW271" i="1"/>
  <c r="DX271" i="1"/>
  <c r="DY271" i="1"/>
  <c r="CB279" i="1" s="1"/>
  <c r="CI281" i="1" s="1"/>
  <c r="CJ322" i="1" s="1"/>
  <c r="DR272" i="1"/>
  <c r="DS272" i="1"/>
  <c r="DT272" i="1"/>
  <c r="DU272" i="1"/>
  <c r="DV272" i="1"/>
  <c r="DW272" i="1"/>
  <c r="DX272" i="1"/>
  <c r="DY272" i="1"/>
  <c r="CB280" i="1" s="1"/>
  <c r="CN281" i="1" s="1"/>
  <c r="CO322" i="1" s="1"/>
  <c r="DR273" i="1"/>
  <c r="DS273" i="1"/>
  <c r="DT273" i="1"/>
  <c r="DU273" i="1"/>
  <c r="DV273" i="1"/>
  <c r="DW273" i="1"/>
  <c r="DX273" i="1"/>
  <c r="DY273" i="1"/>
  <c r="DR274" i="1"/>
  <c r="DS274" i="1"/>
  <c r="DT274" i="1"/>
  <c r="DU274" i="1"/>
  <c r="DV274" i="1"/>
  <c r="DW274" i="1"/>
  <c r="DX274" i="1"/>
  <c r="DY274" i="1"/>
  <c r="DQ274" i="1"/>
  <c r="DQ273" i="1"/>
  <c r="DQ272" i="1"/>
  <c r="DQ271" i="1"/>
  <c r="DQ270" i="1"/>
  <c r="DG270" i="1"/>
  <c r="DH270" i="1"/>
  <c r="DI270" i="1"/>
  <c r="DJ270" i="1"/>
  <c r="DK270" i="1"/>
  <c r="DL270" i="1"/>
  <c r="DM270" i="1"/>
  <c r="DN270" i="1"/>
  <c r="DG271" i="1"/>
  <c r="DH271" i="1"/>
  <c r="DI271" i="1"/>
  <c r="DJ271" i="1"/>
  <c r="DK271" i="1"/>
  <c r="DL271" i="1"/>
  <c r="DM271" i="1"/>
  <c r="DN271" i="1"/>
  <c r="CA279" i="1" s="1"/>
  <c r="CI280" i="1" s="1"/>
  <c r="CJ320" i="1" s="1"/>
  <c r="DG272" i="1"/>
  <c r="DH272" i="1"/>
  <c r="DI272" i="1"/>
  <c r="DJ272" i="1"/>
  <c r="DK272" i="1"/>
  <c r="DL272" i="1"/>
  <c r="DM272" i="1"/>
  <c r="DN272" i="1"/>
  <c r="CA280" i="1" s="1"/>
  <c r="CN280" i="1" s="1"/>
  <c r="DG273" i="1"/>
  <c r="DH273" i="1"/>
  <c r="DI273" i="1"/>
  <c r="DJ273" i="1"/>
  <c r="DK273" i="1"/>
  <c r="DL273" i="1"/>
  <c r="DM273" i="1"/>
  <c r="DN273" i="1"/>
  <c r="DG274" i="1"/>
  <c r="DH274" i="1"/>
  <c r="DI274" i="1"/>
  <c r="DJ274" i="1"/>
  <c r="DK274" i="1"/>
  <c r="DL274" i="1"/>
  <c r="DM274" i="1"/>
  <c r="DN274" i="1"/>
  <c r="CA282" i="1" s="1"/>
  <c r="CZ280" i="1" s="1"/>
  <c r="DA320" i="1" s="1"/>
  <c r="DF274" i="1"/>
  <c r="DF273" i="1"/>
  <c r="DF272" i="1"/>
  <c r="DF271" i="1"/>
  <c r="DF270" i="1"/>
  <c r="CV270" i="1"/>
  <c r="CW270" i="1"/>
  <c r="CX270" i="1"/>
  <c r="CY270" i="1"/>
  <c r="CZ270" i="1"/>
  <c r="DA270" i="1"/>
  <c r="DB270" i="1"/>
  <c r="DC270" i="1"/>
  <c r="CV271" i="1"/>
  <c r="CW271" i="1"/>
  <c r="CX271" i="1"/>
  <c r="CY271" i="1"/>
  <c r="CZ271" i="1"/>
  <c r="DA271" i="1"/>
  <c r="DB271" i="1"/>
  <c r="DC271" i="1"/>
  <c r="CV272" i="1"/>
  <c r="CW272" i="1"/>
  <c r="CX272" i="1"/>
  <c r="CY272" i="1"/>
  <c r="CZ272" i="1"/>
  <c r="DA272" i="1"/>
  <c r="DB272" i="1"/>
  <c r="DC272" i="1"/>
  <c r="CV273" i="1"/>
  <c r="CW273" i="1"/>
  <c r="CX273" i="1"/>
  <c r="CY273" i="1"/>
  <c r="CZ273" i="1"/>
  <c r="DA273" i="1"/>
  <c r="DB273" i="1"/>
  <c r="DC273" i="1"/>
  <c r="BZ281" i="1" s="1"/>
  <c r="CT279" i="1" s="1"/>
  <c r="CV274" i="1"/>
  <c r="CW274" i="1"/>
  <c r="CX274" i="1"/>
  <c r="CY274" i="1"/>
  <c r="CZ274" i="1"/>
  <c r="DA274" i="1"/>
  <c r="DB274" i="1"/>
  <c r="DC274" i="1"/>
  <c r="CU274" i="1"/>
  <c r="CU273" i="1"/>
  <c r="CU272" i="1"/>
  <c r="CU271" i="1"/>
  <c r="CU270" i="1"/>
  <c r="CK270" i="1"/>
  <c r="CL270" i="1"/>
  <c r="CM270" i="1"/>
  <c r="CN270" i="1"/>
  <c r="CO270" i="1"/>
  <c r="CP270" i="1"/>
  <c r="CQ270" i="1"/>
  <c r="CR270" i="1"/>
  <c r="CK271" i="1"/>
  <c r="CL271" i="1"/>
  <c r="CM271" i="1"/>
  <c r="CN271" i="1"/>
  <c r="CO271" i="1"/>
  <c r="CP271" i="1"/>
  <c r="CQ271" i="1"/>
  <c r="CR271" i="1"/>
  <c r="CK272" i="1"/>
  <c r="CL272" i="1"/>
  <c r="CM272" i="1"/>
  <c r="CN272" i="1"/>
  <c r="CO272" i="1"/>
  <c r="CP272" i="1"/>
  <c r="CQ272" i="1"/>
  <c r="CR272" i="1"/>
  <c r="CK273" i="1"/>
  <c r="CL273" i="1"/>
  <c r="CM273" i="1"/>
  <c r="CN273" i="1"/>
  <c r="CO273" i="1"/>
  <c r="CP273" i="1"/>
  <c r="CQ273" i="1"/>
  <c r="CR273" i="1"/>
  <c r="BY281" i="1" s="1"/>
  <c r="CT278" i="1" s="1"/>
  <c r="CU316" i="1" s="1"/>
  <c r="CK274" i="1"/>
  <c r="CL274" i="1"/>
  <c r="CM274" i="1"/>
  <c r="CN274" i="1"/>
  <c r="CO274" i="1"/>
  <c r="CP274" i="1"/>
  <c r="CQ274" i="1"/>
  <c r="CR274" i="1"/>
  <c r="CJ274" i="1"/>
  <c r="CJ273" i="1"/>
  <c r="CJ272" i="1"/>
  <c r="CJ271" i="1"/>
  <c r="CJ270" i="1"/>
  <c r="CB282" i="1"/>
  <c r="CZ281" i="1" s="1"/>
  <c r="DA322" i="1" s="1"/>
  <c r="CB281" i="1"/>
  <c r="CT281" i="1" s="1"/>
  <c r="CU322" i="1" s="1"/>
  <c r="CA281" i="1"/>
  <c r="CT280" i="1" s="1"/>
  <c r="CU320" i="1" s="1"/>
  <c r="BY270" i="1"/>
  <c r="BZ270" i="1"/>
  <c r="CA270" i="1"/>
  <c r="CB270" i="1"/>
  <c r="CC270" i="1"/>
  <c r="CD270" i="1"/>
  <c r="CE270" i="1"/>
  <c r="CF270" i="1"/>
  <c r="BY271" i="1"/>
  <c r="BZ271" i="1"/>
  <c r="CA271" i="1"/>
  <c r="CB271" i="1"/>
  <c r="CC271" i="1"/>
  <c r="CD271" i="1"/>
  <c r="CE271" i="1"/>
  <c r="CF271" i="1"/>
  <c r="BY272" i="1"/>
  <c r="BZ272" i="1"/>
  <c r="CA272" i="1"/>
  <c r="CB272" i="1"/>
  <c r="CC272" i="1"/>
  <c r="CD272" i="1"/>
  <c r="CE272" i="1"/>
  <c r="CF272" i="1"/>
  <c r="BY273" i="1"/>
  <c r="BZ273" i="1"/>
  <c r="CA273" i="1"/>
  <c r="CB273" i="1"/>
  <c r="CC273" i="1"/>
  <c r="CD273" i="1"/>
  <c r="CE273" i="1"/>
  <c r="CF273" i="1"/>
  <c r="BY274" i="1"/>
  <c r="BZ274" i="1"/>
  <c r="CA274" i="1"/>
  <c r="CB274" i="1"/>
  <c r="CC274" i="1"/>
  <c r="CD274" i="1"/>
  <c r="CE274" i="1"/>
  <c r="CF274" i="1"/>
  <c r="BX274" i="1"/>
  <c r="BX273" i="1"/>
  <c r="BX272" i="1"/>
  <c r="BX271" i="1"/>
  <c r="BX270" i="1"/>
  <c r="BX157" i="1"/>
  <c r="BY157" i="1"/>
  <c r="BZ157" i="1"/>
  <c r="CA157" i="1"/>
  <c r="CB157" i="1"/>
  <c r="CC157" i="1"/>
  <c r="CD157" i="1"/>
  <c r="CE157" i="1"/>
  <c r="CF157" i="1"/>
  <c r="CY302" i="1"/>
  <c r="CY303" i="1"/>
  <c r="CY304" i="1" s="1"/>
  <c r="CY305" i="1" s="1"/>
  <c r="CY306" i="1" s="1"/>
  <c r="CY307" i="1" s="1"/>
  <c r="CY308" i="1" s="1"/>
  <c r="CY309" i="1" s="1"/>
  <c r="CY310" i="1" s="1"/>
  <c r="CY311" i="1" s="1"/>
  <c r="CY312" i="1" s="1"/>
  <c r="CY313" i="1" s="1"/>
  <c r="CY314" i="1" s="1"/>
  <c r="CY315" i="1" s="1"/>
  <c r="CY316" i="1" s="1"/>
  <c r="CY317" i="1" s="1"/>
  <c r="CY318" i="1" s="1"/>
  <c r="CY319" i="1" s="1"/>
  <c r="CY320" i="1" s="1"/>
  <c r="CY321" i="1" s="1"/>
  <c r="CY322" i="1" s="1"/>
  <c r="CY323" i="1" s="1"/>
  <c r="CY324" i="1" s="1"/>
  <c r="CY325" i="1" s="1"/>
  <c r="CS302" i="1"/>
  <c r="CS303" i="1" s="1"/>
  <c r="CS304" i="1" s="1"/>
  <c r="CS305" i="1" s="1"/>
  <c r="CS306" i="1" s="1"/>
  <c r="CS307" i="1" s="1"/>
  <c r="CS308" i="1" s="1"/>
  <c r="CS309" i="1" s="1"/>
  <c r="CS310" i="1" s="1"/>
  <c r="CS311" i="1" s="1"/>
  <c r="CS312" i="1" s="1"/>
  <c r="CS313" i="1" s="1"/>
  <c r="CS314" i="1" s="1"/>
  <c r="CS315" i="1" s="1"/>
  <c r="CS316" i="1" s="1"/>
  <c r="CS317" i="1" s="1"/>
  <c r="CS318" i="1" s="1"/>
  <c r="CS319" i="1" s="1"/>
  <c r="CS320" i="1" s="1"/>
  <c r="CS321" i="1" s="1"/>
  <c r="CS322" i="1" s="1"/>
  <c r="CS323" i="1" s="1"/>
  <c r="CS324" i="1" s="1"/>
  <c r="CS325" i="1" s="1"/>
  <c r="CS326" i="1" s="1"/>
  <c r="CM302" i="1"/>
  <c r="CM303" i="1" s="1"/>
  <c r="CM304" i="1" s="1"/>
  <c r="CM305" i="1" s="1"/>
  <c r="CM306" i="1" s="1"/>
  <c r="CM307" i="1" s="1"/>
  <c r="CM308" i="1" s="1"/>
  <c r="CM309" i="1" s="1"/>
  <c r="CM310" i="1" s="1"/>
  <c r="CM311" i="1" s="1"/>
  <c r="CM312" i="1" s="1"/>
  <c r="CM313" i="1" s="1"/>
  <c r="CM314" i="1" s="1"/>
  <c r="CM315" i="1" s="1"/>
  <c r="CM316" i="1" s="1"/>
  <c r="CM317" i="1" s="1"/>
  <c r="CM318" i="1" s="1"/>
  <c r="CM319" i="1" s="1"/>
  <c r="CM320" i="1" s="1"/>
  <c r="CM321" i="1" s="1"/>
  <c r="CM322" i="1" s="1"/>
  <c r="CH302" i="1"/>
  <c r="CH303" i="1"/>
  <c r="CH304" i="1" s="1"/>
  <c r="CH305" i="1" s="1"/>
  <c r="CH306" i="1" s="1"/>
  <c r="CH307" i="1" s="1"/>
  <c r="CH308" i="1" s="1"/>
  <c r="CH309" i="1" s="1"/>
  <c r="CH310" i="1" s="1"/>
  <c r="CH311" i="1" s="1"/>
  <c r="CH312" i="1" s="1"/>
  <c r="CH313" i="1" s="1"/>
  <c r="CH314" i="1" s="1"/>
  <c r="CH315" i="1" s="1"/>
  <c r="CH316" i="1" s="1"/>
  <c r="CH317" i="1" s="1"/>
  <c r="CH318" i="1" s="1"/>
  <c r="CH319" i="1" s="1"/>
  <c r="CH320" i="1" s="1"/>
  <c r="CH321" i="1" s="1"/>
  <c r="CH322" i="1" s="1"/>
  <c r="CH323" i="1" s="1"/>
  <c r="CH324" i="1" s="1"/>
  <c r="CH325" i="1" s="1"/>
  <c r="CH326" i="1" s="1"/>
  <c r="CH327" i="1" s="1"/>
  <c r="CH328" i="1" s="1"/>
  <c r="CH329" i="1" s="1"/>
  <c r="CY282" i="1"/>
  <c r="CS282" i="1"/>
  <c r="CM282" i="1"/>
  <c r="CH282" i="1"/>
  <c r="CY281" i="1"/>
  <c r="CS281" i="1"/>
  <c r="CM281" i="1"/>
  <c r="CH281" i="1"/>
  <c r="CY280" i="1"/>
  <c r="CS280" i="1"/>
  <c r="CM280" i="1"/>
  <c r="CH280" i="1"/>
  <c r="CO320" i="1"/>
  <c r="CY279" i="1"/>
  <c r="CS279" i="1"/>
  <c r="CM279" i="1"/>
  <c r="CH279" i="1"/>
  <c r="CY278" i="1"/>
  <c r="CS278" i="1"/>
  <c r="CM278" i="1"/>
  <c r="CH278" i="1"/>
  <c r="CY188" i="1"/>
  <c r="CY189" i="1" s="1"/>
  <c r="CY190" i="1" s="1"/>
  <c r="CY191" i="1" s="1"/>
  <c r="CY192" i="1" s="1"/>
  <c r="CY193" i="1" s="1"/>
  <c r="CY194" i="1" s="1"/>
  <c r="CY195" i="1" s="1"/>
  <c r="CY196" i="1" s="1"/>
  <c r="CY197" i="1" s="1"/>
  <c r="CY198" i="1" s="1"/>
  <c r="CY199" i="1" s="1"/>
  <c r="CY200" i="1" s="1"/>
  <c r="CY201" i="1" s="1"/>
  <c r="CY202" i="1" s="1"/>
  <c r="CY203" i="1" s="1"/>
  <c r="CY204" i="1" s="1"/>
  <c r="CY205" i="1" s="1"/>
  <c r="CY206" i="1" s="1"/>
  <c r="CY207" i="1" s="1"/>
  <c r="CY208" i="1" s="1"/>
  <c r="CY209" i="1" s="1"/>
  <c r="CY210" i="1" s="1"/>
  <c r="CY211" i="1" s="1"/>
  <c r="CY169" i="1"/>
  <c r="CY168" i="1"/>
  <c r="CY167" i="1"/>
  <c r="CY166" i="1"/>
  <c r="CY165" i="1"/>
  <c r="CS188" i="1"/>
  <c r="CS189" i="1" s="1"/>
  <c r="CS190" i="1" s="1"/>
  <c r="CS191" i="1" s="1"/>
  <c r="CS192" i="1" s="1"/>
  <c r="CS193" i="1" s="1"/>
  <c r="CS194" i="1" s="1"/>
  <c r="CS195" i="1" s="1"/>
  <c r="CS196" i="1" s="1"/>
  <c r="CS197" i="1" s="1"/>
  <c r="CS198" i="1" s="1"/>
  <c r="CS199" i="1" s="1"/>
  <c r="CS200" i="1" s="1"/>
  <c r="CS201" i="1" s="1"/>
  <c r="CS202" i="1" s="1"/>
  <c r="CS203" i="1" s="1"/>
  <c r="CS204" i="1" s="1"/>
  <c r="CS205" i="1" s="1"/>
  <c r="CS206" i="1" s="1"/>
  <c r="CS207" i="1" s="1"/>
  <c r="CS208" i="1" s="1"/>
  <c r="CS209" i="1" s="1"/>
  <c r="CS210" i="1" s="1"/>
  <c r="CS211" i="1" s="1"/>
  <c r="CS212" i="1" s="1"/>
  <c r="CS213" i="1" s="1"/>
  <c r="CS169" i="1"/>
  <c r="CS168" i="1"/>
  <c r="CS167" i="1"/>
  <c r="CS166" i="1"/>
  <c r="CS165" i="1"/>
  <c r="CM188" i="1"/>
  <c r="CM189" i="1" s="1"/>
  <c r="CM190" i="1" s="1"/>
  <c r="CM191" i="1" s="1"/>
  <c r="CM192" i="1" s="1"/>
  <c r="CM193" i="1" s="1"/>
  <c r="CM194" i="1" s="1"/>
  <c r="CM195" i="1" s="1"/>
  <c r="CM196" i="1" s="1"/>
  <c r="CM197" i="1" s="1"/>
  <c r="CM198" i="1" s="1"/>
  <c r="CM199" i="1" s="1"/>
  <c r="CM200" i="1" s="1"/>
  <c r="CM201" i="1" s="1"/>
  <c r="CM202" i="1" s="1"/>
  <c r="CM203" i="1" s="1"/>
  <c r="CM204" i="1" s="1"/>
  <c r="CM205" i="1" s="1"/>
  <c r="CM206" i="1" s="1"/>
  <c r="CM207" i="1" s="1"/>
  <c r="CM208" i="1" s="1"/>
  <c r="CM209" i="1" s="1"/>
  <c r="CM210" i="1" s="1"/>
  <c r="CM211" i="1" s="1"/>
  <c r="CM212" i="1" s="1"/>
  <c r="CM213" i="1" s="1"/>
  <c r="CM214" i="1" s="1"/>
  <c r="CM215" i="1" s="1"/>
  <c r="CM216" i="1" s="1"/>
  <c r="CM217" i="1" s="1"/>
  <c r="CM218" i="1" s="1"/>
  <c r="CM219" i="1" s="1"/>
  <c r="CM220" i="1" s="1"/>
  <c r="CM221" i="1" s="1"/>
  <c r="CM169" i="1"/>
  <c r="CM168" i="1"/>
  <c r="CM167" i="1"/>
  <c r="CM166" i="1"/>
  <c r="CM165" i="1"/>
  <c r="CH169" i="1"/>
  <c r="CH168" i="1"/>
  <c r="CH167" i="1"/>
  <c r="CH166" i="1"/>
  <c r="CH165" i="1"/>
  <c r="CH188" i="1"/>
  <c r="CH189" i="1" s="1"/>
  <c r="CH190" i="1" s="1"/>
  <c r="CH191" i="1" s="1"/>
  <c r="CH192" i="1" s="1"/>
  <c r="CH193" i="1" s="1"/>
  <c r="CH194" i="1" s="1"/>
  <c r="CH195" i="1" s="1"/>
  <c r="CH196" i="1" s="1"/>
  <c r="CH197" i="1" s="1"/>
  <c r="CH198" i="1" s="1"/>
  <c r="CH199" i="1" s="1"/>
  <c r="CH200" i="1" s="1"/>
  <c r="CH201" i="1" s="1"/>
  <c r="CH202" i="1" s="1"/>
  <c r="EU161" i="1"/>
  <c r="ET161" i="1"/>
  <c r="ES161" i="1"/>
  <c r="ER161" i="1"/>
  <c r="EQ161" i="1"/>
  <c r="EP161" i="1"/>
  <c r="EO161" i="1"/>
  <c r="EN161" i="1"/>
  <c r="EM161" i="1"/>
  <c r="EU160" i="1"/>
  <c r="ET160" i="1"/>
  <c r="ES160" i="1"/>
  <c r="ER160" i="1"/>
  <c r="EQ160" i="1"/>
  <c r="EP160" i="1"/>
  <c r="EO160" i="1"/>
  <c r="EN160" i="1"/>
  <c r="EM160" i="1"/>
  <c r="EU159" i="1"/>
  <c r="ET159" i="1"/>
  <c r="ES159" i="1"/>
  <c r="ER159" i="1"/>
  <c r="EQ159" i="1"/>
  <c r="EP159" i="1"/>
  <c r="EO159" i="1"/>
  <c r="EN159" i="1"/>
  <c r="EM159" i="1"/>
  <c r="EU158" i="1"/>
  <c r="ET158" i="1"/>
  <c r="ES158" i="1"/>
  <c r="ER158" i="1"/>
  <c r="EQ158" i="1"/>
  <c r="EP158" i="1"/>
  <c r="EO158" i="1"/>
  <c r="EN158" i="1"/>
  <c r="EM158" i="1"/>
  <c r="EU157" i="1"/>
  <c r="ET157" i="1"/>
  <c r="ES157" i="1"/>
  <c r="ER157" i="1"/>
  <c r="EQ157" i="1"/>
  <c r="EP157" i="1"/>
  <c r="EO157" i="1"/>
  <c r="EN157" i="1"/>
  <c r="EM157" i="1"/>
  <c r="EJ161" i="1"/>
  <c r="EI161" i="1"/>
  <c r="EH161" i="1"/>
  <c r="EG161" i="1"/>
  <c r="EF161" i="1"/>
  <c r="EE161" i="1"/>
  <c r="ED161" i="1"/>
  <c r="EC161" i="1"/>
  <c r="EB161" i="1"/>
  <c r="EJ160" i="1"/>
  <c r="EI160" i="1"/>
  <c r="EH160" i="1"/>
  <c r="EG160" i="1"/>
  <c r="EF160" i="1"/>
  <c r="EE160" i="1"/>
  <c r="ED160" i="1"/>
  <c r="EC160" i="1"/>
  <c r="EB160" i="1"/>
  <c r="EJ159" i="1"/>
  <c r="EI159" i="1"/>
  <c r="EH159" i="1"/>
  <c r="EG159" i="1"/>
  <c r="EF159" i="1"/>
  <c r="EE159" i="1"/>
  <c r="ED159" i="1"/>
  <c r="EC159" i="1"/>
  <c r="EB159" i="1"/>
  <c r="EJ158" i="1"/>
  <c r="EI158" i="1"/>
  <c r="EH158" i="1"/>
  <c r="EG158" i="1"/>
  <c r="EF158" i="1"/>
  <c r="EE158" i="1"/>
  <c r="ED158" i="1"/>
  <c r="EC158" i="1"/>
  <c r="EB158" i="1"/>
  <c r="EJ157" i="1"/>
  <c r="EI157" i="1"/>
  <c r="EH157" i="1"/>
  <c r="EG157" i="1"/>
  <c r="EF157" i="1"/>
  <c r="EE157" i="1"/>
  <c r="ED157" i="1"/>
  <c r="EC157" i="1"/>
  <c r="EB157" i="1"/>
  <c r="DY161" i="1"/>
  <c r="DX161" i="1"/>
  <c r="DW161" i="1"/>
  <c r="DV161" i="1"/>
  <c r="DU161" i="1"/>
  <c r="DT161" i="1"/>
  <c r="DS161" i="1"/>
  <c r="DR161" i="1"/>
  <c r="DQ161" i="1"/>
  <c r="DY160" i="1"/>
  <c r="DX160" i="1"/>
  <c r="DW160" i="1"/>
  <c r="DV160" i="1"/>
  <c r="DU160" i="1"/>
  <c r="DT160" i="1"/>
  <c r="DS160" i="1"/>
  <c r="DR160" i="1"/>
  <c r="DQ160" i="1"/>
  <c r="DY159" i="1"/>
  <c r="DX159" i="1"/>
  <c r="DW159" i="1"/>
  <c r="DV159" i="1"/>
  <c r="DU159" i="1"/>
  <c r="DT159" i="1"/>
  <c r="DS159" i="1"/>
  <c r="DR159" i="1"/>
  <c r="DQ159" i="1"/>
  <c r="DY158" i="1"/>
  <c r="DX158" i="1"/>
  <c r="DW158" i="1"/>
  <c r="DV158" i="1"/>
  <c r="DU158" i="1"/>
  <c r="DT158" i="1"/>
  <c r="DS158" i="1"/>
  <c r="DR158" i="1"/>
  <c r="DQ158" i="1"/>
  <c r="DY157" i="1"/>
  <c r="DX157" i="1"/>
  <c r="DW157" i="1"/>
  <c r="DV157" i="1"/>
  <c r="DU157" i="1"/>
  <c r="DT157" i="1"/>
  <c r="DS157" i="1"/>
  <c r="DR157" i="1"/>
  <c r="DQ157" i="1"/>
  <c r="DN161" i="1"/>
  <c r="DM161" i="1"/>
  <c r="DL161" i="1"/>
  <c r="DK161" i="1"/>
  <c r="DJ161" i="1"/>
  <c r="DI161" i="1"/>
  <c r="DH161" i="1"/>
  <c r="DG161" i="1"/>
  <c r="DF161" i="1"/>
  <c r="DN160" i="1"/>
  <c r="DM160" i="1"/>
  <c r="DL160" i="1"/>
  <c r="DK160" i="1"/>
  <c r="DJ160" i="1"/>
  <c r="DI160" i="1"/>
  <c r="DH160" i="1"/>
  <c r="DG160" i="1"/>
  <c r="DF160" i="1"/>
  <c r="DN159" i="1"/>
  <c r="DM159" i="1"/>
  <c r="DL159" i="1"/>
  <c r="DK159" i="1"/>
  <c r="DJ159" i="1"/>
  <c r="DI159" i="1"/>
  <c r="DH159" i="1"/>
  <c r="DG159" i="1"/>
  <c r="DF159" i="1"/>
  <c r="DN158" i="1"/>
  <c r="DM158" i="1"/>
  <c r="DL158" i="1"/>
  <c r="DK158" i="1"/>
  <c r="DJ158" i="1"/>
  <c r="DI158" i="1"/>
  <c r="DH158" i="1"/>
  <c r="DG158" i="1"/>
  <c r="DF158" i="1"/>
  <c r="DN157" i="1"/>
  <c r="DM157" i="1"/>
  <c r="DL157" i="1"/>
  <c r="DK157" i="1"/>
  <c r="DJ157" i="1"/>
  <c r="DI157" i="1"/>
  <c r="DH157" i="1"/>
  <c r="DG157" i="1"/>
  <c r="DF157" i="1"/>
  <c r="DC161" i="1"/>
  <c r="DB161" i="1"/>
  <c r="DA161" i="1"/>
  <c r="CZ161" i="1"/>
  <c r="CY161" i="1"/>
  <c r="CX161" i="1"/>
  <c r="CW161" i="1"/>
  <c r="CV161" i="1"/>
  <c r="CU161" i="1"/>
  <c r="DC160" i="1"/>
  <c r="DB160" i="1"/>
  <c r="DA160" i="1"/>
  <c r="CZ160" i="1"/>
  <c r="CY160" i="1"/>
  <c r="CX160" i="1"/>
  <c r="CW160" i="1"/>
  <c r="CV160" i="1"/>
  <c r="CU160" i="1"/>
  <c r="DC159" i="1"/>
  <c r="DB159" i="1"/>
  <c r="DA159" i="1"/>
  <c r="CZ159" i="1"/>
  <c r="CY159" i="1"/>
  <c r="CX159" i="1"/>
  <c r="CW159" i="1"/>
  <c r="CV159" i="1"/>
  <c r="CU159" i="1"/>
  <c r="DC158" i="1"/>
  <c r="DB158" i="1"/>
  <c r="DA158" i="1"/>
  <c r="CZ158" i="1"/>
  <c r="CY158" i="1"/>
  <c r="CX158" i="1"/>
  <c r="CW158" i="1"/>
  <c r="CV158" i="1"/>
  <c r="CU158" i="1"/>
  <c r="DC157" i="1"/>
  <c r="DB157" i="1"/>
  <c r="DA157" i="1"/>
  <c r="CZ157" i="1"/>
  <c r="CY157" i="1"/>
  <c r="CX157" i="1"/>
  <c r="CW157" i="1"/>
  <c r="CV157" i="1"/>
  <c r="CU157" i="1"/>
  <c r="CR161" i="1"/>
  <c r="CQ161" i="1"/>
  <c r="CP161" i="1"/>
  <c r="CO161" i="1"/>
  <c r="CN161" i="1"/>
  <c r="CM161" i="1"/>
  <c r="CL161" i="1"/>
  <c r="CK161" i="1"/>
  <c r="CJ161" i="1"/>
  <c r="CR160" i="1"/>
  <c r="CQ160" i="1"/>
  <c r="CP160" i="1"/>
  <c r="CO160" i="1"/>
  <c r="CN160" i="1"/>
  <c r="CM160" i="1"/>
  <c r="CL160" i="1"/>
  <c r="CK160" i="1"/>
  <c r="CJ160" i="1"/>
  <c r="CR159" i="1"/>
  <c r="CQ159" i="1"/>
  <c r="CP159" i="1"/>
  <c r="CO159" i="1"/>
  <c r="CN159" i="1"/>
  <c r="CM159" i="1"/>
  <c r="CL159" i="1"/>
  <c r="CK159" i="1"/>
  <c r="CJ159" i="1"/>
  <c r="CR158" i="1"/>
  <c r="CQ158" i="1"/>
  <c r="CP158" i="1"/>
  <c r="CO158" i="1"/>
  <c r="CN158" i="1"/>
  <c r="CM158" i="1"/>
  <c r="CL158" i="1"/>
  <c r="CK158" i="1"/>
  <c r="CJ158" i="1"/>
  <c r="CR157" i="1"/>
  <c r="CQ157" i="1"/>
  <c r="CP157" i="1"/>
  <c r="CO157" i="1"/>
  <c r="CN157" i="1"/>
  <c r="CM157" i="1"/>
  <c r="CL157" i="1"/>
  <c r="CK157" i="1"/>
  <c r="CJ157" i="1"/>
  <c r="BY161" i="1"/>
  <c r="BZ161" i="1"/>
  <c r="CA161" i="1"/>
  <c r="CB161" i="1"/>
  <c r="CC161" i="1"/>
  <c r="CD161" i="1"/>
  <c r="CE161" i="1"/>
  <c r="CF161" i="1"/>
  <c r="BX161" i="1"/>
  <c r="BY160" i="1"/>
  <c r="BZ160" i="1"/>
  <c r="CA160" i="1"/>
  <c r="CB160" i="1"/>
  <c r="CC160" i="1"/>
  <c r="CD160" i="1"/>
  <c r="CE160" i="1"/>
  <c r="CF160" i="1"/>
  <c r="BX160" i="1"/>
  <c r="BY159" i="1"/>
  <c r="BZ159" i="1"/>
  <c r="CA159" i="1"/>
  <c r="CB159" i="1"/>
  <c r="CC159" i="1"/>
  <c r="CD159" i="1"/>
  <c r="CE159" i="1"/>
  <c r="CF159" i="1"/>
  <c r="BX159" i="1"/>
  <c r="BY158" i="1"/>
  <c r="BZ158" i="1"/>
  <c r="CA158" i="1"/>
  <c r="CB158" i="1"/>
  <c r="CC158" i="1"/>
  <c r="CD158" i="1"/>
  <c r="CE158" i="1"/>
  <c r="CF158" i="1"/>
  <c r="BX158" i="1"/>
  <c r="AW12" i="2"/>
  <c r="CP35" i="1"/>
  <c r="ET35" i="1"/>
  <c r="EI35" i="1"/>
  <c r="AL9" i="16"/>
  <c r="AL8" i="16"/>
  <c r="AL7" i="16"/>
  <c r="AL6" i="16"/>
  <c r="CF35" i="1"/>
  <c r="BU27" i="16" s="1"/>
  <c r="BZ27" i="16" s="1"/>
  <c r="AL19" i="21" s="1"/>
  <c r="CR35" i="1"/>
  <c r="BU29" i="16" s="1"/>
  <c r="BZ29" i="16" s="1"/>
  <c r="AL21" i="21" s="1"/>
  <c r="DC35" i="1"/>
  <c r="BU31" i="16" s="1"/>
  <c r="BZ31" i="16" s="1"/>
  <c r="AL23" i="21" s="1"/>
  <c r="DN35" i="1"/>
  <c r="BU33" i="16" s="1"/>
  <c r="BZ33" i="16" s="1"/>
  <c r="AL25" i="21" s="1"/>
  <c r="DY35" i="1"/>
  <c r="BU35" i="16" s="1"/>
  <c r="BZ35" i="16" s="1"/>
  <c r="AL27" i="21" s="1"/>
  <c r="EJ35" i="1"/>
  <c r="BU37" i="16" s="1"/>
  <c r="BZ37" i="16" s="1"/>
  <c r="AL29" i="21" s="1"/>
  <c r="EU35" i="1"/>
  <c r="BU39" i="16" s="1"/>
  <c r="BZ39" i="16" s="1"/>
  <c r="AL31" i="21" s="1"/>
  <c r="EQ35" i="1"/>
  <c r="EP35" i="1"/>
  <c r="EF35" i="1"/>
  <c r="EE35" i="1"/>
  <c r="DU35" i="1"/>
  <c r="DT35" i="1"/>
  <c r="DJ35" i="1"/>
  <c r="DI35" i="1"/>
  <c r="CY35" i="1"/>
  <c r="CX35" i="1"/>
  <c r="CN35" i="1"/>
  <c r="CM35" i="1"/>
  <c r="CA35" i="1"/>
  <c r="CB35" i="1"/>
  <c r="R195" i="17"/>
  <c r="R194" i="17"/>
  <c r="R193" i="17"/>
  <c r="R192" i="17"/>
  <c r="R191" i="17"/>
  <c r="R190" i="17"/>
  <c r="P174" i="17"/>
  <c r="O174" i="17"/>
  <c r="N174" i="17"/>
  <c r="M174" i="17"/>
  <c r="L174" i="17"/>
  <c r="K174" i="17"/>
  <c r="J174" i="17"/>
  <c r="P173" i="17"/>
  <c r="O173" i="17"/>
  <c r="N173" i="17"/>
  <c r="M173" i="17"/>
  <c r="L173" i="17"/>
  <c r="K173" i="17"/>
  <c r="J173" i="17"/>
  <c r="P172" i="17"/>
  <c r="O172" i="17"/>
  <c r="N172" i="17"/>
  <c r="M172" i="17"/>
  <c r="L172" i="17"/>
  <c r="K172" i="17"/>
  <c r="J172" i="17"/>
  <c r="P171" i="17"/>
  <c r="O171" i="17"/>
  <c r="N171" i="17"/>
  <c r="M171" i="17"/>
  <c r="L171" i="17"/>
  <c r="K171" i="17"/>
  <c r="J171" i="17"/>
  <c r="P170" i="17"/>
  <c r="O170" i="17"/>
  <c r="N170" i="17"/>
  <c r="M170" i="17"/>
  <c r="L170" i="17"/>
  <c r="K170" i="17"/>
  <c r="J170" i="17"/>
  <c r="P169" i="17"/>
  <c r="O169" i="17"/>
  <c r="N169" i="17"/>
  <c r="M169" i="17"/>
  <c r="L169" i="17"/>
  <c r="K169" i="17"/>
  <c r="J169" i="17"/>
  <c r="I69" i="17"/>
  <c r="I70" i="17" s="1"/>
  <c r="C68" i="17"/>
  <c r="C69" i="17" s="1"/>
  <c r="A68" i="17"/>
  <c r="A67" i="17"/>
  <c r="I18" i="17"/>
  <c r="I19" i="17" s="1"/>
  <c r="I20" i="17" s="1"/>
  <c r="C18" i="17"/>
  <c r="C19" i="17"/>
  <c r="C20" i="17" s="1"/>
  <c r="C21" i="17" s="1"/>
  <c r="A18" i="17"/>
  <c r="E17" i="17"/>
  <c r="A17" i="17"/>
  <c r="G4" i="17"/>
  <c r="F4" i="17"/>
  <c r="E4" i="17"/>
  <c r="C4" i="17"/>
  <c r="G3" i="17"/>
  <c r="F3" i="17"/>
  <c r="E3" i="17"/>
  <c r="C3" i="17"/>
  <c r="X23" i="16"/>
  <c r="AN23" i="16" s="1"/>
  <c r="AT23" i="16" s="1"/>
  <c r="J15" i="16"/>
  <c r="R15" i="16" s="1"/>
  <c r="BE40" i="16"/>
  <c r="BH40" i="16" s="1"/>
  <c r="BE39" i="16"/>
  <c r="T39" i="16"/>
  <c r="L39" i="16"/>
  <c r="K39" i="16"/>
  <c r="C39" i="16"/>
  <c r="BE38" i="16"/>
  <c r="BH38" i="16"/>
  <c r="C38" i="16"/>
  <c r="B38" i="16"/>
  <c r="A38" i="16"/>
  <c r="BE37" i="16"/>
  <c r="BH37" i="16" s="1"/>
  <c r="L37" i="16"/>
  <c r="L38" i="16" s="1"/>
  <c r="K37" i="16"/>
  <c r="AL38" i="16"/>
  <c r="AI38" i="16" s="1"/>
  <c r="C37" i="16"/>
  <c r="BE36" i="16"/>
  <c r="BH36" i="16"/>
  <c r="F36" i="16"/>
  <c r="AL37" i="16"/>
  <c r="AI37" i="16" s="1"/>
  <c r="C36" i="16"/>
  <c r="B36" i="16"/>
  <c r="A36" i="16"/>
  <c r="BE35" i="16"/>
  <c r="BH35" i="16"/>
  <c r="T35" i="16"/>
  <c r="L35" i="16"/>
  <c r="K35" i="16"/>
  <c r="F35" i="16"/>
  <c r="C35" i="16"/>
  <c r="BE34" i="16"/>
  <c r="BH34" i="16" s="1"/>
  <c r="F34" i="16"/>
  <c r="AL35" i="16"/>
  <c r="AI35" i="16" s="1"/>
  <c r="C34" i="16"/>
  <c r="B34" i="16"/>
  <c r="A34" i="16"/>
  <c r="BE33" i="16"/>
  <c r="BH33" i="16" s="1"/>
  <c r="L33" i="16"/>
  <c r="L34" i="16"/>
  <c r="K33" i="16"/>
  <c r="AL34" i="16"/>
  <c r="AI34" i="16" s="1"/>
  <c r="C33" i="16"/>
  <c r="BE32" i="16"/>
  <c r="BH32" i="16" s="1"/>
  <c r="F32" i="16"/>
  <c r="AL33" i="16"/>
  <c r="AI33" i="16" s="1"/>
  <c r="C32" i="16"/>
  <c r="B32" i="16"/>
  <c r="A32" i="16"/>
  <c r="BE31" i="16"/>
  <c r="BH31" i="16" s="1"/>
  <c r="T31" i="16"/>
  <c r="L31" i="16"/>
  <c r="K31" i="16"/>
  <c r="F31" i="16"/>
  <c r="AL32" i="16"/>
  <c r="AI32" i="16" s="1"/>
  <c r="C31" i="16"/>
  <c r="BE30" i="16"/>
  <c r="C30" i="16"/>
  <c r="B30" i="16"/>
  <c r="A30" i="16"/>
  <c r="BE29" i="16"/>
  <c r="BH29" i="16" s="1"/>
  <c r="L29" i="16"/>
  <c r="N41" i="16" s="1"/>
  <c r="K29" i="16"/>
  <c r="M41" i="16" s="1"/>
  <c r="F29" i="16"/>
  <c r="C29" i="16"/>
  <c r="BE28" i="16"/>
  <c r="BH28" i="16"/>
  <c r="AL29" i="16"/>
  <c r="AI29" i="16" s="1"/>
  <c r="C28" i="16"/>
  <c r="B28" i="16"/>
  <c r="A28" i="16"/>
  <c r="BN27" i="16"/>
  <c r="BE27" i="16"/>
  <c r="BH27" i="16"/>
  <c r="L27" i="16"/>
  <c r="K27" i="16"/>
  <c r="M27" i="16" s="1"/>
  <c r="F27" i="16"/>
  <c r="C27" i="16"/>
  <c r="BE26" i="16"/>
  <c r="BH26" i="16"/>
  <c r="F26" i="16"/>
  <c r="AL27" i="16"/>
  <c r="AI27" i="16" s="1"/>
  <c r="C26" i="16"/>
  <c r="B26" i="16"/>
  <c r="A26" i="16"/>
  <c r="BE25" i="16"/>
  <c r="BH25" i="16"/>
  <c r="L25" i="16"/>
  <c r="L26" i="16" s="1"/>
  <c r="K25" i="16"/>
  <c r="M25" i="16" s="1"/>
  <c r="AL26" i="16"/>
  <c r="AI26" i="16" s="1"/>
  <c r="C25" i="16"/>
  <c r="R25" i="16"/>
  <c r="BE24" i="16"/>
  <c r="BH24" i="16" s="1"/>
  <c r="F24" i="16"/>
  <c r="AL25" i="16"/>
  <c r="AI25" i="16" s="1"/>
  <c r="C24" i="16"/>
  <c r="B24" i="16"/>
  <c r="A24" i="16"/>
  <c r="BE23" i="16"/>
  <c r="BH23" i="16" s="1"/>
  <c r="L23" i="16"/>
  <c r="L24" i="16" s="1"/>
  <c r="K23" i="16"/>
  <c r="M23" i="16" s="1"/>
  <c r="F23" i="16"/>
  <c r="AL24" i="16"/>
  <c r="AI24" i="16" s="1"/>
  <c r="C23" i="16"/>
  <c r="R23" i="16"/>
  <c r="BE22" i="16"/>
  <c r="BH22" i="16"/>
  <c r="AL23" i="16"/>
  <c r="AI23" i="16" s="1"/>
  <c r="C22" i="16"/>
  <c r="B22" i="16"/>
  <c r="A22" i="16"/>
  <c r="BE21" i="16"/>
  <c r="BH21" i="16" s="1"/>
  <c r="L21" i="16"/>
  <c r="N21" i="16" s="1"/>
  <c r="K21" i="16"/>
  <c r="M21" i="16" s="1"/>
  <c r="F21" i="16"/>
  <c r="C21" i="16"/>
  <c r="R21" i="16"/>
  <c r="BE20" i="16"/>
  <c r="BH20" i="16" s="1"/>
  <c r="E53" i="16"/>
  <c r="C20" i="16"/>
  <c r="B20" i="16"/>
  <c r="A20" i="16"/>
  <c r="BE19" i="16"/>
  <c r="BH19" i="16"/>
  <c r="T19" i="16"/>
  <c r="L19" i="16"/>
  <c r="L20" i="16" s="1"/>
  <c r="K19" i="16"/>
  <c r="M19" i="16" s="1"/>
  <c r="AL20" i="16"/>
  <c r="AI20" i="16" s="1"/>
  <c r="C19" i="16"/>
  <c r="R19" i="16"/>
  <c r="Y19" i="16" s="1"/>
  <c r="Z19" i="16" s="1"/>
  <c r="BE18" i="16"/>
  <c r="BH18" i="16"/>
  <c r="F18" i="16"/>
  <c r="AL19" i="16"/>
  <c r="AI19" i="16" s="1"/>
  <c r="C18" i="16"/>
  <c r="B18" i="16"/>
  <c r="A18" i="16"/>
  <c r="BE17" i="16"/>
  <c r="BH17" i="16" s="1"/>
  <c r="T17" i="16"/>
  <c r="L17" i="16"/>
  <c r="N17" i="16" s="1"/>
  <c r="K17" i="16"/>
  <c r="M17" i="16" s="1"/>
  <c r="F17" i="16"/>
  <c r="C17" i="16"/>
  <c r="R17" i="16"/>
  <c r="Y17" i="16" s="1"/>
  <c r="Z17" i="16" s="1"/>
  <c r="BE16" i="16"/>
  <c r="BH16" i="16"/>
  <c r="F16" i="16"/>
  <c r="AL17" i="16"/>
  <c r="AI17" i="16" s="1"/>
  <c r="C16" i="16"/>
  <c r="B16" i="16"/>
  <c r="A16" i="16"/>
  <c r="BE15" i="16"/>
  <c r="BJ15" i="16" s="1"/>
  <c r="T15" i="16"/>
  <c r="V15" i="16" s="1"/>
  <c r="L15" i="16"/>
  <c r="L16" i="16"/>
  <c r="K15" i="16"/>
  <c r="M15" i="16" s="1"/>
  <c r="F15" i="16"/>
  <c r="AL16" i="16"/>
  <c r="AI16" i="16" s="1"/>
  <c r="C15" i="16"/>
  <c r="BK14" i="16"/>
  <c r="BE14" i="16"/>
  <c r="BH14" i="16" s="1"/>
  <c r="F14" i="16"/>
  <c r="C14" i="16"/>
  <c r="BE13" i="16"/>
  <c r="BH13" i="16" s="1"/>
  <c r="F13" i="16"/>
  <c r="C13" i="16"/>
  <c r="BE12" i="16"/>
  <c r="BH12" i="16" s="1"/>
  <c r="F12" i="16"/>
  <c r="C12" i="16"/>
  <c r="BE11" i="16"/>
  <c r="BH11" i="16" s="1"/>
  <c r="AL11" i="16"/>
  <c r="F11" i="16"/>
  <c r="D11" i="16"/>
  <c r="D12" i="16" s="1"/>
  <c r="D13" i="16" s="1"/>
  <c r="D14" i="16" s="1"/>
  <c r="D15" i="16" s="1"/>
  <c r="C11" i="16"/>
  <c r="BE10" i="16"/>
  <c r="BH10" i="16" s="1"/>
  <c r="AL10" i="16"/>
  <c r="F10" i="16"/>
  <c r="C10" i="16"/>
  <c r="BE9" i="16"/>
  <c r="BH9" i="16" s="1"/>
  <c r="C9" i="16"/>
  <c r="BE8" i="16"/>
  <c r="BH8" i="16" s="1"/>
  <c r="C8" i="16"/>
  <c r="BE7" i="16"/>
  <c r="BH7" i="16" s="1"/>
  <c r="BE6" i="16"/>
  <c r="BH6" i="16" s="1"/>
  <c r="BE5" i="16"/>
  <c r="BH5" i="16" s="1"/>
  <c r="BE4" i="16"/>
  <c r="BH4" i="16" s="1"/>
  <c r="BE3" i="16"/>
  <c r="BJ3" i="16" s="1"/>
  <c r="F17" i="17"/>
  <c r="E18" i="17"/>
  <c r="A70" i="17"/>
  <c r="I71" i="17"/>
  <c r="D68" i="17"/>
  <c r="H68" i="17" s="1"/>
  <c r="D67" i="17"/>
  <c r="H67" i="17" s="1"/>
  <c r="B48" i="17"/>
  <c r="D17" i="17"/>
  <c r="H17" i="17" s="1"/>
  <c r="D18" i="17"/>
  <c r="H18" i="17" s="1"/>
  <c r="S15" i="16"/>
  <c r="BJ16" i="16"/>
  <c r="AN17" i="16"/>
  <c r="AN15" i="16"/>
  <c r="AJ15" i="16"/>
  <c r="AJ16" i="16" s="1"/>
  <c r="U17" i="16"/>
  <c r="N15" i="16"/>
  <c r="L18" i="16"/>
  <c r="AL18" i="16"/>
  <c r="AI18" i="16" s="1"/>
  <c r="AY21" i="16"/>
  <c r="S21" i="16"/>
  <c r="AY23" i="16"/>
  <c r="S23" i="16"/>
  <c r="AN19" i="16"/>
  <c r="AT19" i="16" s="1"/>
  <c r="AN21" i="16"/>
  <c r="AT21" i="16" s="1"/>
  <c r="Y21" i="16"/>
  <c r="Z21" i="16" s="1"/>
  <c r="AN25" i="16"/>
  <c r="F19" i="16"/>
  <c r="N19" i="16"/>
  <c r="F20" i="16"/>
  <c r="AL21" i="16"/>
  <c r="AI21" i="16" s="1"/>
  <c r="F22" i="16"/>
  <c r="AL22" i="16"/>
  <c r="AI22" i="16" s="1"/>
  <c r="F25" i="16"/>
  <c r="N25" i="16"/>
  <c r="AN27" i="16"/>
  <c r="AT27" i="16" s="1"/>
  <c r="AN29" i="16"/>
  <c r="BH30" i="16"/>
  <c r="N23" i="16"/>
  <c r="AN31" i="16"/>
  <c r="AT31" i="16" s="1"/>
  <c r="AN33" i="16"/>
  <c r="F28" i="16"/>
  <c r="L28" i="16"/>
  <c r="AL28" i="16"/>
  <c r="AI28" i="16" s="1"/>
  <c r="F30" i="16"/>
  <c r="L30" i="16"/>
  <c r="AL30" i="16"/>
  <c r="AI30" i="16" s="1"/>
  <c r="AL31" i="16"/>
  <c r="AI31" i="16" s="1"/>
  <c r="L32" i="16"/>
  <c r="M35" i="16"/>
  <c r="F33" i="16"/>
  <c r="N33" i="16"/>
  <c r="AN35" i="16"/>
  <c r="N35" i="16"/>
  <c r="L36" i="16"/>
  <c r="AL36" i="16"/>
  <c r="AI36" i="16" s="1"/>
  <c r="AN37" i="16"/>
  <c r="AT37" i="16" s="1"/>
  <c r="M39" i="16"/>
  <c r="F37" i="16"/>
  <c r="M37" i="16"/>
  <c r="AN39" i="16"/>
  <c r="N39" i="16"/>
  <c r="N37" i="16"/>
  <c r="F38" i="16"/>
  <c r="AL10" i="15"/>
  <c r="AL9" i="15"/>
  <c r="AL8" i="15"/>
  <c r="AL7" i="15"/>
  <c r="I72" i="17"/>
  <c r="A71" i="17"/>
  <c r="AT33" i="16"/>
  <c r="AT25" i="16"/>
  <c r="AT39" i="16"/>
  <c r="AT35" i="16"/>
  <c r="AT29" i="16"/>
  <c r="AT15" i="16"/>
  <c r="AT17" i="16"/>
  <c r="EJ34" i="1"/>
  <c r="BC37" i="15" s="1"/>
  <c r="BS37" i="15" s="1"/>
  <c r="EF34" i="1"/>
  <c r="EE34" i="1"/>
  <c r="DY34" i="1"/>
  <c r="BC35" i="15" s="1"/>
  <c r="BS35" i="15" s="1"/>
  <c r="DU34" i="1"/>
  <c r="DT34" i="1"/>
  <c r="DN34" i="1"/>
  <c r="BC33" i="15" s="1"/>
  <c r="BS33" i="15" s="1"/>
  <c r="DJ34" i="1"/>
  <c r="DI34" i="1"/>
  <c r="DC34" i="1"/>
  <c r="CY34" i="1"/>
  <c r="CX34" i="1"/>
  <c r="BC31" i="15"/>
  <c r="BS31" i="15" s="1"/>
  <c r="EU34" i="1"/>
  <c r="BC39" i="15" s="1"/>
  <c r="BS39" i="15" s="1"/>
  <c r="CQ39" i="15" s="1"/>
  <c r="EQ34" i="1"/>
  <c r="EP34" i="1"/>
  <c r="CR34" i="1"/>
  <c r="BC29" i="15" s="1"/>
  <c r="BS29" i="15" s="1"/>
  <c r="CN34" i="1"/>
  <c r="CM34" i="1"/>
  <c r="CF34" i="1"/>
  <c r="BC27" i="15" s="1"/>
  <c r="BS27" i="15" s="1"/>
  <c r="BW27" i="15" s="1"/>
  <c r="W20" i="21" s="1"/>
  <c r="CB34" i="1"/>
  <c r="CA34" i="1"/>
  <c r="AZ23" i="15"/>
  <c r="AZ19" i="15"/>
  <c r="B16" i="15"/>
  <c r="B18" i="15"/>
  <c r="B20" i="15"/>
  <c r="B22" i="15"/>
  <c r="B24" i="15"/>
  <c r="B26" i="15"/>
  <c r="B28" i="15"/>
  <c r="B30" i="15"/>
  <c r="B32" i="15"/>
  <c r="B34" i="15"/>
  <c r="B36" i="15"/>
  <c r="B38" i="15"/>
  <c r="K15" i="15"/>
  <c r="L15" i="15"/>
  <c r="T15" i="15"/>
  <c r="K17" i="15"/>
  <c r="L17" i="15"/>
  <c r="L16" i="15"/>
  <c r="T17" i="15"/>
  <c r="K19" i="15"/>
  <c r="L19" i="15"/>
  <c r="L20" i="15" s="1"/>
  <c r="T19" i="15"/>
  <c r="K21" i="15"/>
  <c r="M21" i="15" s="1"/>
  <c r="L21" i="15"/>
  <c r="K23" i="15"/>
  <c r="L23" i="15"/>
  <c r="L22" i="15" s="1"/>
  <c r="K25" i="15"/>
  <c r="L25" i="15"/>
  <c r="L24" i="15"/>
  <c r="K27" i="15"/>
  <c r="M27" i="15" s="1"/>
  <c r="L27" i="15"/>
  <c r="L26" i="15" s="1"/>
  <c r="K29" i="15"/>
  <c r="L29" i="15"/>
  <c r="N27" i="15" s="1"/>
  <c r="M29" i="15"/>
  <c r="K31" i="15"/>
  <c r="L31" i="15"/>
  <c r="M31" i="15"/>
  <c r="T31" i="15"/>
  <c r="K33" i="15"/>
  <c r="M33" i="15" s="1"/>
  <c r="L33" i="15"/>
  <c r="L34" i="15" s="1"/>
  <c r="K35" i="15"/>
  <c r="M35" i="15" s="1"/>
  <c r="L35" i="15"/>
  <c r="T35" i="15"/>
  <c r="K37" i="15"/>
  <c r="L37" i="15"/>
  <c r="L36" i="15"/>
  <c r="M37" i="15"/>
  <c r="K39" i="15"/>
  <c r="M39" i="15" s="1"/>
  <c r="L39" i="15"/>
  <c r="T39" i="15"/>
  <c r="AZ15" i="15"/>
  <c r="A16" i="15"/>
  <c r="A18" i="15"/>
  <c r="A20" i="15"/>
  <c r="A22" i="15"/>
  <c r="A24" i="15"/>
  <c r="A26" i="15"/>
  <c r="A28" i="15"/>
  <c r="A30" i="15"/>
  <c r="A32" i="15"/>
  <c r="A34" i="15"/>
  <c r="A36" i="15"/>
  <c r="A38" i="15"/>
  <c r="Q4" i="8"/>
  <c r="F11" i="15"/>
  <c r="F12" i="15"/>
  <c r="F13" i="15"/>
  <c r="F14" i="15"/>
  <c r="F15" i="15"/>
  <c r="F16" i="15"/>
  <c r="F18" i="15"/>
  <c r="F19" i="15"/>
  <c r="F22" i="15"/>
  <c r="F23" i="15"/>
  <c r="F25" i="15"/>
  <c r="F26" i="15"/>
  <c r="F27" i="15"/>
  <c r="F30" i="15"/>
  <c r="F31" i="15"/>
  <c r="F33" i="15"/>
  <c r="F34" i="15"/>
  <c r="F35" i="15"/>
  <c r="F39" i="15"/>
  <c r="F10" i="15"/>
  <c r="BG40" i="15"/>
  <c r="BE40" i="15"/>
  <c r="BG39" i="15"/>
  <c r="BE39" i="15"/>
  <c r="C39" i="15"/>
  <c r="BG38" i="15"/>
  <c r="BH38" i="15" s="1"/>
  <c r="BE38" i="15"/>
  <c r="C38" i="15"/>
  <c r="BG37" i="15"/>
  <c r="BE37" i="15"/>
  <c r="C37" i="15"/>
  <c r="BG36" i="15"/>
  <c r="BE36" i="15"/>
  <c r="C36" i="15"/>
  <c r="BG35" i="15"/>
  <c r="BE35" i="15"/>
  <c r="C35" i="15"/>
  <c r="BG34" i="15"/>
  <c r="BE34" i="15"/>
  <c r="C34" i="15"/>
  <c r="BG33" i="15"/>
  <c r="BH33" i="15" s="1"/>
  <c r="BE33" i="15"/>
  <c r="C33" i="15"/>
  <c r="BG32" i="15"/>
  <c r="BE32" i="15"/>
  <c r="C32" i="15"/>
  <c r="BG31" i="15"/>
  <c r="BE31" i="15"/>
  <c r="C31" i="15"/>
  <c r="BG30" i="15"/>
  <c r="BE30" i="15"/>
  <c r="C30" i="15"/>
  <c r="BG29" i="15"/>
  <c r="BH29" i="15" s="1"/>
  <c r="BE29" i="15"/>
  <c r="C29" i="15"/>
  <c r="BG28" i="15"/>
  <c r="BE28" i="15"/>
  <c r="C28" i="15"/>
  <c r="BG27" i="15"/>
  <c r="BE27" i="15"/>
  <c r="C27" i="15"/>
  <c r="BG26" i="15"/>
  <c r="BE26" i="15"/>
  <c r="C26" i="15"/>
  <c r="BG25" i="15"/>
  <c r="BE25" i="15"/>
  <c r="C25" i="15"/>
  <c r="BG24" i="15"/>
  <c r="BE24" i="15"/>
  <c r="C24" i="15"/>
  <c r="BG23" i="15"/>
  <c r="BE23" i="15"/>
  <c r="C23" i="15"/>
  <c r="BG22" i="15"/>
  <c r="BH22" i="15" s="1"/>
  <c r="BE22" i="15"/>
  <c r="C22" i="15"/>
  <c r="BG21" i="15"/>
  <c r="BE21" i="15"/>
  <c r="C21" i="15"/>
  <c r="BG20" i="15"/>
  <c r="BE20" i="15"/>
  <c r="C20" i="15"/>
  <c r="BG19" i="15"/>
  <c r="BH19" i="15" s="1"/>
  <c r="BE19" i="15"/>
  <c r="C19" i="15"/>
  <c r="BG18" i="15"/>
  <c r="BE18" i="15"/>
  <c r="C18" i="15"/>
  <c r="BG17" i="15"/>
  <c r="BE17" i="15"/>
  <c r="C17" i="15"/>
  <c r="BG16" i="15"/>
  <c r="BE16" i="15"/>
  <c r="C16" i="15"/>
  <c r="BG15" i="15"/>
  <c r="BE15" i="15"/>
  <c r="C15" i="15"/>
  <c r="BK14" i="15"/>
  <c r="BG14" i="15"/>
  <c r="BE14" i="15"/>
  <c r="C14" i="15"/>
  <c r="BG13" i="15"/>
  <c r="BE13" i="15"/>
  <c r="C13" i="15"/>
  <c r="BG12" i="15"/>
  <c r="BE12" i="15"/>
  <c r="C12" i="15"/>
  <c r="BG11" i="15"/>
  <c r="BE11" i="15"/>
  <c r="BH11" i="15" s="1"/>
  <c r="AL11" i="15"/>
  <c r="D11" i="15"/>
  <c r="D12" i="15" s="1"/>
  <c r="D13" i="15" s="1"/>
  <c r="D14" i="15" s="1"/>
  <c r="D15" i="15" s="1"/>
  <c r="P15" i="15" s="1"/>
  <c r="C11" i="15"/>
  <c r="BG10" i="15"/>
  <c r="BE10" i="15"/>
  <c r="C10" i="15"/>
  <c r="BG9" i="15"/>
  <c r="BE9" i="15"/>
  <c r="C9" i="15"/>
  <c r="BG8" i="15"/>
  <c r="BE8" i="15"/>
  <c r="C8" i="15"/>
  <c r="BG7" i="15"/>
  <c r="BE7" i="15"/>
  <c r="BG6" i="15"/>
  <c r="BE6" i="15"/>
  <c r="BN27" i="15"/>
  <c r="BG5" i="15"/>
  <c r="BE5" i="15"/>
  <c r="BG4" i="15"/>
  <c r="BE4" i="15"/>
  <c r="BG3" i="15"/>
  <c r="BE3" i="15"/>
  <c r="BJ3" i="15" s="1"/>
  <c r="R196" i="14"/>
  <c r="R195" i="14"/>
  <c r="R194" i="14"/>
  <c r="R193" i="14"/>
  <c r="R192" i="14"/>
  <c r="R191" i="14"/>
  <c r="P175" i="14"/>
  <c r="O175" i="14"/>
  <c r="N175" i="14"/>
  <c r="M175" i="14"/>
  <c r="L175" i="14"/>
  <c r="K175" i="14"/>
  <c r="J175" i="14"/>
  <c r="P174" i="14"/>
  <c r="O174" i="14"/>
  <c r="N174" i="14"/>
  <c r="M174" i="14"/>
  <c r="L174" i="14"/>
  <c r="K174" i="14"/>
  <c r="J174" i="14"/>
  <c r="P173" i="14"/>
  <c r="O173" i="14"/>
  <c r="N173" i="14"/>
  <c r="M173" i="14"/>
  <c r="L173" i="14"/>
  <c r="K173" i="14"/>
  <c r="J173" i="14"/>
  <c r="P172" i="14"/>
  <c r="O172" i="14"/>
  <c r="N172" i="14"/>
  <c r="M172" i="14"/>
  <c r="L172" i="14"/>
  <c r="K172" i="14"/>
  <c r="J172" i="14"/>
  <c r="P171" i="14"/>
  <c r="O171" i="14"/>
  <c r="N171" i="14"/>
  <c r="M171" i="14"/>
  <c r="L171" i="14"/>
  <c r="K171" i="14"/>
  <c r="J171" i="14"/>
  <c r="P170" i="14"/>
  <c r="O170" i="14"/>
  <c r="N170" i="14"/>
  <c r="M170" i="14"/>
  <c r="L170" i="14"/>
  <c r="K170" i="14"/>
  <c r="J170" i="14"/>
  <c r="I69" i="14"/>
  <c r="I70" i="14" s="1"/>
  <c r="C68" i="14"/>
  <c r="C69" i="14" s="1"/>
  <c r="C70" i="14" s="1"/>
  <c r="A68" i="14"/>
  <c r="A67" i="14"/>
  <c r="I18" i="14"/>
  <c r="C18" i="14"/>
  <c r="C19" i="14" s="1"/>
  <c r="C20" i="14" s="1"/>
  <c r="E17" i="14"/>
  <c r="A17" i="14"/>
  <c r="G4" i="14"/>
  <c r="F4" i="14"/>
  <c r="E4" i="14"/>
  <c r="C4" i="14"/>
  <c r="G3" i="14"/>
  <c r="F3" i="14"/>
  <c r="E3" i="14"/>
  <c r="C3" i="14"/>
  <c r="DA33" i="1"/>
  <c r="I24" i="13" s="1"/>
  <c r="B6" i="13"/>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C5" i="13"/>
  <c r="C6" i="13"/>
  <c r="E6" i="13" s="1"/>
  <c r="C7" i="13"/>
  <c r="E7" i="13" s="1"/>
  <c r="C8" i="13"/>
  <c r="E8" i="13" s="1"/>
  <c r="C9" i="13"/>
  <c r="C10" i="13"/>
  <c r="C11" i="13"/>
  <c r="E11" i="13" s="1"/>
  <c r="C12" i="13"/>
  <c r="C13" i="13"/>
  <c r="C14" i="13"/>
  <c r="E14" i="13" s="1"/>
  <c r="C15" i="13"/>
  <c r="E15" i="13" s="1"/>
  <c r="C16" i="13"/>
  <c r="C17" i="13"/>
  <c r="E17" i="13" s="1"/>
  <c r="C18" i="13"/>
  <c r="E18" i="13" s="1"/>
  <c r="C19" i="13"/>
  <c r="E19" i="13" s="1"/>
  <c r="C20" i="13"/>
  <c r="E20" i="13" s="1"/>
  <c r="C21" i="13"/>
  <c r="C22" i="13"/>
  <c r="C23" i="13"/>
  <c r="E23" i="13" s="1"/>
  <c r="C24" i="13"/>
  <c r="C25" i="13"/>
  <c r="C26" i="13"/>
  <c r="E26" i="13" s="1"/>
  <c r="C27" i="13"/>
  <c r="E27" i="13" s="1"/>
  <c r="C28" i="13"/>
  <c r="C29" i="13"/>
  <c r="E29" i="13" s="1"/>
  <c r="C30" i="13"/>
  <c r="E30" i="13" s="1"/>
  <c r="C31" i="13"/>
  <c r="E31" i="13" s="1"/>
  <c r="C32" i="13"/>
  <c r="E32" i="13" s="1"/>
  <c r="C33" i="13"/>
  <c r="C34" i="13"/>
  <c r="C35" i="13"/>
  <c r="E35" i="13" s="1"/>
  <c r="X39" i="8"/>
  <c r="AN39" i="8" s="1"/>
  <c r="X35" i="8"/>
  <c r="AN35" i="8" s="1"/>
  <c r="X37" i="8"/>
  <c r="AN37" i="8" s="1"/>
  <c r="X33" i="8"/>
  <c r="AN33" i="8" s="1"/>
  <c r="X31" i="8"/>
  <c r="AN31" i="8" s="1"/>
  <c r="X29" i="8"/>
  <c r="AN29" i="8" s="1"/>
  <c r="AT29" i="8" s="1"/>
  <c r="X27" i="8"/>
  <c r="AN27" i="8" s="1"/>
  <c r="AT27" i="8" s="1"/>
  <c r="X25" i="8"/>
  <c r="AN25" i="8" s="1"/>
  <c r="X23" i="8"/>
  <c r="X21" i="8"/>
  <c r="AN21" i="8" s="1"/>
  <c r="X19" i="8"/>
  <c r="X17" i="8"/>
  <c r="AN17" i="8" s="1"/>
  <c r="X15" i="8"/>
  <c r="L15" i="8"/>
  <c r="T15" i="8"/>
  <c r="T17" i="8"/>
  <c r="T19" i="8"/>
  <c r="T39" i="8"/>
  <c r="T35" i="8"/>
  <c r="T31" i="8"/>
  <c r="O9" i="11" a="1"/>
  <c r="X18" i="11" s="1"/>
  <c r="V31" i="10" s="1"/>
  <c r="I14" i="2"/>
  <c r="I15" i="2"/>
  <c r="I16" i="2"/>
  <c r="I17" i="2"/>
  <c r="I18" i="2"/>
  <c r="I19" i="2"/>
  <c r="I20" i="2"/>
  <c r="I21" i="2"/>
  <c r="I22" i="2"/>
  <c r="I23" i="2"/>
  <c r="I24" i="2"/>
  <c r="I25" i="2"/>
  <c r="I26" i="2"/>
  <c r="I27" i="2"/>
  <c r="I28" i="2"/>
  <c r="I29" i="2"/>
  <c r="I30" i="2"/>
  <c r="I31" i="2"/>
  <c r="I32" i="2"/>
  <c r="I33" i="2"/>
  <c r="I34" i="2"/>
  <c r="I35" i="2"/>
  <c r="I36" i="2"/>
  <c r="I37" i="2"/>
  <c r="I12" i="2"/>
  <c r="I13" i="2"/>
  <c r="M9" i="10" a="1"/>
  <c r="M9" i="10" s="1"/>
  <c r="P6" i="22" s="1"/>
  <c r="V16" i="10"/>
  <c r="P17" i="10"/>
  <c r="N18" i="10"/>
  <c r="Q15" i="22" s="1"/>
  <c r="G27" i="22" s="1"/>
  <c r="R18" i="10"/>
  <c r="A72" i="17"/>
  <c r="I73" i="17"/>
  <c r="I74" i="17" s="1"/>
  <c r="V15" i="15"/>
  <c r="M23" i="15"/>
  <c r="M19" i="15"/>
  <c r="M25" i="15"/>
  <c r="M17" i="15"/>
  <c r="F20" i="15"/>
  <c r="F21" i="15"/>
  <c r="F29" i="15"/>
  <c r="F32" i="15"/>
  <c r="F36" i="15"/>
  <c r="F37" i="15"/>
  <c r="E18" i="14"/>
  <c r="O9" i="11"/>
  <c r="M22" i="10" s="1"/>
  <c r="M38" i="10" s="1"/>
  <c r="CH63" i="16" s="1"/>
  <c r="U9" i="11"/>
  <c r="S22" i="10" s="1"/>
  <c r="W9" i="11"/>
  <c r="U22" i="10" s="1"/>
  <c r="Q10" i="11"/>
  <c r="O23" i="10" s="1"/>
  <c r="S10" i="11"/>
  <c r="Q23" i="10" s="1"/>
  <c r="W10" i="11"/>
  <c r="U23" i="10" s="1"/>
  <c r="Q11" i="11"/>
  <c r="O24" i="10" s="1"/>
  <c r="S11" i="11"/>
  <c r="Q24" i="10" s="1"/>
  <c r="O12" i="11"/>
  <c r="M25" i="10" s="1"/>
  <c r="M41" i="10" s="1"/>
  <c r="CH66" i="16" s="1"/>
  <c r="Q12" i="11"/>
  <c r="O25" i="10" s="1"/>
  <c r="U12" i="11"/>
  <c r="S25" i="10" s="1"/>
  <c r="W12" i="11"/>
  <c r="U25" i="10" s="1"/>
  <c r="Q13" i="11"/>
  <c r="O26" i="10" s="1"/>
  <c r="U13" i="11"/>
  <c r="S26" i="10" s="1"/>
  <c r="W13" i="11"/>
  <c r="U26" i="10" s="1"/>
  <c r="S14" i="11"/>
  <c r="Q27" i="10" s="1"/>
  <c r="U14" i="11"/>
  <c r="S27" i="10" s="1"/>
  <c r="O15" i="11"/>
  <c r="M28" i="10" s="1"/>
  <c r="M44" i="10" s="1"/>
  <c r="CH69" i="16" s="1"/>
  <c r="Q15" i="11"/>
  <c r="O28" i="10" s="1"/>
  <c r="U15" i="11"/>
  <c r="S28" i="10" s="1"/>
  <c r="O16" i="11"/>
  <c r="M29" i="10" s="1"/>
  <c r="M45" i="10" s="1"/>
  <c r="CH70" i="16" s="1"/>
  <c r="Q16" i="11"/>
  <c r="O29" i="10" s="1"/>
  <c r="W16" i="11"/>
  <c r="U29" i="10" s="1"/>
  <c r="O17" i="11"/>
  <c r="M30" i="10" s="1"/>
  <c r="M46" i="10" s="1"/>
  <c r="CH71" i="16" s="1"/>
  <c r="S17" i="11"/>
  <c r="Q30" i="10" s="1"/>
  <c r="U17" i="11"/>
  <c r="S30" i="10" s="1"/>
  <c r="O18" i="11"/>
  <c r="M31" i="10" s="1"/>
  <c r="M47" i="10" s="1"/>
  <c r="CH72" i="16" s="1"/>
  <c r="S18" i="11"/>
  <c r="Q31" i="10" s="1"/>
  <c r="U18" i="11"/>
  <c r="S31" i="10" s="1"/>
  <c r="R9" i="11"/>
  <c r="P22" i="10" s="1"/>
  <c r="V9" i="11"/>
  <c r="T22" i="10" s="1"/>
  <c r="X9" i="11"/>
  <c r="V22" i="10" s="1"/>
  <c r="R10" i="11"/>
  <c r="P23" i="10" s="1"/>
  <c r="T10" i="11"/>
  <c r="R23" i="10" s="1"/>
  <c r="V10" i="11"/>
  <c r="T23" i="10" s="1"/>
  <c r="R11" i="11"/>
  <c r="P24" i="10" s="1"/>
  <c r="V11" i="11"/>
  <c r="T24" i="10" s="1"/>
  <c r="X11" i="11"/>
  <c r="V24" i="10" s="1"/>
  <c r="R12" i="11"/>
  <c r="P25" i="10" s="1"/>
  <c r="T12" i="11"/>
  <c r="R25" i="10" s="1"/>
  <c r="V12" i="11"/>
  <c r="T25" i="10" s="1"/>
  <c r="R13" i="11"/>
  <c r="P26" i="10" s="1"/>
  <c r="V13" i="11"/>
  <c r="T26" i="10" s="1"/>
  <c r="X13" i="11"/>
  <c r="V26" i="10" s="1"/>
  <c r="R14" i="11"/>
  <c r="P27" i="10" s="1"/>
  <c r="T14" i="11"/>
  <c r="R27" i="10" s="1"/>
  <c r="V14" i="11"/>
  <c r="T27" i="10" s="1"/>
  <c r="R15" i="11"/>
  <c r="P28" i="10" s="1"/>
  <c r="V15" i="11"/>
  <c r="T28" i="10" s="1"/>
  <c r="X15" i="11"/>
  <c r="V28" i="10" s="1"/>
  <c r="R16" i="11"/>
  <c r="P29" i="10" s="1"/>
  <c r="T16" i="11"/>
  <c r="R29" i="10" s="1"/>
  <c r="V16" i="11"/>
  <c r="T29" i="10" s="1"/>
  <c r="R17" i="11"/>
  <c r="P30" i="10" s="1"/>
  <c r="V17" i="11"/>
  <c r="T30" i="10" s="1"/>
  <c r="X17" i="11"/>
  <c r="V30" i="10" s="1"/>
  <c r="R18" i="11"/>
  <c r="P31" i="10" s="1"/>
  <c r="T18" i="11"/>
  <c r="R31" i="10" s="1"/>
  <c r="V18" i="11"/>
  <c r="T31" i="10" s="1"/>
  <c r="R15" i="10"/>
  <c r="P15" i="10"/>
  <c r="V14" i="10"/>
  <c r="T14" i="10"/>
  <c r="P14" i="10"/>
  <c r="P43" i="10" s="1"/>
  <c r="V13" i="10"/>
  <c r="T13" i="10"/>
  <c r="N13" i="10"/>
  <c r="Q10" i="22" s="1"/>
  <c r="G9" i="22" s="1"/>
  <c r="V12" i="10"/>
  <c r="R12" i="10"/>
  <c r="P12" i="10"/>
  <c r="P41" i="10" s="1"/>
  <c r="V11" i="10"/>
  <c r="R11" i="10"/>
  <c r="P11" i="10"/>
  <c r="T10" i="10"/>
  <c r="R10" i="10"/>
  <c r="N10" i="10"/>
  <c r="V9" i="10"/>
  <c r="V38" i="10" s="1"/>
  <c r="R9" i="10"/>
  <c r="N9" i="10"/>
  <c r="Q6" i="22" s="1"/>
  <c r="U18" i="10"/>
  <c r="O18" i="10"/>
  <c r="M18" i="10"/>
  <c r="P15" i="22" s="1"/>
  <c r="S17" i="10"/>
  <c r="S46" i="10" s="1"/>
  <c r="Q17" i="10"/>
  <c r="M17" i="10"/>
  <c r="P14" i="22" s="1"/>
  <c r="S16" i="10"/>
  <c r="Q16" i="10"/>
  <c r="U15" i="10"/>
  <c r="S15" i="10"/>
  <c r="S44" i="10" s="1"/>
  <c r="O15" i="10"/>
  <c r="M15" i="10"/>
  <c r="P12" i="22" s="1"/>
  <c r="S14" i="10"/>
  <c r="O14" i="10"/>
  <c r="M14" i="10"/>
  <c r="P11" i="22" s="1"/>
  <c r="Q13" i="10"/>
  <c r="O13" i="10"/>
  <c r="U12" i="10"/>
  <c r="U41" i="10" s="1"/>
  <c r="S12" i="10"/>
  <c r="O12" i="10"/>
  <c r="U11" i="10"/>
  <c r="S11" i="10"/>
  <c r="M11" i="10"/>
  <c r="P8" i="22" s="1"/>
  <c r="U10" i="10"/>
  <c r="U39" i="10" s="1"/>
  <c r="Q10" i="10"/>
  <c r="O10" i="10"/>
  <c r="U9" i="10"/>
  <c r="Q9" i="10"/>
  <c r="O9" i="10"/>
  <c r="EQ33" i="1"/>
  <c r="BB39" i="8" s="1"/>
  <c r="EF33" i="1"/>
  <c r="BB37" i="8" s="1"/>
  <c r="DU33" i="1"/>
  <c r="BB35" i="8" s="1"/>
  <c r="DJ33" i="1"/>
  <c r="BB33" i="8" s="1"/>
  <c r="CY33" i="1"/>
  <c r="BB31" i="8" s="1"/>
  <c r="CN33" i="1"/>
  <c r="CB33" i="1"/>
  <c r="I34" i="13"/>
  <c r="CA33" i="1"/>
  <c r="EP33" i="1"/>
  <c r="EE33" i="1"/>
  <c r="BA37" i="8" s="1"/>
  <c r="DT33" i="1"/>
  <c r="DI33" i="1"/>
  <c r="BA33" i="8" s="1"/>
  <c r="CX33" i="1"/>
  <c r="CM33" i="1"/>
  <c r="BA29" i="8" s="1"/>
  <c r="BF3" i="8"/>
  <c r="BF4" i="8"/>
  <c r="BF5" i="8"/>
  <c r="BF6" i="8"/>
  <c r="BF7" i="8"/>
  <c r="BF8" i="8"/>
  <c r="BF9" i="8"/>
  <c r="BF10" i="8"/>
  <c r="BF11" i="8"/>
  <c r="BF12" i="8"/>
  <c r="BF13" i="8"/>
  <c r="BF14" i="8"/>
  <c r="BF15" i="8"/>
  <c r="BJ15" i="8" s="1"/>
  <c r="BF16" i="8"/>
  <c r="BF17" i="8"/>
  <c r="BF18" i="8"/>
  <c r="BF19" i="8"/>
  <c r="BF20" i="8"/>
  <c r="BF21" i="8"/>
  <c r="BF22" i="8"/>
  <c r="BF23" i="8"/>
  <c r="BF24" i="8"/>
  <c r="BF25" i="8"/>
  <c r="BF26" i="8"/>
  <c r="BF27" i="8"/>
  <c r="BF28" i="8"/>
  <c r="BF29" i="8"/>
  <c r="BF30" i="8"/>
  <c r="BF31" i="8"/>
  <c r="BF32" i="8"/>
  <c r="BF33" i="8"/>
  <c r="BF34" i="8"/>
  <c r="BF35" i="8"/>
  <c r="BF36" i="8"/>
  <c r="BF37" i="8"/>
  <c r="BF38" i="8"/>
  <c r="BF39" i="8"/>
  <c r="BF40" i="8"/>
  <c r="EU33" i="1"/>
  <c r="J40" i="8" s="1"/>
  <c r="R40" i="8" s="1"/>
  <c r="EJ33" i="1"/>
  <c r="BD37" i="8" s="1"/>
  <c r="BS37" i="8" s="1"/>
  <c r="DY33" i="1"/>
  <c r="BD35" i="8" s="1"/>
  <c r="BS35" i="8" s="1"/>
  <c r="DN33" i="1"/>
  <c r="BD33" i="8" s="1"/>
  <c r="BS33" i="8" s="1"/>
  <c r="BW33" i="8" s="1"/>
  <c r="E30" i="21" s="1"/>
  <c r="DC33" i="1"/>
  <c r="BD31" i="8" s="1"/>
  <c r="BS31" i="8" s="1"/>
  <c r="BW31" i="8" s="1"/>
  <c r="E28" i="21" s="1"/>
  <c r="CR33" i="1"/>
  <c r="BD29" i="8" s="1"/>
  <c r="BS29" i="8" s="1"/>
  <c r="BW29" i="8" s="1"/>
  <c r="E26" i="21" s="1"/>
  <c r="CF33" i="1"/>
  <c r="BD27" i="8" s="1"/>
  <c r="BS27" i="8" s="1"/>
  <c r="BW27" i="8" s="1"/>
  <c r="E24" i="21" s="1"/>
  <c r="L39" i="8"/>
  <c r="N39" i="8" s="1"/>
  <c r="K39" i="8"/>
  <c r="R39" i="16"/>
  <c r="C39" i="8"/>
  <c r="F38" i="8"/>
  <c r="C38" i="8"/>
  <c r="L37" i="8"/>
  <c r="K37" i="8"/>
  <c r="R37" i="16"/>
  <c r="F37" i="8"/>
  <c r="C37" i="8"/>
  <c r="F36" i="8"/>
  <c r="C36" i="8"/>
  <c r="L35" i="8"/>
  <c r="K35" i="8"/>
  <c r="M35" i="8" s="1"/>
  <c r="R35" i="16"/>
  <c r="F35" i="8"/>
  <c r="C35" i="8"/>
  <c r="F34" i="8"/>
  <c r="C34" i="8"/>
  <c r="L33" i="8"/>
  <c r="K33" i="8"/>
  <c r="R33" i="16"/>
  <c r="F33" i="8"/>
  <c r="C33" i="8"/>
  <c r="F32" i="8"/>
  <c r="C32" i="8"/>
  <c r="L31" i="8"/>
  <c r="K31" i="8"/>
  <c r="R31" i="16"/>
  <c r="F31" i="8"/>
  <c r="C31" i="8"/>
  <c r="F30" i="8"/>
  <c r="C30" i="8"/>
  <c r="L29" i="8"/>
  <c r="N41" i="8" s="1"/>
  <c r="K29" i="8"/>
  <c r="M29" i="8"/>
  <c r="R29" i="16"/>
  <c r="F29" i="8"/>
  <c r="C29" i="8"/>
  <c r="F28" i="8"/>
  <c r="C28" i="8"/>
  <c r="L27" i="8"/>
  <c r="K27" i="8"/>
  <c r="M27" i="8" s="1"/>
  <c r="R27" i="16"/>
  <c r="F27" i="8"/>
  <c r="C27" i="8"/>
  <c r="F26" i="8"/>
  <c r="C26" i="8"/>
  <c r="L25" i="8"/>
  <c r="L26" i="8" s="1"/>
  <c r="K25" i="8"/>
  <c r="J25" i="8"/>
  <c r="R25" i="8" s="1"/>
  <c r="AY25" i="8" s="1"/>
  <c r="F25" i="8"/>
  <c r="C25" i="8"/>
  <c r="F24" i="8"/>
  <c r="C24" i="8"/>
  <c r="L23" i="8"/>
  <c r="K23" i="8"/>
  <c r="M23" i="8" s="1"/>
  <c r="J23" i="8"/>
  <c r="R23" i="8" s="1"/>
  <c r="AY23" i="8" s="1"/>
  <c r="F23" i="8"/>
  <c r="C23" i="8"/>
  <c r="F22" i="8"/>
  <c r="C22" i="8"/>
  <c r="L21" i="8"/>
  <c r="L22" i="8" s="1"/>
  <c r="K21" i="8"/>
  <c r="J21" i="8"/>
  <c r="F21" i="8"/>
  <c r="C21" i="8"/>
  <c r="F20" i="8"/>
  <c r="C20" i="8"/>
  <c r="L19" i="8"/>
  <c r="L20" i="8" s="1"/>
  <c r="K19" i="8"/>
  <c r="M19" i="8" s="1"/>
  <c r="J19" i="8"/>
  <c r="R19" i="8" s="1"/>
  <c r="AY19" i="8" s="1"/>
  <c r="F19" i="8"/>
  <c r="C19" i="8"/>
  <c r="F18" i="8"/>
  <c r="C18" i="8"/>
  <c r="L17" i="8"/>
  <c r="K17" i="8"/>
  <c r="M17" i="8" s="1"/>
  <c r="J17" i="8"/>
  <c r="F17" i="8"/>
  <c r="C17" i="8"/>
  <c r="F16" i="8"/>
  <c r="C16" i="8"/>
  <c r="N15" i="8"/>
  <c r="K15" i="8"/>
  <c r="M15" i="8" s="1"/>
  <c r="J15" i="8"/>
  <c r="R15" i="8" s="1"/>
  <c r="S15" i="8" s="1"/>
  <c r="W15" i="8" s="1"/>
  <c r="F15" i="8"/>
  <c r="C15" i="8"/>
  <c r="F14" i="8"/>
  <c r="C14" i="8"/>
  <c r="F13" i="8"/>
  <c r="C13" i="8"/>
  <c r="F12" i="8"/>
  <c r="C12" i="8"/>
  <c r="F11" i="8"/>
  <c r="D11" i="8"/>
  <c r="D12" i="8" s="1"/>
  <c r="D13" i="8" s="1"/>
  <c r="D14" i="8" s="1"/>
  <c r="D15" i="8" s="1"/>
  <c r="C11" i="8"/>
  <c r="F10" i="8"/>
  <c r="C10" i="8"/>
  <c r="C9" i="8"/>
  <c r="C8" i="8"/>
  <c r="AC7" i="7"/>
  <c r="EX19" i="1"/>
  <c r="EX18" i="1"/>
  <c r="E19" i="14"/>
  <c r="E20" i="14" s="1"/>
  <c r="E21" i="14" s="1"/>
  <c r="C21" i="14"/>
  <c r="C22" i="14" s="1"/>
  <c r="C23" i="14" s="1"/>
  <c r="C24" i="14" s="1"/>
  <c r="C25" i="14" s="1"/>
  <c r="M21" i="8"/>
  <c r="M25" i="8"/>
  <c r="AT25" i="8"/>
  <c r="M33" i="8"/>
  <c r="N37" i="8"/>
  <c r="M39" i="8"/>
  <c r="AT39" i="8"/>
  <c r="M31" i="8"/>
  <c r="AT31" i="8"/>
  <c r="AT35" i="8"/>
  <c r="M37" i="8"/>
  <c r="AT17" i="8"/>
  <c r="AT21" i="8"/>
  <c r="AT33" i="8"/>
  <c r="AT37" i="8"/>
  <c r="E9" i="7"/>
  <c r="F9" i="7" s="1"/>
  <c r="E10" i="7"/>
  <c r="F10" i="7" s="1"/>
  <c r="E11" i="7"/>
  <c r="F11" i="7" s="1"/>
  <c r="E12" i="7"/>
  <c r="F12" i="7" s="1"/>
  <c r="E13" i="7"/>
  <c r="F13" i="7" s="1"/>
  <c r="E14" i="7"/>
  <c r="F14" i="7" s="1"/>
  <c r="E15" i="7"/>
  <c r="F15" i="7" s="1"/>
  <c r="E16" i="7"/>
  <c r="F16" i="7" s="1"/>
  <c r="E17" i="7"/>
  <c r="F17" i="7" s="1"/>
  <c r="E18" i="7"/>
  <c r="F18" i="7" s="1"/>
  <c r="E19" i="7"/>
  <c r="F19" i="7" s="1"/>
  <c r="E20" i="7"/>
  <c r="F20" i="7" s="1"/>
  <c r="E21" i="7"/>
  <c r="F21" i="7" s="1"/>
  <c r="E22" i="7"/>
  <c r="F22" i="7" s="1"/>
  <c r="E23" i="7"/>
  <c r="F23" i="7" s="1"/>
  <c r="E24" i="7"/>
  <c r="F24" i="7" s="1"/>
  <c r="E25" i="7"/>
  <c r="F25" i="7" s="1"/>
  <c r="E26" i="7"/>
  <c r="F26" i="7" s="1"/>
  <c r="E27" i="7"/>
  <c r="F27" i="7" s="1"/>
  <c r="E28" i="7"/>
  <c r="F28" i="7" s="1"/>
  <c r="E29" i="7"/>
  <c r="F29" i="7" s="1"/>
  <c r="E30" i="7"/>
  <c r="F30" i="7" s="1"/>
  <c r="E31" i="7"/>
  <c r="F31" i="7" s="1"/>
  <c r="E32" i="7"/>
  <c r="F32" i="7" s="1"/>
  <c r="E33" i="7"/>
  <c r="F33" i="7" s="1"/>
  <c r="E34" i="7"/>
  <c r="F34" i="7" s="1"/>
  <c r="E35" i="7"/>
  <c r="E36" i="7"/>
  <c r="F36" i="7" s="1"/>
  <c r="E37" i="7"/>
  <c r="F37" i="7" s="1"/>
  <c r="E8" i="7"/>
  <c r="F8" i="7" s="1"/>
  <c r="C71" i="14"/>
  <c r="C72" i="14" s="1"/>
  <c r="C73" i="14" s="1"/>
  <c r="C74" i="14" s="1"/>
  <c r="C75" i="14" s="1"/>
  <c r="C76" i="14" s="1"/>
  <c r="N27" i="7"/>
  <c r="N23" i="7"/>
  <c r="L19" i="7"/>
  <c r="L13" i="7"/>
  <c r="L15" i="7"/>
  <c r="N15" i="7" s="1"/>
  <c r="L17" i="7"/>
  <c r="L21" i="7"/>
  <c r="L23" i="7"/>
  <c r="L25" i="7"/>
  <c r="L27" i="7"/>
  <c r="L29" i="7"/>
  <c r="N29" i="7" s="1"/>
  <c r="L31" i="7"/>
  <c r="N31" i="7" s="1"/>
  <c r="L33" i="7"/>
  <c r="N33" i="7" s="1"/>
  <c r="L35" i="7"/>
  <c r="N35" i="7" s="1"/>
  <c r="L37" i="7"/>
  <c r="K19" i="7"/>
  <c r="K23" i="7"/>
  <c r="K21" i="7"/>
  <c r="K15" i="7"/>
  <c r="K17" i="7"/>
  <c r="K13" i="7"/>
  <c r="K27" i="7"/>
  <c r="M27" i="7" s="1"/>
  <c r="K25" i="7"/>
  <c r="M25" i="7" s="1"/>
  <c r="K37" i="7"/>
  <c r="K35" i="7"/>
  <c r="M35" i="7" s="1"/>
  <c r="K33" i="7"/>
  <c r="M33" i="7" s="1"/>
  <c r="K31" i="7"/>
  <c r="K29" i="7"/>
  <c r="C6" i="7"/>
  <c r="C7" i="7"/>
  <c r="C8" i="7"/>
  <c r="C9" i="7"/>
  <c r="C10" i="7"/>
  <c r="C11" i="7"/>
  <c r="C12" i="7"/>
  <c r="C13" i="7"/>
  <c r="C14" i="7"/>
  <c r="C15" i="7"/>
  <c r="C16" i="7"/>
  <c r="C17" i="7"/>
  <c r="C18" i="7"/>
  <c r="C19" i="7"/>
  <c r="C20" i="7"/>
  <c r="C21" i="7"/>
  <c r="C22" i="7"/>
  <c r="C23" i="7"/>
  <c r="C24" i="7"/>
  <c r="C25" i="7"/>
  <c r="C26" i="7"/>
  <c r="C27" i="7"/>
  <c r="AL27" i="7" s="1"/>
  <c r="C28" i="7"/>
  <c r="AL28" i="7" s="1"/>
  <c r="C29" i="7"/>
  <c r="AL29" i="7" s="1"/>
  <c r="C30" i="7"/>
  <c r="AL30" i="7" s="1"/>
  <c r="C31" i="7"/>
  <c r="AL31" i="7" s="1"/>
  <c r="C33" i="7"/>
  <c r="AL33" i="7" s="1"/>
  <c r="C34" i="7"/>
  <c r="AL34" i="7" s="1"/>
  <c r="C35" i="7"/>
  <c r="AL35" i="7" s="1"/>
  <c r="C36" i="7"/>
  <c r="AL36" i="7" s="1"/>
  <c r="C37" i="7"/>
  <c r="AL37" i="7" s="1"/>
  <c r="J13" i="7"/>
  <c r="R13" i="7" s="1"/>
  <c r="J15" i="7"/>
  <c r="R15" i="7" s="1"/>
  <c r="J17" i="7"/>
  <c r="R17" i="7" s="1"/>
  <c r="J19" i="7"/>
  <c r="R19" i="7" s="1"/>
  <c r="J21" i="7"/>
  <c r="R21" i="7" s="1"/>
  <c r="J23" i="7"/>
  <c r="R23" i="7" s="1"/>
  <c r="CF32" i="1"/>
  <c r="J27" i="8" s="1"/>
  <c r="E22" i="14"/>
  <c r="E23" i="14" s="1"/>
  <c r="E24" i="14" s="1"/>
  <c r="E25" i="14" s="1"/>
  <c r="E26" i="14" s="1"/>
  <c r="E27" i="14" s="1"/>
  <c r="E28" i="14" s="1"/>
  <c r="E29" i="14" s="1"/>
  <c r="E30" i="14" s="1"/>
  <c r="E31" i="14" s="1"/>
  <c r="E32" i="14" s="1"/>
  <c r="E33" i="14" s="1"/>
  <c r="E34" i="14" s="1"/>
  <c r="E35" i="14" s="1"/>
  <c r="E36" i="14" s="1"/>
  <c r="E37" i="14" s="1"/>
  <c r="E38" i="14" s="1"/>
  <c r="E39" i="14" s="1"/>
  <c r="E40" i="14" s="1"/>
  <c r="E41" i="14" s="1"/>
  <c r="E42" i="14" s="1"/>
  <c r="E43" i="14" s="1"/>
  <c r="E44" i="14" s="1"/>
  <c r="E45" i="14" s="1"/>
  <c r="E46" i="14" s="1"/>
  <c r="E47" i="14" s="1"/>
  <c r="E48" i="14" s="1"/>
  <c r="E65" i="6"/>
  <c r="D65" i="6"/>
  <c r="EU32" i="1"/>
  <c r="J39" i="8" s="1"/>
  <c r="EJ32" i="1"/>
  <c r="J37" i="8" s="1"/>
  <c r="B37" i="15" s="1"/>
  <c r="J37" i="15" s="1"/>
  <c r="R37" i="15" s="1"/>
  <c r="AY37" i="15" s="1"/>
  <c r="DY32" i="1"/>
  <c r="J35" i="8" s="1"/>
  <c r="DN32" i="1"/>
  <c r="J33" i="8" s="1"/>
  <c r="DC32" i="1"/>
  <c r="J31" i="8" s="1"/>
  <c r="CR32" i="1"/>
  <c r="J27" i="7" s="1"/>
  <c r="R27" i="7" s="1"/>
  <c r="D10" i="7"/>
  <c r="D11" i="7" s="1"/>
  <c r="D12" i="7" s="1"/>
  <c r="D13" i="7" s="1"/>
  <c r="D9" i="7"/>
  <c r="F35" i="7"/>
  <c r="E38" i="7"/>
  <c r="GI13" i="1"/>
  <c r="JY9" i="1" s="1"/>
  <c r="N202" i="5" s="1"/>
  <c r="GI12" i="1"/>
  <c r="JY8" i="1" s="1"/>
  <c r="N201" i="5" s="1"/>
  <c r="GI11" i="1"/>
  <c r="JY7" i="1" s="1"/>
  <c r="N200" i="5" s="1"/>
  <c r="C3" i="5"/>
  <c r="C4" i="5"/>
  <c r="R191" i="5"/>
  <c r="R192" i="5"/>
  <c r="R193" i="5"/>
  <c r="R194" i="5"/>
  <c r="R195" i="5"/>
  <c r="R190" i="5"/>
  <c r="L169" i="5"/>
  <c r="M169" i="5"/>
  <c r="N169" i="5"/>
  <c r="O169" i="5"/>
  <c r="P169" i="5"/>
  <c r="L170" i="5"/>
  <c r="M170" i="5"/>
  <c r="N170" i="5"/>
  <c r="O170" i="5"/>
  <c r="P170" i="5"/>
  <c r="L171" i="5"/>
  <c r="M171" i="5"/>
  <c r="N171" i="5"/>
  <c r="O171" i="5"/>
  <c r="P171" i="5"/>
  <c r="L172" i="5"/>
  <c r="M172" i="5"/>
  <c r="N172" i="5"/>
  <c r="O172" i="5"/>
  <c r="P172" i="5"/>
  <c r="L173" i="5"/>
  <c r="M173" i="5"/>
  <c r="N173" i="5"/>
  <c r="O173" i="5"/>
  <c r="P173" i="5"/>
  <c r="L174" i="5"/>
  <c r="M174" i="5"/>
  <c r="N174" i="5"/>
  <c r="O174" i="5"/>
  <c r="P174" i="5"/>
  <c r="K174" i="5"/>
  <c r="K173" i="5"/>
  <c r="K172" i="5"/>
  <c r="K171" i="5"/>
  <c r="K170" i="5"/>
  <c r="K169" i="5"/>
  <c r="J171" i="5"/>
  <c r="J172" i="5"/>
  <c r="J173" i="5"/>
  <c r="J174" i="5"/>
  <c r="J170" i="5"/>
  <c r="J169" i="5"/>
  <c r="E17" i="5"/>
  <c r="E18" i="5" s="1"/>
  <c r="I69" i="5"/>
  <c r="I70" i="5"/>
  <c r="A70" i="5" s="1"/>
  <c r="C68" i="5"/>
  <c r="C69" i="5" s="1"/>
  <c r="A68" i="5"/>
  <c r="A67" i="5"/>
  <c r="I18" i="5"/>
  <c r="I19" i="5" s="1"/>
  <c r="A19" i="5" s="1"/>
  <c r="C18" i="5"/>
  <c r="C19" i="5" s="1"/>
  <c r="A17" i="5"/>
  <c r="G4" i="5"/>
  <c r="F4" i="5"/>
  <c r="E4" i="5"/>
  <c r="G3" i="5"/>
  <c r="F3" i="5"/>
  <c r="E3" i="5"/>
  <c r="IX131" i="1"/>
  <c r="IV131" i="1"/>
  <c r="IU131" i="1"/>
  <c r="IT131" i="1"/>
  <c r="IS131" i="1"/>
  <c r="IR131" i="1"/>
  <c r="IQ131" i="1"/>
  <c r="IP131" i="1"/>
  <c r="IX130" i="1"/>
  <c r="IV130" i="1"/>
  <c r="IU130" i="1"/>
  <c r="IT130" i="1"/>
  <c r="IS130" i="1"/>
  <c r="IR130" i="1"/>
  <c r="IQ130" i="1"/>
  <c r="IP130" i="1"/>
  <c r="IX129" i="1"/>
  <c r="IV129" i="1"/>
  <c r="IU129" i="1"/>
  <c r="IT129" i="1"/>
  <c r="IS129" i="1"/>
  <c r="IR129" i="1"/>
  <c r="IQ129" i="1"/>
  <c r="IP129" i="1"/>
  <c r="IX128" i="1"/>
  <c r="IV128" i="1"/>
  <c r="IU128" i="1"/>
  <c r="IT128" i="1"/>
  <c r="IS128" i="1"/>
  <c r="IR128" i="1"/>
  <c r="IQ128" i="1"/>
  <c r="IP128" i="1"/>
  <c r="IX127" i="1"/>
  <c r="IV127" i="1"/>
  <c r="IU127" i="1"/>
  <c r="IT127" i="1"/>
  <c r="IS127" i="1"/>
  <c r="IR127" i="1"/>
  <c r="IQ127" i="1"/>
  <c r="IP127" i="1"/>
  <c r="IX126" i="1"/>
  <c r="IV126" i="1"/>
  <c r="IU126" i="1"/>
  <c r="IT126" i="1"/>
  <c r="IS126" i="1"/>
  <c r="IS132" i="1" s="1"/>
  <c r="IR126" i="1"/>
  <c r="IQ126" i="1"/>
  <c r="IP126" i="1"/>
  <c r="IX125" i="1"/>
  <c r="IV125" i="1"/>
  <c r="IU125" i="1"/>
  <c r="IT125" i="1"/>
  <c r="IS125" i="1"/>
  <c r="IR125" i="1"/>
  <c r="IQ125" i="1"/>
  <c r="IP125" i="1"/>
  <c r="IX102" i="1"/>
  <c r="JI102" i="1" s="1"/>
  <c r="IV102" i="1"/>
  <c r="IU102" i="1"/>
  <c r="IT102" i="1"/>
  <c r="IT103" i="1" s="1"/>
  <c r="IS102" i="1"/>
  <c r="IR102" i="1"/>
  <c r="IQ102" i="1"/>
  <c r="IP102" i="1"/>
  <c r="IX101" i="1"/>
  <c r="JI101" i="1" s="1"/>
  <c r="IV101" i="1"/>
  <c r="IU101" i="1"/>
  <c r="IT101" i="1"/>
  <c r="IS101" i="1"/>
  <c r="IR101" i="1"/>
  <c r="IQ101" i="1"/>
  <c r="IP101" i="1"/>
  <c r="IX100" i="1"/>
  <c r="JI100" i="1" s="1"/>
  <c r="IV100" i="1"/>
  <c r="IU100" i="1"/>
  <c r="IT100" i="1"/>
  <c r="IS100" i="1"/>
  <c r="IR100" i="1"/>
  <c r="IQ100" i="1"/>
  <c r="IP100" i="1"/>
  <c r="IX99" i="1"/>
  <c r="JI99" i="1" s="1"/>
  <c r="IV99" i="1"/>
  <c r="IU99" i="1"/>
  <c r="IT99" i="1"/>
  <c r="IS99" i="1"/>
  <c r="IR99" i="1"/>
  <c r="IQ99" i="1"/>
  <c r="IP99" i="1"/>
  <c r="IX98" i="1"/>
  <c r="JI98" i="1" s="1"/>
  <c r="IV98" i="1"/>
  <c r="IU98" i="1"/>
  <c r="IT98" i="1"/>
  <c r="IS98" i="1"/>
  <c r="IR98" i="1"/>
  <c r="IQ98" i="1"/>
  <c r="IP98" i="1"/>
  <c r="IX97" i="1"/>
  <c r="JI97" i="1" s="1"/>
  <c r="IV97" i="1"/>
  <c r="IU97" i="1"/>
  <c r="IT97" i="1"/>
  <c r="IS97" i="1"/>
  <c r="IR97" i="1"/>
  <c r="IQ97" i="1"/>
  <c r="IP97" i="1"/>
  <c r="IX96" i="1"/>
  <c r="IV96" i="1"/>
  <c r="IU96" i="1"/>
  <c r="IT96" i="1"/>
  <c r="IS96" i="1"/>
  <c r="IR96" i="1"/>
  <c r="IQ96" i="1"/>
  <c r="IP96" i="1"/>
  <c r="IX73" i="1"/>
  <c r="JI73" i="1" s="1"/>
  <c r="IV73" i="1"/>
  <c r="IU73" i="1"/>
  <c r="IT73" i="1"/>
  <c r="IS73" i="1"/>
  <c r="IR73" i="1"/>
  <c r="IQ73" i="1"/>
  <c r="IP73" i="1"/>
  <c r="IX72" i="1"/>
  <c r="JI72" i="1" s="1"/>
  <c r="IV72" i="1"/>
  <c r="IU72" i="1"/>
  <c r="IT72" i="1"/>
  <c r="IS72" i="1"/>
  <c r="IR72" i="1"/>
  <c r="IQ72" i="1"/>
  <c r="IP72" i="1"/>
  <c r="IX71" i="1"/>
  <c r="JI71" i="1" s="1"/>
  <c r="IV71" i="1"/>
  <c r="IU71" i="1"/>
  <c r="IT71" i="1"/>
  <c r="IS71" i="1"/>
  <c r="IR71" i="1"/>
  <c r="IQ71" i="1"/>
  <c r="IP71" i="1"/>
  <c r="IX70" i="1"/>
  <c r="JI70" i="1" s="1"/>
  <c r="IV70" i="1"/>
  <c r="IU70" i="1"/>
  <c r="IT70" i="1"/>
  <c r="IS70" i="1"/>
  <c r="IR70" i="1"/>
  <c r="IQ70" i="1"/>
  <c r="IP70" i="1"/>
  <c r="IX69" i="1"/>
  <c r="JI69" i="1" s="1"/>
  <c r="IV69" i="1"/>
  <c r="IU69" i="1"/>
  <c r="IT69" i="1"/>
  <c r="IS69" i="1"/>
  <c r="IR69" i="1"/>
  <c r="IQ69" i="1"/>
  <c r="IP69" i="1"/>
  <c r="IX68" i="1"/>
  <c r="JI68" i="1" s="1"/>
  <c r="IV68" i="1"/>
  <c r="IV74" i="1" s="1"/>
  <c r="IU68" i="1"/>
  <c r="IT68" i="1"/>
  <c r="IS68" i="1"/>
  <c r="IR68" i="1"/>
  <c r="IQ68" i="1"/>
  <c r="IP68" i="1"/>
  <c r="IX67" i="1"/>
  <c r="IV67" i="1"/>
  <c r="IU67" i="1"/>
  <c r="IT67" i="1"/>
  <c r="IS67" i="1"/>
  <c r="IR67" i="1"/>
  <c r="IQ67" i="1"/>
  <c r="IP67" i="1"/>
  <c r="IX44" i="1"/>
  <c r="JI44" i="1" s="1"/>
  <c r="IV44" i="1"/>
  <c r="IU44" i="1"/>
  <c r="IT44" i="1"/>
  <c r="IS44" i="1"/>
  <c r="IR44" i="1"/>
  <c r="IQ44" i="1"/>
  <c r="IP44" i="1"/>
  <c r="IX43" i="1"/>
  <c r="JI43" i="1" s="1"/>
  <c r="IV43" i="1"/>
  <c r="IU43" i="1"/>
  <c r="IT43" i="1"/>
  <c r="IS43" i="1"/>
  <c r="IR43" i="1"/>
  <c r="IQ43" i="1"/>
  <c r="IP43" i="1"/>
  <c r="IX42" i="1"/>
  <c r="JI42" i="1" s="1"/>
  <c r="IV42" i="1"/>
  <c r="IU42" i="1"/>
  <c r="IT42" i="1"/>
  <c r="IS42" i="1"/>
  <c r="IR42" i="1"/>
  <c r="IQ42" i="1"/>
  <c r="IP42" i="1"/>
  <c r="IX41" i="1"/>
  <c r="JI41" i="1" s="1"/>
  <c r="IV41" i="1"/>
  <c r="IU41" i="1"/>
  <c r="IT41" i="1"/>
  <c r="IS41" i="1"/>
  <c r="IR41" i="1"/>
  <c r="IQ41" i="1"/>
  <c r="IP41" i="1"/>
  <c r="IX40" i="1"/>
  <c r="JI40" i="1" s="1"/>
  <c r="IV40" i="1"/>
  <c r="IU40" i="1"/>
  <c r="IT40" i="1"/>
  <c r="IS40" i="1"/>
  <c r="IR40" i="1"/>
  <c r="IQ40" i="1"/>
  <c r="IP40" i="1"/>
  <c r="IX39" i="1"/>
  <c r="JI39" i="1" s="1"/>
  <c r="IV39" i="1"/>
  <c r="IU39" i="1"/>
  <c r="IT39" i="1"/>
  <c r="IS39" i="1"/>
  <c r="IR39" i="1"/>
  <c r="IQ39" i="1"/>
  <c r="IP39" i="1"/>
  <c r="IX38" i="1"/>
  <c r="IV38" i="1"/>
  <c r="IU38" i="1"/>
  <c r="IT38" i="1"/>
  <c r="IS38" i="1"/>
  <c r="IR38" i="1"/>
  <c r="IQ38" i="1"/>
  <c r="IP38" i="1"/>
  <c r="GD183" i="1"/>
  <c r="GD182" i="1"/>
  <c r="GD181" i="1"/>
  <c r="GD180" i="1"/>
  <c r="GD179" i="1"/>
  <c r="GD178" i="1"/>
  <c r="GD177" i="1"/>
  <c r="GD175" i="1"/>
  <c r="GK141" i="1"/>
  <c r="GJ141" i="1"/>
  <c r="GI141" i="1"/>
  <c r="GH141" i="1"/>
  <c r="GG141" i="1"/>
  <c r="GF141" i="1"/>
  <c r="GE141" i="1"/>
  <c r="GK140" i="1"/>
  <c r="GJ140" i="1"/>
  <c r="GI140" i="1"/>
  <c r="GH140" i="1"/>
  <c r="GG140" i="1"/>
  <c r="GF140" i="1"/>
  <c r="GE140" i="1"/>
  <c r="GK139" i="1"/>
  <c r="GJ139" i="1"/>
  <c r="GI139" i="1"/>
  <c r="GH139" i="1"/>
  <c r="GG139" i="1"/>
  <c r="GF139" i="1"/>
  <c r="GE139" i="1"/>
  <c r="GK138" i="1"/>
  <c r="GJ138" i="1"/>
  <c r="GI138" i="1"/>
  <c r="GH138" i="1"/>
  <c r="GG138" i="1"/>
  <c r="GF138" i="1"/>
  <c r="GE138" i="1"/>
  <c r="GK137" i="1"/>
  <c r="GJ137" i="1"/>
  <c r="GI137" i="1"/>
  <c r="GH137" i="1"/>
  <c r="GG137" i="1"/>
  <c r="GF137" i="1"/>
  <c r="GE137" i="1"/>
  <c r="GK136" i="1"/>
  <c r="GK143" i="1" s="1"/>
  <c r="GJ136" i="1"/>
  <c r="GJ143" i="1" s="1"/>
  <c r="GI136" i="1"/>
  <c r="GH136" i="1"/>
  <c r="GH143" i="1" s="1"/>
  <c r="GG136" i="1"/>
  <c r="GG143" i="1" s="1"/>
  <c r="GF136" i="1"/>
  <c r="GF143" i="1" s="1"/>
  <c r="GE136" i="1"/>
  <c r="GK135" i="1"/>
  <c r="GJ135" i="1"/>
  <c r="GI135" i="1"/>
  <c r="GH135" i="1"/>
  <c r="GG135" i="1"/>
  <c r="GF135" i="1"/>
  <c r="GE135" i="1"/>
  <c r="GK109" i="1"/>
  <c r="GJ109" i="1"/>
  <c r="GI109" i="1"/>
  <c r="GH109" i="1"/>
  <c r="GG109" i="1"/>
  <c r="GF109" i="1"/>
  <c r="GE109" i="1"/>
  <c r="GE112" i="1" s="1"/>
  <c r="GK108" i="1"/>
  <c r="GJ108" i="1"/>
  <c r="GI108" i="1"/>
  <c r="GH108" i="1"/>
  <c r="GG108" i="1"/>
  <c r="GF108" i="1"/>
  <c r="GE108" i="1"/>
  <c r="GK107" i="1"/>
  <c r="GJ107" i="1"/>
  <c r="GI107" i="1"/>
  <c r="GH107" i="1"/>
  <c r="GG107" i="1"/>
  <c r="GF107" i="1"/>
  <c r="GE107" i="1"/>
  <c r="GK106" i="1"/>
  <c r="GJ106" i="1"/>
  <c r="GI106" i="1"/>
  <c r="GH106" i="1"/>
  <c r="GG106" i="1"/>
  <c r="GF106" i="1"/>
  <c r="GE106" i="1"/>
  <c r="GK105" i="1"/>
  <c r="GJ105" i="1"/>
  <c r="GI105" i="1"/>
  <c r="GH105" i="1"/>
  <c r="GG105" i="1"/>
  <c r="GF105" i="1"/>
  <c r="GE105" i="1"/>
  <c r="GK104" i="1"/>
  <c r="GK111" i="1" s="1"/>
  <c r="GJ104" i="1"/>
  <c r="GI104" i="1"/>
  <c r="GI111" i="1" s="1"/>
  <c r="GH104" i="1"/>
  <c r="GG104" i="1"/>
  <c r="GG111" i="1" s="1"/>
  <c r="GF104" i="1"/>
  <c r="GF111" i="1" s="1"/>
  <c r="GE104" i="1"/>
  <c r="GE111" i="1" s="1"/>
  <c r="GK103" i="1"/>
  <c r="GJ103" i="1"/>
  <c r="GI103" i="1"/>
  <c r="GH103" i="1"/>
  <c r="GG103" i="1"/>
  <c r="GF103" i="1"/>
  <c r="GE103" i="1"/>
  <c r="GK76" i="1"/>
  <c r="GJ76" i="1"/>
  <c r="GI76" i="1"/>
  <c r="GH76" i="1"/>
  <c r="GG76" i="1"/>
  <c r="GF76" i="1"/>
  <c r="GF79" i="1" s="1"/>
  <c r="GE76" i="1"/>
  <c r="GK75" i="1"/>
  <c r="GJ75" i="1"/>
  <c r="GI75" i="1"/>
  <c r="GH75" i="1"/>
  <c r="GG75" i="1"/>
  <c r="GF75" i="1"/>
  <c r="GE75" i="1"/>
  <c r="GK74" i="1"/>
  <c r="GJ74" i="1"/>
  <c r="GI74" i="1"/>
  <c r="GH74" i="1"/>
  <c r="GG74" i="1"/>
  <c r="GF74" i="1"/>
  <c r="GE74" i="1"/>
  <c r="GK73" i="1"/>
  <c r="GJ73" i="1"/>
  <c r="GI73" i="1"/>
  <c r="GH73" i="1"/>
  <c r="GG73" i="1"/>
  <c r="GF73" i="1"/>
  <c r="GE73" i="1"/>
  <c r="GK72" i="1"/>
  <c r="GJ72" i="1"/>
  <c r="GI72" i="1"/>
  <c r="GH72" i="1"/>
  <c r="GG72" i="1"/>
  <c r="GF72" i="1"/>
  <c r="GE72" i="1"/>
  <c r="GK71" i="1"/>
  <c r="GJ71" i="1"/>
  <c r="GJ78" i="1" s="1"/>
  <c r="GI71" i="1"/>
  <c r="GH71" i="1"/>
  <c r="GH78" i="1" s="1"/>
  <c r="GG71" i="1"/>
  <c r="GF71" i="1"/>
  <c r="GF78" i="1" s="1"/>
  <c r="GE71" i="1"/>
  <c r="GE78" i="1" s="1"/>
  <c r="GK70" i="1"/>
  <c r="GJ70" i="1"/>
  <c r="GI70" i="1"/>
  <c r="GH70" i="1"/>
  <c r="GG70" i="1"/>
  <c r="GF70" i="1"/>
  <c r="GE70" i="1"/>
  <c r="GK44" i="1"/>
  <c r="GJ44" i="1"/>
  <c r="GI44" i="1"/>
  <c r="GH44" i="1"/>
  <c r="GG44" i="1"/>
  <c r="GG47" i="1" s="1"/>
  <c r="GF44" i="1"/>
  <c r="GE44" i="1"/>
  <c r="GK43" i="1"/>
  <c r="GJ43" i="1"/>
  <c r="GI43" i="1"/>
  <c r="GH43" i="1"/>
  <c r="GG43" i="1"/>
  <c r="GF43" i="1"/>
  <c r="GE43" i="1"/>
  <c r="GK42" i="1"/>
  <c r="GJ42" i="1"/>
  <c r="GI42" i="1"/>
  <c r="GH42" i="1"/>
  <c r="GG42" i="1"/>
  <c r="GF42" i="1"/>
  <c r="GE42" i="1"/>
  <c r="GK41" i="1"/>
  <c r="GJ41" i="1"/>
  <c r="GI41" i="1"/>
  <c r="GH41" i="1"/>
  <c r="GG41" i="1"/>
  <c r="GF41" i="1"/>
  <c r="GE41" i="1"/>
  <c r="GK40" i="1"/>
  <c r="GJ40" i="1"/>
  <c r="GI40" i="1"/>
  <c r="GH40" i="1"/>
  <c r="GG40" i="1"/>
  <c r="GF40" i="1"/>
  <c r="GE40" i="1"/>
  <c r="GK39" i="1"/>
  <c r="GK46" i="1" s="1"/>
  <c r="GJ39" i="1"/>
  <c r="GI39" i="1"/>
  <c r="GI46" i="1" s="1"/>
  <c r="GH39" i="1"/>
  <c r="GG39" i="1"/>
  <c r="GG46" i="1" s="1"/>
  <c r="GF39" i="1"/>
  <c r="GE39" i="1"/>
  <c r="GE46" i="1" s="1"/>
  <c r="GK38" i="1"/>
  <c r="GJ38" i="1"/>
  <c r="GI38" i="1"/>
  <c r="GH38" i="1"/>
  <c r="GG38" i="1"/>
  <c r="GF38" i="1"/>
  <c r="GE38" i="1"/>
  <c r="CL129" i="4"/>
  <c r="CL130" i="4" s="1"/>
  <c r="CK129" i="4"/>
  <c r="CJ129" i="4"/>
  <c r="CJ130" i="4" s="1"/>
  <c r="CI129" i="4"/>
  <c r="CI130" i="4" s="1"/>
  <c r="CH129" i="4"/>
  <c r="CG129" i="4"/>
  <c r="CF129" i="4"/>
  <c r="CF130" i="4" s="1"/>
  <c r="CL128" i="4"/>
  <c r="CK128" i="4"/>
  <c r="CJ128" i="4"/>
  <c r="CI128" i="4"/>
  <c r="CH128" i="4"/>
  <c r="CG128" i="4"/>
  <c r="CF128" i="4"/>
  <c r="CL127" i="4"/>
  <c r="CK127" i="4"/>
  <c r="CJ127" i="4"/>
  <c r="CI127" i="4"/>
  <c r="CH127" i="4"/>
  <c r="CG127" i="4"/>
  <c r="CF127" i="4"/>
  <c r="CL126" i="4"/>
  <c r="CK126" i="4"/>
  <c r="CJ126" i="4"/>
  <c r="CI126" i="4"/>
  <c r="CH126" i="4"/>
  <c r="CG126" i="4"/>
  <c r="CF126" i="4"/>
  <c r="CL125" i="4"/>
  <c r="CK125" i="4"/>
  <c r="CJ125" i="4"/>
  <c r="CI125" i="4"/>
  <c r="CH125" i="4"/>
  <c r="CG125" i="4"/>
  <c r="CF125" i="4"/>
  <c r="CL124" i="4"/>
  <c r="CK124" i="4"/>
  <c r="CJ124" i="4"/>
  <c r="CI124" i="4"/>
  <c r="CH124" i="4"/>
  <c r="CG124" i="4"/>
  <c r="CF124" i="4"/>
  <c r="CL123" i="4"/>
  <c r="CK123" i="4"/>
  <c r="CJ123" i="4"/>
  <c r="CI123" i="4"/>
  <c r="CH123" i="4"/>
  <c r="CG123" i="4"/>
  <c r="CF123" i="4"/>
  <c r="CL100" i="4"/>
  <c r="CK100" i="4"/>
  <c r="CK101" i="4" s="1"/>
  <c r="CJ100" i="4"/>
  <c r="CJ101" i="4" s="1"/>
  <c r="CI100" i="4"/>
  <c r="CH100" i="4"/>
  <c r="CG100" i="4"/>
  <c r="CG101" i="4" s="1"/>
  <c r="CF100" i="4"/>
  <c r="CL99" i="4"/>
  <c r="CK99" i="4"/>
  <c r="CJ99" i="4"/>
  <c r="CI99" i="4"/>
  <c r="CH99" i="4"/>
  <c r="CG99" i="4"/>
  <c r="CF99" i="4"/>
  <c r="CL98" i="4"/>
  <c r="CK98" i="4"/>
  <c r="CJ98" i="4"/>
  <c r="CI98" i="4"/>
  <c r="CH98" i="4"/>
  <c r="CG98" i="4"/>
  <c r="CF98" i="4"/>
  <c r="CL97" i="4"/>
  <c r="CK97" i="4"/>
  <c r="CJ97" i="4"/>
  <c r="CI97" i="4"/>
  <c r="CH97" i="4"/>
  <c r="CG97" i="4"/>
  <c r="CF97" i="4"/>
  <c r="CL96" i="4"/>
  <c r="CK96" i="4"/>
  <c r="CJ96" i="4"/>
  <c r="CI96" i="4"/>
  <c r="CH96" i="4"/>
  <c r="CG96" i="4"/>
  <c r="CF96" i="4"/>
  <c r="CL95" i="4"/>
  <c r="CK95" i="4"/>
  <c r="CJ95" i="4"/>
  <c r="CI95" i="4"/>
  <c r="CH95" i="4"/>
  <c r="CG95" i="4"/>
  <c r="CF95" i="4"/>
  <c r="CL94" i="4"/>
  <c r="CK94" i="4"/>
  <c r="CJ94" i="4"/>
  <c r="CI94" i="4"/>
  <c r="CH94" i="4"/>
  <c r="CG94" i="4"/>
  <c r="CF94" i="4"/>
  <c r="CL71" i="4"/>
  <c r="CL72" i="4" s="1"/>
  <c r="CK71" i="4"/>
  <c r="CK72" i="4" s="1"/>
  <c r="CJ71" i="4"/>
  <c r="CI71" i="4"/>
  <c r="CH71" i="4"/>
  <c r="CH72" i="4" s="1"/>
  <c r="CG71" i="4"/>
  <c r="CF71" i="4"/>
  <c r="CL70" i="4"/>
  <c r="CK70" i="4"/>
  <c r="CJ70" i="4"/>
  <c r="CI70" i="4"/>
  <c r="CH70" i="4"/>
  <c r="CG70" i="4"/>
  <c r="CF70" i="4"/>
  <c r="CL69" i="4"/>
  <c r="CK69" i="4"/>
  <c r="CJ69" i="4"/>
  <c r="CI69" i="4"/>
  <c r="CH69" i="4"/>
  <c r="CG69" i="4"/>
  <c r="CF69" i="4"/>
  <c r="CL68" i="4"/>
  <c r="CK68" i="4"/>
  <c r="CJ68" i="4"/>
  <c r="CI68" i="4"/>
  <c r="CH68" i="4"/>
  <c r="CG68" i="4"/>
  <c r="CF68" i="4"/>
  <c r="CL67" i="4"/>
  <c r="CK67" i="4"/>
  <c r="CJ67" i="4"/>
  <c r="CI67" i="4"/>
  <c r="CH67" i="4"/>
  <c r="CG67" i="4"/>
  <c r="CF67" i="4"/>
  <c r="CL66" i="4"/>
  <c r="CK66" i="4"/>
  <c r="CJ66" i="4"/>
  <c r="CI66" i="4"/>
  <c r="CH66" i="4"/>
  <c r="CG66" i="4"/>
  <c r="CF66" i="4"/>
  <c r="CL65" i="4"/>
  <c r="CK65" i="4"/>
  <c r="CJ65" i="4"/>
  <c r="CI65" i="4"/>
  <c r="CH65" i="4"/>
  <c r="CG65" i="4"/>
  <c r="CF65" i="4"/>
  <c r="IP45" i="1"/>
  <c r="IV103" i="1"/>
  <c r="IV132" i="1"/>
  <c r="A18" i="5"/>
  <c r="A69" i="5"/>
  <c r="C20" i="5"/>
  <c r="I20" i="5"/>
  <c r="I21" i="5" s="1"/>
  <c r="A21" i="5" s="1"/>
  <c r="I71" i="5"/>
  <c r="I72" i="5" s="1"/>
  <c r="D68" i="5"/>
  <c r="H68" i="5" s="1"/>
  <c r="IY131" i="1"/>
  <c r="JA131" i="1" s="1"/>
  <c r="JC131" i="1" s="1"/>
  <c r="C77" i="14"/>
  <c r="C78" i="14" s="1"/>
  <c r="C79" i="14" s="1"/>
  <c r="C80" i="14" s="1"/>
  <c r="C81" i="14" s="1"/>
  <c r="C82" i="14" s="1"/>
  <c r="C83" i="14" s="1"/>
  <c r="C84" i="14" s="1"/>
  <c r="C85" i="14" s="1"/>
  <c r="C86" i="14" s="1"/>
  <c r="C87" i="14" s="1"/>
  <c r="C88" i="14" s="1"/>
  <c r="C89" i="14" s="1"/>
  <c r="C90" i="14" s="1"/>
  <c r="C91" i="14" s="1"/>
  <c r="C92" i="14" s="1"/>
  <c r="C93" i="14" s="1"/>
  <c r="C94" i="14" s="1"/>
  <c r="C95" i="14" s="1"/>
  <c r="C96" i="14" s="1"/>
  <c r="C97" i="14" s="1"/>
  <c r="C98" i="14" s="1"/>
  <c r="C99" i="14" s="1"/>
  <c r="C21" i="5"/>
  <c r="D21" i="5" s="1"/>
  <c r="H21" i="5" s="1"/>
  <c r="C22" i="5"/>
  <c r="C23" i="5" s="1"/>
  <c r="C24" i="5" s="1"/>
  <c r="C25" i="5" s="1"/>
  <c r="C26" i="5" s="1"/>
  <c r="C27" i="5" s="1"/>
  <c r="BK14" i="8"/>
  <c r="CZ167" i="4"/>
  <c r="CY167" i="4"/>
  <c r="CW167" i="4"/>
  <c r="CV167" i="4"/>
  <c r="CU167" i="4"/>
  <c r="CT167" i="4"/>
  <c r="CS167" i="4"/>
  <c r="CR167" i="4"/>
  <c r="CQ167" i="4"/>
  <c r="CP167" i="4"/>
  <c r="CO167" i="4"/>
  <c r="CN167" i="4"/>
  <c r="CZ166" i="4"/>
  <c r="CY166" i="4"/>
  <c r="CW166" i="4"/>
  <c r="CV166" i="4"/>
  <c r="CU166" i="4"/>
  <c r="CR166" i="4"/>
  <c r="CZ165" i="4"/>
  <c r="CY165" i="4"/>
  <c r="CU165" i="4"/>
  <c r="CR165" i="4"/>
  <c r="CZ164" i="4"/>
  <c r="CY164" i="4"/>
  <c r="CU164" i="4"/>
  <c r="CR164" i="4"/>
  <c r="CZ163" i="4"/>
  <c r="CY163" i="4"/>
  <c r="CU163" i="4"/>
  <c r="CR163" i="4"/>
  <c r="CE163" i="4"/>
  <c r="CZ162" i="4"/>
  <c r="CY162" i="4"/>
  <c r="CU162" i="4"/>
  <c r="CR162" i="4"/>
  <c r="CE162" i="4"/>
  <c r="CZ161" i="4"/>
  <c r="CY161" i="4"/>
  <c r="CU161" i="4"/>
  <c r="CR161" i="4"/>
  <c r="CE161" i="4"/>
  <c r="CZ160" i="4"/>
  <c r="CY160" i="4"/>
  <c r="CU160" i="4"/>
  <c r="CR160" i="4"/>
  <c r="CE160" i="4"/>
  <c r="CN159" i="4"/>
  <c r="CE159" i="4"/>
  <c r="CN158" i="4"/>
  <c r="CE158" i="4"/>
  <c r="CN157" i="4"/>
  <c r="CE157" i="4"/>
  <c r="CN156" i="4"/>
  <c r="CE156" i="4"/>
  <c r="CN155" i="4"/>
  <c r="CN154" i="4"/>
  <c r="CZ153" i="4"/>
  <c r="CY153" i="4"/>
  <c r="CP153" i="4"/>
  <c r="CO153" i="4"/>
  <c r="CY152" i="4"/>
  <c r="CL42" i="4"/>
  <c r="CK42" i="4"/>
  <c r="CK43" i="4" s="1"/>
  <c r="CJ42" i="4"/>
  <c r="CI42" i="4"/>
  <c r="CI43" i="4" s="1"/>
  <c r="CH42" i="4"/>
  <c r="CG42" i="4"/>
  <c r="CF42" i="4"/>
  <c r="CL41" i="4"/>
  <c r="CK41" i="4"/>
  <c r="CJ41" i="4"/>
  <c r="CI41" i="4"/>
  <c r="CH41" i="4"/>
  <c r="CG41" i="4"/>
  <c r="CF41" i="4"/>
  <c r="CL40" i="4"/>
  <c r="CK40" i="4"/>
  <c r="CJ40" i="4"/>
  <c r="CI40" i="4"/>
  <c r="CH40" i="4"/>
  <c r="CG40" i="4"/>
  <c r="CF40" i="4"/>
  <c r="CL39" i="4"/>
  <c r="CK39" i="4"/>
  <c r="CJ39" i="4"/>
  <c r="CI39" i="4"/>
  <c r="CH39" i="4"/>
  <c r="CG39" i="4"/>
  <c r="CF39" i="4"/>
  <c r="CL38" i="4"/>
  <c r="CK38" i="4"/>
  <c r="CJ38" i="4"/>
  <c r="CI38" i="4"/>
  <c r="CH38" i="4"/>
  <c r="CG38" i="4"/>
  <c r="CF38" i="4"/>
  <c r="CL37" i="4"/>
  <c r="CK37" i="4"/>
  <c r="CJ37" i="4"/>
  <c r="CI37" i="4"/>
  <c r="CH37" i="4"/>
  <c r="CG37" i="4"/>
  <c r="CF37" i="4"/>
  <c r="CF43" i="4" s="1"/>
  <c r="CL36" i="4"/>
  <c r="CK36" i="4"/>
  <c r="CJ36" i="4"/>
  <c r="CI36" i="4"/>
  <c r="CH36" i="4"/>
  <c r="CG36" i="4"/>
  <c r="CF36" i="4"/>
  <c r="ED13" i="4"/>
  <c r="EB13" i="4"/>
  <c r="EA13" i="4"/>
  <c r="DZ13" i="4"/>
  <c r="DY13" i="4"/>
  <c r="DX13" i="4"/>
  <c r="DW13" i="4"/>
  <c r="DV13" i="4"/>
  <c r="DI13" i="4"/>
  <c r="DG13" i="4"/>
  <c r="DG166" i="4" s="1"/>
  <c r="DF13" i="4"/>
  <c r="DE13" i="4"/>
  <c r="DE166" i="4" s="1"/>
  <c r="DD13" i="4"/>
  <c r="DD166" i="4" s="1"/>
  <c r="DC13" i="4"/>
  <c r="DC166" i="4" s="1"/>
  <c r="DB13" i="4"/>
  <c r="DB166" i="4" s="1"/>
  <c r="DA13" i="4"/>
  <c r="DA166" i="4" s="1"/>
  <c r="CN13" i="4"/>
  <c r="CN166" i="4" s="1"/>
  <c r="CL13" i="4"/>
  <c r="CK13" i="4"/>
  <c r="CK162" i="4" s="1"/>
  <c r="CJ13" i="4"/>
  <c r="CJ162" i="4" s="1"/>
  <c r="CI13" i="4"/>
  <c r="CI162" i="4" s="1"/>
  <c r="CH13" i="4"/>
  <c r="CH162" i="4" s="1"/>
  <c r="CG13" i="4"/>
  <c r="CG162" i="4" s="1"/>
  <c r="CF13" i="4"/>
  <c r="CF162" i="4" s="1"/>
  <c r="ED12" i="4"/>
  <c r="EB12" i="4"/>
  <c r="EA12" i="4"/>
  <c r="DZ12" i="4"/>
  <c r="DY12" i="4"/>
  <c r="DX12" i="4"/>
  <c r="DW12" i="4"/>
  <c r="DV12" i="4"/>
  <c r="EE12" i="4" s="1"/>
  <c r="EG12" i="4" s="1"/>
  <c r="EI12" i="4" s="1"/>
  <c r="DI12" i="4"/>
  <c r="DG12" i="4"/>
  <c r="DG165" i="4" s="1"/>
  <c r="DF12" i="4"/>
  <c r="DF165" i="4" s="1"/>
  <c r="DE12" i="4"/>
  <c r="DE165" i="4" s="1"/>
  <c r="DD12" i="4"/>
  <c r="DD165" i="4" s="1"/>
  <c r="DC12" i="4"/>
  <c r="DC165" i="4" s="1"/>
  <c r="DB12" i="4"/>
  <c r="DB165" i="4" s="1"/>
  <c r="DA12" i="4"/>
  <c r="CN12" i="4"/>
  <c r="CN165" i="4" s="1"/>
  <c r="CL12" i="4"/>
  <c r="CL161" i="4" s="1"/>
  <c r="CK12" i="4"/>
  <c r="CK161" i="4" s="1"/>
  <c r="CJ12" i="4"/>
  <c r="CJ161" i="4" s="1"/>
  <c r="CI12" i="4"/>
  <c r="CI161" i="4" s="1"/>
  <c r="CH12" i="4"/>
  <c r="CH161" i="4" s="1"/>
  <c r="CG12" i="4"/>
  <c r="CG161" i="4" s="1"/>
  <c r="CF12" i="4"/>
  <c r="CF161" i="4" s="1"/>
  <c r="ED11" i="4"/>
  <c r="EB11" i="4"/>
  <c r="EA11" i="4"/>
  <c r="DZ11" i="4"/>
  <c r="DY11" i="4"/>
  <c r="EE11" i="4" s="1"/>
  <c r="EG11" i="4" s="1"/>
  <c r="EI11" i="4" s="1"/>
  <c r="DX11" i="4"/>
  <c r="DW11" i="4"/>
  <c r="DV11" i="4"/>
  <c r="DI11" i="4"/>
  <c r="DG11" i="4"/>
  <c r="DG164" i="4" s="1"/>
  <c r="DF11" i="4"/>
  <c r="DF164" i="4" s="1"/>
  <c r="DE11" i="4"/>
  <c r="DE164" i="4" s="1"/>
  <c r="DD11" i="4"/>
  <c r="DD164" i="4" s="1"/>
  <c r="DC11" i="4"/>
  <c r="DC164" i="4" s="1"/>
  <c r="DB11" i="4"/>
  <c r="DB164" i="4" s="1"/>
  <c r="DA11" i="4"/>
  <c r="CN11" i="4"/>
  <c r="CN164" i="4" s="1"/>
  <c r="CL11" i="4"/>
  <c r="CL160" i="4" s="1"/>
  <c r="CK11" i="4"/>
  <c r="CK160" i="4" s="1"/>
  <c r="CJ11" i="4"/>
  <c r="CJ160" i="4" s="1"/>
  <c r="CI11" i="4"/>
  <c r="CI160" i="4" s="1"/>
  <c r="CH11" i="4"/>
  <c r="CH160" i="4" s="1"/>
  <c r="CG11" i="4"/>
  <c r="CG160" i="4" s="1"/>
  <c r="CF11" i="4"/>
  <c r="CF160" i="4" s="1"/>
  <c r="ED10" i="4"/>
  <c r="EB10" i="4"/>
  <c r="EA10" i="4"/>
  <c r="DZ10" i="4"/>
  <c r="DY10" i="4"/>
  <c r="DX10" i="4"/>
  <c r="DW10" i="4"/>
  <c r="DV10" i="4"/>
  <c r="EE10" i="4" s="1"/>
  <c r="EG10" i="4" s="1"/>
  <c r="EI10" i="4" s="1"/>
  <c r="DI10" i="4"/>
  <c r="DG10" i="4"/>
  <c r="DG163" i="4" s="1"/>
  <c r="DF10" i="4"/>
  <c r="DF163" i="4" s="1"/>
  <c r="DE10" i="4"/>
  <c r="DE163" i="4" s="1"/>
  <c r="DD10" i="4"/>
  <c r="DD163" i="4" s="1"/>
  <c r="DC10" i="4"/>
  <c r="DC163" i="4" s="1"/>
  <c r="DB10" i="4"/>
  <c r="DB163" i="4" s="1"/>
  <c r="DA10" i="4"/>
  <c r="DA163" i="4" s="1"/>
  <c r="CN10" i="4"/>
  <c r="CN163" i="4" s="1"/>
  <c r="CL10" i="4"/>
  <c r="CL159" i="4" s="1"/>
  <c r="CK10" i="4"/>
  <c r="CK159" i="4" s="1"/>
  <c r="CJ10" i="4"/>
  <c r="CJ159" i="4" s="1"/>
  <c r="CI10" i="4"/>
  <c r="CI159" i="4" s="1"/>
  <c r="CH10" i="4"/>
  <c r="CH159" i="4" s="1"/>
  <c r="CG10" i="4"/>
  <c r="CG159" i="4" s="1"/>
  <c r="CF10" i="4"/>
  <c r="CF159" i="4" s="1"/>
  <c r="ED9" i="4"/>
  <c r="EB9" i="4"/>
  <c r="EA9" i="4"/>
  <c r="DZ9" i="4"/>
  <c r="DY9" i="4"/>
  <c r="DX9" i="4"/>
  <c r="DW9" i="4"/>
  <c r="DV9" i="4"/>
  <c r="DI9" i="4"/>
  <c r="DG9" i="4"/>
  <c r="DG162" i="4" s="1"/>
  <c r="DF9" i="4"/>
  <c r="DF162" i="4" s="1"/>
  <c r="DE9" i="4"/>
  <c r="DE162" i="4" s="1"/>
  <c r="DD9" i="4"/>
  <c r="DD162" i="4" s="1"/>
  <c r="DC9" i="4"/>
  <c r="DC162" i="4" s="1"/>
  <c r="DB9" i="4"/>
  <c r="DB162" i="4" s="1"/>
  <c r="DA9" i="4"/>
  <c r="DA162" i="4" s="1"/>
  <c r="CN9" i="4"/>
  <c r="CN162" i="4" s="1"/>
  <c r="CL9" i="4"/>
  <c r="CL158" i="4" s="1"/>
  <c r="CK9" i="4"/>
  <c r="CK158" i="4" s="1"/>
  <c r="CJ9" i="4"/>
  <c r="CJ158" i="4" s="1"/>
  <c r="CI9" i="4"/>
  <c r="CI158" i="4" s="1"/>
  <c r="CH9" i="4"/>
  <c r="CH158" i="4" s="1"/>
  <c r="CG9" i="4"/>
  <c r="CG158" i="4" s="1"/>
  <c r="CF9" i="4"/>
  <c r="CF158" i="4" s="1"/>
  <c r="ED8" i="4"/>
  <c r="EB8" i="4"/>
  <c r="EA8" i="4"/>
  <c r="DZ8" i="4"/>
  <c r="DZ14" i="4" s="1"/>
  <c r="DY8" i="4"/>
  <c r="DY14" i="4" s="1"/>
  <c r="DX8" i="4"/>
  <c r="DX14" i="4" s="1"/>
  <c r="DW8" i="4"/>
  <c r="DW14" i="4" s="1"/>
  <c r="DV8" i="4"/>
  <c r="EE8" i="4"/>
  <c r="EG8" i="4" s="1"/>
  <c r="EI8" i="4" s="1"/>
  <c r="DI8" i="4"/>
  <c r="DG8" i="4"/>
  <c r="DG161" i="4" s="1"/>
  <c r="DF8" i="4"/>
  <c r="DF161" i="4" s="1"/>
  <c r="DE8" i="4"/>
  <c r="DE161" i="4" s="1"/>
  <c r="DD8" i="4"/>
  <c r="DD161" i="4" s="1"/>
  <c r="DC8" i="4"/>
  <c r="DC161" i="4" s="1"/>
  <c r="DB8" i="4"/>
  <c r="DB161" i="4" s="1"/>
  <c r="DA8" i="4"/>
  <c r="DA161" i="4" s="1"/>
  <c r="CN8" i="4"/>
  <c r="CN161" i="4" s="1"/>
  <c r="CL8" i="4"/>
  <c r="CL157" i="4" s="1"/>
  <c r="CK8" i="4"/>
  <c r="CK157" i="4" s="1"/>
  <c r="CJ8" i="4"/>
  <c r="CI8" i="4"/>
  <c r="CI157" i="4" s="1"/>
  <c r="CH8" i="4"/>
  <c r="CH157" i="4" s="1"/>
  <c r="CG8" i="4"/>
  <c r="CG157" i="4" s="1"/>
  <c r="CF8" i="4"/>
  <c r="ED7" i="4"/>
  <c r="EB7" i="4"/>
  <c r="EA7" i="4"/>
  <c r="DZ7" i="4"/>
  <c r="DY7" i="4"/>
  <c r="DX7" i="4"/>
  <c r="DW7" i="4"/>
  <c r="DV7" i="4"/>
  <c r="EE7" i="4" s="1"/>
  <c r="EG7" i="4" s="1"/>
  <c r="EI7" i="4" s="1"/>
  <c r="DI7" i="4"/>
  <c r="DG7" i="4"/>
  <c r="DG160" i="4"/>
  <c r="DF7" i="4"/>
  <c r="DF160" i="4" s="1"/>
  <c r="DE7" i="4"/>
  <c r="DE160" i="4" s="1"/>
  <c r="DD7" i="4"/>
  <c r="DD160" i="4"/>
  <c r="DC7" i="4"/>
  <c r="DC160" i="4"/>
  <c r="DB7" i="4"/>
  <c r="DB160" i="4" s="1"/>
  <c r="DA7" i="4"/>
  <c r="DA160" i="4"/>
  <c r="CN7" i="4"/>
  <c r="CN160" i="4" s="1"/>
  <c r="CL7" i="4"/>
  <c r="CL156" i="4" s="1"/>
  <c r="CK7" i="4"/>
  <c r="CK156" i="4" s="1"/>
  <c r="CJ7" i="4"/>
  <c r="CJ156" i="4"/>
  <c r="CI7" i="4"/>
  <c r="CI156" i="4" s="1"/>
  <c r="CH7" i="4"/>
  <c r="CH156" i="4"/>
  <c r="CG7" i="4"/>
  <c r="CG156" i="4" s="1"/>
  <c r="CF7" i="4"/>
  <c r="CO10" i="4"/>
  <c r="CO163" i="4" s="1"/>
  <c r="CO12" i="4"/>
  <c r="CO165" i="4" s="1"/>
  <c r="CH14" i="4"/>
  <c r="CH163" i="4" s="1"/>
  <c r="DB14" i="4"/>
  <c r="DB167" i="4" s="1"/>
  <c r="DD14" i="4"/>
  <c r="DD167" i="4"/>
  <c r="DV14" i="4"/>
  <c r="CO11" i="4"/>
  <c r="CO164" i="4" s="1"/>
  <c r="CI14" i="4"/>
  <c r="CI163" i="4" s="1"/>
  <c r="CK14" i="4"/>
  <c r="CK163" i="4" s="1"/>
  <c r="DA14" i="4"/>
  <c r="DA167" i="4" s="1"/>
  <c r="DG14" i="4"/>
  <c r="DG167" i="4" s="1"/>
  <c r="CJ43" i="4"/>
  <c r="CL43" i="4"/>
  <c r="HO13" i="1"/>
  <c r="JY22" i="1" s="1"/>
  <c r="N203" i="14" s="1"/>
  <c r="HO12" i="1"/>
  <c r="JY21" i="1" s="1"/>
  <c r="N202" i="14" s="1"/>
  <c r="HO11" i="1"/>
  <c r="JY20" i="1" s="1"/>
  <c r="N201" i="14" s="1"/>
  <c r="CQ10" i="4"/>
  <c r="IQ7" i="1"/>
  <c r="IR7" i="1"/>
  <c r="IS7" i="1"/>
  <c r="IT7" i="1"/>
  <c r="IU7" i="1"/>
  <c r="IV7" i="1"/>
  <c r="IQ8" i="1"/>
  <c r="IR8" i="1"/>
  <c r="IS8" i="1"/>
  <c r="IT8" i="1"/>
  <c r="IU8" i="1"/>
  <c r="IV8" i="1"/>
  <c r="IQ9" i="1"/>
  <c r="JV31" i="1" s="1"/>
  <c r="K198" i="17" s="1"/>
  <c r="IR9" i="1"/>
  <c r="JW31" i="1" s="1"/>
  <c r="L198" i="17" s="1"/>
  <c r="IS9" i="1"/>
  <c r="JX31" i="1" s="1"/>
  <c r="M198" i="17" s="1"/>
  <c r="IT9" i="1"/>
  <c r="JY31" i="1" s="1"/>
  <c r="N198" i="17" s="1"/>
  <c r="IU9" i="1"/>
  <c r="JZ31" i="1" s="1"/>
  <c r="O198" i="17" s="1"/>
  <c r="IV9" i="1"/>
  <c r="KA31" i="1" s="1"/>
  <c r="P198" i="17" s="1"/>
  <c r="IQ10" i="1"/>
  <c r="JV32" i="1" s="1"/>
  <c r="K199" i="17" s="1"/>
  <c r="IR10" i="1"/>
  <c r="JW32" i="1" s="1"/>
  <c r="L199" i="17" s="1"/>
  <c r="IS10" i="1"/>
  <c r="JX32" i="1" s="1"/>
  <c r="M199" i="17" s="1"/>
  <c r="IT10" i="1"/>
  <c r="JY32" i="1" s="1"/>
  <c r="N199" i="17" s="1"/>
  <c r="IU10" i="1"/>
  <c r="JZ32" i="1" s="1"/>
  <c r="O199" i="17" s="1"/>
  <c r="IV10" i="1"/>
  <c r="KA32" i="1" s="1"/>
  <c r="P199" i="17" s="1"/>
  <c r="IQ11" i="1"/>
  <c r="JV33" i="1" s="1"/>
  <c r="K200" i="17" s="1"/>
  <c r="IR11" i="1"/>
  <c r="JW33" i="1" s="1"/>
  <c r="L200" i="17" s="1"/>
  <c r="IS11" i="1"/>
  <c r="JX33" i="1" s="1"/>
  <c r="M200" i="17" s="1"/>
  <c r="IT11" i="1"/>
  <c r="JY33" i="1" s="1"/>
  <c r="N200" i="17" s="1"/>
  <c r="IU11" i="1"/>
  <c r="JZ33" i="1" s="1"/>
  <c r="O200" i="17" s="1"/>
  <c r="IV11" i="1"/>
  <c r="KA33" i="1" s="1"/>
  <c r="P200" i="17" s="1"/>
  <c r="IQ12" i="1"/>
  <c r="JV34" i="1" s="1"/>
  <c r="K201" i="17" s="1"/>
  <c r="IR12" i="1"/>
  <c r="JW34" i="1" s="1"/>
  <c r="L201" i="17" s="1"/>
  <c r="IS12" i="1"/>
  <c r="JX34" i="1" s="1"/>
  <c r="M201" i="17" s="1"/>
  <c r="IT12" i="1"/>
  <c r="JY34" i="1" s="1"/>
  <c r="N201" i="17" s="1"/>
  <c r="IU12" i="1"/>
  <c r="JZ34" i="1" s="1"/>
  <c r="O201" i="17" s="1"/>
  <c r="IV12" i="1"/>
  <c r="KA34" i="1" s="1"/>
  <c r="P201" i="17" s="1"/>
  <c r="IQ13" i="1"/>
  <c r="JV35" i="1" s="1"/>
  <c r="K202" i="17" s="1"/>
  <c r="IR13" i="1"/>
  <c r="JW35" i="1" s="1"/>
  <c r="L202" i="17" s="1"/>
  <c r="IS13" i="1"/>
  <c r="JX35" i="1" s="1"/>
  <c r="M202" i="17" s="1"/>
  <c r="IT13" i="1"/>
  <c r="JY35" i="1" s="1"/>
  <c r="N202" i="17" s="1"/>
  <c r="IU13" i="1"/>
  <c r="IV13" i="1"/>
  <c r="IP13" i="1"/>
  <c r="JU35" i="1" s="1"/>
  <c r="IP12" i="1"/>
  <c r="JU34" i="1" s="1"/>
  <c r="IP11" i="1"/>
  <c r="JU33" i="1" s="1"/>
  <c r="IP10" i="1"/>
  <c r="JU32" i="1" s="1"/>
  <c r="IP9" i="1"/>
  <c r="JU31" i="1" s="1"/>
  <c r="IP8" i="1"/>
  <c r="IP15" i="1" s="1"/>
  <c r="IP7" i="1"/>
  <c r="IX13" i="1"/>
  <c r="JI13" i="1" s="1"/>
  <c r="IX12" i="1"/>
  <c r="JI12" i="1" s="1"/>
  <c r="IX11" i="1"/>
  <c r="JI11" i="1" s="1"/>
  <c r="IX10" i="1"/>
  <c r="JI10" i="1" s="1"/>
  <c r="IX9" i="1"/>
  <c r="JI9" i="1" s="1"/>
  <c r="IX8" i="1"/>
  <c r="JI8" i="1" s="1"/>
  <c r="IX7" i="1"/>
  <c r="HL7" i="1"/>
  <c r="HM7" i="1"/>
  <c r="HM166" i="1" s="1"/>
  <c r="HN7" i="1"/>
  <c r="HN166" i="1" s="1"/>
  <c r="HO7" i="1"/>
  <c r="HP7" i="1"/>
  <c r="HP166" i="1" s="1"/>
  <c r="HQ7" i="1"/>
  <c r="HQ166" i="1" s="1"/>
  <c r="HL8" i="1"/>
  <c r="HL167" i="1" s="1"/>
  <c r="HM8" i="1"/>
  <c r="HN8" i="1"/>
  <c r="HN167" i="1" s="1"/>
  <c r="HO8" i="1"/>
  <c r="HP8" i="1"/>
  <c r="HP15" i="1" s="1"/>
  <c r="HQ8" i="1"/>
  <c r="HL9" i="1"/>
  <c r="JV18" i="1" s="1"/>
  <c r="K199" i="14" s="1"/>
  <c r="HM9" i="1"/>
  <c r="JW18" i="1" s="1"/>
  <c r="L199" i="14" s="1"/>
  <c r="HN9" i="1"/>
  <c r="JX18" i="1" s="1"/>
  <c r="M199" i="14" s="1"/>
  <c r="HO9" i="1"/>
  <c r="JY18" i="1" s="1"/>
  <c r="N199" i="14" s="1"/>
  <c r="HP9" i="1"/>
  <c r="JZ18" i="1" s="1"/>
  <c r="O199" i="14" s="1"/>
  <c r="HQ9" i="1"/>
  <c r="KA18" i="1" s="1"/>
  <c r="P199" i="14" s="1"/>
  <c r="HL10" i="1"/>
  <c r="JV19" i="1" s="1"/>
  <c r="K200" i="14" s="1"/>
  <c r="HM10" i="1"/>
  <c r="JW19" i="1" s="1"/>
  <c r="L200" i="14" s="1"/>
  <c r="HN10" i="1"/>
  <c r="JX19" i="1" s="1"/>
  <c r="M200" i="14" s="1"/>
  <c r="HO10" i="1"/>
  <c r="JY19" i="1" s="1"/>
  <c r="N200" i="14" s="1"/>
  <c r="HP10" i="1"/>
  <c r="JZ19" i="1" s="1"/>
  <c r="O200" i="14" s="1"/>
  <c r="HQ10" i="1"/>
  <c r="KA19" i="1" s="1"/>
  <c r="P200" i="14" s="1"/>
  <c r="HL11" i="1"/>
  <c r="HM11" i="1"/>
  <c r="JW20" i="1" s="1"/>
  <c r="L201" i="14" s="1"/>
  <c r="HN11" i="1"/>
  <c r="JX20" i="1" s="1"/>
  <c r="M201" i="14" s="1"/>
  <c r="HP11" i="1"/>
  <c r="JZ20" i="1" s="1"/>
  <c r="O201" i="14" s="1"/>
  <c r="HQ11" i="1"/>
  <c r="KA20" i="1" s="1"/>
  <c r="P201" i="14" s="1"/>
  <c r="HL12" i="1"/>
  <c r="JV21" i="1" s="1"/>
  <c r="K202" i="14" s="1"/>
  <c r="HM12" i="1"/>
  <c r="JW21" i="1" s="1"/>
  <c r="L202" i="14" s="1"/>
  <c r="HN12" i="1"/>
  <c r="JX21" i="1" s="1"/>
  <c r="M202" i="14" s="1"/>
  <c r="HP12" i="1"/>
  <c r="JZ21" i="1" s="1"/>
  <c r="O202" i="14" s="1"/>
  <c r="HQ12" i="1"/>
  <c r="KA21" i="1" s="1"/>
  <c r="P202" i="14" s="1"/>
  <c r="HL13" i="1"/>
  <c r="HM13" i="1"/>
  <c r="JW22" i="1" s="1"/>
  <c r="L203" i="14" s="1"/>
  <c r="HN13" i="1"/>
  <c r="HP13" i="1"/>
  <c r="JZ22" i="1" s="1"/>
  <c r="O203" i="14" s="1"/>
  <c r="HQ13" i="1"/>
  <c r="KA22" i="1" s="1"/>
  <c r="P203" i="14" s="1"/>
  <c r="HK13" i="1"/>
  <c r="JU22" i="1" s="1"/>
  <c r="HK12" i="1"/>
  <c r="JU21" i="1" s="1"/>
  <c r="HK11" i="1"/>
  <c r="JU20" i="1" s="1"/>
  <c r="HK10" i="1"/>
  <c r="HK9" i="1"/>
  <c r="JU18" i="1" s="1"/>
  <c r="HK8" i="1"/>
  <c r="HK7" i="1"/>
  <c r="HK166" i="1" s="1"/>
  <c r="HS13" i="1"/>
  <c r="ID13" i="1" s="1"/>
  <c r="HM16" i="1"/>
  <c r="HM175" i="1" s="1"/>
  <c r="HS12" i="1"/>
  <c r="ID12" i="1" s="1"/>
  <c r="HS11" i="1"/>
  <c r="ID11" i="1" s="1"/>
  <c r="HS10" i="1"/>
  <c r="ID10" i="1" s="1"/>
  <c r="HS9" i="1"/>
  <c r="ID9" i="1" s="1"/>
  <c r="HS8" i="1"/>
  <c r="ID8" i="1" s="1"/>
  <c r="HS7" i="1"/>
  <c r="GM160" i="1"/>
  <c r="GM161" i="1"/>
  <c r="GM163" i="1"/>
  <c r="GM164" i="1"/>
  <c r="GM165" i="1"/>
  <c r="GM159" i="1"/>
  <c r="HJ175" i="1"/>
  <c r="HI175" i="1"/>
  <c r="HJ174" i="1"/>
  <c r="HI174" i="1"/>
  <c r="HN173" i="1"/>
  <c r="HJ173" i="1"/>
  <c r="HI173" i="1"/>
  <c r="HP170" i="1"/>
  <c r="HJ170" i="1"/>
  <c r="HI170" i="1"/>
  <c r="HJ169" i="1"/>
  <c r="HI169" i="1"/>
  <c r="HJ168" i="1"/>
  <c r="HI168" i="1"/>
  <c r="HQ167" i="1"/>
  <c r="HP167" i="1"/>
  <c r="HM167" i="1"/>
  <c r="HJ167" i="1"/>
  <c r="HI167" i="1"/>
  <c r="HO166" i="1"/>
  <c r="HJ166" i="1"/>
  <c r="HI166" i="1"/>
  <c r="HJ158" i="1"/>
  <c r="HI158" i="1"/>
  <c r="HI157" i="1"/>
  <c r="GN158" i="1"/>
  <c r="GM175" i="1"/>
  <c r="GN175" i="1"/>
  <c r="GO158" i="1"/>
  <c r="GQ166" i="1"/>
  <c r="GT166" i="1"/>
  <c r="GQ167" i="1"/>
  <c r="GT167" i="1"/>
  <c r="GQ168" i="1"/>
  <c r="GT168" i="1"/>
  <c r="GQ169" i="1"/>
  <c r="GT169" i="1"/>
  <c r="GQ170" i="1"/>
  <c r="GT170" i="1"/>
  <c r="GQ173" i="1"/>
  <c r="GT173" i="1"/>
  <c r="GQ174" i="1"/>
  <c r="GT174" i="1"/>
  <c r="GU174" i="1"/>
  <c r="GV174" i="1"/>
  <c r="GP175" i="1"/>
  <c r="GQ175" i="1"/>
  <c r="GR175" i="1"/>
  <c r="GT175" i="1"/>
  <c r="GU175" i="1"/>
  <c r="GV175" i="1"/>
  <c r="GM8" i="1"/>
  <c r="GX8" i="1" s="1"/>
  <c r="GM9" i="1"/>
  <c r="GX9" i="1" s="1"/>
  <c r="GM10" i="1"/>
  <c r="GX10" i="1" s="1"/>
  <c r="GM11" i="1"/>
  <c r="GX11" i="1" s="1"/>
  <c r="GM12" i="1"/>
  <c r="GX12" i="1" s="1"/>
  <c r="GM13" i="1"/>
  <c r="GX13" i="1" s="1"/>
  <c r="GM7" i="1"/>
  <c r="GM166" i="1" s="1"/>
  <c r="CQ163" i="4"/>
  <c r="CS10" i="4"/>
  <c r="CS163" i="4" s="1"/>
  <c r="GK7" i="1"/>
  <c r="GK175" i="1" s="1"/>
  <c r="GK8" i="1"/>
  <c r="GK9" i="1"/>
  <c r="KA5" i="1" s="1"/>
  <c r="P198" i="5" s="1"/>
  <c r="GK10" i="1"/>
  <c r="KA6" i="1" s="1"/>
  <c r="P199" i="5" s="1"/>
  <c r="GK11" i="1"/>
  <c r="KA7" i="1" s="1"/>
  <c r="P200" i="5" s="1"/>
  <c r="GK12" i="1"/>
  <c r="KA8" i="1" s="1"/>
  <c r="P201" i="5" s="1"/>
  <c r="GK13" i="1"/>
  <c r="KA9" i="1" s="1"/>
  <c r="P202" i="5" s="1"/>
  <c r="GJ7" i="1"/>
  <c r="GJ175" i="1" s="1"/>
  <c r="GJ8" i="1"/>
  <c r="GJ9" i="1"/>
  <c r="JZ5" i="1" s="1"/>
  <c r="O198" i="5" s="1"/>
  <c r="GJ10" i="1"/>
  <c r="JZ6" i="1" s="1"/>
  <c r="O199" i="5" s="1"/>
  <c r="GJ11" i="1"/>
  <c r="JZ7" i="1" s="1"/>
  <c r="O200" i="5" s="1"/>
  <c r="GJ12" i="1"/>
  <c r="JZ8" i="1" s="1"/>
  <c r="O201" i="5" s="1"/>
  <c r="GJ13" i="1"/>
  <c r="JZ9" i="1" s="1"/>
  <c r="O202" i="5" s="1"/>
  <c r="GI7" i="1"/>
  <c r="GI175" i="1" s="1"/>
  <c r="GI8" i="1"/>
  <c r="GI9" i="1"/>
  <c r="GI10" i="1"/>
  <c r="GI180" i="1"/>
  <c r="GH7" i="1"/>
  <c r="GH175" i="1" s="1"/>
  <c r="GH8" i="1"/>
  <c r="GH9" i="1"/>
  <c r="JX5" i="1" s="1"/>
  <c r="M198" i="5" s="1"/>
  <c r="GH10" i="1"/>
  <c r="JX6" i="1" s="1"/>
  <c r="M199" i="5" s="1"/>
  <c r="GH11" i="1"/>
  <c r="JX7" i="1" s="1"/>
  <c r="M200" i="5" s="1"/>
  <c r="GH12" i="1"/>
  <c r="JX8" i="1" s="1"/>
  <c r="M201" i="5" s="1"/>
  <c r="GH13" i="1"/>
  <c r="JX9" i="1" s="1"/>
  <c r="M202" i="5" s="1"/>
  <c r="GG7" i="1"/>
  <c r="GG175" i="1" s="1"/>
  <c r="GG8" i="1"/>
  <c r="GG9" i="1"/>
  <c r="JW5" i="1" s="1"/>
  <c r="L198" i="5" s="1"/>
  <c r="GG10" i="1"/>
  <c r="JW6" i="1" s="1"/>
  <c r="L199" i="5" s="1"/>
  <c r="GG11" i="1"/>
  <c r="JW7" i="1" s="1"/>
  <c r="L200" i="5" s="1"/>
  <c r="GG12" i="1"/>
  <c r="JW8" i="1" s="1"/>
  <c r="L201" i="5" s="1"/>
  <c r="GG13" i="1"/>
  <c r="JW9" i="1" s="1"/>
  <c r="L202" i="5" s="1"/>
  <c r="GF7" i="1"/>
  <c r="GF175" i="1" s="1"/>
  <c r="GF8" i="1"/>
  <c r="GF9" i="1"/>
  <c r="JV5" i="1" s="1"/>
  <c r="K198" i="5" s="1"/>
  <c r="GF10" i="1"/>
  <c r="JV6" i="1" s="1"/>
  <c r="K199" i="5" s="1"/>
  <c r="GF11" i="1"/>
  <c r="JV7" i="1" s="1"/>
  <c r="K200" i="5" s="1"/>
  <c r="GF12" i="1"/>
  <c r="JV8" i="1" s="1"/>
  <c r="K201" i="5" s="1"/>
  <c r="GF13" i="1"/>
  <c r="JV9" i="1" s="1"/>
  <c r="K202" i="5" s="1"/>
  <c r="GE13" i="1"/>
  <c r="GE182" i="1" s="1"/>
  <c r="GE12" i="1"/>
  <c r="GE181" i="1" s="1"/>
  <c r="GE11" i="1"/>
  <c r="GE180" i="1" s="1"/>
  <c r="GE10" i="1"/>
  <c r="GE179" i="1" s="1"/>
  <c r="GE9" i="1"/>
  <c r="GE178" i="1" s="1"/>
  <c r="GE8" i="1"/>
  <c r="GE7" i="1"/>
  <c r="GE175" i="1" s="1"/>
  <c r="G33" i="2"/>
  <c r="H33" i="2"/>
  <c r="G37" i="2"/>
  <c r="C7" i="2"/>
  <c r="C8" i="2"/>
  <c r="C9" i="2"/>
  <c r="C10" i="2"/>
  <c r="C11" i="2"/>
  <c r="C12" i="2"/>
  <c r="C13" i="2"/>
  <c r="C14" i="2"/>
  <c r="C15" i="2"/>
  <c r="C16" i="2"/>
  <c r="C17" i="2"/>
  <c r="C18" i="2"/>
  <c r="C19" i="2"/>
  <c r="C20" i="2"/>
  <c r="C21" i="2"/>
  <c r="C22" i="2"/>
  <c r="C23" i="2"/>
  <c r="C24" i="2"/>
  <c r="C25" i="2"/>
  <c r="C26" i="2"/>
  <c r="C27" i="2"/>
  <c r="C28" i="2"/>
  <c r="C29" i="2"/>
  <c r="C30" i="2"/>
  <c r="C31" i="2"/>
  <c r="C32" i="2"/>
  <c r="C33" i="2"/>
  <c r="AZ33" i="2" s="1"/>
  <c r="C34" i="2"/>
  <c r="F28" i="22" s="1"/>
  <c r="C35" i="2"/>
  <c r="F29" i="22" s="1"/>
  <c r="C36" i="2"/>
  <c r="F30" i="22" s="1"/>
  <c r="C37" i="2"/>
  <c r="F31" i="22" s="1"/>
  <c r="AL29" i="15"/>
  <c r="AI29" i="15" s="1"/>
  <c r="BH20" i="15"/>
  <c r="BH18" i="15"/>
  <c r="BH34" i="15"/>
  <c r="BH37" i="15"/>
  <c r="BH26" i="15"/>
  <c r="BH32" i="15"/>
  <c r="BH16" i="15"/>
  <c r="BJ15" i="15"/>
  <c r="DP574" i="1" l="1"/>
  <c r="DN567" i="1"/>
  <c r="J132" i="20" s="1"/>
  <c r="AL160" i="20"/>
  <c r="AH160" i="20" s="1"/>
  <c r="AD160" i="20" s="1"/>
  <c r="AL162" i="20"/>
  <c r="AH162" i="20" s="1"/>
  <c r="AD162" i="20" s="1"/>
  <c r="AL164" i="20"/>
  <c r="AH164" i="20" s="1"/>
  <c r="AD164" i="20" s="1"/>
  <c r="AL161" i="20"/>
  <c r="AH161" i="20" s="1"/>
  <c r="AD161" i="20" s="1"/>
  <c r="AL163" i="20"/>
  <c r="AH163" i="20" s="1"/>
  <c r="AD163" i="20" s="1"/>
  <c r="AL119" i="20"/>
  <c r="AH119" i="20" s="1"/>
  <c r="AD119" i="20" s="1"/>
  <c r="AL120" i="20"/>
  <c r="AH120" i="20" s="1"/>
  <c r="AD120" i="20" s="1"/>
  <c r="AL121" i="20"/>
  <c r="AH121" i="20" s="1"/>
  <c r="AD121" i="20" s="1"/>
  <c r="AL123" i="20"/>
  <c r="AH123" i="20" s="1"/>
  <c r="AD123" i="20" s="1"/>
  <c r="AL122" i="20"/>
  <c r="AH122" i="20" s="1"/>
  <c r="AD122" i="20" s="1"/>
  <c r="AL82" i="20"/>
  <c r="AH82" i="20" s="1"/>
  <c r="AD82" i="20" s="1"/>
  <c r="AL79" i="20"/>
  <c r="AH79" i="20" s="1"/>
  <c r="AD79" i="20" s="1"/>
  <c r="AL78" i="20"/>
  <c r="AH78" i="20" s="1"/>
  <c r="AD78" i="20" s="1"/>
  <c r="AL81" i="20"/>
  <c r="AH81" i="20" s="1"/>
  <c r="AD81" i="20" s="1"/>
  <c r="AL80" i="20"/>
  <c r="AH80" i="20" s="1"/>
  <c r="AD80" i="20" s="1"/>
  <c r="CM323" i="1"/>
  <c r="CN322" i="1"/>
  <c r="CS327" i="1"/>
  <c r="CT327" i="1" s="1"/>
  <c r="CT326" i="1"/>
  <c r="CZ325" i="1"/>
  <c r="CY326" i="1"/>
  <c r="CS214" i="1"/>
  <c r="CT213" i="1"/>
  <c r="CY212" i="1"/>
  <c r="CZ211" i="1"/>
  <c r="CH203" i="1"/>
  <c r="CI202" i="1"/>
  <c r="DO579" i="1"/>
  <c r="J184" i="20" s="1"/>
  <c r="DO583" i="1"/>
  <c r="J188" i="20" s="1"/>
  <c r="DM581" i="1"/>
  <c r="J105" i="20" s="1"/>
  <c r="DO585" i="1"/>
  <c r="J190" i="20" s="1"/>
  <c r="J106" i="20"/>
  <c r="DL571" i="1"/>
  <c r="J54" i="20" s="1"/>
  <c r="DN583" i="1"/>
  <c r="J148" i="20" s="1"/>
  <c r="DN597" i="1"/>
  <c r="J162" i="20" s="1"/>
  <c r="DN585" i="1"/>
  <c r="J150" i="20" s="1"/>
  <c r="DM567" i="1"/>
  <c r="J91" i="20" s="1"/>
  <c r="DO597" i="1"/>
  <c r="J202" i="20" s="1"/>
  <c r="DM579" i="1"/>
  <c r="J103" i="20" s="1"/>
  <c r="DO581" i="1"/>
  <c r="J186" i="20" s="1"/>
  <c r="DM571" i="1"/>
  <c r="J95" i="20" s="1"/>
  <c r="DL583" i="1"/>
  <c r="DL567" i="1"/>
  <c r="J50" i="20" s="1"/>
  <c r="DM573" i="1"/>
  <c r="J97" i="20" s="1"/>
  <c r="DO567" i="1"/>
  <c r="J172" i="20" s="1"/>
  <c r="DL575" i="1"/>
  <c r="J58" i="20" s="1"/>
  <c r="DM597" i="1"/>
  <c r="J121" i="20" s="1"/>
  <c r="DF600" i="1"/>
  <c r="DN592" i="1" s="1"/>
  <c r="DN593" i="1" s="1"/>
  <c r="J158" i="20" s="1"/>
  <c r="J151" i="20"/>
  <c r="DO569" i="1"/>
  <c r="J174" i="20" s="1"/>
  <c r="DL587" i="1"/>
  <c r="J70" i="20" s="1"/>
  <c r="J122" i="20"/>
  <c r="DP582" i="1"/>
  <c r="DM599" i="1"/>
  <c r="J123" i="20" s="1"/>
  <c r="DN581" i="1"/>
  <c r="J146" i="20" s="1"/>
  <c r="DO577" i="1"/>
  <c r="J182" i="20" s="1"/>
  <c r="DP578" i="1"/>
  <c r="DP594" i="1"/>
  <c r="DP588" i="1"/>
  <c r="DP566" i="1"/>
  <c r="J96" i="20"/>
  <c r="J145" i="20"/>
  <c r="J61" i="20"/>
  <c r="DL579" i="1"/>
  <c r="J62" i="20" s="1"/>
  <c r="DN587" i="1"/>
  <c r="J152" i="20" s="1"/>
  <c r="J81" i="20"/>
  <c r="DP586" i="1"/>
  <c r="J90" i="20"/>
  <c r="J153" i="20"/>
  <c r="DN569" i="1"/>
  <c r="J134" i="20" s="1"/>
  <c r="DN589" i="1"/>
  <c r="J154" i="20" s="1"/>
  <c r="DO573" i="1"/>
  <c r="J178" i="20" s="1"/>
  <c r="J102" i="20"/>
  <c r="DM575" i="1"/>
  <c r="J99" i="20" s="1"/>
  <c r="DM589" i="1"/>
  <c r="J113" i="20" s="1"/>
  <c r="DO587" i="1"/>
  <c r="J192" i="20" s="1"/>
  <c r="DM577" i="1"/>
  <c r="J101" i="20" s="1"/>
  <c r="DN573" i="1"/>
  <c r="J138" i="20" s="1"/>
  <c r="DN571" i="1"/>
  <c r="J136" i="20" s="1"/>
  <c r="DD600" i="1"/>
  <c r="DL592" i="1" s="1"/>
  <c r="DL593" i="1" s="1"/>
  <c r="J76" i="20" s="1"/>
  <c r="J131" i="20"/>
  <c r="DM585" i="1"/>
  <c r="J109" i="20" s="1"/>
  <c r="DM583" i="1"/>
  <c r="J107" i="20" s="1"/>
  <c r="DM587" i="1"/>
  <c r="J111" i="20" s="1"/>
  <c r="DN595" i="1"/>
  <c r="J160" i="20" s="1"/>
  <c r="DP584" i="1"/>
  <c r="DN579" i="1"/>
  <c r="J144" i="20" s="1"/>
  <c r="DP568" i="1"/>
  <c r="DL585" i="1"/>
  <c r="J68" i="20" s="1"/>
  <c r="J147" i="20"/>
  <c r="J155" i="20"/>
  <c r="J179" i="20"/>
  <c r="DN577" i="1"/>
  <c r="J142" i="20" s="1"/>
  <c r="J55" i="20"/>
  <c r="DO589" i="1"/>
  <c r="J194" i="20" s="1"/>
  <c r="DO575" i="1"/>
  <c r="J180" i="20" s="1"/>
  <c r="DP572" i="1"/>
  <c r="DL573" i="1"/>
  <c r="J56" i="20" s="1"/>
  <c r="DP580" i="1"/>
  <c r="DN575" i="1"/>
  <c r="J140" i="20" s="1"/>
  <c r="DO571" i="1"/>
  <c r="J176" i="20" s="1"/>
  <c r="DL597" i="1"/>
  <c r="J80" i="20" s="1"/>
  <c r="DL569" i="1"/>
  <c r="J161" i="20"/>
  <c r="DM595" i="1"/>
  <c r="J119" i="20" s="1"/>
  <c r="J73" i="20"/>
  <c r="DP590" i="1"/>
  <c r="DL589" i="1"/>
  <c r="J72" i="20" s="1"/>
  <c r="DO595" i="1"/>
  <c r="J200" i="20" s="1"/>
  <c r="J199" i="20"/>
  <c r="DN599" i="1"/>
  <c r="J164" i="20" s="1"/>
  <c r="DG600" i="1"/>
  <c r="DO592" i="1" s="1"/>
  <c r="DP570" i="1"/>
  <c r="DM569" i="1"/>
  <c r="J93" i="20" s="1"/>
  <c r="DL581" i="1"/>
  <c r="J203" i="20"/>
  <c r="DL577" i="1"/>
  <c r="J60" i="20" s="1"/>
  <c r="J53" i="20"/>
  <c r="J92" i="20"/>
  <c r="J63" i="20"/>
  <c r="DE600" i="1"/>
  <c r="DM592" i="1" s="1"/>
  <c r="DL595" i="1"/>
  <c r="J78" i="20" s="1"/>
  <c r="DP576" i="1"/>
  <c r="EA508" i="1"/>
  <c r="EA528" i="1" s="1"/>
  <c r="EH508" i="1" s="1"/>
  <c r="I90" i="20" s="1"/>
  <c r="DP508" i="1"/>
  <c r="DQ514" i="1"/>
  <c r="BA7" i="8" s="1"/>
  <c r="DY510" i="1"/>
  <c r="DY530" i="1" s="1"/>
  <c r="DU510" i="1"/>
  <c r="DT507" i="1"/>
  <c r="DV519" i="1"/>
  <c r="DW520" i="1"/>
  <c r="EC515" i="1"/>
  <c r="EC535" i="1" s="1"/>
  <c r="EJ522" i="1" s="1"/>
  <c r="I185" i="20" s="1"/>
  <c r="DU514" i="1"/>
  <c r="DT515" i="1"/>
  <c r="DW507" i="1"/>
  <c r="DW512" i="1"/>
  <c r="DT519" i="1"/>
  <c r="DT517" i="1"/>
  <c r="DU520" i="1"/>
  <c r="EB522" i="1"/>
  <c r="EB542" i="1" s="1"/>
  <c r="EA510" i="1"/>
  <c r="EA530" i="1" s="1"/>
  <c r="EH512" i="1" s="1"/>
  <c r="I94" i="20" s="1"/>
  <c r="DS508" i="1"/>
  <c r="DV512" i="1"/>
  <c r="EB511" i="1"/>
  <c r="EB531" i="1" s="1"/>
  <c r="EI514" i="1" s="1"/>
  <c r="I137" i="20" s="1"/>
  <c r="EA524" i="1"/>
  <c r="EA544" i="1" s="1"/>
  <c r="EH540" i="1" s="1"/>
  <c r="I122" i="20" s="1"/>
  <c r="DV520" i="1"/>
  <c r="DU523" i="1"/>
  <c r="DV521" i="1"/>
  <c r="DR518" i="1"/>
  <c r="BB11" i="8" s="1"/>
  <c r="DP507" i="1"/>
  <c r="DW517" i="1"/>
  <c r="DR524" i="1"/>
  <c r="DZ524" i="1"/>
  <c r="DZ544" i="1" s="1"/>
  <c r="EG540" i="1" s="1"/>
  <c r="I81" i="20" s="1"/>
  <c r="EB520" i="1"/>
  <c r="EB540" i="1" s="1"/>
  <c r="EI532" i="1" s="1"/>
  <c r="I155" i="20" s="1"/>
  <c r="DZ512" i="1"/>
  <c r="DZ532" i="1" s="1"/>
  <c r="EG516" i="1" s="1"/>
  <c r="I57" i="20" s="1"/>
  <c r="DX518" i="1"/>
  <c r="DT509" i="1"/>
  <c r="DX523" i="1"/>
  <c r="DY520" i="1"/>
  <c r="DY540" i="1" s="1"/>
  <c r="EB516" i="1"/>
  <c r="EB536" i="1" s="1"/>
  <c r="EI524" i="1" s="1"/>
  <c r="I147" i="20" s="1"/>
  <c r="DR507" i="1"/>
  <c r="DV523" i="1"/>
  <c r="DS519" i="1"/>
  <c r="EA515" i="1"/>
  <c r="EA535" i="1" s="1"/>
  <c r="EH522" i="1" s="1"/>
  <c r="I104" i="20" s="1"/>
  <c r="DP511" i="1"/>
  <c r="DR509" i="1"/>
  <c r="BB2" i="8" s="1"/>
  <c r="EA519" i="1"/>
  <c r="EA539" i="1" s="1"/>
  <c r="DW518" i="1"/>
  <c r="DW522" i="1"/>
  <c r="DZ507" i="1"/>
  <c r="DT523" i="1"/>
  <c r="DQ515" i="1"/>
  <c r="BA8" i="8" s="1"/>
  <c r="DW521" i="1"/>
  <c r="DY509" i="1"/>
  <c r="DY529" i="1" s="1"/>
  <c r="DP515" i="1"/>
  <c r="DQ513" i="1"/>
  <c r="BA6" i="8" s="1"/>
  <c r="DR514" i="1"/>
  <c r="BB7" i="8" s="1"/>
  <c r="DQ518" i="1"/>
  <c r="BA11" i="8" s="1"/>
  <c r="DP509" i="1"/>
  <c r="DY518" i="1"/>
  <c r="DY538" i="1" s="1"/>
  <c r="DS511" i="1"/>
  <c r="DU507" i="1"/>
  <c r="EB517" i="1"/>
  <c r="EB537" i="1" s="1"/>
  <c r="EI526" i="1" s="1"/>
  <c r="I149" i="20" s="1"/>
  <c r="EC516" i="1"/>
  <c r="EC536" i="1" s="1"/>
  <c r="EJ524" i="1" s="1"/>
  <c r="I187" i="20" s="1"/>
  <c r="DT510" i="1"/>
  <c r="DU515" i="1"/>
  <c r="DP516" i="1"/>
  <c r="DP522" i="1"/>
  <c r="DX521" i="1"/>
  <c r="DY511" i="1"/>
  <c r="DY531" i="1" s="1"/>
  <c r="DP512" i="1"/>
  <c r="DP521" i="1"/>
  <c r="EA513" i="1"/>
  <c r="EA533" i="1" s="1"/>
  <c r="EH518" i="1" s="1"/>
  <c r="I100" i="20" s="1"/>
  <c r="EC514" i="1"/>
  <c r="EC534" i="1" s="1"/>
  <c r="EJ520" i="1" s="1"/>
  <c r="I183" i="20" s="1"/>
  <c r="EB510" i="1"/>
  <c r="EB530" i="1" s="1"/>
  <c r="EI512" i="1" s="1"/>
  <c r="I135" i="20" s="1"/>
  <c r="DX515" i="1"/>
  <c r="DQ520" i="1"/>
  <c r="BA13" i="8" s="1"/>
  <c r="DU511" i="1"/>
  <c r="DR523" i="1"/>
  <c r="EC507" i="1"/>
  <c r="DY521" i="1"/>
  <c r="DY541" i="1" s="1"/>
  <c r="DT512" i="1"/>
  <c r="DQ508" i="1"/>
  <c r="BA1" i="8" s="1"/>
  <c r="DU524" i="1"/>
  <c r="EC520" i="1"/>
  <c r="EC540" i="1" s="1"/>
  <c r="EJ532" i="1" s="1"/>
  <c r="I195" i="20" s="1"/>
  <c r="DQ510" i="1"/>
  <c r="BA3" i="8" s="1"/>
  <c r="DZ508" i="1"/>
  <c r="DZ528" i="1" s="1"/>
  <c r="EG508" i="1" s="1"/>
  <c r="I49" i="20" s="1"/>
  <c r="EA512" i="1"/>
  <c r="EA532" i="1" s="1"/>
  <c r="EH516" i="1" s="1"/>
  <c r="I98" i="20" s="1"/>
  <c r="DY519" i="1"/>
  <c r="DY539" i="1" s="1"/>
  <c r="DP519" i="1"/>
  <c r="DP523" i="1"/>
  <c r="EB509" i="1"/>
  <c r="EB529" i="1" s="1"/>
  <c r="EI510" i="1" s="1"/>
  <c r="I133" i="20" s="1"/>
  <c r="DR522" i="1"/>
  <c r="DT513" i="1"/>
  <c r="DS521" i="1"/>
  <c r="DQ524" i="1"/>
  <c r="DV514" i="1"/>
  <c r="DT521" i="1"/>
  <c r="DX511" i="1"/>
  <c r="DU509" i="1"/>
  <c r="DZ523" i="1"/>
  <c r="DZ543" i="1" s="1"/>
  <c r="EG538" i="1" s="1"/>
  <c r="I79" i="20" s="1"/>
  <c r="DP524" i="1"/>
  <c r="DS517" i="1"/>
  <c r="DV522" i="1"/>
  <c r="EB524" i="1"/>
  <c r="EB544" i="1" s="1"/>
  <c r="EI540" i="1" s="1"/>
  <c r="I163" i="20" s="1"/>
  <c r="EC513" i="1"/>
  <c r="EC533" i="1" s="1"/>
  <c r="EJ518" i="1" s="1"/>
  <c r="I181" i="20" s="1"/>
  <c r="DX509" i="1"/>
  <c r="DQ511" i="1"/>
  <c r="BA4" i="8" s="1"/>
  <c r="EA509" i="1"/>
  <c r="EA529" i="1" s="1"/>
  <c r="EH510" i="1" s="1"/>
  <c r="I92" i="20" s="1"/>
  <c r="EB507" i="1"/>
  <c r="DR521" i="1"/>
  <c r="DY522" i="1"/>
  <c r="DY542" i="1" s="1"/>
  <c r="EC523" i="1"/>
  <c r="EC543" i="1" s="1"/>
  <c r="EJ538" i="1" s="1"/>
  <c r="I201" i="20" s="1"/>
  <c r="DV508" i="1"/>
  <c r="DW508" i="1"/>
  <c r="DX514" i="1"/>
  <c r="DQ512" i="1"/>
  <c r="BA5" i="8" s="1"/>
  <c r="DT520" i="1"/>
  <c r="DX513" i="1"/>
  <c r="DV517" i="1"/>
  <c r="DS513" i="1"/>
  <c r="DZ515" i="1"/>
  <c r="DZ535" i="1" s="1"/>
  <c r="EG522" i="1" s="1"/>
  <c r="DX516" i="1"/>
  <c r="DP510" i="1"/>
  <c r="EA517" i="1"/>
  <c r="EA537" i="1" s="1"/>
  <c r="EH526" i="1" s="1"/>
  <c r="I108" i="20" s="1"/>
  <c r="DZ517" i="1"/>
  <c r="DZ537" i="1" s="1"/>
  <c r="EG526" i="1" s="1"/>
  <c r="I67" i="20" s="1"/>
  <c r="DY517" i="1"/>
  <c r="DY537" i="1" s="1"/>
  <c r="EB523" i="1"/>
  <c r="EB543" i="1" s="1"/>
  <c r="EI538" i="1" s="1"/>
  <c r="I161" i="20" s="1"/>
  <c r="DW516" i="1"/>
  <c r="DS510" i="1"/>
  <c r="EC524" i="1"/>
  <c r="EC544" i="1" s="1"/>
  <c r="EJ540" i="1" s="1"/>
  <c r="I203" i="20" s="1"/>
  <c r="DY513" i="1"/>
  <c r="DY533" i="1" s="1"/>
  <c r="EB518" i="1"/>
  <c r="EB538" i="1" s="1"/>
  <c r="EI528" i="1" s="1"/>
  <c r="I151" i="20" s="1"/>
  <c r="DY523" i="1"/>
  <c r="DY543" i="1" s="1"/>
  <c r="DQ521" i="1"/>
  <c r="DR516" i="1"/>
  <c r="BB9" i="8" s="1"/>
  <c r="EC511" i="1"/>
  <c r="EC531" i="1" s="1"/>
  <c r="EJ514" i="1" s="1"/>
  <c r="I177" i="20" s="1"/>
  <c r="DR512" i="1"/>
  <c r="BB5" i="8" s="1"/>
  <c r="DT508" i="1"/>
  <c r="DS522" i="1"/>
  <c r="DS512" i="1"/>
  <c r="EB521" i="1"/>
  <c r="EB541" i="1" s="1"/>
  <c r="EI534" i="1" s="1"/>
  <c r="I157" i="20" s="1"/>
  <c r="DS516" i="1"/>
  <c r="DP513" i="1"/>
  <c r="DT511" i="1"/>
  <c r="DQ523" i="1"/>
  <c r="DR510" i="1"/>
  <c r="BB3" i="8" s="1"/>
  <c r="DZ510" i="1"/>
  <c r="DZ530" i="1" s="1"/>
  <c r="EG512" i="1" s="1"/>
  <c r="I53" i="20" s="1"/>
  <c r="EA521" i="1"/>
  <c r="EA541" i="1" s="1"/>
  <c r="EH534" i="1" s="1"/>
  <c r="I116" i="20" s="1"/>
  <c r="EA522" i="1"/>
  <c r="EA542" i="1" s="1"/>
  <c r="DZ514" i="1"/>
  <c r="DZ534" i="1" s="1"/>
  <c r="EG520" i="1" s="1"/>
  <c r="I61" i="20" s="1"/>
  <c r="DT524" i="1"/>
  <c r="EC510" i="1"/>
  <c r="EC530" i="1" s="1"/>
  <c r="EJ512" i="1" s="1"/>
  <c r="I175" i="20" s="1"/>
  <c r="DS515" i="1"/>
  <c r="EA518" i="1"/>
  <c r="EA538" i="1" s="1"/>
  <c r="EH528" i="1" s="1"/>
  <c r="I110" i="20" s="1"/>
  <c r="DZ520" i="1"/>
  <c r="DZ540" i="1" s="1"/>
  <c r="EG532" i="1" s="1"/>
  <c r="DX522" i="1"/>
  <c r="DU518" i="1"/>
  <c r="DZ509" i="1"/>
  <c r="DZ529" i="1" s="1"/>
  <c r="EG510" i="1" s="1"/>
  <c r="DV511" i="1"/>
  <c r="EA516" i="1"/>
  <c r="EA536" i="1" s="1"/>
  <c r="EH524" i="1" s="1"/>
  <c r="I106" i="20" s="1"/>
  <c r="DZ516" i="1"/>
  <c r="DZ536" i="1" s="1"/>
  <c r="EG524" i="1" s="1"/>
  <c r="EB513" i="1"/>
  <c r="DX520" i="1"/>
  <c r="DV513" i="1"/>
  <c r="EC521" i="1"/>
  <c r="EC541" i="1" s="1"/>
  <c r="EJ534" i="1" s="1"/>
  <c r="I197" i="20" s="1"/>
  <c r="DX508" i="1"/>
  <c r="DV516" i="1"/>
  <c r="DT516" i="1"/>
  <c r="EC509" i="1"/>
  <c r="EC529" i="1" s="1"/>
  <c r="EJ510" i="1" s="1"/>
  <c r="I173" i="20" s="1"/>
  <c r="EA507" i="1"/>
  <c r="DU508" i="1"/>
  <c r="DQ507" i="1"/>
  <c r="EA523" i="1"/>
  <c r="EA543" i="1" s="1"/>
  <c r="EH538" i="1" s="1"/>
  <c r="I120" i="20" s="1"/>
  <c r="DU521" i="1"/>
  <c r="DS520" i="1"/>
  <c r="DU513" i="1"/>
  <c r="DZ513" i="1"/>
  <c r="DZ533" i="1" s="1"/>
  <c r="EG518" i="1" s="1"/>
  <c r="DW515" i="1"/>
  <c r="EC512" i="1"/>
  <c r="EC532" i="1" s="1"/>
  <c r="EJ516" i="1" s="1"/>
  <c r="I179" i="20" s="1"/>
  <c r="DU519" i="1"/>
  <c r="DX524" i="1"/>
  <c r="EC508" i="1"/>
  <c r="EC528" i="1" s="1"/>
  <c r="EJ508" i="1" s="1"/>
  <c r="DW524" i="1"/>
  <c r="DW523" i="1"/>
  <c r="EB508" i="1"/>
  <c r="EB528" i="1" s="1"/>
  <c r="EI508" i="1" s="1"/>
  <c r="I131" i="20" s="1"/>
  <c r="EB514" i="1"/>
  <c r="EB534" i="1" s="1"/>
  <c r="EI520" i="1" s="1"/>
  <c r="I143" i="20" s="1"/>
  <c r="DZ521" i="1"/>
  <c r="DZ541" i="1" s="1"/>
  <c r="EG534" i="1" s="1"/>
  <c r="I75" i="20" s="1"/>
  <c r="DS524" i="1"/>
  <c r="DX507" i="1"/>
  <c r="DT522" i="1"/>
  <c r="DY512" i="1"/>
  <c r="DY532" i="1" s="1"/>
  <c r="DR519" i="1"/>
  <c r="BB12" i="8" s="1"/>
  <c r="DY507" i="1"/>
  <c r="EC518" i="1"/>
  <c r="EC538" i="1" s="1"/>
  <c r="EJ528" i="1" s="1"/>
  <c r="I191" i="20" s="1"/>
  <c r="DZ511" i="1"/>
  <c r="DZ531" i="1" s="1"/>
  <c r="EG514" i="1" s="1"/>
  <c r="I55" i="20" s="1"/>
  <c r="DY508" i="1"/>
  <c r="DY528" i="1" s="1"/>
  <c r="DW510" i="1"/>
  <c r="DR520" i="1"/>
  <c r="BB13" i="8" s="1"/>
  <c r="DW509" i="1"/>
  <c r="DV518" i="1"/>
  <c r="DR515" i="1"/>
  <c r="BB8" i="8" s="1"/>
  <c r="DP518" i="1"/>
  <c r="DX510" i="1"/>
  <c r="DX512" i="1"/>
  <c r="DS507" i="1"/>
  <c r="DP514" i="1"/>
  <c r="DP520" i="1"/>
  <c r="DW511" i="1"/>
  <c r="EB519" i="1"/>
  <c r="EB539" i="1" s="1"/>
  <c r="EA520" i="1"/>
  <c r="EA540" i="1" s="1"/>
  <c r="EH532" i="1" s="1"/>
  <c r="I114" i="20" s="1"/>
  <c r="DY515" i="1"/>
  <c r="DY535" i="1" s="1"/>
  <c r="EC517" i="1"/>
  <c r="EC537" i="1" s="1"/>
  <c r="EJ526" i="1" s="1"/>
  <c r="I189" i="20" s="1"/>
  <c r="DV507" i="1"/>
  <c r="DU522" i="1"/>
  <c r="DR517" i="1"/>
  <c r="BB10" i="8" s="1"/>
  <c r="DQ516" i="1"/>
  <c r="BA9" i="8" s="1"/>
  <c r="DZ519" i="1"/>
  <c r="DZ539" i="1" s="1"/>
  <c r="EG530" i="1" s="1"/>
  <c r="EC519" i="1"/>
  <c r="EC539" i="1" s="1"/>
  <c r="EJ530" i="1" s="1"/>
  <c r="I193" i="20" s="1"/>
  <c r="DQ509" i="1"/>
  <c r="BA2" i="8" s="1"/>
  <c r="DR511" i="1"/>
  <c r="BB4" i="8" s="1"/>
  <c r="DV509" i="1"/>
  <c r="DZ522" i="1"/>
  <c r="DZ542" i="1" s="1"/>
  <c r="EG536" i="1" s="1"/>
  <c r="DR508" i="1"/>
  <c r="BB1" i="8" s="1"/>
  <c r="DW519" i="1"/>
  <c r="DQ517" i="1"/>
  <c r="BA10" i="8" s="1"/>
  <c r="DV515" i="1"/>
  <c r="DY516" i="1"/>
  <c r="DY536" i="1" s="1"/>
  <c r="DP517" i="1"/>
  <c r="DW513" i="1"/>
  <c r="DU516" i="1"/>
  <c r="DZ518" i="1"/>
  <c r="DZ538" i="1" s="1"/>
  <c r="EG528" i="1" s="1"/>
  <c r="I69" i="20" s="1"/>
  <c r="DU512" i="1"/>
  <c r="DY514" i="1"/>
  <c r="DY534" i="1" s="1"/>
  <c r="EB515" i="1"/>
  <c r="EB535" i="1" s="1"/>
  <c r="EI522" i="1" s="1"/>
  <c r="I145" i="20" s="1"/>
  <c r="DT514" i="1"/>
  <c r="DS518" i="1"/>
  <c r="DV524" i="1"/>
  <c r="EB512" i="1"/>
  <c r="EB532" i="1" s="1"/>
  <c r="EI516" i="1" s="1"/>
  <c r="I139" i="20" s="1"/>
  <c r="EA514" i="1"/>
  <c r="EA534" i="1" s="1"/>
  <c r="EH520" i="1" s="1"/>
  <c r="I102" i="20" s="1"/>
  <c r="DW514" i="1"/>
  <c r="EA511" i="1"/>
  <c r="EA531" i="1" s="1"/>
  <c r="EH514" i="1" s="1"/>
  <c r="I96" i="20" s="1"/>
  <c r="DX519" i="1"/>
  <c r="EC522" i="1"/>
  <c r="EC542" i="1" s="1"/>
  <c r="DS523" i="1"/>
  <c r="DR513" i="1"/>
  <c r="BB6" i="8" s="1"/>
  <c r="DS514" i="1"/>
  <c r="DU517" i="1"/>
  <c r="DX517" i="1"/>
  <c r="DQ519" i="1"/>
  <c r="BA12" i="8" s="1"/>
  <c r="DY524" i="1"/>
  <c r="DY544" i="1" s="1"/>
  <c r="DS509" i="1"/>
  <c r="DV510" i="1"/>
  <c r="DT518" i="1"/>
  <c r="DQ522" i="1"/>
  <c r="S19" i="16"/>
  <c r="W15" i="16"/>
  <c r="U19" i="16"/>
  <c r="AY19" i="16"/>
  <c r="AQ15" i="16"/>
  <c r="A69" i="14"/>
  <c r="BH9" i="15"/>
  <c r="BH7" i="15"/>
  <c r="BH29" i="8"/>
  <c r="BH8" i="8"/>
  <c r="BH26" i="8"/>
  <c r="BH34" i="8"/>
  <c r="BH30" i="8"/>
  <c r="C28" i="5"/>
  <c r="C29" i="5" s="1"/>
  <c r="D27" i="5"/>
  <c r="H27" i="5" s="1"/>
  <c r="C100" i="14"/>
  <c r="D99" i="14"/>
  <c r="H99" i="14" s="1"/>
  <c r="I73" i="5"/>
  <c r="A72" i="5"/>
  <c r="E49" i="14"/>
  <c r="F48" i="14"/>
  <c r="CQ11" i="4"/>
  <c r="B48" i="5"/>
  <c r="D18" i="5"/>
  <c r="H18" i="5" s="1"/>
  <c r="D67" i="5"/>
  <c r="H67" i="5" s="1"/>
  <c r="A74" i="17"/>
  <c r="I75" i="17"/>
  <c r="CG14" i="4"/>
  <c r="CG163" i="4" s="1"/>
  <c r="A20" i="5"/>
  <c r="A20" i="17"/>
  <c r="I21" i="17"/>
  <c r="HM174" i="1"/>
  <c r="CO13" i="4"/>
  <c r="A71" i="5"/>
  <c r="Q39" i="10"/>
  <c r="Y25" i="16"/>
  <c r="Z25" i="16" s="1"/>
  <c r="AY25" i="16"/>
  <c r="S25" i="16"/>
  <c r="CF156" i="4"/>
  <c r="CO7" i="4"/>
  <c r="DF166" i="4"/>
  <c r="DF14" i="4"/>
  <c r="DF167" i="4" s="1"/>
  <c r="N33" i="15"/>
  <c r="HQ169" i="1"/>
  <c r="HT12" i="1"/>
  <c r="HV12" i="1" s="1"/>
  <c r="HX12" i="1" s="1"/>
  <c r="DJ10" i="4"/>
  <c r="DL10" i="4" s="1"/>
  <c r="DN10" i="4" s="1"/>
  <c r="DJ13" i="4"/>
  <c r="DL13" i="4" s="1"/>
  <c r="DN13" i="4" s="1"/>
  <c r="EE9" i="4"/>
  <c r="EG9" i="4" s="1"/>
  <c r="EI9" i="4" s="1"/>
  <c r="EL7" i="4" s="1" a="1"/>
  <c r="L36" i="8"/>
  <c r="N35" i="8"/>
  <c r="D69" i="17"/>
  <c r="H69" i="17" s="1"/>
  <c r="C70" i="17"/>
  <c r="GF16" i="1"/>
  <c r="GF183" i="1" s="1"/>
  <c r="CO9" i="4"/>
  <c r="DJ8" i="4"/>
  <c r="DL8" i="4" s="1"/>
  <c r="DN8" i="4" s="1"/>
  <c r="N39" i="10"/>
  <c r="CI64" i="16" s="1"/>
  <c r="Q7" i="22"/>
  <c r="N39" i="15"/>
  <c r="DJ9" i="4"/>
  <c r="DL9" i="4" s="1"/>
  <c r="DN9" i="4" s="1"/>
  <c r="EE13" i="4"/>
  <c r="EG13" i="4" s="1"/>
  <c r="EI13" i="4" s="1"/>
  <c r="D20" i="17"/>
  <c r="H20" i="17" s="1"/>
  <c r="CD279" i="1"/>
  <c r="CI283" i="1" s="1"/>
  <c r="CJ326" i="1" s="1"/>
  <c r="HL169" i="1"/>
  <c r="IE11" i="1"/>
  <c r="IG11" i="1" s="1"/>
  <c r="II11" i="1" s="1"/>
  <c r="HQ170" i="1"/>
  <c r="HO16" i="1"/>
  <c r="HO175" i="1" s="1"/>
  <c r="CQ12" i="4"/>
  <c r="DE14" i="4"/>
  <c r="DE167" i="4" s="1"/>
  <c r="DJ7" i="4"/>
  <c r="DL7" i="4" s="1"/>
  <c r="DN7" i="4" s="1"/>
  <c r="CL162" i="4"/>
  <c r="CL14" i="4"/>
  <c r="CL163" i="4" s="1"/>
  <c r="I22" i="5"/>
  <c r="D69" i="5"/>
  <c r="H69" i="5" s="1"/>
  <c r="C70" i="5"/>
  <c r="A73" i="17"/>
  <c r="N31" i="15"/>
  <c r="E19" i="17"/>
  <c r="F18" i="17"/>
  <c r="CF157" i="4"/>
  <c r="CO8" i="4"/>
  <c r="CF14" i="4"/>
  <c r="CF163" i="4" s="1"/>
  <c r="N19" i="15"/>
  <c r="N41" i="15"/>
  <c r="L30" i="15"/>
  <c r="N35" i="15"/>
  <c r="N25" i="15"/>
  <c r="N21" i="15"/>
  <c r="N17" i="15"/>
  <c r="N15" i="15"/>
  <c r="N23" i="15"/>
  <c r="C22" i="17"/>
  <c r="D21" i="17"/>
  <c r="H21" i="17" s="1"/>
  <c r="CJ157" i="4"/>
  <c r="CJ14" i="4"/>
  <c r="CJ163" i="4" s="1"/>
  <c r="DC14" i="4"/>
  <c r="DC167" i="4" s="1"/>
  <c r="DA164" i="4"/>
  <c r="DJ11" i="4"/>
  <c r="DL11" i="4" s="1"/>
  <c r="DN11" i="4" s="1"/>
  <c r="I19" i="14"/>
  <c r="A19" i="14" s="1"/>
  <c r="A18" i="14"/>
  <c r="A19" i="17"/>
  <c r="EB14" i="4"/>
  <c r="DA165" i="4"/>
  <c r="DJ12" i="4"/>
  <c r="DL12" i="4" s="1"/>
  <c r="DN12" i="4" s="1"/>
  <c r="CH43" i="4"/>
  <c r="AL38" i="15"/>
  <c r="AI38" i="15" s="1"/>
  <c r="F38" i="15"/>
  <c r="N37" i="15"/>
  <c r="Y15" i="16"/>
  <c r="Z15" i="16" s="1"/>
  <c r="U15" i="16"/>
  <c r="AY15" i="16"/>
  <c r="CG43" i="4"/>
  <c r="CJ72" i="4"/>
  <c r="CI101" i="4"/>
  <c r="CH130" i="4"/>
  <c r="M31" i="7"/>
  <c r="N37" i="7"/>
  <c r="N19" i="7"/>
  <c r="N33" i="8"/>
  <c r="L32" i="8"/>
  <c r="M10" i="10"/>
  <c r="P7" i="22" s="1"/>
  <c r="Q12" i="10"/>
  <c r="Q41" i="10" s="1"/>
  <c r="U14" i="10"/>
  <c r="O17" i="10"/>
  <c r="T9" i="10"/>
  <c r="T38" i="10" s="1"/>
  <c r="N12" i="10"/>
  <c r="R14" i="10"/>
  <c r="P18" i="11"/>
  <c r="N31" i="10" s="1"/>
  <c r="P16" i="11"/>
  <c r="N29" i="10" s="1"/>
  <c r="P14" i="11"/>
  <c r="N27" i="10" s="1"/>
  <c r="P12" i="11"/>
  <c r="N25" i="10" s="1"/>
  <c r="P10" i="11"/>
  <c r="N23" i="10" s="1"/>
  <c r="W17" i="11"/>
  <c r="U30" i="10" s="1"/>
  <c r="S15" i="11"/>
  <c r="Q28" i="10" s="1"/>
  <c r="O13" i="11"/>
  <c r="M26" i="10" s="1"/>
  <c r="M42" i="10" s="1"/>
  <c r="CH67" i="16" s="1"/>
  <c r="U10" i="11"/>
  <c r="S23" i="10" s="1"/>
  <c r="V18" i="10"/>
  <c r="D17" i="14"/>
  <c r="H17" i="14" s="1"/>
  <c r="L38" i="15"/>
  <c r="L22" i="16"/>
  <c r="BY280" i="1"/>
  <c r="CN278" i="1" s="1"/>
  <c r="CO316" i="1" s="1"/>
  <c r="K76" i="20"/>
  <c r="DO657" i="1"/>
  <c r="J52" i="20"/>
  <c r="AL157" i="20"/>
  <c r="AH157" i="20" s="1"/>
  <c r="AL158" i="20"/>
  <c r="AH158" i="20" s="1"/>
  <c r="AL159" i="20"/>
  <c r="AH159" i="20" s="1"/>
  <c r="B29" i="25"/>
  <c r="AC28" i="25"/>
  <c r="AE28" i="25"/>
  <c r="CL101" i="4"/>
  <c r="CK130" i="4"/>
  <c r="M37" i="7"/>
  <c r="M40" i="8"/>
  <c r="M41" i="8"/>
  <c r="S10" i="10"/>
  <c r="M13" i="10"/>
  <c r="P10" i="22" s="1"/>
  <c r="Q15" i="10"/>
  <c r="U17" i="10"/>
  <c r="P10" i="10"/>
  <c r="P39" i="10" s="1"/>
  <c r="T12" i="10"/>
  <c r="N15" i="10"/>
  <c r="Q12" i="22" s="1"/>
  <c r="G15" i="22" s="1"/>
  <c r="T17" i="11"/>
  <c r="R30" i="10" s="1"/>
  <c r="X30" i="10" s="1"/>
  <c r="T15" i="11"/>
  <c r="R28" i="10" s="1"/>
  <c r="X28" i="10" s="1"/>
  <c r="T13" i="11"/>
  <c r="R26" i="10" s="1"/>
  <c r="X26" i="10" s="1"/>
  <c r="T11" i="11"/>
  <c r="R24" i="10" s="1"/>
  <c r="T9" i="11"/>
  <c r="R22" i="10" s="1"/>
  <c r="X22" i="10" s="1"/>
  <c r="Q17" i="11"/>
  <c r="O30" i="10" s="1"/>
  <c r="W14" i="11"/>
  <c r="U27" i="10" s="1"/>
  <c r="S12" i="11"/>
  <c r="Q25" i="10" s="1"/>
  <c r="O10" i="11"/>
  <c r="M23" i="10" s="1"/>
  <c r="M39" i="10" s="1"/>
  <c r="CH64" i="16" s="1"/>
  <c r="T17" i="10"/>
  <c r="E28" i="13"/>
  <c r="E16" i="13"/>
  <c r="M15" i="15"/>
  <c r="M41" i="15"/>
  <c r="L18" i="15"/>
  <c r="AL75" i="20"/>
  <c r="AH75" i="20" s="1"/>
  <c r="AL76" i="20"/>
  <c r="AH76" i="20" s="1"/>
  <c r="AL77" i="20"/>
  <c r="AH77" i="20" s="1"/>
  <c r="N29" i="8"/>
  <c r="V41" i="10"/>
  <c r="P44" i="10"/>
  <c r="Y17" i="11"/>
  <c r="W30" i="10" s="1"/>
  <c r="Y15" i="11"/>
  <c r="W28" i="10" s="1"/>
  <c r="Y13" i="11"/>
  <c r="W26" i="10" s="1"/>
  <c r="Y11" i="11"/>
  <c r="W24" i="10" s="1"/>
  <c r="L32" i="15"/>
  <c r="S17" i="16"/>
  <c r="D19" i="17"/>
  <c r="H19" i="17" s="1"/>
  <c r="BZ282" i="1"/>
  <c r="CZ279" i="1" s="1"/>
  <c r="BZ279" i="1"/>
  <c r="CI279" i="1" s="1"/>
  <c r="CJ318" i="1" s="1"/>
  <c r="CD282" i="1"/>
  <c r="CZ283" i="1" s="1"/>
  <c r="DA326" i="1" s="1"/>
  <c r="IU132" i="1"/>
  <c r="IQ132" i="1"/>
  <c r="M13" i="7"/>
  <c r="S13" i="7" s="1"/>
  <c r="AG13" i="7" s="1"/>
  <c r="AC13" i="7" s="1"/>
  <c r="AC14" i="7" s="1"/>
  <c r="AD14" i="7" s="1"/>
  <c r="N25" i="7"/>
  <c r="L24" i="8"/>
  <c r="O11" i="10"/>
  <c r="O40" i="10" s="1"/>
  <c r="S13" i="10"/>
  <c r="S42" i="10" s="1"/>
  <c r="M16" i="10"/>
  <c r="P13" i="22" s="1"/>
  <c r="Q18" i="10"/>
  <c r="Q47" i="10" s="1"/>
  <c r="V10" i="10"/>
  <c r="P13" i="10"/>
  <c r="P42" i="10" s="1"/>
  <c r="T15" i="10"/>
  <c r="T44" i="10" s="1"/>
  <c r="P17" i="11"/>
  <c r="N30" i="10" s="1"/>
  <c r="P15" i="11"/>
  <c r="N28" i="10" s="1"/>
  <c r="P13" i="11"/>
  <c r="N26" i="10" s="1"/>
  <c r="P11" i="11"/>
  <c r="N24" i="10" s="1"/>
  <c r="P9" i="11"/>
  <c r="N22" i="10" s="1"/>
  <c r="U16" i="11"/>
  <c r="S29" i="10" s="1"/>
  <c r="Q14" i="11"/>
  <c r="O27" i="10" s="1"/>
  <c r="W11" i="11"/>
  <c r="U24" i="10" s="1"/>
  <c r="S9" i="11"/>
  <c r="Q22" i="10" s="1"/>
  <c r="R16" i="10"/>
  <c r="V15" i="8"/>
  <c r="E13" i="13"/>
  <c r="AY17" i="16"/>
  <c r="AL116" i="20"/>
  <c r="AH116" i="20" s="1"/>
  <c r="AL118" i="20"/>
  <c r="AH118" i="20" s="1"/>
  <c r="AL117" i="20"/>
  <c r="AH117" i="20" s="1"/>
  <c r="GJ144" i="1"/>
  <c r="M17" i="7"/>
  <c r="S17" i="7" s="1"/>
  <c r="AG17" i="7" s="1"/>
  <c r="L34" i="8"/>
  <c r="Q11" i="10"/>
  <c r="U13" i="10"/>
  <c r="O16" i="10"/>
  <c r="S18" i="10"/>
  <c r="N11" i="10"/>
  <c r="Q8" i="22" s="1"/>
  <c r="R13" i="10"/>
  <c r="V15" i="10"/>
  <c r="V44" i="10" s="1"/>
  <c r="X16" i="11"/>
  <c r="V29" i="10" s="1"/>
  <c r="X14" i="11"/>
  <c r="V27" i="10" s="1"/>
  <c r="V43" i="10" s="1"/>
  <c r="X12" i="11"/>
  <c r="V25" i="10" s="1"/>
  <c r="X10" i="11"/>
  <c r="V23" i="10" s="1"/>
  <c r="W18" i="11"/>
  <c r="U31" i="10" s="1"/>
  <c r="S16" i="11"/>
  <c r="Q29" i="10" s="1"/>
  <c r="Q45" i="10" s="1"/>
  <c r="O14" i="11"/>
  <c r="M27" i="10" s="1"/>
  <c r="M43" i="10" s="1"/>
  <c r="CH68" i="16" s="1"/>
  <c r="U11" i="11"/>
  <c r="S24" i="10" s="1"/>
  <c r="S40" i="10" s="1"/>
  <c r="Q9" i="11"/>
  <c r="O22" i="10" s="1"/>
  <c r="O38" i="10" s="1"/>
  <c r="N16" i="10"/>
  <c r="Q13" i="22" s="1"/>
  <c r="G19" i="22" s="1"/>
  <c r="E24" i="13"/>
  <c r="E12" i="13"/>
  <c r="N27" i="16"/>
  <c r="M29" i="16"/>
  <c r="AG83" i="22"/>
  <c r="AG113" i="22" s="1"/>
  <c r="AG143" i="22" s="1"/>
  <c r="AU53" i="22"/>
  <c r="AU83" i="22" s="1"/>
  <c r="AU113" i="22" s="1"/>
  <c r="AU143" i="22" s="1"/>
  <c r="EA14" i="4"/>
  <c r="CF72" i="4"/>
  <c r="N21" i="7"/>
  <c r="N31" i="8"/>
  <c r="L28" i="8"/>
  <c r="U47" i="10"/>
  <c r="P40" i="10"/>
  <c r="T42" i="10"/>
  <c r="D16" i="15"/>
  <c r="AS16" i="15" s="1"/>
  <c r="BV16" i="15" s="1"/>
  <c r="BY282" i="1"/>
  <c r="CZ278" i="1" s="1"/>
  <c r="DA316" i="1" s="1"/>
  <c r="BY279" i="1"/>
  <c r="CI278" i="1" s="1"/>
  <c r="CJ316" i="1" s="1"/>
  <c r="CC282" i="1"/>
  <c r="CZ282" i="1" s="1"/>
  <c r="DA324" i="1" s="1"/>
  <c r="CC279" i="1"/>
  <c r="CI282" i="1" s="1"/>
  <c r="CJ324" i="1" s="1"/>
  <c r="CG72" i="4"/>
  <c r="CF101" i="4"/>
  <c r="IT45" i="1"/>
  <c r="S27" i="7"/>
  <c r="AG27" i="7" s="1"/>
  <c r="M21" i="7"/>
  <c r="S21" i="7" s="1"/>
  <c r="AG21" i="7" s="1"/>
  <c r="N17" i="7"/>
  <c r="L18" i="8"/>
  <c r="L38" i="8"/>
  <c r="V42" i="10"/>
  <c r="AS15" i="15"/>
  <c r="E34" i="13"/>
  <c r="E22" i="13"/>
  <c r="E10" i="13"/>
  <c r="Y23" i="16"/>
  <c r="Z23" i="16" s="1"/>
  <c r="N29" i="16"/>
  <c r="BZ280" i="1"/>
  <c r="CN279" i="1" s="1"/>
  <c r="CD280" i="1"/>
  <c r="CN283" i="1" s="1"/>
  <c r="CO326" i="1" s="1"/>
  <c r="S84" i="22"/>
  <c r="S114" i="22" s="1"/>
  <c r="S144" i="22" s="1"/>
  <c r="AG54" i="22"/>
  <c r="S9" i="10"/>
  <c r="S38" i="10" s="1"/>
  <c r="M12" i="10"/>
  <c r="P9" i="22" s="1"/>
  <c r="Q14" i="10"/>
  <c r="Q43" i="10" s="1"/>
  <c r="U16" i="10"/>
  <c r="U45" i="10" s="1"/>
  <c r="P9" i="10"/>
  <c r="P38" i="10" s="1"/>
  <c r="T11" i="10"/>
  <c r="T40" i="10" s="1"/>
  <c r="N14" i="10"/>
  <c r="Y18" i="11"/>
  <c r="Y16" i="11"/>
  <c r="W29" i="10" s="1"/>
  <c r="Y14" i="11"/>
  <c r="W27" i="10" s="1"/>
  <c r="Y12" i="11"/>
  <c r="W25" i="10" s="1"/>
  <c r="Y10" i="11"/>
  <c r="W23" i="10" s="1"/>
  <c r="Q18" i="11"/>
  <c r="O31" i="10" s="1"/>
  <c r="W15" i="11"/>
  <c r="U28" i="10" s="1"/>
  <c r="S13" i="11"/>
  <c r="Q26" i="10" s="1"/>
  <c r="O11" i="11"/>
  <c r="M24" i="10" s="1"/>
  <c r="M40" i="10" s="1"/>
  <c r="CH65" i="16" s="1"/>
  <c r="L28" i="15"/>
  <c r="E33" i="13"/>
  <c r="E21" i="13"/>
  <c r="E9" i="13"/>
  <c r="CD75" i="16"/>
  <c r="A69" i="17"/>
  <c r="D56" i="22"/>
  <c r="S55" i="22"/>
  <c r="J66" i="20"/>
  <c r="CI72" i="4"/>
  <c r="CH101" i="4"/>
  <c r="CG130" i="4"/>
  <c r="M29" i="7"/>
  <c r="M19" i="7"/>
  <c r="S19" i="7" s="1"/>
  <c r="AG19" i="7" s="1"/>
  <c r="N13" i="7"/>
  <c r="BH20" i="8"/>
  <c r="V40" i="10"/>
  <c r="GM170" i="1"/>
  <c r="GM174" i="1"/>
  <c r="IY73" i="1"/>
  <c r="JA73" i="1" s="1"/>
  <c r="JC73" i="1" s="1"/>
  <c r="IP103" i="1"/>
  <c r="GM167" i="1"/>
  <c r="IY38" i="1"/>
  <c r="JA38" i="1" s="1"/>
  <c r="JC38" i="1" s="1"/>
  <c r="IR45" i="1"/>
  <c r="IQ103" i="1"/>
  <c r="IY71" i="1"/>
  <c r="JA71" i="1" s="1"/>
  <c r="JC71" i="1" s="1"/>
  <c r="JJ9" i="1"/>
  <c r="JL9" i="1" s="1"/>
  <c r="JN9" i="1" s="1"/>
  <c r="HO168" i="1"/>
  <c r="HK170" i="1"/>
  <c r="GI16" i="1"/>
  <c r="GI183" i="1" s="1"/>
  <c r="GM173" i="1"/>
  <c r="HO170" i="1"/>
  <c r="HK174" i="1"/>
  <c r="GG144" i="1"/>
  <c r="IS45" i="1"/>
  <c r="HO169" i="1"/>
  <c r="HP174" i="1"/>
  <c r="HO174" i="1"/>
  <c r="GI182" i="1"/>
  <c r="JJ10" i="1"/>
  <c r="JL10" i="1" s="1"/>
  <c r="JN10" i="1" s="1"/>
  <c r="HM170" i="1"/>
  <c r="HO173" i="1"/>
  <c r="HP173" i="1"/>
  <c r="HQ174" i="1"/>
  <c r="IP74" i="1"/>
  <c r="JJ71" i="1"/>
  <c r="JL71" i="1" s="1"/>
  <c r="JN71" i="1" s="1"/>
  <c r="IR74" i="1"/>
  <c r="JJ99" i="1"/>
  <c r="JL99" i="1" s="1"/>
  <c r="JN99" i="1" s="1"/>
  <c r="JJ100" i="1"/>
  <c r="JL100" i="1" s="1"/>
  <c r="JN100" i="1" s="1"/>
  <c r="IR103" i="1"/>
  <c r="IY127" i="1"/>
  <c r="JA127" i="1" s="1"/>
  <c r="JC127" i="1" s="1"/>
  <c r="IR132" i="1"/>
  <c r="IY67" i="1"/>
  <c r="JA67" i="1" s="1"/>
  <c r="JC67" i="1" s="1"/>
  <c r="IV45" i="1"/>
  <c r="IT74" i="1"/>
  <c r="CC280" i="1"/>
  <c r="CN282" i="1" s="1"/>
  <c r="CO324" i="1" s="1"/>
  <c r="GM168" i="1"/>
  <c r="IE8" i="1"/>
  <c r="IG8" i="1" s="1"/>
  <c r="II8" i="1" s="1"/>
  <c r="IU74" i="1"/>
  <c r="IU103" i="1"/>
  <c r="CH288" i="1" a="1"/>
  <c r="CI290" i="1" s="1"/>
  <c r="JJ70" i="1"/>
  <c r="JL70" i="1" s="1"/>
  <c r="JN70" i="1" s="1"/>
  <c r="GI181" i="1"/>
  <c r="GM169" i="1"/>
  <c r="HP169" i="1"/>
  <c r="HT13" i="1"/>
  <c r="HV13" i="1" s="1"/>
  <c r="HX13" i="1" s="1"/>
  <c r="HM168" i="1"/>
  <c r="GF112" i="1"/>
  <c r="JJ41" i="1"/>
  <c r="JL41" i="1" s="1"/>
  <c r="JN41" i="1" s="1"/>
  <c r="IY42" i="1"/>
  <c r="JA42" i="1" s="1"/>
  <c r="JC42" i="1" s="1"/>
  <c r="HQ173" i="1"/>
  <c r="GE79" i="1"/>
  <c r="IE12" i="1"/>
  <c r="IG12" i="1" s="1"/>
  <c r="II12" i="1" s="1"/>
  <c r="HL173" i="1"/>
  <c r="IE10" i="1"/>
  <c r="IG10" i="1" s="1"/>
  <c r="II10" i="1" s="1"/>
  <c r="GH79" i="1"/>
  <c r="EB533" i="1"/>
  <c r="EI518" i="1" s="1"/>
  <c r="I141" i="20" s="1"/>
  <c r="AK16" i="16"/>
  <c r="BH17" i="15"/>
  <c r="AL22" i="15"/>
  <c r="AI22" i="15" s="1"/>
  <c r="BH13" i="15"/>
  <c r="BH35" i="8"/>
  <c r="BH19" i="8"/>
  <c r="BH33" i="8"/>
  <c r="BH16" i="8"/>
  <c r="BH31" i="8"/>
  <c r="BH23" i="8"/>
  <c r="AL31" i="15"/>
  <c r="AI31" i="15" s="1"/>
  <c r="BH6" i="8"/>
  <c r="BH14" i="8"/>
  <c r="BH9" i="8"/>
  <c r="AL18" i="8"/>
  <c r="AI18" i="8" s="1"/>
  <c r="AL25" i="15"/>
  <c r="AI25" i="15" s="1"/>
  <c r="AL16" i="15"/>
  <c r="AI16" i="15" s="1"/>
  <c r="AL18" i="15"/>
  <c r="AI18" i="15" s="1"/>
  <c r="AL23" i="8"/>
  <c r="AI23" i="8" s="1"/>
  <c r="AL32" i="15"/>
  <c r="AI32" i="15" s="1"/>
  <c r="AL38" i="8"/>
  <c r="AI38" i="8" s="1"/>
  <c r="BJ4" i="16"/>
  <c r="BJ5" i="16" s="1"/>
  <c r="BJ6" i="16" s="1"/>
  <c r="BJ7" i="16" s="1"/>
  <c r="BJ8" i="16" s="1"/>
  <c r="BJ9" i="16" s="1"/>
  <c r="BJ10" i="16" s="1"/>
  <c r="BJ11" i="16" s="1"/>
  <c r="BJ12" i="16" s="1"/>
  <c r="BJ13" i="16" s="1"/>
  <c r="F17" i="15"/>
  <c r="AL39" i="8"/>
  <c r="AI39" i="8" s="1"/>
  <c r="BH3" i="15"/>
  <c r="BI3" i="15" s="1"/>
  <c r="BK3" i="15" s="1"/>
  <c r="AL37" i="15"/>
  <c r="AI37" i="15" s="1"/>
  <c r="AL29" i="8"/>
  <c r="AI29" i="8" s="1"/>
  <c r="AL36" i="15"/>
  <c r="AI36" i="15" s="1"/>
  <c r="AL33" i="15"/>
  <c r="AI33" i="15" s="1"/>
  <c r="AL24" i="15"/>
  <c r="AI24" i="15" s="1"/>
  <c r="AL17" i="15"/>
  <c r="AI17" i="15" s="1"/>
  <c r="BH17" i="8"/>
  <c r="AL34" i="15"/>
  <c r="AI34" i="15" s="1"/>
  <c r="BJ4" i="15"/>
  <c r="BJ5" i="15" s="1"/>
  <c r="BJ6" i="15" s="1"/>
  <c r="BJ7" i="15" s="1"/>
  <c r="BJ8" i="15" s="1"/>
  <c r="BJ9" i="15" s="1"/>
  <c r="BJ10" i="15" s="1"/>
  <c r="BJ11" i="15" s="1"/>
  <c r="BJ12" i="15" s="1"/>
  <c r="BJ13" i="15" s="1"/>
  <c r="AL39" i="15"/>
  <c r="AI39" i="15" s="1"/>
  <c r="AL23" i="15"/>
  <c r="AI23" i="15" s="1"/>
  <c r="AL19" i="15"/>
  <c r="AI19" i="15" s="1"/>
  <c r="BH4" i="8"/>
  <c r="AL35" i="15"/>
  <c r="AI35" i="15" s="1"/>
  <c r="BH10" i="8"/>
  <c r="AL28" i="15"/>
  <c r="AI28" i="15" s="1"/>
  <c r="AL33" i="8"/>
  <c r="AI33" i="8" s="1"/>
  <c r="AL25" i="8"/>
  <c r="AI25" i="8" s="1"/>
  <c r="BH32" i="8"/>
  <c r="BH18" i="8"/>
  <c r="AL26" i="8"/>
  <c r="AI26" i="8" s="1"/>
  <c r="AL32" i="8"/>
  <c r="AI32" i="8" s="1"/>
  <c r="BH7" i="8"/>
  <c r="BH36" i="8"/>
  <c r="AL19" i="8"/>
  <c r="AI19" i="8" s="1"/>
  <c r="AL35" i="8"/>
  <c r="AI35" i="8" s="1"/>
  <c r="BH13" i="8"/>
  <c r="BH5" i="8"/>
  <c r="AL30" i="8"/>
  <c r="AI30" i="8" s="1"/>
  <c r="BH25" i="8"/>
  <c r="AL24" i="8"/>
  <c r="AI24" i="8" s="1"/>
  <c r="BH24" i="8"/>
  <c r="AL22" i="8"/>
  <c r="AI22" i="8" s="1"/>
  <c r="AL31" i="8"/>
  <c r="AI31" i="8" s="1"/>
  <c r="BJ3" i="8"/>
  <c r="BJ4" i="8" s="1"/>
  <c r="BJ5" i="8" s="1"/>
  <c r="BJ6" i="8" s="1"/>
  <c r="BJ7" i="8" s="1"/>
  <c r="BJ8" i="8" s="1"/>
  <c r="BJ9" i="8" s="1"/>
  <c r="BJ10" i="8" s="1"/>
  <c r="BJ11" i="8" s="1"/>
  <c r="BJ12" i="8" s="1"/>
  <c r="BJ13" i="8" s="1"/>
  <c r="E53" i="8"/>
  <c r="AL16" i="8"/>
  <c r="AI16" i="8" s="1"/>
  <c r="AL34" i="8"/>
  <c r="AI34" i="8" s="1"/>
  <c r="AL36" i="8"/>
  <c r="AI36" i="8" s="1"/>
  <c r="E54" i="8"/>
  <c r="BH11" i="8"/>
  <c r="AL37" i="8"/>
  <c r="AI37" i="8" s="1"/>
  <c r="AL17" i="8"/>
  <c r="AI17" i="8" s="1"/>
  <c r="AL20" i="8"/>
  <c r="AI20" i="8" s="1"/>
  <c r="BH12" i="8"/>
  <c r="BH15" i="8"/>
  <c r="BI15" i="8" s="1"/>
  <c r="BK15" i="8" s="1"/>
  <c r="BQ15" i="8" s="1"/>
  <c r="AL27" i="8"/>
  <c r="AI27" i="8" s="1"/>
  <c r="AL21" i="8"/>
  <c r="AI21" i="8" s="1"/>
  <c r="AL28" i="8"/>
  <c r="AI28" i="8" s="1"/>
  <c r="BH3" i="8"/>
  <c r="BI3" i="8" s="1"/>
  <c r="BY168" i="1"/>
  <c r="BY166" i="1"/>
  <c r="KA4" i="1"/>
  <c r="P197" i="5" s="1"/>
  <c r="GK15" i="1"/>
  <c r="KA17" i="1"/>
  <c r="P198" i="14" s="1"/>
  <c r="HQ15" i="1"/>
  <c r="JV30" i="1"/>
  <c r="K197" i="17" s="1"/>
  <c r="IQ15" i="1"/>
  <c r="GG112" i="1"/>
  <c r="IY41" i="1"/>
  <c r="JA41" i="1" s="1"/>
  <c r="JC41" i="1" s="1"/>
  <c r="JX4" i="1"/>
  <c r="M16" i="5" s="1"/>
  <c r="GH15" i="1"/>
  <c r="IY13" i="1"/>
  <c r="JA13" i="1" s="1"/>
  <c r="JC13" i="1" s="1"/>
  <c r="HK168" i="1"/>
  <c r="HN169" i="1"/>
  <c r="JX17" i="1"/>
  <c r="HN15" i="1"/>
  <c r="CE169" i="1"/>
  <c r="CZ170" i="1" s="1"/>
  <c r="DA212" i="1" s="1"/>
  <c r="GI79" i="1"/>
  <c r="GI78" i="1"/>
  <c r="JZ4" i="1"/>
  <c r="O197" i="5" s="1"/>
  <c r="GJ15" i="1"/>
  <c r="JW30" i="1"/>
  <c r="L197" i="17" s="1"/>
  <c r="IR15" i="1"/>
  <c r="IT132" i="1"/>
  <c r="JJ12" i="1"/>
  <c r="JL12" i="1" s="1"/>
  <c r="JN12" i="1" s="1"/>
  <c r="GI47" i="1"/>
  <c r="JJ40" i="1"/>
  <c r="JL40" i="1" s="1"/>
  <c r="JN40" i="1" s="1"/>
  <c r="JJ43" i="1"/>
  <c r="JL43" i="1" s="1"/>
  <c r="JN43" i="1" s="1"/>
  <c r="S37" i="15"/>
  <c r="JW4" i="1"/>
  <c r="L197" i="5" s="1"/>
  <c r="GG15" i="1"/>
  <c r="IP16" i="1"/>
  <c r="JW17" i="1"/>
  <c r="L198" i="14" s="1"/>
  <c r="HM15" i="1"/>
  <c r="IQ16" i="1"/>
  <c r="GI112" i="1"/>
  <c r="GF47" i="1"/>
  <c r="GF46" i="1"/>
  <c r="GK47" i="1"/>
  <c r="GJ79" i="1"/>
  <c r="GH144" i="1"/>
  <c r="JJ68" i="1"/>
  <c r="JL68" i="1" s="1"/>
  <c r="JN68" i="1" s="1"/>
  <c r="IY70" i="1"/>
  <c r="JA70" i="1" s="1"/>
  <c r="JC70" i="1" s="1"/>
  <c r="JU17" i="1"/>
  <c r="J198" i="14" s="1"/>
  <c r="HK15" i="1"/>
  <c r="JY30" i="1"/>
  <c r="N16" i="17" s="1"/>
  <c r="IT15" i="1"/>
  <c r="GJ47" i="1"/>
  <c r="GJ46" i="1"/>
  <c r="IY11" i="1"/>
  <c r="JA11" i="1" s="1"/>
  <c r="JC11" i="1" s="1"/>
  <c r="JY4" i="1"/>
  <c r="N197" i="5" s="1"/>
  <c r="GI15" i="1"/>
  <c r="HM169" i="1"/>
  <c r="JY17" i="1"/>
  <c r="N198" i="14" s="1"/>
  <c r="HO15" i="1"/>
  <c r="GJ112" i="1"/>
  <c r="GJ111" i="1"/>
  <c r="JV4" i="1"/>
  <c r="K16" i="5" s="1"/>
  <c r="GF15" i="1"/>
  <c r="JV17" i="1"/>
  <c r="K198" i="14" s="1"/>
  <c r="HL15" i="1"/>
  <c r="IR16" i="1"/>
  <c r="KA30" i="1"/>
  <c r="P197" i="17" s="1"/>
  <c r="IV15" i="1"/>
  <c r="IY130" i="1"/>
  <c r="JA130" i="1" s="1"/>
  <c r="JC130" i="1" s="1"/>
  <c r="IP132" i="1"/>
  <c r="BW39" i="15"/>
  <c r="W32" i="21" s="1"/>
  <c r="JX30" i="1"/>
  <c r="M16" i="17" s="1"/>
  <c r="IS15" i="1"/>
  <c r="GH112" i="1"/>
  <c r="GH111" i="1"/>
  <c r="JJ11" i="1"/>
  <c r="JL11" i="1" s="1"/>
  <c r="JN11" i="1" s="1"/>
  <c r="GE177" i="1"/>
  <c r="GE15" i="1"/>
  <c r="GK79" i="1"/>
  <c r="GK78" i="1"/>
  <c r="GF144" i="1"/>
  <c r="IY39" i="1"/>
  <c r="JA39" i="1" s="1"/>
  <c r="JC39" i="1" s="1"/>
  <c r="JJ42" i="1"/>
  <c r="JL42" i="1" s="1"/>
  <c r="JN42" i="1" s="1"/>
  <c r="JJ8" i="1"/>
  <c r="JL8" i="1" s="1"/>
  <c r="JN8" i="1" s="1"/>
  <c r="HO167" i="1"/>
  <c r="HQ168" i="1"/>
  <c r="IY9" i="1"/>
  <c r="JA9" i="1" s="1"/>
  <c r="JC9" i="1" s="1"/>
  <c r="IT16" i="1"/>
  <c r="JZ30" i="1"/>
  <c r="O197" i="17" s="1"/>
  <c r="IU15" i="1"/>
  <c r="GH47" i="1"/>
  <c r="GH46" i="1"/>
  <c r="GE47" i="1"/>
  <c r="GG79" i="1"/>
  <c r="GG78" i="1"/>
  <c r="GK112" i="1"/>
  <c r="IY72" i="1"/>
  <c r="JA72" i="1" s="1"/>
  <c r="JC72" i="1" s="1"/>
  <c r="JJ73" i="1"/>
  <c r="JL73" i="1" s="1"/>
  <c r="JN73" i="1" s="1"/>
  <c r="JJ98" i="1"/>
  <c r="JL98" i="1" s="1"/>
  <c r="JN98" i="1" s="1"/>
  <c r="IY99" i="1"/>
  <c r="JA99" i="1" s="1"/>
  <c r="JC99" i="1" s="1"/>
  <c r="IY125" i="1"/>
  <c r="JA125" i="1" s="1"/>
  <c r="JC125" i="1" s="1"/>
  <c r="IY129" i="1"/>
  <c r="JA129" i="1" s="1"/>
  <c r="JC129" i="1" s="1"/>
  <c r="F40" i="8"/>
  <c r="AL41" i="8"/>
  <c r="AI41" i="8" s="1"/>
  <c r="AL41" i="15"/>
  <c r="AI41" i="15" s="1"/>
  <c r="F40" i="15"/>
  <c r="BJ16" i="8"/>
  <c r="BJ17" i="8" s="1"/>
  <c r="BJ18" i="8" s="1"/>
  <c r="HT7" i="1"/>
  <c r="HV7" i="1" s="1"/>
  <c r="HX7" i="1" s="1"/>
  <c r="BW37" i="8"/>
  <c r="E34" i="21" s="1"/>
  <c r="BZ37" i="8"/>
  <c r="BW35" i="8"/>
  <c r="E32" i="21" s="1"/>
  <c r="BZ35" i="8"/>
  <c r="BH40" i="8"/>
  <c r="BH22" i="8"/>
  <c r="BH8" i="15"/>
  <c r="F24" i="15"/>
  <c r="BH6" i="15"/>
  <c r="F28" i="15"/>
  <c r="F53" i="15"/>
  <c r="F48" i="7"/>
  <c r="F34" i="13"/>
  <c r="F14" i="13"/>
  <c r="BH39" i="8"/>
  <c r="BH37" i="8"/>
  <c r="CQ33" i="15"/>
  <c r="BW33" i="15"/>
  <c r="W26" i="21" s="1"/>
  <c r="CI293" i="1"/>
  <c r="JU19" i="1"/>
  <c r="J200" i="14" s="1"/>
  <c r="Q200" i="14" s="1"/>
  <c r="S193" i="14" s="1"/>
  <c r="HT10" i="1"/>
  <c r="HV10" i="1" s="1"/>
  <c r="HX10" i="1" s="1"/>
  <c r="JX22" i="1"/>
  <c r="M203" i="14" s="1"/>
  <c r="HN16" i="1"/>
  <c r="HN175" i="1" s="1"/>
  <c r="JV22" i="1"/>
  <c r="K203" i="14" s="1"/>
  <c r="HL16" i="1"/>
  <c r="HL175" i="1" s="1"/>
  <c r="JV20" i="1"/>
  <c r="K201" i="14" s="1"/>
  <c r="HT11" i="1"/>
  <c r="HV11" i="1" s="1"/>
  <c r="HX11" i="1" s="1"/>
  <c r="JZ17" i="1"/>
  <c r="O16" i="14" s="1"/>
  <c r="HP16" i="1"/>
  <c r="HP175" i="1" s="1"/>
  <c r="JU30" i="1"/>
  <c r="J16" i="17" s="1"/>
  <c r="IY8" i="1"/>
  <c r="JA8" i="1" s="1"/>
  <c r="JC8" i="1" s="1"/>
  <c r="KA35" i="1"/>
  <c r="P202" i="17" s="1"/>
  <c r="IV16" i="1"/>
  <c r="GE143" i="1"/>
  <c r="GE144" i="1"/>
  <c r="GI143" i="1"/>
  <c r="GI144" i="1"/>
  <c r="IQ45" i="1"/>
  <c r="IY44" i="1"/>
  <c r="JA44" i="1" s="1"/>
  <c r="JC44" i="1" s="1"/>
  <c r="IU45" i="1"/>
  <c r="IY69" i="1"/>
  <c r="JA69" i="1" s="1"/>
  <c r="JC69" i="1" s="1"/>
  <c r="JJ69" i="1"/>
  <c r="JL69" i="1" s="1"/>
  <c r="JN69" i="1" s="1"/>
  <c r="IS74" i="1"/>
  <c r="IY97" i="1"/>
  <c r="JA97" i="1" s="1"/>
  <c r="JC97" i="1" s="1"/>
  <c r="JJ97" i="1"/>
  <c r="JL97" i="1" s="1"/>
  <c r="JN97" i="1" s="1"/>
  <c r="IY101" i="1"/>
  <c r="JA101" i="1" s="1"/>
  <c r="JC101" i="1" s="1"/>
  <c r="JJ101" i="1"/>
  <c r="JL101" i="1" s="1"/>
  <c r="JN101" i="1" s="1"/>
  <c r="JJ102" i="1"/>
  <c r="JL102" i="1" s="1"/>
  <c r="JN102" i="1" s="1"/>
  <c r="IY102" i="1"/>
  <c r="JA102" i="1" s="1"/>
  <c r="JC102" i="1" s="1"/>
  <c r="IS103" i="1"/>
  <c r="DA438" i="1"/>
  <c r="DB460" i="1" s="1"/>
  <c r="GG16" i="1"/>
  <c r="GG183" i="1" s="1"/>
  <c r="GK16" i="1"/>
  <c r="GK183" i="1" s="1"/>
  <c r="GE16" i="1"/>
  <c r="GE183" i="1" s="1"/>
  <c r="GF177" i="1"/>
  <c r="JJ13" i="1"/>
  <c r="JL13" i="1" s="1"/>
  <c r="JN13" i="1" s="1"/>
  <c r="HK16" i="1"/>
  <c r="HK175" i="1" s="1"/>
  <c r="IE13" i="1"/>
  <c r="IG13" i="1" s="1"/>
  <c r="II13" i="1" s="1"/>
  <c r="IE9" i="1"/>
  <c r="IG9" i="1" s="1"/>
  <c r="II9" i="1" s="1"/>
  <c r="HQ16" i="1"/>
  <c r="HQ175" i="1" s="1"/>
  <c r="HL166" i="1"/>
  <c r="HK167" i="1"/>
  <c r="HL168" i="1"/>
  <c r="HN168" i="1"/>
  <c r="HP168" i="1"/>
  <c r="HK169" i="1"/>
  <c r="HL170" i="1"/>
  <c r="HN170" i="1"/>
  <c r="HK173" i="1"/>
  <c r="HM173" i="1"/>
  <c r="HL174" i="1"/>
  <c r="HN174" i="1"/>
  <c r="HT8" i="1"/>
  <c r="HV8" i="1" s="1"/>
  <c r="HX8" i="1" s="1"/>
  <c r="HT9" i="1"/>
  <c r="HV9" i="1" s="1"/>
  <c r="HX9" i="1" s="1"/>
  <c r="IY10" i="1"/>
  <c r="JA10" i="1" s="1"/>
  <c r="JC10" i="1" s="1"/>
  <c r="IY12" i="1"/>
  <c r="JA12" i="1" s="1"/>
  <c r="JC12" i="1" s="1"/>
  <c r="JZ35" i="1"/>
  <c r="O202" i="17" s="1"/>
  <c r="IU16" i="1"/>
  <c r="GK144" i="1"/>
  <c r="JJ72" i="1"/>
  <c r="JL72" i="1" s="1"/>
  <c r="JN72" i="1" s="1"/>
  <c r="IQ74" i="1"/>
  <c r="IY68" i="1"/>
  <c r="JA68" i="1" s="1"/>
  <c r="JC68" i="1" s="1"/>
  <c r="IY43" i="1"/>
  <c r="JA43" i="1" s="1"/>
  <c r="JC43" i="1" s="1"/>
  <c r="JJ44" i="1"/>
  <c r="JL44" i="1" s="1"/>
  <c r="JN44" i="1" s="1"/>
  <c r="IY40" i="1"/>
  <c r="JA40" i="1" s="1"/>
  <c r="JC40" i="1" s="1"/>
  <c r="JJ39" i="1"/>
  <c r="JL39" i="1" s="1"/>
  <c r="JN39" i="1" s="1"/>
  <c r="CQ31" i="15"/>
  <c r="BW31" i="15"/>
  <c r="W24" i="21" s="1"/>
  <c r="IY7" i="1"/>
  <c r="JA7" i="1" s="1"/>
  <c r="JC7" i="1" s="1"/>
  <c r="IY126" i="1"/>
  <c r="JA126" i="1" s="1"/>
  <c r="JC126" i="1" s="1"/>
  <c r="IY128" i="1"/>
  <c r="JA128" i="1" s="1"/>
  <c r="JC128" i="1" s="1"/>
  <c r="EX20" i="1"/>
  <c r="BY167" i="1"/>
  <c r="BY169" i="1"/>
  <c r="DA318" i="1"/>
  <c r="CU318" i="1"/>
  <c r="CU339" i="1" s="1"/>
  <c r="CO318" i="1"/>
  <c r="IY98" i="1"/>
  <c r="JA98" i="1" s="1"/>
  <c r="JC98" i="1" s="1"/>
  <c r="IY100" i="1"/>
  <c r="JA100" i="1" s="1"/>
  <c r="JC100" i="1" s="1"/>
  <c r="BB27" i="8"/>
  <c r="BN27" i="8" s="1"/>
  <c r="CB36" i="1"/>
  <c r="CC36" i="1"/>
  <c r="AL132" i="20"/>
  <c r="AL134" i="20"/>
  <c r="AL136" i="20"/>
  <c r="AL138" i="20"/>
  <c r="AL140" i="20"/>
  <c r="AL142" i="20"/>
  <c r="AL144" i="20"/>
  <c r="AL146" i="20"/>
  <c r="AL148" i="20"/>
  <c r="AL150" i="20"/>
  <c r="AL152" i="20"/>
  <c r="AL154" i="20"/>
  <c r="AL156" i="20"/>
  <c r="AL133" i="20"/>
  <c r="AL135" i="20"/>
  <c r="AL137" i="20"/>
  <c r="AL139" i="20"/>
  <c r="AL141" i="20"/>
  <c r="AL143" i="20"/>
  <c r="AL145" i="20"/>
  <c r="AL147" i="20"/>
  <c r="AL149" i="20"/>
  <c r="AL151" i="20"/>
  <c r="AL153" i="20"/>
  <c r="AL155" i="20"/>
  <c r="AL131" i="20"/>
  <c r="AL91" i="20"/>
  <c r="AL93" i="20"/>
  <c r="AL95" i="20"/>
  <c r="AL97" i="20"/>
  <c r="AL99" i="20"/>
  <c r="AL101" i="20"/>
  <c r="AL103" i="20"/>
  <c r="AL105" i="20"/>
  <c r="AL107" i="20"/>
  <c r="AL109" i="20"/>
  <c r="AL111" i="20"/>
  <c r="AL113" i="20"/>
  <c r="AL115" i="20"/>
  <c r="AL92" i="20"/>
  <c r="AL94" i="20"/>
  <c r="AL96" i="20"/>
  <c r="AL98" i="20"/>
  <c r="AL100" i="20"/>
  <c r="AL102" i="20"/>
  <c r="AL104" i="20"/>
  <c r="AL106" i="20"/>
  <c r="AL108" i="20"/>
  <c r="AL110" i="20"/>
  <c r="AL112" i="20"/>
  <c r="AL114" i="20"/>
  <c r="AL90" i="20"/>
  <c r="BB29" i="8"/>
  <c r="CN36" i="1"/>
  <c r="CO36" i="1"/>
  <c r="AL50" i="20"/>
  <c r="AL52" i="20"/>
  <c r="AL54" i="20"/>
  <c r="AL56" i="20"/>
  <c r="AL58" i="20"/>
  <c r="AL60" i="20"/>
  <c r="AL62" i="20"/>
  <c r="AL64" i="20"/>
  <c r="AL66" i="20"/>
  <c r="AL68" i="20"/>
  <c r="AL70" i="20"/>
  <c r="AL72" i="20"/>
  <c r="AL74" i="20"/>
  <c r="AL51" i="20"/>
  <c r="AL53" i="20"/>
  <c r="AL55" i="20"/>
  <c r="AL57" i="20"/>
  <c r="AL59" i="20"/>
  <c r="AL61" i="20"/>
  <c r="AL63" i="20"/>
  <c r="AL65" i="20"/>
  <c r="AL67" i="20"/>
  <c r="AL69" i="20"/>
  <c r="AL71" i="20"/>
  <c r="AL73" i="20"/>
  <c r="AL49" i="20"/>
  <c r="IY96" i="1"/>
  <c r="JA96" i="1" s="1"/>
  <c r="JC96" i="1" s="1"/>
  <c r="GN11" i="1"/>
  <c r="GH16" i="1"/>
  <c r="GH183" i="1" s="1"/>
  <c r="GG182" i="1"/>
  <c r="GG181" i="1"/>
  <c r="GG180" i="1"/>
  <c r="GG179" i="1"/>
  <c r="GG178" i="1"/>
  <c r="GG177" i="1"/>
  <c r="GH177" i="1"/>
  <c r="BH31" i="15"/>
  <c r="BH10" i="15"/>
  <c r="BH25" i="15"/>
  <c r="AQ14" i="21"/>
  <c r="AB14" i="21"/>
  <c r="J14" i="21"/>
  <c r="AQ12" i="21"/>
  <c r="AB12" i="21"/>
  <c r="J12" i="21"/>
  <c r="AQ10" i="21"/>
  <c r="AB10" i="21"/>
  <c r="J10" i="21"/>
  <c r="AQ8" i="21"/>
  <c r="AB8" i="21"/>
  <c r="J8" i="21"/>
  <c r="AQ6" i="21"/>
  <c r="AB6" i="21"/>
  <c r="J6" i="21"/>
  <c r="J15" i="21"/>
  <c r="AQ15" i="21"/>
  <c r="AB15" i="21"/>
  <c r="J13" i="21"/>
  <c r="AQ13" i="21"/>
  <c r="AB13" i="21"/>
  <c r="J9" i="21"/>
  <c r="AQ9" i="21"/>
  <c r="AB9" i="21"/>
  <c r="J7" i="21"/>
  <c r="AQ7" i="21"/>
  <c r="AB7" i="21"/>
  <c r="D16" i="16"/>
  <c r="AS15" i="16"/>
  <c r="P15" i="16"/>
  <c r="M33" i="16"/>
  <c r="N31" i="16"/>
  <c r="F53" i="16"/>
  <c r="Z18" i="16"/>
  <c r="BJ17" i="16"/>
  <c r="BJ18" i="16" s="1"/>
  <c r="M31" i="16"/>
  <c r="BW29" i="15"/>
  <c r="W22" i="21" s="1"/>
  <c r="CQ29" i="15"/>
  <c r="BW37" i="15"/>
  <c r="W30" i="21" s="1"/>
  <c r="CQ37" i="15"/>
  <c r="CQ50" i="15" s="1"/>
  <c r="BW35" i="15"/>
  <c r="W28" i="21" s="1"/>
  <c r="CQ35" i="15"/>
  <c r="BH14" i="15"/>
  <c r="BH12" i="15"/>
  <c r="E53" i="15"/>
  <c r="E52" i="15"/>
  <c r="BH5" i="15"/>
  <c r="BH36" i="15"/>
  <c r="BH27" i="15"/>
  <c r="BH39" i="15"/>
  <c r="BH23" i="15"/>
  <c r="BH35" i="15"/>
  <c r="BH28" i="15"/>
  <c r="BH40" i="15"/>
  <c r="BH24" i="15"/>
  <c r="BH21" i="15"/>
  <c r="AL21" i="15"/>
  <c r="AI21" i="15" s="1"/>
  <c r="AL27" i="15"/>
  <c r="AI27" i="15" s="1"/>
  <c r="AL30" i="15"/>
  <c r="AI30" i="15" s="1"/>
  <c r="AL26" i="15"/>
  <c r="AI26" i="15" s="1"/>
  <c r="AL20" i="15"/>
  <c r="AI20" i="15" s="1"/>
  <c r="BH4" i="15"/>
  <c r="AL40" i="15"/>
  <c r="AI40" i="15" s="1"/>
  <c r="AS15" i="8"/>
  <c r="P15" i="8"/>
  <c r="D16" i="8"/>
  <c r="B29" i="8"/>
  <c r="N27" i="8"/>
  <c r="L30" i="8"/>
  <c r="N40" i="8"/>
  <c r="U19" i="8"/>
  <c r="Y15" i="8"/>
  <c r="Z15" i="8" s="1"/>
  <c r="Y19" i="8"/>
  <c r="Z19" i="8" s="1"/>
  <c r="Y23" i="8"/>
  <c r="Z23" i="8" s="1"/>
  <c r="N17" i="8"/>
  <c r="N19" i="8"/>
  <c r="N21" i="8"/>
  <c r="N23" i="8"/>
  <c r="BD39" i="8"/>
  <c r="BS39" i="8" s="1"/>
  <c r="BZ167" i="1"/>
  <c r="CN165" i="1" s="1"/>
  <c r="CO202" i="1" s="1"/>
  <c r="BZ169" i="1"/>
  <c r="CZ165" i="1" s="1"/>
  <c r="DA202" i="1" s="1"/>
  <c r="CA166" i="1"/>
  <c r="CI166" i="1" s="1"/>
  <c r="CJ204" i="1" s="1"/>
  <c r="CA168" i="1"/>
  <c r="CT166" i="1" s="1"/>
  <c r="CU204" i="1" s="1"/>
  <c r="CB167" i="1"/>
  <c r="CN167" i="1" s="1"/>
  <c r="CO206" i="1" s="1"/>
  <c r="CB169" i="1"/>
  <c r="CZ167" i="1" s="1"/>
  <c r="DA206" i="1" s="1"/>
  <c r="CC166" i="1"/>
  <c r="CI168" i="1" s="1"/>
  <c r="CJ208" i="1" s="1"/>
  <c r="CC168" i="1"/>
  <c r="CT168" i="1" s="1"/>
  <c r="CU208" i="1" s="1"/>
  <c r="CE166" i="1"/>
  <c r="CI170" i="1" s="1"/>
  <c r="CJ212" i="1" s="1"/>
  <c r="CE168" i="1"/>
  <c r="CT170" i="1" s="1"/>
  <c r="CU212" i="1" s="1"/>
  <c r="GF182" i="1"/>
  <c r="GF181" i="1"/>
  <c r="GF180" i="1"/>
  <c r="GF179" i="1"/>
  <c r="GF178" i="1"/>
  <c r="GH182" i="1"/>
  <c r="GH181" i="1"/>
  <c r="GH180" i="1"/>
  <c r="GH179" i="1"/>
  <c r="GH178" i="1"/>
  <c r="S40" i="8"/>
  <c r="U40" i="8"/>
  <c r="BG54" i="8"/>
  <c r="BZ166" i="1"/>
  <c r="CI165" i="1" s="1"/>
  <c r="CJ202" i="1" s="1"/>
  <c r="BZ168" i="1"/>
  <c r="CT165" i="1" s="1"/>
  <c r="CU202" i="1" s="1"/>
  <c r="CA167" i="1"/>
  <c r="CN166" i="1" s="1"/>
  <c r="CO204" i="1" s="1"/>
  <c r="CA169" i="1"/>
  <c r="CZ166" i="1" s="1"/>
  <c r="DA204" i="1" s="1"/>
  <c r="CB166" i="1"/>
  <c r="CI167" i="1" s="1"/>
  <c r="CJ206" i="1" s="1"/>
  <c r="CB168" i="1"/>
  <c r="CT167" i="1" s="1"/>
  <c r="CU206" i="1" s="1"/>
  <c r="CC167" i="1"/>
  <c r="CN168" i="1" s="1"/>
  <c r="CO208" i="1" s="1"/>
  <c r="CC169" i="1"/>
  <c r="CZ168" i="1" s="1"/>
  <c r="DA208" i="1" s="1"/>
  <c r="CE167" i="1"/>
  <c r="CN170" i="1" s="1"/>
  <c r="CO212" i="1" s="1"/>
  <c r="GN7" i="1"/>
  <c r="AM15" i="16"/>
  <c r="BH15" i="16"/>
  <c r="BI15" i="16" s="1"/>
  <c r="BI16" i="16" s="1"/>
  <c r="BF51" i="15"/>
  <c r="D78" i="14"/>
  <c r="H78" i="14" s="1"/>
  <c r="D98" i="14"/>
  <c r="H98" i="14" s="1"/>
  <c r="F41" i="14"/>
  <c r="N177" i="14" s="1"/>
  <c r="D92" i="14"/>
  <c r="H92" i="14" s="1"/>
  <c r="F39" i="14"/>
  <c r="O181" i="14" s="1"/>
  <c r="D90" i="14"/>
  <c r="H90" i="14" s="1"/>
  <c r="F37" i="14"/>
  <c r="O180" i="14" s="1"/>
  <c r="D88" i="14"/>
  <c r="H88" i="14" s="1"/>
  <c r="D87" i="14"/>
  <c r="H87" i="14" s="1"/>
  <c r="F36" i="14"/>
  <c r="F33" i="14"/>
  <c r="O178" i="14" s="1"/>
  <c r="D84" i="14"/>
  <c r="H84" i="14" s="1"/>
  <c r="F31" i="14"/>
  <c r="F29" i="14"/>
  <c r="P181" i="14" s="1"/>
  <c r="D80" i="14"/>
  <c r="H80" i="14" s="1"/>
  <c r="D79" i="14"/>
  <c r="H79" i="14" s="1"/>
  <c r="F28" i="14"/>
  <c r="F27" i="14"/>
  <c r="P180" i="14" s="1"/>
  <c r="D23" i="14"/>
  <c r="H23" i="14" s="1"/>
  <c r="F47" i="14"/>
  <c r="N180" i="14" s="1"/>
  <c r="D97" i="14"/>
  <c r="H97" i="14" s="1"/>
  <c r="F46" i="14"/>
  <c r="F45" i="14"/>
  <c r="N179" i="14" s="1"/>
  <c r="D96" i="14"/>
  <c r="H96" i="14" s="1"/>
  <c r="D95" i="14"/>
  <c r="H95" i="14" s="1"/>
  <c r="F44" i="14"/>
  <c r="F43" i="14"/>
  <c r="N178" i="14" s="1"/>
  <c r="N185" i="14" s="1"/>
  <c r="D94" i="14"/>
  <c r="H94" i="14" s="1"/>
  <c r="D93" i="14"/>
  <c r="H93" i="14" s="1"/>
  <c r="F42" i="14"/>
  <c r="D91" i="14"/>
  <c r="H91" i="14" s="1"/>
  <c r="F40" i="14"/>
  <c r="D89" i="14"/>
  <c r="H89" i="14" s="1"/>
  <c r="F38" i="14"/>
  <c r="F35" i="14"/>
  <c r="O179" i="14" s="1"/>
  <c r="D86" i="14"/>
  <c r="H86" i="14" s="1"/>
  <c r="D85" i="14"/>
  <c r="H85" i="14" s="1"/>
  <c r="F34" i="14"/>
  <c r="D83" i="14"/>
  <c r="H83" i="14" s="1"/>
  <c r="F32" i="14"/>
  <c r="F21" i="14"/>
  <c r="P177" i="14" s="1"/>
  <c r="P188" i="14" s="1"/>
  <c r="D72" i="14"/>
  <c r="H72" i="14" s="1"/>
  <c r="D82" i="14"/>
  <c r="H82" i="14" s="1"/>
  <c r="D81" i="14"/>
  <c r="H81" i="14" s="1"/>
  <c r="F30" i="14"/>
  <c r="D77" i="14"/>
  <c r="H77" i="14" s="1"/>
  <c r="F26" i="14"/>
  <c r="F25" i="14"/>
  <c r="P179" i="14" s="1"/>
  <c r="D76" i="14"/>
  <c r="H76" i="14" s="1"/>
  <c r="D75" i="14"/>
  <c r="H75" i="14" s="1"/>
  <c r="F24" i="14"/>
  <c r="D24" i="14"/>
  <c r="H24" i="14" s="1"/>
  <c r="D70" i="14"/>
  <c r="H70" i="14" s="1"/>
  <c r="F19" i="14"/>
  <c r="D21" i="14"/>
  <c r="H21" i="14" s="1"/>
  <c r="D20" i="14"/>
  <c r="H20" i="14" s="1"/>
  <c r="F18" i="14"/>
  <c r="D69" i="14"/>
  <c r="H69" i="14" s="1"/>
  <c r="D67" i="14"/>
  <c r="H67" i="14" s="1"/>
  <c r="F23" i="14"/>
  <c r="P178" i="14" s="1"/>
  <c r="D74" i="14"/>
  <c r="H74" i="14" s="1"/>
  <c r="D73" i="14"/>
  <c r="H73" i="14" s="1"/>
  <c r="F22" i="14"/>
  <c r="D22" i="14"/>
  <c r="H22" i="14" s="1"/>
  <c r="D71" i="14"/>
  <c r="H71" i="14" s="1"/>
  <c r="F20" i="14"/>
  <c r="F17" i="14"/>
  <c r="N186" i="14"/>
  <c r="D18" i="14"/>
  <c r="H18" i="14" s="1"/>
  <c r="B48" i="14"/>
  <c r="D68" i="14"/>
  <c r="H68" i="14" s="1"/>
  <c r="D19" i="14"/>
  <c r="H19" i="14" s="1"/>
  <c r="D28" i="5"/>
  <c r="H28" i="5" s="1"/>
  <c r="D26" i="5"/>
  <c r="H26" i="5" s="1"/>
  <c r="D22" i="5"/>
  <c r="H22" i="5" s="1"/>
  <c r="D19" i="5"/>
  <c r="H19" i="5" s="1"/>
  <c r="D17" i="5"/>
  <c r="H17" i="5" s="1"/>
  <c r="D25" i="5"/>
  <c r="H25" i="5" s="1"/>
  <c r="D24" i="5"/>
  <c r="H24" i="5" s="1"/>
  <c r="D23" i="5"/>
  <c r="H23" i="5" s="1"/>
  <c r="D20" i="5"/>
  <c r="H20" i="5" s="1"/>
  <c r="F17" i="5"/>
  <c r="C25" i="20"/>
  <c r="C146" i="20" s="1"/>
  <c r="C104" i="20"/>
  <c r="C63" i="20"/>
  <c r="AZ34" i="2"/>
  <c r="AZ37" i="2"/>
  <c r="BH21" i="8"/>
  <c r="BH38" i="8"/>
  <c r="BF53" i="8"/>
  <c r="F53" i="8"/>
  <c r="BH28" i="8"/>
  <c r="BH27" i="8"/>
  <c r="F39" i="8"/>
  <c r="F54" i="8" s="1"/>
  <c r="AL40" i="8"/>
  <c r="AI40" i="8" s="1"/>
  <c r="F37" i="2"/>
  <c r="AZ36" i="2"/>
  <c r="AZ35" i="2"/>
  <c r="F33" i="2"/>
  <c r="F27" i="22"/>
  <c r="AZ31" i="2"/>
  <c r="F25" i="22"/>
  <c r="AZ29" i="2"/>
  <c r="F23" i="22"/>
  <c r="AZ27" i="2"/>
  <c r="F21" i="22"/>
  <c r="AZ25" i="2"/>
  <c r="F19" i="22"/>
  <c r="AZ23" i="2"/>
  <c r="F17" i="22"/>
  <c r="AZ21" i="2"/>
  <c r="F15" i="22"/>
  <c r="AZ19" i="2"/>
  <c r="F13" i="22"/>
  <c r="AZ17" i="2"/>
  <c r="F11" i="22"/>
  <c r="AZ15" i="2"/>
  <c r="F9" i="22"/>
  <c r="AZ13" i="2"/>
  <c r="F7" i="22"/>
  <c r="F34" i="22" s="1"/>
  <c r="AZ32" i="2"/>
  <c r="F26" i="22"/>
  <c r="AZ30" i="2"/>
  <c r="F24" i="22"/>
  <c r="AZ28" i="2"/>
  <c r="F22" i="22"/>
  <c r="AZ26" i="2"/>
  <c r="F20" i="22"/>
  <c r="AZ24" i="2"/>
  <c r="F18" i="22"/>
  <c r="AZ22" i="2"/>
  <c r="F16" i="22"/>
  <c r="AZ20" i="2"/>
  <c r="F14" i="22"/>
  <c r="AZ18" i="2"/>
  <c r="F12" i="22"/>
  <c r="AZ16" i="2"/>
  <c r="F10" i="22"/>
  <c r="AZ14" i="2"/>
  <c r="F8" i="22"/>
  <c r="AZ12" i="2"/>
  <c r="F6" i="22"/>
  <c r="BJ16" i="15"/>
  <c r="BH15" i="15"/>
  <c r="BI15" i="15" s="1"/>
  <c r="BH30" i="15"/>
  <c r="JY6" i="1"/>
  <c r="N199" i="5" s="1"/>
  <c r="GI179" i="1"/>
  <c r="GN10" i="1"/>
  <c r="JY5" i="1"/>
  <c r="N198" i="5" s="1"/>
  <c r="GI178" i="1"/>
  <c r="GN9" i="1"/>
  <c r="DQ7" i="4" a="1"/>
  <c r="J199" i="14"/>
  <c r="Q199" i="14" s="1"/>
  <c r="S192" i="14" s="1"/>
  <c r="KD18" i="1"/>
  <c r="J201" i="14"/>
  <c r="J203" i="14"/>
  <c r="J198" i="17"/>
  <c r="Q198" i="17" s="1"/>
  <c r="S191" i="17" s="1"/>
  <c r="KD31" i="1"/>
  <c r="J200" i="17"/>
  <c r="Q200" i="17" s="1"/>
  <c r="S193" i="17" s="1"/>
  <c r="KD33" i="1"/>
  <c r="J202" i="17"/>
  <c r="E19" i="5"/>
  <c r="F18" i="5"/>
  <c r="GN8" i="1"/>
  <c r="GN12" i="1"/>
  <c r="GN13" i="1"/>
  <c r="GJ16" i="1"/>
  <c r="GJ183" i="1" s="1"/>
  <c r="GL7" i="1"/>
  <c r="JU4" i="1"/>
  <c r="J16" i="5" s="1"/>
  <c r="GL8" i="1"/>
  <c r="GY8" i="1"/>
  <c r="HA8" i="1" s="1"/>
  <c r="HC8" i="1" s="1"/>
  <c r="JU5" i="1"/>
  <c r="GL9" i="1"/>
  <c r="GY9" i="1"/>
  <c r="HA9" i="1" s="1"/>
  <c r="HC9" i="1" s="1"/>
  <c r="JU6" i="1"/>
  <c r="GL10" i="1"/>
  <c r="GY10" i="1"/>
  <c r="HA10" i="1" s="1"/>
  <c r="HC10" i="1" s="1"/>
  <c r="JU7" i="1"/>
  <c r="GL11" i="1"/>
  <c r="GY11" i="1"/>
  <c r="HA11" i="1" s="1"/>
  <c r="HC11" i="1" s="1"/>
  <c r="JU8" i="1"/>
  <c r="GL12" i="1"/>
  <c r="GY12" i="1"/>
  <c r="HA12" i="1" s="1"/>
  <c r="HC12" i="1" s="1"/>
  <c r="JU9" i="1"/>
  <c r="GL13" i="1"/>
  <c r="GY13" i="1"/>
  <c r="HA13" i="1" s="1"/>
  <c r="HC13" i="1" s="1"/>
  <c r="GI177" i="1"/>
  <c r="GJ182" i="1"/>
  <c r="GJ181" i="1"/>
  <c r="GJ180" i="1"/>
  <c r="GJ179" i="1"/>
  <c r="GJ178" i="1"/>
  <c r="GJ177" i="1"/>
  <c r="GK182" i="1"/>
  <c r="GK181" i="1"/>
  <c r="GK180" i="1"/>
  <c r="GK179" i="1"/>
  <c r="GK178" i="1"/>
  <c r="GK177" i="1"/>
  <c r="J202" i="14"/>
  <c r="Q202" i="14" s="1"/>
  <c r="S195" i="14" s="1"/>
  <c r="KD21" i="1"/>
  <c r="J199" i="17"/>
  <c r="Q199" i="17" s="1"/>
  <c r="S192" i="17" s="1"/>
  <c r="KD32" i="1"/>
  <c r="J201" i="17"/>
  <c r="Q201" i="17" s="1"/>
  <c r="S194" i="17" s="1"/>
  <c r="KD34" i="1"/>
  <c r="IS16" i="1"/>
  <c r="P13" i="7"/>
  <c r="D14" i="7"/>
  <c r="D15" i="7" s="1"/>
  <c r="D25" i="14"/>
  <c r="H25" i="14" s="1"/>
  <c r="C26" i="14"/>
  <c r="F49" i="7"/>
  <c r="B31" i="16"/>
  <c r="R31" i="8"/>
  <c r="B35" i="16"/>
  <c r="R35" i="8"/>
  <c r="R39" i="8"/>
  <c r="B39" i="16"/>
  <c r="J31" i="7"/>
  <c r="R31" i="7" s="1"/>
  <c r="S31" i="7" s="1"/>
  <c r="AG31" i="7" s="1"/>
  <c r="J35" i="7"/>
  <c r="R35" i="7" s="1"/>
  <c r="S35" i="7" s="1"/>
  <c r="AG35" i="7" s="1"/>
  <c r="B27" i="15"/>
  <c r="J27" i="15" s="1"/>
  <c r="R27" i="15" s="1"/>
  <c r="B27" i="16"/>
  <c r="M23" i="7"/>
  <c r="S23" i="7" s="1"/>
  <c r="AG23" i="7" s="1"/>
  <c r="M15" i="7"/>
  <c r="S15" i="7" s="1"/>
  <c r="AG15" i="7" s="1"/>
  <c r="B31" i="15"/>
  <c r="J31" i="15" s="1"/>
  <c r="R31" i="15" s="1"/>
  <c r="R27" i="8"/>
  <c r="A27" i="16"/>
  <c r="A27" i="15"/>
  <c r="X27" i="15" s="1"/>
  <c r="A31" i="16"/>
  <c r="A31" i="15"/>
  <c r="X31" i="15" s="1"/>
  <c r="A37" i="16"/>
  <c r="A37" i="15"/>
  <c r="X37" i="15" s="1"/>
  <c r="A39" i="16"/>
  <c r="A39" i="15"/>
  <c r="X39" i="15" s="1"/>
  <c r="AN39" i="15" s="1"/>
  <c r="G24" i="13"/>
  <c r="I29" i="16"/>
  <c r="O29" i="16" s="1"/>
  <c r="Q29" i="16" s="1"/>
  <c r="I29" i="15"/>
  <c r="J29" i="8"/>
  <c r="I29" i="8"/>
  <c r="O29" i="8" s="1"/>
  <c r="Q29" i="8" s="1"/>
  <c r="B33" i="16"/>
  <c r="R33" i="8"/>
  <c r="B37" i="16"/>
  <c r="R37" i="8"/>
  <c r="I27" i="7"/>
  <c r="O27" i="7" s="1"/>
  <c r="Q27" i="7" s="1"/>
  <c r="J29" i="7"/>
  <c r="R29" i="7" s="1"/>
  <c r="S29" i="7" s="1"/>
  <c r="AG29" i="7" s="1"/>
  <c r="J33" i="7"/>
  <c r="R33" i="7" s="1"/>
  <c r="S33" i="7" s="1"/>
  <c r="AG33" i="7" s="1"/>
  <c r="J37" i="7"/>
  <c r="R37" i="7" s="1"/>
  <c r="S37" i="7" s="1"/>
  <c r="AG37" i="7" s="1"/>
  <c r="J25" i="7"/>
  <c r="R25" i="7" s="1"/>
  <c r="S25" i="7" s="1"/>
  <c r="AG25" i="7" s="1"/>
  <c r="E49" i="7"/>
  <c r="E48" i="7"/>
  <c r="B35" i="15"/>
  <c r="J35" i="15" s="1"/>
  <c r="R35" i="15" s="1"/>
  <c r="AY35" i="15" s="1"/>
  <c r="B39" i="15"/>
  <c r="B33" i="15"/>
  <c r="J33" i="15" s="1"/>
  <c r="R33" i="15" s="1"/>
  <c r="S33" i="15" s="1"/>
  <c r="AE17" i="7"/>
  <c r="AW15" i="8"/>
  <c r="BV15" i="8"/>
  <c r="CL15" i="8" s="1"/>
  <c r="DB15" i="8" s="1"/>
  <c r="A17" i="16"/>
  <c r="A17" i="15"/>
  <c r="X17" i="15" s="1"/>
  <c r="A21" i="16"/>
  <c r="A21" i="15"/>
  <c r="X21" i="15" s="1"/>
  <c r="A25" i="16"/>
  <c r="A25" i="15"/>
  <c r="X25" i="15" s="1"/>
  <c r="A29" i="16"/>
  <c r="A29" i="15"/>
  <c r="X29" i="15" s="1"/>
  <c r="A33" i="16"/>
  <c r="A33" i="15"/>
  <c r="X33" i="15" s="1"/>
  <c r="AN33" i="15" s="1"/>
  <c r="A35" i="16"/>
  <c r="A35" i="15"/>
  <c r="X35" i="15" s="1"/>
  <c r="AN35" i="15" s="1"/>
  <c r="A70" i="14"/>
  <c r="I71" i="14"/>
  <c r="AE15" i="7"/>
  <c r="AE36" i="7"/>
  <c r="AE34" i="7"/>
  <c r="AE32" i="7"/>
  <c r="AE30" i="7"/>
  <c r="AE28" i="7"/>
  <c r="AE26" i="7"/>
  <c r="AE24" i="7"/>
  <c r="AE22" i="7"/>
  <c r="AE20" i="7"/>
  <c r="AE18" i="7"/>
  <c r="AE16" i="7"/>
  <c r="B17" i="16"/>
  <c r="B17" i="15"/>
  <c r="J17" i="15" s="1"/>
  <c r="R17" i="15" s="1"/>
  <c r="B21" i="16"/>
  <c r="B21" i="15"/>
  <c r="J21" i="15" s="1"/>
  <c r="R21" i="15" s="1"/>
  <c r="L16" i="8"/>
  <c r="AL15" i="2"/>
  <c r="O42" i="10"/>
  <c r="AL21" i="2"/>
  <c r="O44" i="10"/>
  <c r="AL29" i="2"/>
  <c r="O46" i="10"/>
  <c r="R39" i="10"/>
  <c r="X10" i="10"/>
  <c r="R41" i="10"/>
  <c r="X12" i="10"/>
  <c r="R43" i="10"/>
  <c r="X14" i="10"/>
  <c r="V47" i="10"/>
  <c r="R47" i="10"/>
  <c r="X18" i="10"/>
  <c r="N47" i="10"/>
  <c r="CI72" i="16" s="1"/>
  <c r="T46" i="10"/>
  <c r="P46" i="10"/>
  <c r="V45" i="10"/>
  <c r="R45" i="10"/>
  <c r="X16" i="10"/>
  <c r="N45" i="10"/>
  <c r="CI70" i="16" s="1"/>
  <c r="W14" i="10"/>
  <c r="W12" i="10"/>
  <c r="W10" i="10"/>
  <c r="W39" i="10" s="1"/>
  <c r="K7" i="21" s="1"/>
  <c r="AV13" i="2"/>
  <c r="AJ13" i="2"/>
  <c r="V13" i="2"/>
  <c r="AV37" i="2"/>
  <c r="AJ37" i="2"/>
  <c r="V37" i="2"/>
  <c r="AV35" i="2"/>
  <c r="AJ35" i="2"/>
  <c r="V35" i="2"/>
  <c r="AV33" i="2"/>
  <c r="AJ33" i="2"/>
  <c r="V33" i="2"/>
  <c r="AV31" i="2"/>
  <c r="AJ31" i="2"/>
  <c r="V31" i="2"/>
  <c r="AV29" i="2"/>
  <c r="AJ29" i="2"/>
  <c r="V29" i="2"/>
  <c r="AV27" i="2"/>
  <c r="AJ27" i="2"/>
  <c r="V27" i="2"/>
  <c r="AV25" i="2"/>
  <c r="AJ25" i="2"/>
  <c r="V25" i="2"/>
  <c r="AV23" i="2"/>
  <c r="AJ23" i="2"/>
  <c r="V23" i="2"/>
  <c r="AV21" i="2"/>
  <c r="AJ21" i="2"/>
  <c r="V21" i="2"/>
  <c r="AV19" i="2"/>
  <c r="AJ19" i="2"/>
  <c r="V19" i="2"/>
  <c r="AV17" i="2"/>
  <c r="AJ17" i="2"/>
  <c r="V17" i="2"/>
  <c r="AV15" i="2"/>
  <c r="AJ15" i="2"/>
  <c r="V15" i="2"/>
  <c r="S25" i="8"/>
  <c r="U15" i="8"/>
  <c r="AN15" i="8"/>
  <c r="AN19" i="8"/>
  <c r="AN23" i="8"/>
  <c r="Y25" i="8"/>
  <c r="Z25" i="8" s="1"/>
  <c r="Z24" i="8" s="1"/>
  <c r="AY15" i="8"/>
  <c r="E5" i="13"/>
  <c r="G14" i="13" s="1"/>
  <c r="F24" i="13"/>
  <c r="Z20" i="16"/>
  <c r="Z22" i="16"/>
  <c r="AE14" i="7"/>
  <c r="AE37" i="7"/>
  <c r="AE35" i="7"/>
  <c r="AE33" i="7"/>
  <c r="AE31" i="7"/>
  <c r="AE29" i="7"/>
  <c r="AE27" i="7"/>
  <c r="AE25" i="7"/>
  <c r="AE23" i="7"/>
  <c r="AE21" i="7"/>
  <c r="AE19" i="7"/>
  <c r="B15" i="16"/>
  <c r="B15" i="15"/>
  <c r="J15" i="15" s="1"/>
  <c r="R15" i="15" s="1"/>
  <c r="R17" i="8"/>
  <c r="B19" i="16"/>
  <c r="B19" i="15"/>
  <c r="J19" i="15" s="1"/>
  <c r="R19" i="15" s="1"/>
  <c r="R21" i="8"/>
  <c r="Y21" i="8" s="1"/>
  <c r="Z21" i="8" s="1"/>
  <c r="B23" i="16"/>
  <c r="B23" i="15"/>
  <c r="J23" i="15" s="1"/>
  <c r="R23" i="15" s="1"/>
  <c r="B25" i="16"/>
  <c r="B25" i="15"/>
  <c r="J25" i="15" s="1"/>
  <c r="R25" i="15" s="1"/>
  <c r="N25" i="8"/>
  <c r="Y27" i="16"/>
  <c r="Z27" i="16" s="1"/>
  <c r="Z26" i="16" s="1"/>
  <c r="S27" i="16"/>
  <c r="AY27" i="16"/>
  <c r="AY29" i="16"/>
  <c r="Y29" i="16"/>
  <c r="Z29" i="16" s="1"/>
  <c r="S29" i="16"/>
  <c r="S31" i="16"/>
  <c r="AY31" i="16"/>
  <c r="Y31" i="16"/>
  <c r="Z31" i="16" s="1"/>
  <c r="U31" i="16"/>
  <c r="AY33" i="16"/>
  <c r="S33" i="16"/>
  <c r="Y33" i="16"/>
  <c r="Z33" i="16" s="1"/>
  <c r="AY35" i="16"/>
  <c r="S35" i="16"/>
  <c r="Y35" i="16"/>
  <c r="Z35" i="16" s="1"/>
  <c r="U35" i="16"/>
  <c r="AY37" i="16"/>
  <c r="Y37" i="16"/>
  <c r="Z37" i="16" s="1"/>
  <c r="S37" i="16"/>
  <c r="S39" i="16"/>
  <c r="U39" i="16"/>
  <c r="Y39" i="16"/>
  <c r="Z39" i="16" s="1"/>
  <c r="Z40" i="16" s="1"/>
  <c r="AY39" i="16"/>
  <c r="BA27" i="8"/>
  <c r="BA31" i="8"/>
  <c r="BA35" i="8"/>
  <c r="BA39" i="8"/>
  <c r="BG54" i="16"/>
  <c r="BG52" i="15"/>
  <c r="Q38" i="10"/>
  <c r="U38" i="10"/>
  <c r="O39" i="10"/>
  <c r="S39" i="10"/>
  <c r="Q40" i="10"/>
  <c r="U40" i="10"/>
  <c r="AL12" i="2"/>
  <c r="O41" i="10"/>
  <c r="S41" i="10"/>
  <c r="Q42" i="10"/>
  <c r="U42" i="10"/>
  <c r="AL18" i="2"/>
  <c r="O43" i="10"/>
  <c r="S43" i="10"/>
  <c r="Q44" i="10"/>
  <c r="U44" i="10"/>
  <c r="AL25" i="2"/>
  <c r="O45" i="10"/>
  <c r="S45" i="10"/>
  <c r="Q46" i="10"/>
  <c r="U46" i="10"/>
  <c r="AL33" i="2"/>
  <c r="O47" i="10"/>
  <c r="S47" i="10"/>
  <c r="N38" i="10"/>
  <c r="CI63" i="16" s="1"/>
  <c r="R38" i="10"/>
  <c r="X9" i="10"/>
  <c r="T39" i="10"/>
  <c r="N40" i="10"/>
  <c r="CI65" i="16" s="1"/>
  <c r="R40" i="10"/>
  <c r="X11" i="10"/>
  <c r="T41" i="10"/>
  <c r="N42" i="10"/>
  <c r="CI67" i="16" s="1"/>
  <c r="R42" i="10"/>
  <c r="X13" i="10"/>
  <c r="T43" i="10"/>
  <c r="N44" i="10"/>
  <c r="CI69" i="16" s="1"/>
  <c r="R44" i="10"/>
  <c r="X15" i="10"/>
  <c r="X29" i="10"/>
  <c r="X27" i="10"/>
  <c r="X25" i="10"/>
  <c r="X23" i="10"/>
  <c r="T18" i="10"/>
  <c r="T47" i="10" s="1"/>
  <c r="P18" i="10"/>
  <c r="V17" i="10"/>
  <c r="V46" i="10" s="1"/>
  <c r="R17" i="10"/>
  <c r="N17" i="10"/>
  <c r="T16" i="10"/>
  <c r="T45" i="10" s="1"/>
  <c r="P16" i="10"/>
  <c r="W9" i="10"/>
  <c r="W17" i="10"/>
  <c r="W15" i="10"/>
  <c r="W13" i="10"/>
  <c r="W11" i="10"/>
  <c r="W40" i="10" s="1"/>
  <c r="K8" i="21" s="1"/>
  <c r="AJ12" i="2"/>
  <c r="AV12" i="2"/>
  <c r="V12" i="2"/>
  <c r="AJ36" i="2"/>
  <c r="AV36" i="2"/>
  <c r="V36" i="2"/>
  <c r="AJ34" i="2"/>
  <c r="AV34" i="2"/>
  <c r="V34" i="2"/>
  <c r="AV32" i="2"/>
  <c r="AJ32" i="2"/>
  <c r="V32" i="2"/>
  <c r="AV30" i="2"/>
  <c r="AJ30" i="2"/>
  <c r="V30" i="2"/>
  <c r="AJ28" i="2"/>
  <c r="AV28" i="2"/>
  <c r="V28" i="2"/>
  <c r="AJ26" i="2"/>
  <c r="AV26" i="2"/>
  <c r="V26" i="2"/>
  <c r="AV24" i="2"/>
  <c r="AJ24" i="2"/>
  <c r="V24" i="2"/>
  <c r="AV22" i="2"/>
  <c r="AJ22" i="2"/>
  <c r="V22" i="2"/>
  <c r="AJ20" i="2"/>
  <c r="AV20" i="2"/>
  <c r="V20" i="2"/>
  <c r="AV18" i="2"/>
  <c r="AJ18" i="2"/>
  <c r="V18" i="2"/>
  <c r="AV16" i="2"/>
  <c r="AJ16" i="2"/>
  <c r="V16" i="2"/>
  <c r="AJ14" i="2"/>
  <c r="AV14" i="2"/>
  <c r="V14" i="2"/>
  <c r="S19" i="8"/>
  <c r="S23" i="8"/>
  <c r="AJ15" i="8"/>
  <c r="E25" i="13"/>
  <c r="G34" i="13" s="1"/>
  <c r="Z24" i="16"/>
  <c r="Z16" i="16"/>
  <c r="N29" i="15"/>
  <c r="BH3" i="16"/>
  <c r="BI3" i="16" s="1"/>
  <c r="CD166" i="1"/>
  <c r="CI169" i="1" s="1"/>
  <c r="CJ210" i="1" s="1"/>
  <c r="CD168" i="1"/>
  <c r="CT169" i="1" s="1"/>
  <c r="CU210" i="1" s="1"/>
  <c r="CJ339" i="1"/>
  <c r="CD167" i="1"/>
  <c r="CN169" i="1" s="1"/>
  <c r="CO210" i="1" s="1"/>
  <c r="CD169" i="1"/>
  <c r="CZ169" i="1" s="1"/>
  <c r="DA210" i="1" s="1"/>
  <c r="DA339" i="1"/>
  <c r="CY426" i="1"/>
  <c r="CM426" i="1"/>
  <c r="CS426" i="1"/>
  <c r="CH426" i="1"/>
  <c r="CH289" i="1"/>
  <c r="CH291" i="1"/>
  <c r="CH293" i="1"/>
  <c r="CI289" i="1"/>
  <c r="CI291" i="1"/>
  <c r="DP583" i="1" l="1"/>
  <c r="AL200" i="20"/>
  <c r="AH200" i="20" s="1"/>
  <c r="AD200" i="20" s="1"/>
  <c r="AL203" i="20"/>
  <c r="AH203" i="20" s="1"/>
  <c r="AD203" i="20" s="1"/>
  <c r="AL204" i="20"/>
  <c r="AH204" i="20" s="1"/>
  <c r="AD204" i="20" s="1"/>
  <c r="AD43" i="20" s="1"/>
  <c r="AH43" i="20" s="1"/>
  <c r="AL201" i="20"/>
  <c r="AH201" i="20" s="1"/>
  <c r="AD201" i="20" s="1"/>
  <c r="AD40" i="20" s="1"/>
  <c r="AH40" i="20" s="1"/>
  <c r="AL202" i="20"/>
  <c r="AH202" i="20" s="1"/>
  <c r="AD202" i="20" s="1"/>
  <c r="AD41" i="20" s="1"/>
  <c r="AH41" i="20" s="1"/>
  <c r="AD39" i="20"/>
  <c r="AH39" i="20" s="1"/>
  <c r="S78" i="20" s="1"/>
  <c r="W78" i="20" s="1"/>
  <c r="AD42" i="20"/>
  <c r="AH42" i="20" s="1"/>
  <c r="S81" i="20" s="1"/>
  <c r="W81" i="20" s="1"/>
  <c r="CY327" i="1"/>
  <c r="CZ326" i="1"/>
  <c r="CM324" i="1"/>
  <c r="CN323" i="1"/>
  <c r="CH204" i="1"/>
  <c r="CI203" i="1"/>
  <c r="CG203" i="1" s="1"/>
  <c r="CY213" i="1"/>
  <c r="CZ212" i="1"/>
  <c r="CS215" i="1"/>
  <c r="CT214" i="1"/>
  <c r="CR45" i="15"/>
  <c r="CR43" i="15"/>
  <c r="CR46" i="15"/>
  <c r="CR42" i="15"/>
  <c r="CR48" i="15"/>
  <c r="CR41" i="15"/>
  <c r="CR47" i="15"/>
  <c r="CR44" i="15"/>
  <c r="DN591" i="1"/>
  <c r="J156" i="20" s="1"/>
  <c r="DP567" i="1"/>
  <c r="DP581" i="1"/>
  <c r="J157" i="20"/>
  <c r="DP571" i="1"/>
  <c r="DP587" i="1"/>
  <c r="DP585" i="1"/>
  <c r="DP577" i="1"/>
  <c r="J64" i="20"/>
  <c r="DP573" i="1"/>
  <c r="DP575" i="1"/>
  <c r="DP569" i="1"/>
  <c r="DP579" i="1"/>
  <c r="J75" i="20"/>
  <c r="DL591" i="1"/>
  <c r="J74" i="20" s="1"/>
  <c r="DP589" i="1"/>
  <c r="J197" i="20"/>
  <c r="DO593" i="1"/>
  <c r="J198" i="20" s="1"/>
  <c r="DO591" i="1"/>
  <c r="J196" i="20" s="1"/>
  <c r="J116" i="20"/>
  <c r="DM593" i="1"/>
  <c r="DM591" i="1"/>
  <c r="DP592" i="1"/>
  <c r="KD20" i="1"/>
  <c r="EG531" i="1"/>
  <c r="I72" i="20" s="1"/>
  <c r="I71" i="20"/>
  <c r="EG523" i="1"/>
  <c r="I64" i="20" s="1"/>
  <c r="I63" i="20"/>
  <c r="EG511" i="1"/>
  <c r="I52" i="20" s="1"/>
  <c r="I51" i="20"/>
  <c r="EG533" i="1"/>
  <c r="I74" i="20" s="1"/>
  <c r="I73" i="20"/>
  <c r="EG519" i="1"/>
  <c r="I60" i="20" s="1"/>
  <c r="I59" i="20"/>
  <c r="EG537" i="1"/>
  <c r="I77" i="20"/>
  <c r="EG525" i="1"/>
  <c r="I66" i="20" s="1"/>
  <c r="I65" i="20"/>
  <c r="EK522" i="1"/>
  <c r="EH541" i="1"/>
  <c r="EJ531" i="1"/>
  <c r="I194" i="20" s="1"/>
  <c r="EJ533" i="1"/>
  <c r="I196" i="20" s="1"/>
  <c r="EJ541" i="1"/>
  <c r="EG517" i="1"/>
  <c r="I58" i="20" s="1"/>
  <c r="EI541" i="1"/>
  <c r="I164" i="20" s="1"/>
  <c r="EK540" i="1"/>
  <c r="EG541" i="1"/>
  <c r="EG535" i="1"/>
  <c r="I76" i="20" s="1"/>
  <c r="EI539" i="1"/>
  <c r="EG521" i="1"/>
  <c r="I62" i="20" s="1"/>
  <c r="I171" i="20"/>
  <c r="EH539" i="1"/>
  <c r="EG527" i="1"/>
  <c r="I68" i="20" s="1"/>
  <c r="EJ539" i="1"/>
  <c r="EG539" i="1"/>
  <c r="I80" i="20" s="1"/>
  <c r="EK538" i="1"/>
  <c r="EG529" i="1"/>
  <c r="I70" i="20" s="1"/>
  <c r="EG515" i="1"/>
  <c r="I56" i="20" s="1"/>
  <c r="EG513" i="1"/>
  <c r="I54" i="20" s="1"/>
  <c r="EK526" i="1"/>
  <c r="EK516" i="1"/>
  <c r="EK534" i="1"/>
  <c r="EK528" i="1"/>
  <c r="EK520" i="1"/>
  <c r="EK512" i="1"/>
  <c r="EK514" i="1"/>
  <c r="EK532" i="1"/>
  <c r="EI533" i="1"/>
  <c r="I156" i="20" s="1"/>
  <c r="EK518" i="1"/>
  <c r="EK510" i="1"/>
  <c r="EH536" i="1"/>
  <c r="I118" i="20" s="1"/>
  <c r="EK524" i="1"/>
  <c r="EJ536" i="1"/>
  <c r="I199" i="20" s="1"/>
  <c r="EJ529" i="1"/>
  <c r="I192" i="20" s="1"/>
  <c r="EG509" i="1"/>
  <c r="I50" i="20" s="1"/>
  <c r="EK508" i="1"/>
  <c r="EI536" i="1"/>
  <c r="EH533" i="1"/>
  <c r="I115" i="20" s="1"/>
  <c r="EH530" i="1"/>
  <c r="EI530" i="1"/>
  <c r="BN47" i="8"/>
  <c r="BN45" i="8"/>
  <c r="BN46" i="8"/>
  <c r="BN48" i="8"/>
  <c r="AB11" i="21"/>
  <c r="AQ11" i="21"/>
  <c r="X38" i="10"/>
  <c r="AC6" i="21" s="1"/>
  <c r="J11" i="21"/>
  <c r="I20" i="14"/>
  <c r="P185" i="14"/>
  <c r="D17" i="15"/>
  <c r="AW16" i="15"/>
  <c r="AR6" i="21"/>
  <c r="CJ63" i="16"/>
  <c r="EM11" i="4"/>
  <c r="EM9" i="4"/>
  <c r="EM7" i="4"/>
  <c r="EL11" i="4"/>
  <c r="EL9" i="4"/>
  <c r="EL7" i="4"/>
  <c r="EM12" i="4"/>
  <c r="EM10" i="4"/>
  <c r="EM8" i="4"/>
  <c r="EL12" i="4"/>
  <c r="EL10" i="4"/>
  <c r="EL8" i="4"/>
  <c r="CO166" i="4"/>
  <c r="CQ13" i="4"/>
  <c r="AR11" i="21"/>
  <c r="AK13" i="21" s="1"/>
  <c r="CJ68" i="16"/>
  <c r="CN68" i="16" s="1"/>
  <c r="AL197" i="20"/>
  <c r="AH197" i="20" s="1"/>
  <c r="AL198" i="20"/>
  <c r="AH198" i="20" s="1"/>
  <c r="AL199" i="20"/>
  <c r="AH199" i="20" s="1"/>
  <c r="E20" i="17"/>
  <c r="F19" i="17"/>
  <c r="CQ165" i="4"/>
  <c r="CS12" i="4"/>
  <c r="CS165" i="4" s="1"/>
  <c r="N46" i="10"/>
  <c r="CI71" i="16" s="1"/>
  <c r="Q14" i="22"/>
  <c r="G23" i="22" s="1"/>
  <c r="AR12" i="21"/>
  <c r="AK16" i="21" s="1"/>
  <c r="CJ69" i="16"/>
  <c r="CN71" i="16" s="1"/>
  <c r="AR8" i="21"/>
  <c r="CJ65" i="16"/>
  <c r="B30" i="25"/>
  <c r="AC29" i="25"/>
  <c r="AE29" i="25"/>
  <c r="U43" i="10"/>
  <c r="CQ164" i="4"/>
  <c r="CS11" i="4"/>
  <c r="CS164" i="4" s="1"/>
  <c r="AR15" i="21"/>
  <c r="AK28" i="21" s="1"/>
  <c r="CJ72" i="16"/>
  <c r="CN83" i="16" s="1"/>
  <c r="Z34" i="16"/>
  <c r="X24" i="10"/>
  <c r="X40" i="10" s="1"/>
  <c r="AC8" i="21" s="1"/>
  <c r="CQ9" i="4"/>
  <c r="CO162" i="4"/>
  <c r="I22" i="17"/>
  <c r="A21" i="17"/>
  <c r="AR10" i="21"/>
  <c r="AK10" i="21" s="1"/>
  <c r="CJ67" i="16"/>
  <c r="CN65" i="16" s="1"/>
  <c r="N43" i="10"/>
  <c r="CI68" i="16" s="1"/>
  <c r="Q11" i="22"/>
  <c r="G12" i="22" s="1"/>
  <c r="AG84" i="22"/>
  <c r="AG114" i="22" s="1"/>
  <c r="AG144" i="22" s="1"/>
  <c r="AU54" i="22"/>
  <c r="AU84" i="22" s="1"/>
  <c r="AU114" i="22" s="1"/>
  <c r="AU144" i="22" s="1"/>
  <c r="F49" i="14"/>
  <c r="N181" i="14" s="1"/>
  <c r="N188" i="14" s="1"/>
  <c r="E50" i="14"/>
  <c r="AG55" i="22"/>
  <c r="S85" i="22"/>
  <c r="S115" i="22" s="1"/>
  <c r="S145" i="22" s="1"/>
  <c r="C71" i="17"/>
  <c r="D70" i="17"/>
  <c r="H70" i="17" s="1"/>
  <c r="CO160" i="4"/>
  <c r="CQ7" i="4"/>
  <c r="AR9" i="21"/>
  <c r="AK7" i="21" s="1"/>
  <c r="CJ66" i="16"/>
  <c r="CN62" i="16" s="1"/>
  <c r="D57" i="22"/>
  <c r="S56" i="22"/>
  <c r="AW15" i="15"/>
  <c r="BV15" i="15"/>
  <c r="D70" i="5"/>
  <c r="H70" i="5" s="1"/>
  <c r="C71" i="5"/>
  <c r="A73" i="5"/>
  <c r="I74" i="5"/>
  <c r="AR13" i="21"/>
  <c r="CJ70" i="16"/>
  <c r="CN75" i="16" s="1"/>
  <c r="CI292" i="1"/>
  <c r="I23" i="5"/>
  <c r="A22" i="5"/>
  <c r="C101" i="14"/>
  <c r="D100" i="14"/>
  <c r="H100" i="14" s="1"/>
  <c r="CI288" i="1"/>
  <c r="CI325" i="1" s="1"/>
  <c r="AK72" i="20" s="1"/>
  <c r="CH292" i="1"/>
  <c r="I76" i="17"/>
  <c r="A75" i="17"/>
  <c r="CH290" i="1"/>
  <c r="CH288" i="1"/>
  <c r="V39" i="10"/>
  <c r="Y9" i="11"/>
  <c r="W22" i="10" s="1"/>
  <c r="CO161" i="4"/>
  <c r="CQ8" i="4"/>
  <c r="D29" i="5"/>
  <c r="H29" i="5" s="1"/>
  <c r="C30" i="5"/>
  <c r="AR7" i="21"/>
  <c r="CJ64" i="16"/>
  <c r="AR14" i="21"/>
  <c r="AK24" i="21" s="1"/>
  <c r="CJ71" i="16"/>
  <c r="CN79" i="16" s="1"/>
  <c r="N41" i="10"/>
  <c r="CI66" i="16" s="1"/>
  <c r="Q9" i="22"/>
  <c r="G6" i="22" s="1"/>
  <c r="C23" i="17"/>
  <c r="D22" i="17"/>
  <c r="H22" i="17" s="1"/>
  <c r="M197" i="17"/>
  <c r="P16" i="5"/>
  <c r="P190" i="5" s="1"/>
  <c r="P204" i="5" s="1"/>
  <c r="K197" i="5"/>
  <c r="O16" i="5"/>
  <c r="W16" i="5" s="1"/>
  <c r="L16" i="14"/>
  <c r="L191" i="14" s="1"/>
  <c r="L205" i="14" s="1"/>
  <c r="N16" i="5"/>
  <c r="N190" i="5" s="1"/>
  <c r="N204" i="5" s="1"/>
  <c r="O16" i="17"/>
  <c r="K16" i="14"/>
  <c r="K191" i="14" s="1"/>
  <c r="K205" i="14" s="1"/>
  <c r="JF67" i="1" a="1"/>
  <c r="JF68" i="1" s="1"/>
  <c r="KD17" i="1"/>
  <c r="P16" i="17"/>
  <c r="O198" i="14"/>
  <c r="J16" i="14"/>
  <c r="R16" i="14" s="1"/>
  <c r="P16" i="14"/>
  <c r="X16" i="14" s="1"/>
  <c r="JQ39" i="1" a="1"/>
  <c r="JR43" i="1" s="1"/>
  <c r="CI324" i="1"/>
  <c r="AK71" i="20" s="1"/>
  <c r="JQ97" i="1" a="1"/>
  <c r="JQ101" i="1" s="1"/>
  <c r="CI316" i="1"/>
  <c r="AK63" i="20" s="1"/>
  <c r="K16" i="17"/>
  <c r="S16" i="17" s="1"/>
  <c r="M16" i="14"/>
  <c r="U16" i="14" s="1"/>
  <c r="M197" i="5"/>
  <c r="M198" i="14"/>
  <c r="IL8" i="1" a="1"/>
  <c r="IL12" i="1" s="1"/>
  <c r="CI320" i="1"/>
  <c r="AK67" i="20" s="1"/>
  <c r="L16" i="17"/>
  <c r="T16" i="17" s="1"/>
  <c r="KC30" i="1"/>
  <c r="KD22" i="1"/>
  <c r="J197" i="17"/>
  <c r="EH523" i="1"/>
  <c r="I105" i="20" s="1"/>
  <c r="EJ515" i="1"/>
  <c r="I178" i="20" s="1"/>
  <c r="AS17" i="15"/>
  <c r="P17" i="15"/>
  <c r="D18" i="15"/>
  <c r="DH16" i="15"/>
  <c r="CK16" i="15"/>
  <c r="H34" i="13"/>
  <c r="J34" i="13" s="1"/>
  <c r="BI4" i="8"/>
  <c r="BI5" i="8" s="1"/>
  <c r="BK3" i="8"/>
  <c r="F52" i="15"/>
  <c r="BI4" i="15"/>
  <c r="BK4" i="15" s="1"/>
  <c r="H14" i="13"/>
  <c r="BH51" i="15"/>
  <c r="BG51" i="15" s="1"/>
  <c r="BG53" i="15" s="1"/>
  <c r="BH53" i="8"/>
  <c r="BG53" i="8" s="1"/>
  <c r="BG55" i="8" s="1"/>
  <c r="BI16" i="8"/>
  <c r="Q201" i="14"/>
  <c r="S194" i="14" s="1"/>
  <c r="EJ527" i="1"/>
  <c r="I190" i="20" s="1"/>
  <c r="N197" i="17"/>
  <c r="KD30" i="1"/>
  <c r="Q203" i="14"/>
  <c r="S196" i="14" s="1"/>
  <c r="IA7" i="1" a="1"/>
  <c r="IB10" i="1" s="1"/>
  <c r="L16" i="5"/>
  <c r="T16" i="5" s="1"/>
  <c r="KD35" i="1"/>
  <c r="N16" i="14"/>
  <c r="KC17" i="1"/>
  <c r="KD19" i="1"/>
  <c r="Q202" i="17"/>
  <c r="S195" i="17" s="1"/>
  <c r="JQ68" i="1" a="1"/>
  <c r="JQ71" i="1" s="1"/>
  <c r="JQ8" i="1" a="1"/>
  <c r="JR11" i="1" s="1"/>
  <c r="JF125" i="1" a="1"/>
  <c r="JF127" i="1" s="1"/>
  <c r="EI527" i="1"/>
  <c r="I150" i="20" s="1"/>
  <c r="JF38" i="1" a="1"/>
  <c r="JG40" i="1" s="1"/>
  <c r="EJ525" i="1"/>
  <c r="I188" i="20" s="1"/>
  <c r="EI513" i="1"/>
  <c r="I136" i="20" s="1"/>
  <c r="S35" i="15"/>
  <c r="EI521" i="1"/>
  <c r="I144" i="20" s="1"/>
  <c r="EH515" i="1"/>
  <c r="I97" i="20" s="1"/>
  <c r="EI511" i="1"/>
  <c r="I134" i="20" s="1"/>
  <c r="EJ521" i="1"/>
  <c r="I184" i="20" s="1"/>
  <c r="EI517" i="1"/>
  <c r="I140" i="20" s="1"/>
  <c r="EH517" i="1"/>
  <c r="I99" i="20" s="1"/>
  <c r="JF96" i="1" a="1"/>
  <c r="JF96" i="1" s="1"/>
  <c r="EI515" i="1"/>
  <c r="I138" i="20" s="1"/>
  <c r="EI523" i="1"/>
  <c r="I146" i="20" s="1"/>
  <c r="J39" i="15"/>
  <c r="R39" i="15" s="1"/>
  <c r="EJ511" i="1"/>
  <c r="I174" i="20" s="1"/>
  <c r="EH513" i="1"/>
  <c r="I95" i="20" s="1"/>
  <c r="BW39" i="8"/>
  <c r="E36" i="21" s="1"/>
  <c r="BZ39" i="8"/>
  <c r="BZ41" i="8"/>
  <c r="EJ513" i="1"/>
  <c r="I176" i="20" s="1"/>
  <c r="EI525" i="1"/>
  <c r="I148" i="20" s="1"/>
  <c r="EH527" i="1"/>
  <c r="I109" i="20" s="1"/>
  <c r="EJ509" i="1"/>
  <c r="I172" i="20" s="1"/>
  <c r="EJ517" i="1"/>
  <c r="I180" i="20" s="1"/>
  <c r="EH511" i="1"/>
  <c r="I93" i="20" s="1"/>
  <c r="EI519" i="1"/>
  <c r="I142" i="20" s="1"/>
  <c r="AF14" i="7"/>
  <c r="AC15" i="7" s="1"/>
  <c r="AD15" i="7" s="1"/>
  <c r="AF15" i="7" s="1"/>
  <c r="AC16" i="7" s="1"/>
  <c r="AY33" i="15"/>
  <c r="U35" i="15"/>
  <c r="AL172" i="20"/>
  <c r="AL176" i="20"/>
  <c r="AL180" i="20"/>
  <c r="AL184" i="20"/>
  <c r="AL188" i="20"/>
  <c r="AL192" i="20"/>
  <c r="AL196" i="20"/>
  <c r="AL175" i="20"/>
  <c r="AL179" i="20"/>
  <c r="AL183" i="20"/>
  <c r="AL187" i="20"/>
  <c r="AL191" i="20"/>
  <c r="AL195" i="20"/>
  <c r="AL174" i="20"/>
  <c r="AL178" i="20"/>
  <c r="AL182" i="20"/>
  <c r="AL186" i="20"/>
  <c r="AL190" i="20"/>
  <c r="AL194" i="20"/>
  <c r="AL173" i="20"/>
  <c r="AL177" i="20"/>
  <c r="AL181" i="20"/>
  <c r="AL185" i="20"/>
  <c r="AL189" i="20"/>
  <c r="AL193" i="20"/>
  <c r="AL171" i="20"/>
  <c r="CI319" i="1"/>
  <c r="AK66" i="20" s="1"/>
  <c r="CI323" i="1"/>
  <c r="AK70" i="20" s="1"/>
  <c r="CI318" i="1"/>
  <c r="AK65" i="20" s="1"/>
  <c r="CI322" i="1"/>
  <c r="AK69" i="20" s="1"/>
  <c r="CM174" i="1" a="1"/>
  <c r="CN175" i="1" s="1"/>
  <c r="CZ324" i="1"/>
  <c r="AK193" i="20" s="1"/>
  <c r="EI509" i="1"/>
  <c r="I132" i="20" s="1"/>
  <c r="EJ523" i="1"/>
  <c r="I186" i="20" s="1"/>
  <c r="EH519" i="1"/>
  <c r="I101" i="20" s="1"/>
  <c r="EH521" i="1"/>
  <c r="I103" i="20" s="1"/>
  <c r="EJ519" i="1"/>
  <c r="I182" i="20" s="1"/>
  <c r="EH525" i="1"/>
  <c r="I107" i="20" s="1"/>
  <c r="EH509" i="1"/>
  <c r="I91" i="20" s="1"/>
  <c r="JF7" i="1" a="1"/>
  <c r="GN170" i="1"/>
  <c r="GP11" i="1"/>
  <c r="AW15" i="16"/>
  <c r="BY15" i="16"/>
  <c r="CB63" i="16" s="1"/>
  <c r="BJ19" i="16"/>
  <c r="BJ20" i="16" s="1"/>
  <c r="AS16" i="16"/>
  <c r="D17" i="16"/>
  <c r="D17" i="8"/>
  <c r="AS16" i="8"/>
  <c r="Y35" i="15"/>
  <c r="Z35" i="15" s="1"/>
  <c r="GN166" i="1"/>
  <c r="GP7" i="1"/>
  <c r="BK16" i="16"/>
  <c r="BI17" i="16"/>
  <c r="AO15" i="16"/>
  <c r="AP15" i="16" s="1"/>
  <c r="AU15" i="16"/>
  <c r="P187" i="14"/>
  <c r="N187" i="14"/>
  <c r="P186" i="14"/>
  <c r="O182" i="14"/>
  <c r="O177" i="14"/>
  <c r="P182" i="14"/>
  <c r="P189" i="14" s="1"/>
  <c r="BJ19" i="8"/>
  <c r="F38" i="22"/>
  <c r="AZ39" i="2"/>
  <c r="C26" i="20"/>
  <c r="C147" i="20" s="1"/>
  <c r="C105" i="20"/>
  <c r="C64" i="20"/>
  <c r="Y33" i="15"/>
  <c r="Z33" i="15" s="1"/>
  <c r="Z22" i="8"/>
  <c r="Z20" i="8"/>
  <c r="AJ16" i="8"/>
  <c r="AK16" i="8" s="1"/>
  <c r="AQ15" i="8"/>
  <c r="AM15" i="8"/>
  <c r="AU15" i="8" s="1"/>
  <c r="BA101" i="8" s="1"/>
  <c r="W44" i="10"/>
  <c r="K12" i="21" s="1"/>
  <c r="D20" i="21" s="1"/>
  <c r="K21" i="2"/>
  <c r="W38" i="10"/>
  <c r="K6" i="21" s="1"/>
  <c r="K9" i="2"/>
  <c r="R46" i="10"/>
  <c r="X17" i="10"/>
  <c r="P47" i="10"/>
  <c r="W18" i="10"/>
  <c r="Z36" i="16"/>
  <c r="S19" i="15"/>
  <c r="U19" i="15"/>
  <c r="AY19" i="15"/>
  <c r="AY17" i="8"/>
  <c r="S17" i="8"/>
  <c r="A23" i="16"/>
  <c r="A23" i="15"/>
  <c r="X23" i="15" s="1"/>
  <c r="AT23" i="8"/>
  <c r="A15" i="16"/>
  <c r="A15" i="15"/>
  <c r="X15" i="15" s="1"/>
  <c r="AT15" i="8"/>
  <c r="W43" i="10"/>
  <c r="K11" i="21" s="1"/>
  <c r="D17" i="21" s="1"/>
  <c r="K18" i="2"/>
  <c r="X45" i="10"/>
  <c r="AC13" i="21" s="1"/>
  <c r="X25" i="2"/>
  <c r="X47" i="10"/>
  <c r="AC15" i="21" s="1"/>
  <c r="V28" i="21" s="1"/>
  <c r="X33" i="2"/>
  <c r="AY21" i="15"/>
  <c r="S21" i="15"/>
  <c r="S17" i="15"/>
  <c r="U17" i="15"/>
  <c r="AY17" i="15"/>
  <c r="A71" i="14"/>
  <c r="I72" i="14"/>
  <c r="AY37" i="8"/>
  <c r="S37" i="8"/>
  <c r="Y37" i="8"/>
  <c r="Z37" i="8" s="1"/>
  <c r="S33" i="8"/>
  <c r="Y33" i="8"/>
  <c r="Z33" i="8" s="1"/>
  <c r="AY33" i="8"/>
  <c r="O29" i="15"/>
  <c r="Q29" i="15" s="1"/>
  <c r="AT39" i="15"/>
  <c r="AN37" i="15"/>
  <c r="Y37" i="15"/>
  <c r="Z37" i="15" s="1"/>
  <c r="AN31" i="15"/>
  <c r="Y31" i="15"/>
  <c r="Z31" i="15" s="1"/>
  <c r="AN27" i="15"/>
  <c r="Y27" i="15"/>
  <c r="Z27" i="15" s="1"/>
  <c r="AY31" i="15"/>
  <c r="U31" i="15"/>
  <c r="S31" i="15"/>
  <c r="S27" i="15"/>
  <c r="AY27" i="15"/>
  <c r="Y35" i="8"/>
  <c r="Z35" i="8" s="1"/>
  <c r="S35" i="8"/>
  <c r="AY35" i="8"/>
  <c r="U35" i="8"/>
  <c r="Y31" i="8"/>
  <c r="Z31" i="8" s="1"/>
  <c r="AY31" i="8"/>
  <c r="S31" i="8"/>
  <c r="U31" i="8"/>
  <c r="J190" i="17"/>
  <c r="R16" i="17"/>
  <c r="J202" i="5"/>
  <c r="Q202" i="5" s="1"/>
  <c r="S195" i="5" s="1"/>
  <c r="KD9" i="1"/>
  <c r="J200" i="5"/>
  <c r="Q200" i="5" s="1"/>
  <c r="S193" i="5" s="1"/>
  <c r="KD7" i="1"/>
  <c r="J198" i="5"/>
  <c r="Q198" i="5" s="1"/>
  <c r="S191" i="5" s="1"/>
  <c r="KD5" i="1"/>
  <c r="GN174" i="1"/>
  <c r="GP13" i="1"/>
  <c r="GP8" i="1"/>
  <c r="GN167" i="1"/>
  <c r="E20" i="5"/>
  <c r="F19" i="5"/>
  <c r="EJ13" i="4"/>
  <c r="EF13" i="4" s="1"/>
  <c r="EJ11" i="4"/>
  <c r="EF11" i="4" s="1"/>
  <c r="EJ9" i="4"/>
  <c r="EF9" i="4" s="1"/>
  <c r="EJ12" i="4"/>
  <c r="EF12" i="4" s="1"/>
  <c r="EJ10" i="4"/>
  <c r="EF10" i="4" s="1"/>
  <c r="EJ8" i="4"/>
  <c r="EF8" i="4" s="1"/>
  <c r="EJ7" i="4"/>
  <c r="EF7" i="4" s="1"/>
  <c r="GN168" i="1"/>
  <c r="GP9" i="1"/>
  <c r="BJ17" i="15"/>
  <c r="BK3" i="16"/>
  <c r="BI4" i="16"/>
  <c r="W42" i="10"/>
  <c r="K10" i="21" s="1"/>
  <c r="D14" i="21" s="1"/>
  <c r="K15" i="2"/>
  <c r="W46" i="10"/>
  <c r="K14" i="21" s="1"/>
  <c r="D28" i="21" s="1"/>
  <c r="K29" i="2"/>
  <c r="P45" i="10"/>
  <c r="W16" i="10"/>
  <c r="X44" i="10"/>
  <c r="AC12" i="21" s="1"/>
  <c r="V16" i="21" s="1"/>
  <c r="X21" i="2"/>
  <c r="X42" i="10"/>
  <c r="AC10" i="21" s="1"/>
  <c r="V10" i="21" s="1"/>
  <c r="X15" i="2"/>
  <c r="Z38" i="16"/>
  <c r="Z32" i="16"/>
  <c r="Z30" i="16"/>
  <c r="Z28" i="16"/>
  <c r="S25" i="15"/>
  <c r="AY25" i="15"/>
  <c r="S23" i="15"/>
  <c r="AY23" i="15"/>
  <c r="AY21" i="8"/>
  <c r="S21" i="8"/>
  <c r="U15" i="15"/>
  <c r="AY15" i="15"/>
  <c r="S15" i="15"/>
  <c r="W15" i="15" s="1"/>
  <c r="Y17" i="8"/>
  <c r="Z17" i="8" s="1"/>
  <c r="A19" i="16"/>
  <c r="A19" i="15"/>
  <c r="X19" i="15" s="1"/>
  <c r="AT19" i="8"/>
  <c r="W41" i="10"/>
  <c r="K9" i="21" s="1"/>
  <c r="D11" i="21" s="1"/>
  <c r="K12" i="2"/>
  <c r="X43" i="10"/>
  <c r="AC11" i="21" s="1"/>
  <c r="V13" i="21" s="1"/>
  <c r="X18" i="2"/>
  <c r="X41" i="10"/>
  <c r="AC9" i="21" s="1"/>
  <c r="V7" i="21" s="1"/>
  <c r="X12" i="2"/>
  <c r="X39" i="10"/>
  <c r="AC7" i="21" s="1"/>
  <c r="AT35" i="15"/>
  <c r="AT33" i="15"/>
  <c r="AN29" i="15"/>
  <c r="Y25" i="15"/>
  <c r="Z25" i="15" s="1"/>
  <c r="AN25" i="15"/>
  <c r="Y21" i="15"/>
  <c r="Z21" i="15" s="1"/>
  <c r="AN21" i="15"/>
  <c r="Y17" i="15"/>
  <c r="Z17" i="15" s="1"/>
  <c r="AN17" i="15"/>
  <c r="U17" i="8"/>
  <c r="R29" i="8"/>
  <c r="B29" i="16"/>
  <c r="B29" i="15"/>
  <c r="J29" i="15" s="1"/>
  <c r="R29" i="15" s="1"/>
  <c r="A20" i="14"/>
  <c r="I21" i="14"/>
  <c r="H24" i="13"/>
  <c r="J24" i="13" s="1"/>
  <c r="S27" i="8"/>
  <c r="AY27" i="8"/>
  <c r="Y27" i="8"/>
  <c r="Z27" i="8" s="1"/>
  <c r="Y39" i="8"/>
  <c r="Z39" i="8" s="1"/>
  <c r="Z40" i="8" s="1"/>
  <c r="S39" i="8"/>
  <c r="AY39" i="8"/>
  <c r="U39" i="8"/>
  <c r="C27" i="14"/>
  <c r="D26" i="14"/>
  <c r="H26" i="14" s="1"/>
  <c r="P15" i="7"/>
  <c r="D16" i="7"/>
  <c r="D17" i="7" s="1"/>
  <c r="N190" i="17"/>
  <c r="V16" i="17"/>
  <c r="W16" i="14"/>
  <c r="O191" i="14"/>
  <c r="U16" i="5"/>
  <c r="M190" i="5"/>
  <c r="K190" i="5"/>
  <c r="S16" i="5"/>
  <c r="KD8" i="1"/>
  <c r="J201" i="5"/>
  <c r="Q201" i="5" s="1"/>
  <c r="S194" i="5" s="1"/>
  <c r="KD6" i="1"/>
  <c r="J199" i="5"/>
  <c r="Q199" i="5" s="1"/>
  <c r="S192" i="5" s="1"/>
  <c r="HF8" i="1" a="1"/>
  <c r="J197" i="5"/>
  <c r="KD4" i="1"/>
  <c r="KC4" i="1"/>
  <c r="GN173" i="1"/>
  <c r="GP12" i="1"/>
  <c r="BK4" i="8"/>
  <c r="U16" i="17"/>
  <c r="M190" i="17"/>
  <c r="M204" i="17" s="1"/>
  <c r="X16" i="5"/>
  <c r="DQ11" i="4"/>
  <c r="DQ9" i="4"/>
  <c r="DQ7" i="4"/>
  <c r="DR11" i="4"/>
  <c r="DR9" i="4"/>
  <c r="DR7" i="4"/>
  <c r="DQ12" i="4"/>
  <c r="DQ10" i="4"/>
  <c r="DQ8" i="4"/>
  <c r="DR12" i="4"/>
  <c r="DR10" i="4"/>
  <c r="DR8" i="4"/>
  <c r="GP10" i="1"/>
  <c r="GN169" i="1"/>
  <c r="BK15" i="15"/>
  <c r="BQ15" i="15" s="1"/>
  <c r="BI16" i="15"/>
  <c r="J190" i="5"/>
  <c r="R16" i="5"/>
  <c r="CH427" i="1"/>
  <c r="CS427" i="1"/>
  <c r="CM427" i="1"/>
  <c r="CY427" i="1"/>
  <c r="CZ323" i="1"/>
  <c r="AK192" i="20" s="1"/>
  <c r="S163" i="20" l="1"/>
  <c r="W163" i="20" s="1"/>
  <c r="S80" i="20"/>
  <c r="W80" i="20" s="1"/>
  <c r="S162" i="20"/>
  <c r="W162" i="20" s="1"/>
  <c r="S121" i="20"/>
  <c r="W121" i="20" s="1"/>
  <c r="S202" i="20"/>
  <c r="W202" i="20" s="1"/>
  <c r="S120" i="20"/>
  <c r="W120" i="20" s="1"/>
  <c r="S79" i="20"/>
  <c r="W79" i="20" s="1"/>
  <c r="S161" i="20"/>
  <c r="W161" i="20" s="1"/>
  <c r="S201" i="20"/>
  <c r="W201" i="20" s="1"/>
  <c r="S123" i="20"/>
  <c r="W123" i="20" s="1"/>
  <c r="S204" i="20"/>
  <c r="W204" i="20" s="1"/>
  <c r="S82" i="20"/>
  <c r="W82" i="20" s="1"/>
  <c r="S164" i="20"/>
  <c r="W164" i="20" s="1"/>
  <c r="S122" i="20"/>
  <c r="W122" i="20" s="1"/>
  <c r="S119" i="20"/>
  <c r="W119" i="20" s="1"/>
  <c r="S160" i="20"/>
  <c r="W160" i="20" s="1"/>
  <c r="S200" i="20"/>
  <c r="W200" i="20" s="1"/>
  <c r="S203" i="20"/>
  <c r="W203" i="20" s="1"/>
  <c r="AL42" i="20"/>
  <c r="O190" i="5"/>
  <c r="O204" i="5" s="1"/>
  <c r="CM325" i="1"/>
  <c r="CN324" i="1"/>
  <c r="CZ327" i="1"/>
  <c r="CY328" i="1"/>
  <c r="CS216" i="1"/>
  <c r="CT215" i="1"/>
  <c r="CY214" i="1"/>
  <c r="CZ213" i="1"/>
  <c r="CH205" i="1"/>
  <c r="CI204" i="1"/>
  <c r="CG204" i="1" s="1"/>
  <c r="CI307" i="1"/>
  <c r="AK54" i="20" s="1"/>
  <c r="CI309" i="1"/>
  <c r="AK56" i="20" s="1"/>
  <c r="CI302" i="1"/>
  <c r="AK49" i="20" s="1"/>
  <c r="CI312" i="1"/>
  <c r="AK59" i="20" s="1"/>
  <c r="CI310" i="1"/>
  <c r="AK57" i="20" s="1"/>
  <c r="CI313" i="1"/>
  <c r="AK60" i="20" s="1"/>
  <c r="J115" i="20"/>
  <c r="DP591" i="1"/>
  <c r="J117" i="20"/>
  <c r="DP593" i="1"/>
  <c r="I204" i="20"/>
  <c r="I162" i="20"/>
  <c r="I123" i="20"/>
  <c r="I121" i="20"/>
  <c r="EI531" i="1"/>
  <c r="I154" i="20" s="1"/>
  <c r="I153" i="20"/>
  <c r="I78" i="20"/>
  <c r="V16" i="5"/>
  <c r="EH529" i="1"/>
  <c r="I111" i="20" s="1"/>
  <c r="I112" i="20"/>
  <c r="I82" i="20"/>
  <c r="EI537" i="1"/>
  <c r="I159" i="20"/>
  <c r="I202" i="20"/>
  <c r="P196" i="14"/>
  <c r="P210" i="14" s="1"/>
  <c r="JQ100" i="1"/>
  <c r="EJ535" i="1"/>
  <c r="I198" i="20" s="1"/>
  <c r="JR69" i="1"/>
  <c r="JG67" i="1"/>
  <c r="EK541" i="1"/>
  <c r="EK533" i="1"/>
  <c r="EK539" i="1"/>
  <c r="EK511" i="1"/>
  <c r="EH537" i="1"/>
  <c r="EK536" i="1"/>
  <c r="EK523" i="1"/>
  <c r="EK527" i="1"/>
  <c r="EK517" i="1"/>
  <c r="EK509" i="1"/>
  <c r="EH535" i="1"/>
  <c r="I117" i="20" s="1"/>
  <c r="EK525" i="1"/>
  <c r="EJ537" i="1"/>
  <c r="EI529" i="1"/>
  <c r="I152" i="20" s="1"/>
  <c r="EK521" i="1"/>
  <c r="EI535" i="1"/>
  <c r="I158" i="20" s="1"/>
  <c r="EK519" i="1"/>
  <c r="EK513" i="1"/>
  <c r="EK530" i="1"/>
  <c r="EH531" i="1"/>
  <c r="I113" i="20" s="1"/>
  <c r="EK515" i="1"/>
  <c r="P193" i="14"/>
  <c r="P207" i="14" s="1"/>
  <c r="P195" i="14"/>
  <c r="P209" i="14" s="1"/>
  <c r="P194" i="14"/>
  <c r="P208" i="14" s="1"/>
  <c r="P191" i="14"/>
  <c r="P205" i="14" s="1"/>
  <c r="P192" i="14"/>
  <c r="P206" i="14" s="1"/>
  <c r="T16" i="14"/>
  <c r="J191" i="14"/>
  <c r="J205" i="14" s="1"/>
  <c r="BI5" i="15"/>
  <c r="BI6" i="15" s="1"/>
  <c r="C31" i="5"/>
  <c r="D30" i="5"/>
  <c r="H30" i="5" s="1"/>
  <c r="AG85" i="22"/>
  <c r="AG115" i="22" s="1"/>
  <c r="AG145" i="22" s="1"/>
  <c r="AU55" i="22"/>
  <c r="AU85" i="22" s="1"/>
  <c r="AU115" i="22" s="1"/>
  <c r="AU145" i="22" s="1"/>
  <c r="CS8" i="4"/>
  <c r="CS161" i="4" s="1"/>
  <c r="CQ161" i="4"/>
  <c r="D101" i="14"/>
  <c r="H101" i="14" s="1"/>
  <c r="C102" i="14"/>
  <c r="A22" i="17"/>
  <c r="I23" i="17"/>
  <c r="F20" i="17"/>
  <c r="E21" i="17"/>
  <c r="AG56" i="22"/>
  <c r="S86" i="22"/>
  <c r="S116" i="22" s="1"/>
  <c r="S146" i="22" s="1"/>
  <c r="I24" i="5"/>
  <c r="A23" i="5"/>
  <c r="D58" i="22"/>
  <c r="S57" i="22"/>
  <c r="CS9" i="4"/>
  <c r="CS162" i="4" s="1"/>
  <c r="CQ162" i="4"/>
  <c r="B31" i="25"/>
  <c r="AC30" i="25"/>
  <c r="AE30" i="25"/>
  <c r="C24" i="17"/>
  <c r="D23" i="17"/>
  <c r="H23" i="17" s="1"/>
  <c r="E51" i="14"/>
  <c r="F50" i="14"/>
  <c r="DH15" i="15"/>
  <c r="CK15" i="15"/>
  <c r="CP15" i="15" s="1"/>
  <c r="CQ160" i="4"/>
  <c r="CS7" i="4"/>
  <c r="K204" i="5"/>
  <c r="JG72" i="1"/>
  <c r="CI326" i="1"/>
  <c r="CI317" i="1"/>
  <c r="AK64" i="20" s="1"/>
  <c r="CS13" i="4"/>
  <c r="CS166" i="4" s="1"/>
  <c r="CQ166" i="4"/>
  <c r="N194" i="14"/>
  <c r="N208" i="14" s="1"/>
  <c r="I77" i="17"/>
  <c r="A76" i="17"/>
  <c r="A74" i="5"/>
  <c r="I75" i="5"/>
  <c r="CI321" i="1"/>
  <c r="AK68" i="20" s="1"/>
  <c r="C72" i="17"/>
  <c r="D71" i="17"/>
  <c r="H71" i="17" s="1"/>
  <c r="C72" i="5"/>
  <c r="D71" i="5"/>
  <c r="H71" i="5" s="1"/>
  <c r="JQ42" i="1"/>
  <c r="O190" i="17"/>
  <c r="O204" i="17" s="1"/>
  <c r="W16" i="17"/>
  <c r="JR98" i="1"/>
  <c r="JG68" i="1"/>
  <c r="S16" i="14"/>
  <c r="Q198" i="14"/>
  <c r="S191" i="14" s="1"/>
  <c r="JR99" i="1"/>
  <c r="JF67" i="1"/>
  <c r="O205" i="14"/>
  <c r="JF70" i="1"/>
  <c r="JQ40" i="1"/>
  <c r="JG70" i="1"/>
  <c r="JF71" i="1"/>
  <c r="JG71" i="1"/>
  <c r="JG69" i="1"/>
  <c r="JR101" i="1"/>
  <c r="JR12" i="1"/>
  <c r="CI314" i="1"/>
  <c r="AK61" i="20" s="1"/>
  <c r="CI311" i="1"/>
  <c r="AK58" i="20" s="1"/>
  <c r="IA7" i="1"/>
  <c r="JQ69" i="1"/>
  <c r="CI308" i="1"/>
  <c r="AK55" i="20" s="1"/>
  <c r="CI306" i="1"/>
  <c r="AK53" i="20" s="1"/>
  <c r="CI303" i="1"/>
  <c r="AK50" i="20" s="1"/>
  <c r="IM11" i="1"/>
  <c r="JQ9" i="1"/>
  <c r="JQ98" i="1"/>
  <c r="JF69" i="1"/>
  <c r="JR97" i="1"/>
  <c r="CI304" i="1"/>
  <c r="AK51" i="20" s="1"/>
  <c r="JR10" i="1"/>
  <c r="CI305" i="1"/>
  <c r="AK52" i="20" s="1"/>
  <c r="IM9" i="1"/>
  <c r="CI315" i="1"/>
  <c r="AK62" i="20" s="1"/>
  <c r="IM12" i="1"/>
  <c r="JQ10" i="1"/>
  <c r="JQ97" i="1"/>
  <c r="JF72" i="1"/>
  <c r="JQ39" i="1"/>
  <c r="X16" i="17"/>
  <c r="JQ43" i="1"/>
  <c r="JR39" i="1"/>
  <c r="P190" i="17"/>
  <c r="P204" i="17" s="1"/>
  <c r="JQ41" i="1"/>
  <c r="JR40" i="1"/>
  <c r="JR42" i="1"/>
  <c r="JR41" i="1"/>
  <c r="JQ99" i="1"/>
  <c r="L190" i="17"/>
  <c r="L204" i="17" s="1"/>
  <c r="K190" i="17"/>
  <c r="K204" i="17" s="1"/>
  <c r="CM175" i="1"/>
  <c r="CZ319" i="1"/>
  <c r="AK188" i="20" s="1"/>
  <c r="CZ322" i="1"/>
  <c r="AK191" i="20" s="1"/>
  <c r="CZ318" i="1"/>
  <c r="AK187" i="20" s="1"/>
  <c r="AK195" i="20"/>
  <c r="JR100" i="1"/>
  <c r="IL9" i="1"/>
  <c r="JR8" i="1"/>
  <c r="CN176" i="1"/>
  <c r="Q197" i="5"/>
  <c r="S190" i="5" s="1"/>
  <c r="M204" i="5"/>
  <c r="IL8" i="1"/>
  <c r="JQ11" i="1"/>
  <c r="IA10" i="1"/>
  <c r="JF42" i="1"/>
  <c r="JF39" i="1"/>
  <c r="M191" i="14"/>
  <c r="M205" i="14" s="1"/>
  <c r="IM8" i="1"/>
  <c r="IL10" i="1"/>
  <c r="L190" i="5"/>
  <c r="L204" i="5" s="1"/>
  <c r="JR9" i="1"/>
  <c r="JF40" i="1"/>
  <c r="Q197" i="17"/>
  <c r="S190" i="17" s="1"/>
  <c r="JQ8" i="1"/>
  <c r="IM10" i="1"/>
  <c r="IL11" i="1"/>
  <c r="JQ12" i="1"/>
  <c r="N193" i="14"/>
  <c r="N207" i="14" s="1"/>
  <c r="N204" i="17"/>
  <c r="CP16" i="15"/>
  <c r="AS18" i="15"/>
  <c r="D19" i="15"/>
  <c r="AW17" i="15"/>
  <c r="BV17" i="15"/>
  <c r="BI17" i="8"/>
  <c r="BK16" i="8"/>
  <c r="BQ16" i="8" s="1"/>
  <c r="CN178" i="1"/>
  <c r="CM177" i="1"/>
  <c r="CN179" i="1"/>
  <c r="CT208" i="1"/>
  <c r="AJ151" i="20" s="1"/>
  <c r="CM176" i="1"/>
  <c r="CN177" i="1"/>
  <c r="IB8" i="1"/>
  <c r="IA12" i="1"/>
  <c r="JR70" i="1"/>
  <c r="JG125" i="1"/>
  <c r="JF128" i="1"/>
  <c r="IB9" i="1"/>
  <c r="CM179" i="1"/>
  <c r="CN174" i="1"/>
  <c r="N192" i="14"/>
  <c r="N206" i="14" s="1"/>
  <c r="JG38" i="1"/>
  <c r="JQ72" i="1"/>
  <c r="JF125" i="1"/>
  <c r="JG127" i="1"/>
  <c r="IA8" i="1"/>
  <c r="V16" i="14"/>
  <c r="N191" i="14"/>
  <c r="N205" i="14" s="1"/>
  <c r="JG43" i="1"/>
  <c r="JR71" i="1"/>
  <c r="JF130" i="1"/>
  <c r="IB7" i="1"/>
  <c r="JG41" i="1"/>
  <c r="JQ70" i="1"/>
  <c r="JF129" i="1"/>
  <c r="JG101" i="1"/>
  <c r="CM178" i="1"/>
  <c r="CM174" i="1"/>
  <c r="N195" i="14"/>
  <c r="N209" i="14" s="1"/>
  <c r="IA11" i="1"/>
  <c r="JF41" i="1"/>
  <c r="JR72" i="1"/>
  <c r="JF126" i="1"/>
  <c r="JG126" i="1"/>
  <c r="JR68" i="1"/>
  <c r="JG130" i="1"/>
  <c r="JG128" i="1"/>
  <c r="IB12" i="1"/>
  <c r="IB11" i="1"/>
  <c r="JG42" i="1"/>
  <c r="JG129" i="1"/>
  <c r="IA9" i="1"/>
  <c r="JQ68" i="1"/>
  <c r="JF98" i="1"/>
  <c r="JF100" i="1"/>
  <c r="JF43" i="1"/>
  <c r="JF38" i="1"/>
  <c r="JG39" i="1"/>
  <c r="JG99" i="1"/>
  <c r="JF99" i="1"/>
  <c r="JG96" i="1"/>
  <c r="JD101" i="1" s="1"/>
  <c r="IZ101" i="1" s="1"/>
  <c r="JG98" i="1"/>
  <c r="JF101" i="1"/>
  <c r="JG97" i="1"/>
  <c r="JG100" i="1"/>
  <c r="JF97" i="1"/>
  <c r="AO15" i="8"/>
  <c r="AP15" i="8" s="1"/>
  <c r="U39" i="15"/>
  <c r="S39" i="15"/>
  <c r="Y39" i="15"/>
  <c r="AY39" i="15"/>
  <c r="AG39" i="15" s="1"/>
  <c r="CL63" i="16"/>
  <c r="CB64" i="16"/>
  <c r="JF11" i="1"/>
  <c r="JG8" i="1"/>
  <c r="JF10" i="1"/>
  <c r="JG12" i="1"/>
  <c r="JF9" i="1"/>
  <c r="JG10" i="1"/>
  <c r="JF12" i="1"/>
  <c r="JF7" i="1"/>
  <c r="JG11" i="1"/>
  <c r="JG7" i="1"/>
  <c r="JF8" i="1"/>
  <c r="JG9" i="1"/>
  <c r="CZ317" i="1"/>
  <c r="AK186" i="20" s="1"/>
  <c r="CZ321" i="1"/>
  <c r="AK190" i="20" s="1"/>
  <c r="AK194" i="20"/>
  <c r="CZ316" i="1"/>
  <c r="AK185" i="20" s="1"/>
  <c r="CZ320" i="1"/>
  <c r="AK189" i="20" s="1"/>
  <c r="CN319" i="1"/>
  <c r="AK107" i="20" s="1"/>
  <c r="CN316" i="1"/>
  <c r="CN320" i="1"/>
  <c r="AK108" i="20" s="1"/>
  <c r="CN317" i="1"/>
  <c r="AK105" i="20" s="1"/>
  <c r="CN321" i="1"/>
  <c r="AK109" i="20" s="1"/>
  <c r="CN318" i="1"/>
  <c r="AK106" i="20" s="1"/>
  <c r="CT318" i="1"/>
  <c r="AK147" i="20" s="1"/>
  <c r="CT322" i="1"/>
  <c r="AK151" i="20" s="1"/>
  <c r="CT317" i="1"/>
  <c r="AK146" i="20" s="1"/>
  <c r="CT321" i="1"/>
  <c r="AK150" i="20" s="1"/>
  <c r="CT325" i="1"/>
  <c r="AK154" i="20" s="1"/>
  <c r="CT316" i="1"/>
  <c r="CT320" i="1"/>
  <c r="AK149" i="20" s="1"/>
  <c r="CT324" i="1"/>
  <c r="AK153" i="20" s="1"/>
  <c r="CT319" i="1"/>
  <c r="AK148" i="20" s="1"/>
  <c r="CT323" i="1"/>
  <c r="AK152" i="20" s="1"/>
  <c r="GR11" i="1"/>
  <c r="GR170" i="1" s="1"/>
  <c r="GP170" i="1"/>
  <c r="D18" i="16"/>
  <c r="P17" i="16"/>
  <c r="AS17" i="16"/>
  <c r="CP15" i="16"/>
  <c r="BY16" i="16"/>
  <c r="BQ16" i="16" s="1"/>
  <c r="AW16" i="16"/>
  <c r="Z36" i="15"/>
  <c r="Z34" i="15"/>
  <c r="AW16" i="8"/>
  <c r="BV16" i="8"/>
  <c r="AS17" i="8"/>
  <c r="D18" i="8"/>
  <c r="P17" i="8"/>
  <c r="GP166" i="1"/>
  <c r="GR7" i="1"/>
  <c r="GR166" i="1" s="1"/>
  <c r="BJ21" i="16"/>
  <c r="AV15" i="16"/>
  <c r="AX15" i="16"/>
  <c r="BM15" i="16" s="1"/>
  <c r="BK17" i="16"/>
  <c r="BI18" i="16"/>
  <c r="O185" i="14"/>
  <c r="O192" i="14" s="1"/>
  <c r="O206" i="14" s="1"/>
  <c r="O189" i="14"/>
  <c r="O196" i="14" s="1"/>
  <c r="O210" i="14" s="1"/>
  <c r="O187" i="14"/>
  <c r="O194" i="14" s="1"/>
  <c r="O208" i="14" s="1"/>
  <c r="O186" i="14"/>
  <c r="O193" i="14" s="1"/>
  <c r="O207" i="14" s="1"/>
  <c r="O188" i="14"/>
  <c r="O195" i="14" s="1"/>
  <c r="O209" i="14" s="1"/>
  <c r="BJ20" i="8"/>
  <c r="C27" i="20"/>
  <c r="C148" i="20" s="1"/>
  <c r="C106" i="20"/>
  <c r="C65" i="20"/>
  <c r="Z32" i="15"/>
  <c r="Z32" i="8"/>
  <c r="Z36" i="8"/>
  <c r="Z34" i="8"/>
  <c r="BI17" i="15"/>
  <c r="BK16" i="15"/>
  <c r="BQ16" i="15" s="1"/>
  <c r="DO12" i="4"/>
  <c r="DK12" i="4" s="1"/>
  <c r="DO10" i="4"/>
  <c r="DK10" i="4" s="1"/>
  <c r="DO8" i="4"/>
  <c r="DK8" i="4" s="1"/>
  <c r="DO13" i="4"/>
  <c r="DK13" i="4" s="1"/>
  <c r="DO11" i="4"/>
  <c r="DK11" i="4" s="1"/>
  <c r="DO9" i="4"/>
  <c r="DK9" i="4" s="1"/>
  <c r="DO7" i="4"/>
  <c r="DK7" i="4" s="1"/>
  <c r="HG9" i="1"/>
  <c r="HF10" i="1"/>
  <c r="HG10" i="1"/>
  <c r="HG12" i="1"/>
  <c r="HF9" i="1"/>
  <c r="HG11" i="1"/>
  <c r="HF12" i="1"/>
  <c r="HF8" i="1"/>
  <c r="HF11" i="1"/>
  <c r="HG8" i="1"/>
  <c r="D27" i="14"/>
  <c r="H27" i="14" s="1"/>
  <c r="C28" i="14"/>
  <c r="Z26" i="8"/>
  <c r="I22" i="14"/>
  <c r="A21" i="14"/>
  <c r="S29" i="15"/>
  <c r="AY29" i="15"/>
  <c r="AY29" i="8"/>
  <c r="S29" i="8"/>
  <c r="Y29" i="8"/>
  <c r="Z29" i="8" s="1"/>
  <c r="Z30" i="8" s="1"/>
  <c r="AT17" i="15"/>
  <c r="AT21" i="15"/>
  <c r="AT25" i="15"/>
  <c r="Y29" i="15"/>
  <c r="Z29" i="15" s="1"/>
  <c r="Z28" i="15" s="1"/>
  <c r="Y19" i="15"/>
  <c r="Z19" i="15" s="1"/>
  <c r="Z18" i="15" s="1"/>
  <c r="AN19" i="15"/>
  <c r="Z18" i="8"/>
  <c r="Z16" i="8"/>
  <c r="W45" i="10"/>
  <c r="K13" i="21" s="1"/>
  <c r="K25" i="2"/>
  <c r="AX25" i="2" s="1"/>
  <c r="AX15" i="2"/>
  <c r="BI5" i="16"/>
  <c r="BK4" i="16"/>
  <c r="BJ18" i="15"/>
  <c r="GP174" i="1"/>
  <c r="GR13" i="1"/>
  <c r="GR174" i="1" s="1"/>
  <c r="J204" i="17"/>
  <c r="AT27" i="15"/>
  <c r="AT31" i="15"/>
  <c r="AT37" i="15"/>
  <c r="I73" i="14"/>
  <c r="A72" i="14"/>
  <c r="Y23" i="15"/>
  <c r="Z23" i="15" s="1"/>
  <c r="Z22" i="15" s="1"/>
  <c r="AN23" i="15"/>
  <c r="W47" i="10"/>
  <c r="K15" i="21" s="1"/>
  <c r="D32" i="21" s="1"/>
  <c r="K33" i="2"/>
  <c r="AX33" i="2" s="1"/>
  <c r="X46" i="10"/>
  <c r="AC14" i="21" s="1"/>
  <c r="V24" i="21" s="1"/>
  <c r="X29" i="2"/>
  <c r="AX29" i="2" s="1"/>
  <c r="AX21" i="2"/>
  <c r="AV15" i="8"/>
  <c r="AX15" i="8"/>
  <c r="GP169" i="1"/>
  <c r="GR10" i="1"/>
  <c r="GR169" i="1" s="1"/>
  <c r="BK5" i="8"/>
  <c r="BI6" i="8"/>
  <c r="GR12" i="1"/>
  <c r="GR173" i="1" s="1"/>
  <c r="GP173" i="1"/>
  <c r="P17" i="7"/>
  <c r="D18" i="7"/>
  <c r="D19" i="7" s="1"/>
  <c r="Z26" i="15"/>
  <c r="AT29" i="15"/>
  <c r="AX12" i="2"/>
  <c r="GR9" i="1"/>
  <c r="GR168" i="1" s="1"/>
  <c r="GP168" i="1"/>
  <c r="F20" i="5"/>
  <c r="E21" i="5"/>
  <c r="GP167" i="1"/>
  <c r="GR8" i="1"/>
  <c r="Z38" i="8"/>
  <c r="AX18" i="2"/>
  <c r="Y15" i="15"/>
  <c r="Z15" i="15" s="1"/>
  <c r="AN15" i="15"/>
  <c r="AJ15" i="15"/>
  <c r="AD16" i="7"/>
  <c r="AF16" i="7" s="1"/>
  <c r="AC17" i="7" s="1"/>
  <c r="AH15" i="7"/>
  <c r="AI15" i="7" s="1"/>
  <c r="J204" i="5"/>
  <c r="CY428" i="1"/>
  <c r="CM428" i="1"/>
  <c r="CS428" i="1"/>
  <c r="CH428" i="1"/>
  <c r="CZ202" i="1"/>
  <c r="AJ185" i="20" s="1"/>
  <c r="CZ204" i="1"/>
  <c r="AJ187" i="20" s="1"/>
  <c r="CZ205" i="1"/>
  <c r="AJ188" i="20" s="1"/>
  <c r="CZ206" i="1"/>
  <c r="AJ189" i="20" s="1"/>
  <c r="CZ207" i="1"/>
  <c r="AJ190" i="20" s="1"/>
  <c r="CZ210" i="1"/>
  <c r="AJ193" i="20" s="1"/>
  <c r="AJ194" i="20"/>
  <c r="CZ203" i="1"/>
  <c r="AJ186" i="20" s="1"/>
  <c r="CZ208" i="1"/>
  <c r="AJ191" i="20" s="1"/>
  <c r="CZ209" i="1"/>
  <c r="AJ192" i="20" s="1"/>
  <c r="CN206" i="1"/>
  <c r="AJ108" i="20" s="1"/>
  <c r="CN211" i="1"/>
  <c r="AJ113" i="20" s="1"/>
  <c r="AL41" i="20" l="1"/>
  <c r="AL43" i="20"/>
  <c r="AL40" i="20"/>
  <c r="AL39" i="20"/>
  <c r="CZ328" i="1"/>
  <c r="CY329" i="1"/>
  <c r="CM326" i="1"/>
  <c r="CN325" i="1"/>
  <c r="AK113" i="20" s="1"/>
  <c r="AK112" i="20"/>
  <c r="CL324" i="1"/>
  <c r="AK111" i="20"/>
  <c r="CL323" i="1"/>
  <c r="AK110" i="20"/>
  <c r="CL322" i="1"/>
  <c r="CH206" i="1"/>
  <c r="CI205" i="1"/>
  <c r="CG205" i="1" s="1"/>
  <c r="CY215" i="1"/>
  <c r="CZ214" i="1"/>
  <c r="CS217" i="1"/>
  <c r="CS218" i="1" s="1"/>
  <c r="CS219" i="1" s="1"/>
  <c r="CS220" i="1" s="1"/>
  <c r="CS221" i="1" s="1"/>
  <c r="CT216" i="1"/>
  <c r="D10" i="20"/>
  <c r="D131" i="20" s="1"/>
  <c r="G5" i="26" s="1"/>
  <c r="BB101" i="8"/>
  <c r="JD71" i="1"/>
  <c r="IZ71" i="1" s="1"/>
  <c r="JD70" i="1"/>
  <c r="IZ70" i="1" s="1"/>
  <c r="JD68" i="1"/>
  <c r="IZ68" i="1" s="1"/>
  <c r="HY9" i="1"/>
  <c r="HU9" i="1" s="1"/>
  <c r="JD72" i="1"/>
  <c r="IZ72" i="1" s="1"/>
  <c r="JD73" i="1"/>
  <c r="IZ73" i="1" s="1"/>
  <c r="JD67" i="1"/>
  <c r="IZ67" i="1" s="1"/>
  <c r="I160" i="20"/>
  <c r="I119" i="20"/>
  <c r="IJ13" i="1"/>
  <c r="IF13" i="1" s="1"/>
  <c r="KC25" i="1" s="1"/>
  <c r="I200" i="20"/>
  <c r="JO101" i="1"/>
  <c r="JK101" i="1" s="1"/>
  <c r="EK531" i="1"/>
  <c r="EK537" i="1"/>
  <c r="EK535" i="1"/>
  <c r="EK529" i="1"/>
  <c r="BK5" i="15"/>
  <c r="AG57" i="22"/>
  <c r="S87" i="22"/>
  <c r="S117" i="22" s="1"/>
  <c r="S147" i="22" s="1"/>
  <c r="D102" i="14"/>
  <c r="H102" i="14" s="1"/>
  <c r="C103" i="14"/>
  <c r="E52" i="14"/>
  <c r="F51" i="14"/>
  <c r="M177" i="14"/>
  <c r="N182" i="14"/>
  <c r="N189" i="14" s="1"/>
  <c r="N196" i="14" s="1"/>
  <c r="N210" i="14" s="1"/>
  <c r="A24" i="5"/>
  <c r="I25" i="5"/>
  <c r="C73" i="17"/>
  <c r="D72" i="17"/>
  <c r="H72" i="17" s="1"/>
  <c r="AK73" i="20"/>
  <c r="CI327" i="1"/>
  <c r="C25" i="17"/>
  <c r="D24" i="17"/>
  <c r="H24" i="17" s="1"/>
  <c r="AG86" i="22"/>
  <c r="AG116" i="22" s="1"/>
  <c r="AG146" i="22" s="1"/>
  <c r="AU56" i="22"/>
  <c r="AU86" i="22" s="1"/>
  <c r="AU116" i="22" s="1"/>
  <c r="AU146" i="22" s="1"/>
  <c r="I76" i="5"/>
  <c r="A75" i="5"/>
  <c r="D59" i="22"/>
  <c r="S58" i="22"/>
  <c r="F21" i="17"/>
  <c r="P176" i="17" s="1"/>
  <c r="E22" i="17"/>
  <c r="CV7" i="4" a="1"/>
  <c r="CS160" i="4"/>
  <c r="AE31" i="25"/>
  <c r="B32" i="25"/>
  <c r="AC31" i="25"/>
  <c r="C32" i="5"/>
  <c r="D31" i="5"/>
  <c r="H31" i="5" s="1"/>
  <c r="I24" i="17"/>
  <c r="A23" i="17"/>
  <c r="C73" i="5"/>
  <c r="D72" i="5"/>
  <c r="H72" i="5" s="1"/>
  <c r="A77" i="17"/>
  <c r="I78" i="17"/>
  <c r="JD69" i="1"/>
  <c r="IZ69" i="1" s="1"/>
  <c r="JO40" i="1"/>
  <c r="JK40" i="1" s="1"/>
  <c r="JO99" i="1"/>
  <c r="JK99" i="1" s="1"/>
  <c r="JO42" i="1"/>
  <c r="JK42" i="1" s="1"/>
  <c r="JO102" i="1"/>
  <c r="JK102" i="1" s="1"/>
  <c r="JO41" i="1"/>
  <c r="JK41" i="1" s="1"/>
  <c r="JO98" i="1"/>
  <c r="JK98" i="1" s="1"/>
  <c r="CZ311" i="1"/>
  <c r="AK180" i="20" s="1"/>
  <c r="CZ308" i="1"/>
  <c r="AK177" i="20" s="1"/>
  <c r="HD14" i="1"/>
  <c r="GZ14" i="1" s="1"/>
  <c r="HE14" i="1" s="1"/>
  <c r="JO97" i="1"/>
  <c r="JK97" i="1" s="1"/>
  <c r="JO100" i="1"/>
  <c r="JK100" i="1" s="1"/>
  <c r="JD131" i="1"/>
  <c r="IZ131" i="1" s="1"/>
  <c r="T190" i="5"/>
  <c r="U190" i="5" s="1"/>
  <c r="JO14" i="1"/>
  <c r="JK14" i="1" s="1"/>
  <c r="JO44" i="1"/>
  <c r="JK44" i="1" s="1"/>
  <c r="JO39" i="1"/>
  <c r="JK39" i="1" s="1"/>
  <c r="JO43" i="1"/>
  <c r="JK43" i="1" s="1"/>
  <c r="JD41" i="1"/>
  <c r="IZ41" i="1" s="1"/>
  <c r="T190" i="17"/>
  <c r="U190" i="17" s="1"/>
  <c r="Q190" i="5"/>
  <c r="Q204" i="5" s="1"/>
  <c r="Q190" i="17"/>
  <c r="Q204" i="17" s="1"/>
  <c r="CT211" i="1"/>
  <c r="AJ154" i="20" s="1"/>
  <c r="JD38" i="1"/>
  <c r="IZ38" i="1" s="1"/>
  <c r="CT204" i="1"/>
  <c r="AJ147" i="20" s="1"/>
  <c r="CZ312" i="1"/>
  <c r="AK181" i="20" s="1"/>
  <c r="IJ8" i="1"/>
  <c r="IF8" i="1" s="1"/>
  <c r="IK8" i="1" s="1"/>
  <c r="JD42" i="1"/>
  <c r="IZ42" i="1" s="1"/>
  <c r="CT212" i="1"/>
  <c r="AJ155" i="20" s="1"/>
  <c r="IJ10" i="1"/>
  <c r="IF10" i="1" s="1"/>
  <c r="KC22" i="1" s="1"/>
  <c r="JD96" i="1"/>
  <c r="IZ96" i="1" s="1"/>
  <c r="CZ307" i="1"/>
  <c r="AK176" i="20" s="1"/>
  <c r="JD97" i="1"/>
  <c r="IZ97" i="1" s="1"/>
  <c r="CT203" i="1"/>
  <c r="AJ146" i="20" s="1"/>
  <c r="CT205" i="1"/>
  <c r="AJ148" i="20" s="1"/>
  <c r="CZ315" i="1"/>
  <c r="AK184" i="20" s="1"/>
  <c r="IJ12" i="1"/>
  <c r="IF12" i="1" s="1"/>
  <c r="KC24" i="1" s="1"/>
  <c r="JO11" i="1"/>
  <c r="JK11" i="1" s="1"/>
  <c r="KC36" i="1" s="1"/>
  <c r="JD99" i="1"/>
  <c r="IZ99" i="1" s="1"/>
  <c r="JD102" i="1"/>
  <c r="IZ102" i="1" s="1"/>
  <c r="CN203" i="1"/>
  <c r="AJ105" i="20" s="1"/>
  <c r="JO13" i="1"/>
  <c r="JK13" i="1" s="1"/>
  <c r="KC38" i="1" s="1"/>
  <c r="IJ11" i="1"/>
  <c r="IF11" i="1" s="1"/>
  <c r="KC23" i="1" s="1"/>
  <c r="JO10" i="1"/>
  <c r="JK10" i="1" s="1"/>
  <c r="KC35" i="1" s="1"/>
  <c r="CT207" i="1"/>
  <c r="AJ150" i="20" s="1"/>
  <c r="CT209" i="1"/>
  <c r="AJ152" i="20" s="1"/>
  <c r="CZ304" i="1"/>
  <c r="AK173" i="20" s="1"/>
  <c r="IJ9" i="1"/>
  <c r="IF9" i="1" s="1"/>
  <c r="IK9" i="1" s="1"/>
  <c r="JO8" i="1"/>
  <c r="JK8" i="1" s="1"/>
  <c r="KC33" i="1" s="1"/>
  <c r="CT202" i="1"/>
  <c r="AJ145" i="20" s="1"/>
  <c r="CT206" i="1"/>
  <c r="AJ149" i="20" s="1"/>
  <c r="Q191" i="14"/>
  <c r="Q205" i="14" s="1"/>
  <c r="JD100" i="1"/>
  <c r="IZ100" i="1" s="1"/>
  <c r="JD14" i="1"/>
  <c r="IZ14" i="1" s="1"/>
  <c r="IJ14" i="1"/>
  <c r="IF14" i="1" s="1"/>
  <c r="IK14" i="1" s="1"/>
  <c r="JO12" i="1"/>
  <c r="JK12" i="1" s="1"/>
  <c r="KC37" i="1" s="1"/>
  <c r="T191" i="14"/>
  <c r="U191" i="14" s="1"/>
  <c r="CT210" i="1"/>
  <c r="AJ153" i="20" s="1"/>
  <c r="CZ303" i="1"/>
  <c r="AK172" i="20" s="1"/>
  <c r="JO9" i="1"/>
  <c r="JK9" i="1" s="1"/>
  <c r="KC34" i="1" s="1"/>
  <c r="BW15" i="16"/>
  <c r="DH17" i="15"/>
  <c r="CK17" i="15"/>
  <c r="P19" i="15"/>
  <c r="D20" i="15"/>
  <c r="AS19" i="15"/>
  <c r="BV18" i="15"/>
  <c r="AW18" i="15"/>
  <c r="BI18" i="8"/>
  <c r="BK17" i="8"/>
  <c r="BQ17" i="8" s="1"/>
  <c r="CN207" i="1"/>
  <c r="AJ109" i="20" s="1"/>
  <c r="CN212" i="1"/>
  <c r="CN213" i="1" s="1"/>
  <c r="CN210" i="1"/>
  <c r="AJ112" i="20" s="1"/>
  <c r="CN209" i="1"/>
  <c r="AJ111" i="20" s="1"/>
  <c r="CN202" i="1"/>
  <c r="AJ104" i="20" s="1"/>
  <c r="CN205" i="1"/>
  <c r="AJ107" i="20" s="1"/>
  <c r="CN204" i="1"/>
  <c r="AJ106" i="20" s="1"/>
  <c r="CN208" i="1"/>
  <c r="AJ110" i="20" s="1"/>
  <c r="HY7" i="1"/>
  <c r="HU7" i="1" s="1"/>
  <c r="HY10" i="1"/>
  <c r="HU10" i="1" s="1"/>
  <c r="HY12" i="1"/>
  <c r="HU12" i="1" s="1"/>
  <c r="HY13" i="1"/>
  <c r="HU13" i="1" s="1"/>
  <c r="JD126" i="1"/>
  <c r="IZ126" i="1" s="1"/>
  <c r="JD98" i="1"/>
  <c r="IZ98" i="1" s="1"/>
  <c r="JD128" i="1"/>
  <c r="IZ128" i="1" s="1"/>
  <c r="JD125" i="1"/>
  <c r="IZ125" i="1" s="1"/>
  <c r="JD129" i="1"/>
  <c r="IZ129" i="1" s="1"/>
  <c r="HY14" i="1"/>
  <c r="HU14" i="1" s="1"/>
  <c r="JO70" i="1"/>
  <c r="JK70" i="1" s="1"/>
  <c r="JO73" i="1"/>
  <c r="JK73" i="1" s="1"/>
  <c r="JO72" i="1"/>
  <c r="JK72" i="1" s="1"/>
  <c r="JO71" i="1"/>
  <c r="JK71" i="1" s="1"/>
  <c r="JO68" i="1"/>
  <c r="JK68" i="1" s="1"/>
  <c r="JO69" i="1"/>
  <c r="JK69" i="1" s="1"/>
  <c r="JD127" i="1"/>
  <c r="IZ127" i="1" s="1"/>
  <c r="JD130" i="1"/>
  <c r="IZ130" i="1" s="1"/>
  <c r="HY11" i="1"/>
  <c r="HU11" i="1" s="1"/>
  <c r="HY8" i="1"/>
  <c r="HU8" i="1" s="1"/>
  <c r="Z39" i="15"/>
  <c r="Z40" i="15" s="1"/>
  <c r="AA39" i="15"/>
  <c r="AK155" i="20"/>
  <c r="JD40" i="1"/>
  <c r="IZ40" i="1" s="1"/>
  <c r="JD43" i="1"/>
  <c r="IZ43" i="1" s="1"/>
  <c r="JD44" i="1"/>
  <c r="IZ44" i="1" s="1"/>
  <c r="JD39" i="1"/>
  <c r="IZ39" i="1" s="1"/>
  <c r="AJ195" i="20"/>
  <c r="CL64" i="16"/>
  <c r="CB65" i="16"/>
  <c r="BR16" i="16"/>
  <c r="BS16" i="16" s="1"/>
  <c r="CE64" i="16"/>
  <c r="CZ305" i="1"/>
  <c r="AK174" i="20" s="1"/>
  <c r="CZ309" i="1"/>
  <c r="AK178" i="20" s="1"/>
  <c r="CZ313" i="1"/>
  <c r="AK182" i="20" s="1"/>
  <c r="CZ302" i="1"/>
  <c r="AK171" i="20" s="1"/>
  <c r="CZ306" i="1"/>
  <c r="AK175" i="20" s="1"/>
  <c r="CZ310" i="1"/>
  <c r="AK179" i="20" s="1"/>
  <c r="CZ314" i="1"/>
  <c r="AK183" i="20" s="1"/>
  <c r="JD12" i="1"/>
  <c r="IZ12" i="1" s="1"/>
  <c r="JD8" i="1"/>
  <c r="IZ8" i="1" s="1"/>
  <c r="JD11" i="1"/>
  <c r="IZ11" i="1" s="1"/>
  <c r="JD9" i="1"/>
  <c r="IZ9" i="1" s="1"/>
  <c r="JD13" i="1"/>
  <c r="IZ13" i="1" s="1"/>
  <c r="JD7" i="1"/>
  <c r="IZ7" i="1" s="1"/>
  <c r="JD10" i="1"/>
  <c r="IZ10" i="1" s="1"/>
  <c r="AK145" i="20"/>
  <c r="CT315" i="1"/>
  <c r="AK144" i="20" s="1"/>
  <c r="CT311" i="1"/>
  <c r="AK140" i="20" s="1"/>
  <c r="CT307" i="1"/>
  <c r="AK136" i="20" s="1"/>
  <c r="CT303" i="1"/>
  <c r="AK132" i="20" s="1"/>
  <c r="CT312" i="1"/>
  <c r="AK141" i="20" s="1"/>
  <c r="CT308" i="1"/>
  <c r="AK137" i="20" s="1"/>
  <c r="CT304" i="1"/>
  <c r="AK133" i="20" s="1"/>
  <c r="CT313" i="1"/>
  <c r="AK142" i="20" s="1"/>
  <c r="CT309" i="1"/>
  <c r="AK138" i="20" s="1"/>
  <c r="CT305" i="1"/>
  <c r="AK134" i="20" s="1"/>
  <c r="CT314" i="1"/>
  <c r="AK143" i="20" s="1"/>
  <c r="CT310" i="1"/>
  <c r="AK139" i="20" s="1"/>
  <c r="CT306" i="1"/>
  <c r="AK135" i="20" s="1"/>
  <c r="CT302" i="1"/>
  <c r="AK131" i="20" s="1"/>
  <c r="AK104" i="20"/>
  <c r="CN314" i="1"/>
  <c r="AK102" i="20" s="1"/>
  <c r="CN310" i="1"/>
  <c r="AK98" i="20" s="1"/>
  <c r="CN306" i="1"/>
  <c r="AK94" i="20" s="1"/>
  <c r="CN302" i="1"/>
  <c r="AK90" i="20" s="1"/>
  <c r="CN313" i="1"/>
  <c r="AK101" i="20" s="1"/>
  <c r="CN309" i="1"/>
  <c r="AK97" i="20" s="1"/>
  <c r="CN305" i="1"/>
  <c r="AK93" i="20" s="1"/>
  <c r="CN312" i="1"/>
  <c r="AK100" i="20" s="1"/>
  <c r="CN308" i="1"/>
  <c r="AK96" i="20" s="1"/>
  <c r="CN304" i="1"/>
  <c r="AK92" i="20" s="1"/>
  <c r="CN315" i="1"/>
  <c r="AK103" i="20" s="1"/>
  <c r="CN311" i="1"/>
  <c r="AK99" i="20" s="1"/>
  <c r="CN307" i="1"/>
  <c r="AK95" i="20" s="1"/>
  <c r="CN303" i="1"/>
  <c r="AK91" i="20" s="1"/>
  <c r="CP16" i="16"/>
  <c r="BJ22" i="16"/>
  <c r="BY17" i="16"/>
  <c r="BQ17" i="16" s="1"/>
  <c r="AW17" i="16"/>
  <c r="D19" i="16"/>
  <c r="AS18" i="16"/>
  <c r="BI7" i="15"/>
  <c r="BK6" i="15"/>
  <c r="D19" i="8"/>
  <c r="AS18" i="8"/>
  <c r="CL16" i="8"/>
  <c r="DB16" i="8" s="1"/>
  <c r="AW17" i="8"/>
  <c r="BV17" i="8"/>
  <c r="BK18" i="16"/>
  <c r="BI19" i="16"/>
  <c r="F10" i="20"/>
  <c r="D90" i="20"/>
  <c r="F5" i="26" s="1"/>
  <c r="D171" i="20"/>
  <c r="H5" i="26" s="1"/>
  <c r="BJ21" i="8"/>
  <c r="C28" i="20"/>
  <c r="C149" i="20" s="1"/>
  <c r="C107" i="20"/>
  <c r="C66" i="20"/>
  <c r="AD17" i="7"/>
  <c r="AF17" i="7" s="1"/>
  <c r="AT15" i="15"/>
  <c r="GR167" i="1"/>
  <c r="GU7" i="1" a="1"/>
  <c r="P19" i="7"/>
  <c r="D20" i="7"/>
  <c r="D21" i="7" s="1"/>
  <c r="AT23" i="15"/>
  <c r="BK5" i="16"/>
  <c r="BI6" i="16"/>
  <c r="Z20" i="15"/>
  <c r="I23" i="14"/>
  <c r="A22" i="14"/>
  <c r="HD12" i="1"/>
  <c r="GZ12" i="1" s="1"/>
  <c r="HD13" i="1"/>
  <c r="GZ13" i="1" s="1"/>
  <c r="HD8" i="1"/>
  <c r="GZ8" i="1" s="1"/>
  <c r="HD9" i="1"/>
  <c r="GZ9" i="1" s="1"/>
  <c r="HD10" i="1"/>
  <c r="GZ10" i="1" s="1"/>
  <c r="HD11" i="1"/>
  <c r="GZ11" i="1" s="1"/>
  <c r="AQ15" i="15"/>
  <c r="AJ16" i="15"/>
  <c r="AK16" i="15" s="1"/>
  <c r="AM15" i="15"/>
  <c r="AU15" i="15" s="1"/>
  <c r="AV15" i="15" s="1"/>
  <c r="Z16" i="15"/>
  <c r="E22" i="5"/>
  <c r="F21" i="5"/>
  <c r="P176" i="5" s="1"/>
  <c r="BI7" i="8"/>
  <c r="BK6" i="8"/>
  <c r="BM15" i="8"/>
  <c r="Z24" i="15"/>
  <c r="I74" i="14"/>
  <c r="A73" i="14"/>
  <c r="BJ19" i="15"/>
  <c r="AT19" i="15"/>
  <c r="Z30" i="15"/>
  <c r="Z28" i="8"/>
  <c r="C29" i="14"/>
  <c r="D28" i="14"/>
  <c r="H28" i="14" s="1"/>
  <c r="BK17" i="15"/>
  <c r="BQ17" i="15" s="1"/>
  <c r="BI18" i="15"/>
  <c r="CH429" i="1"/>
  <c r="CS429" i="1"/>
  <c r="CM429" i="1"/>
  <c r="CY429" i="1"/>
  <c r="CZ201" i="1"/>
  <c r="AJ184" i="20" s="1"/>
  <c r="CZ199" i="1"/>
  <c r="AJ182" i="20" s="1"/>
  <c r="CZ197" i="1"/>
  <c r="AJ180" i="20" s="1"/>
  <c r="CZ195" i="1"/>
  <c r="AJ178" i="20" s="1"/>
  <c r="CZ193" i="1"/>
  <c r="AJ176" i="20" s="1"/>
  <c r="CZ191" i="1"/>
  <c r="AJ174" i="20" s="1"/>
  <c r="CZ189" i="1"/>
  <c r="AJ172" i="20" s="1"/>
  <c r="CZ200" i="1"/>
  <c r="AJ183" i="20" s="1"/>
  <c r="CZ198" i="1"/>
  <c r="AJ181" i="20" s="1"/>
  <c r="CZ196" i="1"/>
  <c r="AJ179" i="20" s="1"/>
  <c r="CZ194" i="1"/>
  <c r="AJ177" i="20" s="1"/>
  <c r="CZ192" i="1"/>
  <c r="AJ175" i="20" s="1"/>
  <c r="CZ190" i="1"/>
  <c r="AJ173" i="20" s="1"/>
  <c r="CZ188" i="1"/>
  <c r="AJ171" i="20" s="1"/>
  <c r="CL325" i="1" l="1"/>
  <c r="CM327" i="1"/>
  <c r="CN326" i="1"/>
  <c r="CZ329" i="1"/>
  <c r="CY330" i="1"/>
  <c r="CZ330" i="1" s="1"/>
  <c r="CY216" i="1"/>
  <c r="CZ215" i="1"/>
  <c r="CH207" i="1"/>
  <c r="CI206" i="1"/>
  <c r="CG206" i="1" s="1"/>
  <c r="D49" i="20"/>
  <c r="E5" i="26" s="1"/>
  <c r="IK13" i="1"/>
  <c r="CT196" i="1"/>
  <c r="AJ139" i="20" s="1"/>
  <c r="D60" i="22"/>
  <c r="S59" i="22"/>
  <c r="A25" i="5"/>
  <c r="I26" i="5"/>
  <c r="AG58" i="22"/>
  <c r="S88" i="22"/>
  <c r="S118" i="22" s="1"/>
  <c r="S148" i="22" s="1"/>
  <c r="C74" i="5"/>
  <c r="D73" i="5"/>
  <c r="H73" i="5" s="1"/>
  <c r="I77" i="5"/>
  <c r="A76" i="5"/>
  <c r="A24" i="17"/>
  <c r="I25" i="17"/>
  <c r="C33" i="5"/>
  <c r="D32" i="5"/>
  <c r="H32" i="5" s="1"/>
  <c r="E53" i="14"/>
  <c r="F52" i="14"/>
  <c r="C26" i="17"/>
  <c r="D25" i="17"/>
  <c r="H25" i="17" s="1"/>
  <c r="D103" i="14"/>
  <c r="H103" i="14" s="1"/>
  <c r="C104" i="14"/>
  <c r="C74" i="17"/>
  <c r="D73" i="17"/>
  <c r="H73" i="17" s="1"/>
  <c r="CI328" i="1"/>
  <c r="AK74" i="20"/>
  <c r="B33" i="25"/>
  <c r="AC32" i="25"/>
  <c r="AE32" i="25"/>
  <c r="CW12" i="4"/>
  <c r="CW165" i="4" s="1"/>
  <c r="CV11" i="4"/>
  <c r="CV164" i="4" s="1"/>
  <c r="CV10" i="4"/>
  <c r="CV163" i="4" s="1"/>
  <c r="CV9" i="4"/>
  <c r="CV162" i="4" s="1"/>
  <c r="CV8" i="4"/>
  <c r="CV161" i="4" s="1"/>
  <c r="CV7" i="4"/>
  <c r="CV160" i="4" s="1"/>
  <c r="CW11" i="4"/>
  <c r="CW164" i="4" s="1"/>
  <c r="CW8" i="4"/>
  <c r="CW161" i="4" s="1"/>
  <c r="CV12" i="4"/>
  <c r="CV165" i="4" s="1"/>
  <c r="CW7" i="4"/>
  <c r="CW9" i="4"/>
  <c r="CW162" i="4" s="1"/>
  <c r="CW10" i="4"/>
  <c r="CW163" i="4" s="1"/>
  <c r="A78" i="17"/>
  <c r="I79" i="17"/>
  <c r="E23" i="17"/>
  <c r="F22" i="17"/>
  <c r="AU57" i="22"/>
  <c r="AU87" i="22" s="1"/>
  <c r="AU117" i="22" s="1"/>
  <c r="AU147" i="22" s="1"/>
  <c r="AG87" i="22"/>
  <c r="AG117" i="22" s="1"/>
  <c r="AG147" i="22" s="1"/>
  <c r="IK11" i="1"/>
  <c r="KC20" i="1"/>
  <c r="KC21" i="1"/>
  <c r="CN190" i="1"/>
  <c r="AJ92" i="20" s="1"/>
  <c r="CT194" i="1"/>
  <c r="AJ137" i="20" s="1"/>
  <c r="CT189" i="1"/>
  <c r="AJ132" i="20" s="1"/>
  <c r="CT199" i="1"/>
  <c r="AJ142" i="20" s="1"/>
  <c r="CT197" i="1"/>
  <c r="AJ140" i="20" s="1"/>
  <c r="CT198" i="1"/>
  <c r="AJ141" i="20" s="1"/>
  <c r="AJ156" i="20"/>
  <c r="CT201" i="1"/>
  <c r="AJ144" i="20" s="1"/>
  <c r="CN199" i="1"/>
  <c r="AJ101" i="20" s="1"/>
  <c r="CT200" i="1"/>
  <c r="AJ143" i="20" s="1"/>
  <c r="CT191" i="1"/>
  <c r="AJ134" i="20" s="1"/>
  <c r="IK10" i="1"/>
  <c r="CT188" i="1"/>
  <c r="AJ131" i="20" s="1"/>
  <c r="CT190" i="1"/>
  <c r="AJ133" i="20" s="1"/>
  <c r="CT193" i="1"/>
  <c r="AJ136" i="20" s="1"/>
  <c r="CT192" i="1"/>
  <c r="AJ135" i="20" s="1"/>
  <c r="CT195" i="1"/>
  <c r="AJ138" i="20" s="1"/>
  <c r="IK12" i="1"/>
  <c r="AJ114" i="20"/>
  <c r="DH18" i="15"/>
  <c r="CK18" i="15"/>
  <c r="AS20" i="15"/>
  <c r="D21" i="15"/>
  <c r="AW19" i="15"/>
  <c r="BV19" i="15"/>
  <c r="CP17" i="15"/>
  <c r="AX15" i="15"/>
  <c r="E10" i="20" s="1"/>
  <c r="E49" i="20" s="1"/>
  <c r="E44" i="26" s="1"/>
  <c r="Z38" i="15"/>
  <c r="BI19" i="8"/>
  <c r="BK18" i="8"/>
  <c r="BQ18" i="8" s="1"/>
  <c r="CN198" i="1"/>
  <c r="AJ100" i="20" s="1"/>
  <c r="CN196" i="1"/>
  <c r="AJ98" i="20" s="1"/>
  <c r="CN189" i="1"/>
  <c r="AJ91" i="20" s="1"/>
  <c r="CN193" i="1"/>
  <c r="AJ95" i="20" s="1"/>
  <c r="CN194" i="1"/>
  <c r="AJ96" i="20" s="1"/>
  <c r="CN191" i="1"/>
  <c r="AJ93" i="20" s="1"/>
  <c r="CN197" i="1"/>
  <c r="AJ99" i="20" s="1"/>
  <c r="CN188" i="1"/>
  <c r="AJ90" i="20" s="1"/>
  <c r="CN192" i="1"/>
  <c r="AJ94" i="20" s="1"/>
  <c r="CN200" i="1"/>
  <c r="AJ102" i="20" s="1"/>
  <c r="CN195" i="1"/>
  <c r="AJ97" i="20" s="1"/>
  <c r="CN201" i="1"/>
  <c r="AJ103" i="20" s="1"/>
  <c r="AK156" i="20"/>
  <c r="AK196" i="20"/>
  <c r="AJ196" i="20"/>
  <c r="CN214" i="1"/>
  <c r="AJ115" i="20"/>
  <c r="CB66" i="16"/>
  <c r="CL65" i="16"/>
  <c r="CE65" i="16"/>
  <c r="BR17" i="16"/>
  <c r="BS17" i="16" s="1"/>
  <c r="AW18" i="16"/>
  <c r="BY18" i="16"/>
  <c r="BQ18" i="16" s="1"/>
  <c r="AS19" i="16"/>
  <c r="P19" i="16"/>
  <c r="D20" i="16"/>
  <c r="CP17" i="16"/>
  <c r="BJ23" i="16"/>
  <c r="BI8" i="15"/>
  <c r="BK7" i="15"/>
  <c r="CL17" i="8"/>
  <c r="DB17" i="8" s="1"/>
  <c r="AW18" i="8"/>
  <c r="BV18" i="8"/>
  <c r="P19" i="8"/>
  <c r="AS19" i="8"/>
  <c r="D20" i="8"/>
  <c r="BL15" i="16"/>
  <c r="BP15" i="16"/>
  <c r="BK19" i="16"/>
  <c r="BI20" i="16"/>
  <c r="F171" i="20"/>
  <c r="H87" i="26" s="1"/>
  <c r="F49" i="20"/>
  <c r="E87" i="26" s="1"/>
  <c r="F131" i="20"/>
  <c r="G87" i="26" s="1"/>
  <c r="F90" i="20"/>
  <c r="F87" i="26" s="1"/>
  <c r="BJ22" i="8"/>
  <c r="C29" i="20"/>
  <c r="C150" i="20" s="1"/>
  <c r="C108" i="20"/>
  <c r="C67" i="20"/>
  <c r="AC18" i="7"/>
  <c r="AH17" i="7"/>
  <c r="AI17" i="7" s="1"/>
  <c r="BK18" i="15"/>
  <c r="BQ18" i="15" s="1"/>
  <c r="BI19" i="15"/>
  <c r="BJ20" i="15"/>
  <c r="AQ16" i="15"/>
  <c r="HE11" i="1"/>
  <c r="KC10" i="1"/>
  <c r="HE9" i="1"/>
  <c r="KC8" i="1"/>
  <c r="HE13" i="1"/>
  <c r="KC12" i="1"/>
  <c r="BK6" i="16"/>
  <c r="BI7" i="16"/>
  <c r="AO15" i="15"/>
  <c r="AP15" i="15" s="1"/>
  <c r="C30" i="14"/>
  <c r="D29" i="14"/>
  <c r="H29" i="14" s="1"/>
  <c r="A74" i="14"/>
  <c r="I75" i="14"/>
  <c r="BL15" i="8"/>
  <c r="BP15" i="8"/>
  <c r="BI8" i="8"/>
  <c r="BK7" i="8"/>
  <c r="F22" i="5"/>
  <c r="E23" i="5"/>
  <c r="HE10" i="1"/>
  <c r="KC9" i="1"/>
  <c r="KC7" i="1"/>
  <c r="HE8" i="1"/>
  <c r="HE12" i="1"/>
  <c r="KC11" i="1"/>
  <c r="A23" i="14"/>
  <c r="I24" i="14"/>
  <c r="P21" i="7"/>
  <c r="D22" i="7"/>
  <c r="D23" i="7" s="1"/>
  <c r="GU7" i="1"/>
  <c r="GU166" i="1" s="1"/>
  <c r="GV11" i="1"/>
  <c r="GV170" i="1" s="1"/>
  <c r="GV8" i="1"/>
  <c r="GV167" i="1" s="1"/>
  <c r="GU11" i="1"/>
  <c r="GU170" i="1" s="1"/>
  <c r="GU8" i="1"/>
  <c r="GU167" i="1" s="1"/>
  <c r="GV10" i="1"/>
  <c r="GV169" i="1" s="1"/>
  <c r="GU9" i="1"/>
  <c r="GU168" i="1" s="1"/>
  <c r="GU10" i="1"/>
  <c r="GU169" i="1" s="1"/>
  <c r="GV12" i="1"/>
  <c r="GV173" i="1" s="1"/>
  <c r="GV9" i="1"/>
  <c r="GV168" i="1" s="1"/>
  <c r="GU12" i="1"/>
  <c r="GU173" i="1" s="1"/>
  <c r="GV7" i="1"/>
  <c r="CY430" i="1"/>
  <c r="CM430" i="1"/>
  <c r="CS430" i="1"/>
  <c r="CH430" i="1"/>
  <c r="CL326" i="1" l="1"/>
  <c r="AK114" i="20"/>
  <c r="CM328" i="1"/>
  <c r="CN327" i="1"/>
  <c r="I10" i="20"/>
  <c r="CH208" i="1"/>
  <c r="CI207" i="1"/>
  <c r="CG207" i="1" s="1"/>
  <c r="CY217" i="1"/>
  <c r="CY218" i="1" s="1"/>
  <c r="CY219" i="1" s="1"/>
  <c r="CY220" i="1" s="1"/>
  <c r="CY221" i="1" s="1"/>
  <c r="CZ216" i="1"/>
  <c r="BM15" i="15"/>
  <c r="AJ197" i="20"/>
  <c r="AK75" i="20"/>
  <c r="CI329" i="1"/>
  <c r="AK197" i="20"/>
  <c r="E24" i="17"/>
  <c r="F23" i="17"/>
  <c r="P177" i="17" s="1"/>
  <c r="P184" i="17" s="1"/>
  <c r="P191" i="17" s="1"/>
  <c r="P205" i="17" s="1"/>
  <c r="C75" i="17"/>
  <c r="D74" i="17"/>
  <c r="H74" i="17" s="1"/>
  <c r="I78" i="5"/>
  <c r="A77" i="5"/>
  <c r="A79" i="17"/>
  <c r="I80" i="17"/>
  <c r="C105" i="14"/>
  <c r="D104" i="14"/>
  <c r="H104" i="14" s="1"/>
  <c r="D74" i="5"/>
  <c r="H74" i="5" s="1"/>
  <c r="C75" i="5"/>
  <c r="I26" i="17"/>
  <c r="A25" i="17"/>
  <c r="AK157" i="20"/>
  <c r="C27" i="17"/>
  <c r="D26" i="17"/>
  <c r="H26" i="17" s="1"/>
  <c r="AU58" i="22"/>
  <c r="AU88" i="22" s="1"/>
  <c r="AU118" i="22" s="1"/>
  <c r="AU148" i="22" s="1"/>
  <c r="AG88" i="22"/>
  <c r="AG118" i="22" s="1"/>
  <c r="AG148" i="22" s="1"/>
  <c r="I27" i="5"/>
  <c r="A26" i="5"/>
  <c r="E54" i="14"/>
  <c r="F53" i="14"/>
  <c r="M178" i="14" s="1"/>
  <c r="M185" i="14" s="1"/>
  <c r="M192" i="14" s="1"/>
  <c r="M206" i="14" s="1"/>
  <c r="AJ116" i="20"/>
  <c r="CN215" i="1"/>
  <c r="AG59" i="22"/>
  <c r="S89" i="22"/>
  <c r="S119" i="22" s="1"/>
  <c r="S149" i="22" s="1"/>
  <c r="CT7" i="4"/>
  <c r="CT10" i="4"/>
  <c r="CT13" i="4"/>
  <c r="CT11" i="4"/>
  <c r="CW160" i="4"/>
  <c r="CT12" i="4"/>
  <c r="CT8" i="4"/>
  <c r="CT9" i="4"/>
  <c r="B34" i="25"/>
  <c r="AC33" i="25"/>
  <c r="AE33" i="25"/>
  <c r="C34" i="5"/>
  <c r="D33" i="5"/>
  <c r="H33" i="5" s="1"/>
  <c r="D61" i="22"/>
  <c r="S60" i="22"/>
  <c r="IK16" i="1"/>
  <c r="T186" i="17" s="1"/>
  <c r="E171" i="20"/>
  <c r="H44" i="26" s="1"/>
  <c r="E90" i="20"/>
  <c r="F44" i="26" s="1"/>
  <c r="E131" i="20"/>
  <c r="G44" i="26" s="1"/>
  <c r="G10" i="20"/>
  <c r="N10" i="20" s="1"/>
  <c r="DH19" i="15"/>
  <c r="CK19" i="15"/>
  <c r="P21" i="15"/>
  <c r="D22" i="15"/>
  <c r="AS21" i="15"/>
  <c r="CP18" i="15"/>
  <c r="BV20" i="15"/>
  <c r="AW20" i="15"/>
  <c r="BI20" i="8"/>
  <c r="BK19" i="8"/>
  <c r="BQ19" i="8" s="1"/>
  <c r="GS14" i="1"/>
  <c r="GO14" i="1" s="1"/>
  <c r="GO175" i="1" s="1"/>
  <c r="CE66" i="16"/>
  <c r="BR18" i="16"/>
  <c r="BS18" i="16" s="1"/>
  <c r="CB67" i="16"/>
  <c r="CL66" i="16"/>
  <c r="BJ24" i="16"/>
  <c r="CP18" i="16"/>
  <c r="D21" i="16"/>
  <c r="AS20" i="16"/>
  <c r="BY19" i="16"/>
  <c r="BQ19" i="16" s="1"/>
  <c r="AW19" i="16"/>
  <c r="BK8" i="15"/>
  <c r="BI9" i="15"/>
  <c r="AW19" i="8"/>
  <c r="BV19" i="8"/>
  <c r="CL18" i="8"/>
  <c r="DB18" i="8" s="1"/>
  <c r="AS20" i="8"/>
  <c r="D21" i="8"/>
  <c r="HE15" i="1"/>
  <c r="K10" i="20"/>
  <c r="BI21" i="16"/>
  <c r="BK20" i="16"/>
  <c r="BJ23" i="8"/>
  <c r="C30" i="20"/>
  <c r="C151" i="20" s="1"/>
  <c r="C109" i="20"/>
  <c r="C68" i="20"/>
  <c r="G49" i="20"/>
  <c r="GS12" i="1"/>
  <c r="GS9" i="1"/>
  <c r="GS8" i="1"/>
  <c r="GS13" i="1"/>
  <c r="GS7" i="1"/>
  <c r="GV166" i="1"/>
  <c r="GS11" i="1"/>
  <c r="GS10" i="1"/>
  <c r="P23" i="7"/>
  <c r="D24" i="7"/>
  <c r="D25" i="7" s="1"/>
  <c r="I76" i="14"/>
  <c r="A75" i="14"/>
  <c r="BI8" i="16"/>
  <c r="BK7" i="16"/>
  <c r="AM16" i="15"/>
  <c r="BJ21" i="15"/>
  <c r="AD18" i="7"/>
  <c r="AF18" i="7" s="1"/>
  <c r="AC19" i="7" s="1"/>
  <c r="I25" i="14"/>
  <c r="A24" i="14"/>
  <c r="BL15" i="15"/>
  <c r="CL15" i="15" s="1"/>
  <c r="E24" i="5"/>
  <c r="F23" i="5"/>
  <c r="P177" i="5" s="1"/>
  <c r="P184" i="5" s="1"/>
  <c r="P191" i="5" s="1"/>
  <c r="P205" i="5" s="1"/>
  <c r="BK8" i="8"/>
  <c r="BI9" i="8"/>
  <c r="C31" i="14"/>
  <c r="D30" i="14"/>
  <c r="H30" i="14" s="1"/>
  <c r="BK19" i="15"/>
  <c r="BQ19" i="15" s="1"/>
  <c r="BI20" i="15"/>
  <c r="CH431" i="1"/>
  <c r="CS431" i="1"/>
  <c r="CM431" i="1"/>
  <c r="CY431" i="1"/>
  <c r="CL327" i="1" l="1"/>
  <c r="AK115" i="20"/>
  <c r="CM329" i="1"/>
  <c r="CN328" i="1"/>
  <c r="CH209" i="1"/>
  <c r="CI208" i="1"/>
  <c r="CG208" i="1" s="1"/>
  <c r="T187" i="14"/>
  <c r="BM16" i="15"/>
  <c r="T186" i="5"/>
  <c r="G131" i="20"/>
  <c r="O131" i="20" s="1"/>
  <c r="BP15" i="15"/>
  <c r="CO15" i="15" s="1"/>
  <c r="C76" i="5"/>
  <c r="D75" i="5"/>
  <c r="H75" i="5" s="1"/>
  <c r="C76" i="17"/>
  <c r="D75" i="17"/>
  <c r="H75" i="17" s="1"/>
  <c r="CT161" i="4"/>
  <c r="CP8" i="4"/>
  <c r="CP161" i="4" s="1"/>
  <c r="CN216" i="1"/>
  <c r="AJ117" i="20"/>
  <c r="E25" i="17"/>
  <c r="F24" i="17"/>
  <c r="CP12" i="4"/>
  <c r="CP165" i="4" s="1"/>
  <c r="CT165" i="4"/>
  <c r="AK198" i="20"/>
  <c r="D27" i="17"/>
  <c r="H27" i="17" s="1"/>
  <c r="C28" i="17"/>
  <c r="CT164" i="4"/>
  <c r="CP11" i="4"/>
  <c r="CP164" i="4" s="1"/>
  <c r="D105" i="14"/>
  <c r="H105" i="14" s="1"/>
  <c r="C106" i="14"/>
  <c r="AG60" i="22"/>
  <c r="S90" i="22"/>
  <c r="S120" i="22" s="1"/>
  <c r="S150" i="22" s="1"/>
  <c r="CP13" i="4"/>
  <c r="CP166" i="4" s="1"/>
  <c r="CT166" i="4"/>
  <c r="E55" i="14"/>
  <c r="F54" i="14"/>
  <c r="AK158" i="20"/>
  <c r="A80" i="17"/>
  <c r="I81" i="17"/>
  <c r="AU59" i="22"/>
  <c r="AU89" i="22" s="1"/>
  <c r="AU119" i="22" s="1"/>
  <c r="AU149" i="22" s="1"/>
  <c r="AG89" i="22"/>
  <c r="AG119" i="22" s="1"/>
  <c r="AG149" i="22" s="1"/>
  <c r="D62" i="22"/>
  <c r="S61" i="22"/>
  <c r="CP10" i="4"/>
  <c r="CP163" i="4" s="1"/>
  <c r="CT163" i="4"/>
  <c r="CI330" i="1"/>
  <c r="AK76" i="20"/>
  <c r="B35" i="25"/>
  <c r="AC34" i="25"/>
  <c r="AE34" i="25"/>
  <c r="CT162" i="4"/>
  <c r="CP9" i="4"/>
  <c r="CP162" i="4" s="1"/>
  <c r="CT160" i="4"/>
  <c r="CP7" i="4"/>
  <c r="CP160" i="4" s="1"/>
  <c r="C35" i="5"/>
  <c r="D34" i="5"/>
  <c r="H34" i="5" s="1"/>
  <c r="I28" i="5"/>
  <c r="A27" i="5"/>
  <c r="I27" i="17"/>
  <c r="A26" i="17"/>
  <c r="A78" i="5"/>
  <c r="I79" i="5"/>
  <c r="AJ198" i="20"/>
  <c r="AJ157" i="20"/>
  <c r="O10" i="20"/>
  <c r="G171" i="20"/>
  <c r="N171" i="20" s="1"/>
  <c r="AU10" i="20"/>
  <c r="G90" i="20"/>
  <c r="N90" i="20" s="1"/>
  <c r="M10" i="20"/>
  <c r="J10" i="20"/>
  <c r="AW21" i="15"/>
  <c r="BV21" i="15"/>
  <c r="D23" i="15"/>
  <c r="AS22" i="15"/>
  <c r="CP19" i="15"/>
  <c r="DH20" i="15"/>
  <c r="CK20" i="15"/>
  <c r="BI21" i="8"/>
  <c r="BK20" i="8"/>
  <c r="BQ20" i="8" s="1"/>
  <c r="GS175" i="1"/>
  <c r="CE67" i="16"/>
  <c r="BR19" i="16"/>
  <c r="BS19" i="16" s="1"/>
  <c r="CB68" i="16"/>
  <c r="CL67" i="16"/>
  <c r="BY20" i="16"/>
  <c r="BQ20" i="16" s="1"/>
  <c r="AW20" i="16"/>
  <c r="CP19" i="16"/>
  <c r="P21" i="16"/>
  <c r="AS21" i="16"/>
  <c r="D22" i="16"/>
  <c r="BJ25" i="16"/>
  <c r="BK9" i="15"/>
  <c r="BI10" i="15"/>
  <c r="AS21" i="8"/>
  <c r="P21" i="8"/>
  <c r="D22" i="8"/>
  <c r="CL19" i="8"/>
  <c r="DB19" i="8" s="1"/>
  <c r="AW20" i="8"/>
  <c r="BV20" i="8"/>
  <c r="BK21" i="16"/>
  <c r="BI22" i="16"/>
  <c r="BJ24" i="8"/>
  <c r="C31" i="20"/>
  <c r="C152" i="20" s="1"/>
  <c r="C110" i="20"/>
  <c r="C69" i="20"/>
  <c r="N49" i="20"/>
  <c r="M49" i="20"/>
  <c r="O49" i="20"/>
  <c r="AD19" i="7"/>
  <c r="AF19" i="7" s="1"/>
  <c r="BK20" i="15"/>
  <c r="BQ20" i="15" s="1"/>
  <c r="BI21" i="15"/>
  <c r="D31" i="14"/>
  <c r="H31" i="14" s="1"/>
  <c r="C32" i="14"/>
  <c r="BL16" i="15"/>
  <c r="CL16" i="15" s="1"/>
  <c r="BP16" i="15"/>
  <c r="AU16" i="15"/>
  <c r="AJ17" i="15"/>
  <c r="AK17" i="15" s="1"/>
  <c r="BI9" i="16"/>
  <c r="BK8" i="16"/>
  <c r="A76" i="14"/>
  <c r="I77" i="14"/>
  <c r="P25" i="7"/>
  <c r="D26" i="7"/>
  <c r="D27" i="7" s="1"/>
  <c r="GS169" i="1"/>
  <c r="GO10" i="1"/>
  <c r="GO169" i="1" s="1"/>
  <c r="GS174" i="1"/>
  <c r="GO13" i="1"/>
  <c r="GO174" i="1" s="1"/>
  <c r="GO9" i="1"/>
  <c r="GO168" i="1" s="1"/>
  <c r="GS168" i="1"/>
  <c r="BI10" i="8"/>
  <c r="BK9" i="8"/>
  <c r="E25" i="5"/>
  <c r="F24" i="5"/>
  <c r="A25" i="14"/>
  <c r="I26" i="14"/>
  <c r="BJ22" i="15"/>
  <c r="GO11" i="1"/>
  <c r="GO170" i="1" s="1"/>
  <c r="GS170" i="1"/>
  <c r="GO7" i="1"/>
  <c r="GO166" i="1" s="1"/>
  <c r="GS166" i="1"/>
  <c r="GO8" i="1"/>
  <c r="GO167" i="1" s="1"/>
  <c r="GS167" i="1"/>
  <c r="GS173" i="1"/>
  <c r="GO12" i="1"/>
  <c r="GO173" i="1" s="1"/>
  <c r="CY432" i="1"/>
  <c r="CM432" i="1"/>
  <c r="CS432" i="1"/>
  <c r="CH432" i="1"/>
  <c r="CL328" i="1" l="1"/>
  <c r="AK116" i="20"/>
  <c r="CM330" i="1"/>
  <c r="CN329" i="1"/>
  <c r="CH210" i="1"/>
  <c r="CI209" i="1"/>
  <c r="CG209" i="1" s="1"/>
  <c r="AK199" i="20"/>
  <c r="CZ331" i="1"/>
  <c r="AK77" i="20"/>
  <c r="CI331" i="1"/>
  <c r="AJ199" i="20"/>
  <c r="CZ217" i="1"/>
  <c r="AJ118" i="20"/>
  <c r="CN217" i="1"/>
  <c r="M131" i="20"/>
  <c r="N131" i="20"/>
  <c r="O171" i="20"/>
  <c r="E56" i="14"/>
  <c r="F55" i="14"/>
  <c r="M179" i="14" s="1"/>
  <c r="M186" i="14" s="1"/>
  <c r="M193" i="14" s="1"/>
  <c r="M207" i="14" s="1"/>
  <c r="AG61" i="22"/>
  <c r="S91" i="22"/>
  <c r="S121" i="22" s="1"/>
  <c r="S151" i="22" s="1"/>
  <c r="A79" i="5"/>
  <c r="I80" i="5"/>
  <c r="D63" i="22"/>
  <c r="S62" i="22"/>
  <c r="M171" i="20"/>
  <c r="AG90" i="22"/>
  <c r="AG120" i="22" s="1"/>
  <c r="AG150" i="22" s="1"/>
  <c r="AU60" i="22"/>
  <c r="AU90" i="22" s="1"/>
  <c r="AU120" i="22" s="1"/>
  <c r="AU150" i="22" s="1"/>
  <c r="I28" i="17"/>
  <c r="A27" i="17"/>
  <c r="D106" i="14"/>
  <c r="H106" i="14" s="1"/>
  <c r="C107" i="14"/>
  <c r="AC35" i="25"/>
  <c r="AE35" i="25"/>
  <c r="B36" i="25"/>
  <c r="I82" i="17"/>
  <c r="A81" i="17"/>
  <c r="D76" i="17"/>
  <c r="H76" i="17" s="1"/>
  <c r="C77" i="17"/>
  <c r="A28" i="5"/>
  <c r="I29" i="5"/>
  <c r="C77" i="5"/>
  <c r="D76" i="5"/>
  <c r="H76" i="5" s="1"/>
  <c r="AJ158" i="20"/>
  <c r="C36" i="5"/>
  <c r="D35" i="5"/>
  <c r="H35" i="5" s="1"/>
  <c r="C29" i="17"/>
  <c r="D28" i="17"/>
  <c r="H28" i="17" s="1"/>
  <c r="F25" i="17"/>
  <c r="E26" i="17"/>
  <c r="M90" i="20"/>
  <c r="O90" i="20"/>
  <c r="CP20" i="15"/>
  <c r="DH21" i="15"/>
  <c r="CK21" i="15"/>
  <c r="AW22" i="15"/>
  <c r="BV22" i="15"/>
  <c r="D24" i="15"/>
  <c r="AS23" i="15"/>
  <c r="P23" i="15"/>
  <c r="BI22" i="8"/>
  <c r="BK21" i="8"/>
  <c r="BQ21" i="8" s="1"/>
  <c r="BR20" i="16"/>
  <c r="BS20" i="16" s="1"/>
  <c r="CE68" i="16"/>
  <c r="CB69" i="16"/>
  <c r="CL68" i="16"/>
  <c r="BJ26" i="16"/>
  <c r="BY21" i="16"/>
  <c r="BQ21" i="16" s="1"/>
  <c r="AW21" i="16"/>
  <c r="D23" i="16"/>
  <c r="AS22" i="16"/>
  <c r="CP20" i="16"/>
  <c r="CO16" i="15"/>
  <c r="BK10" i="15"/>
  <c r="BI11" i="15"/>
  <c r="CL20" i="8"/>
  <c r="DB20" i="8" s="1"/>
  <c r="AS22" i="8"/>
  <c r="D23" i="8"/>
  <c r="BV21" i="8"/>
  <c r="AW21" i="8"/>
  <c r="BI23" i="16"/>
  <c r="BK22" i="16"/>
  <c r="BJ25" i="8"/>
  <c r="C32" i="20"/>
  <c r="C153" i="20" s="1"/>
  <c r="C111" i="20"/>
  <c r="C70" i="20"/>
  <c r="BJ23" i="15"/>
  <c r="E26" i="5"/>
  <c r="F25" i="5"/>
  <c r="BI11" i="8"/>
  <c r="BK10" i="8"/>
  <c r="BI10" i="16"/>
  <c r="BK9" i="16"/>
  <c r="AV16" i="15"/>
  <c r="AX16" i="15"/>
  <c r="E11" i="20" s="1"/>
  <c r="I27" i="14"/>
  <c r="A26" i="14"/>
  <c r="P27" i="7"/>
  <c r="D28" i="7"/>
  <c r="D29" i="7" s="1"/>
  <c r="I78" i="14"/>
  <c r="A77" i="14"/>
  <c r="C33" i="14"/>
  <c r="D32" i="14"/>
  <c r="H32" i="14" s="1"/>
  <c r="BK21" i="15"/>
  <c r="BQ21" i="15" s="1"/>
  <c r="BI22" i="15"/>
  <c r="AC20" i="7"/>
  <c r="AH19" i="7"/>
  <c r="AI19" i="7" s="1"/>
  <c r="CH433" i="1"/>
  <c r="CS433" i="1"/>
  <c r="CM433" i="1"/>
  <c r="CY433" i="1"/>
  <c r="CL329" i="1" l="1"/>
  <c r="AK117" i="20"/>
  <c r="CN330" i="1"/>
  <c r="CH330" i="1"/>
  <c r="CS330" i="1"/>
  <c r="CT330" i="1" s="1"/>
  <c r="CH211" i="1"/>
  <c r="CI210" i="1"/>
  <c r="CG210" i="1" s="1"/>
  <c r="CZ332" i="1"/>
  <c r="AK200" i="20"/>
  <c r="CI332" i="1"/>
  <c r="AK78" i="20"/>
  <c r="AJ159" i="20"/>
  <c r="CT217" i="1"/>
  <c r="CN218" i="1"/>
  <c r="AJ119" i="20"/>
  <c r="CZ218" i="1"/>
  <c r="AJ200" i="20"/>
  <c r="AG62" i="22"/>
  <c r="S92" i="22"/>
  <c r="S122" i="22" s="1"/>
  <c r="S152" i="22" s="1"/>
  <c r="C37" i="5"/>
  <c r="D36" i="5"/>
  <c r="H36" i="5" s="1"/>
  <c r="AE36" i="25"/>
  <c r="B37" i="25"/>
  <c r="AC36" i="25"/>
  <c r="I81" i="5"/>
  <c r="A80" i="5"/>
  <c r="C78" i="5"/>
  <c r="D77" i="5"/>
  <c r="H77" i="5" s="1"/>
  <c r="C108" i="14"/>
  <c r="D107" i="14"/>
  <c r="H107" i="14" s="1"/>
  <c r="A29" i="5"/>
  <c r="I30" i="5"/>
  <c r="F26" i="17"/>
  <c r="E27" i="17"/>
  <c r="AG91" i="22"/>
  <c r="AG121" i="22" s="1"/>
  <c r="AG151" i="22" s="1"/>
  <c r="AU61" i="22"/>
  <c r="AU91" i="22" s="1"/>
  <c r="AU121" i="22" s="1"/>
  <c r="AU151" i="22" s="1"/>
  <c r="D64" i="22"/>
  <c r="S63" i="22"/>
  <c r="D77" i="17"/>
  <c r="H77" i="17" s="1"/>
  <c r="C78" i="17"/>
  <c r="I29" i="17"/>
  <c r="A28" i="17"/>
  <c r="D29" i="17"/>
  <c r="H29" i="17" s="1"/>
  <c r="C30" i="17"/>
  <c r="E57" i="14"/>
  <c r="F56" i="14"/>
  <c r="A82" i="17"/>
  <c r="I83" i="17"/>
  <c r="DH22" i="15"/>
  <c r="CK22" i="15"/>
  <c r="D25" i="15"/>
  <c r="AS24" i="15"/>
  <c r="CP21" i="15"/>
  <c r="AW23" i="15"/>
  <c r="BV23" i="15"/>
  <c r="BI23" i="8"/>
  <c r="BK22" i="8"/>
  <c r="BQ22" i="8" s="1"/>
  <c r="AM17" i="15"/>
  <c r="AU17" i="15" s="1"/>
  <c r="CB70" i="16"/>
  <c r="CL69" i="16"/>
  <c r="CE69" i="16"/>
  <c r="BR21" i="16"/>
  <c r="BS21" i="16" s="1"/>
  <c r="AW22" i="16"/>
  <c r="BY22" i="16"/>
  <c r="BQ22" i="16" s="1"/>
  <c r="D24" i="16"/>
  <c r="P23" i="16"/>
  <c r="AS23" i="16"/>
  <c r="CP21" i="16"/>
  <c r="BJ27" i="16"/>
  <c r="BI12" i="15"/>
  <c r="BK11" i="15"/>
  <c r="AS23" i="8"/>
  <c r="P23" i="8"/>
  <c r="D24" i="8"/>
  <c r="CL21" i="8"/>
  <c r="DB21" i="8" s="1"/>
  <c r="BV22" i="8"/>
  <c r="AW22" i="8"/>
  <c r="BK23" i="16"/>
  <c r="BI24" i="16"/>
  <c r="BJ26" i="8"/>
  <c r="C33" i="20"/>
  <c r="C154" i="20" s="1"/>
  <c r="C112" i="20"/>
  <c r="C71" i="20"/>
  <c r="E50" i="20"/>
  <c r="E45" i="26" s="1"/>
  <c r="E172" i="20"/>
  <c r="H45" i="26" s="1"/>
  <c r="E91" i="20"/>
  <c r="F45" i="26" s="1"/>
  <c r="E132" i="20"/>
  <c r="G45" i="26" s="1"/>
  <c r="AD20" i="7"/>
  <c r="AF20" i="7" s="1"/>
  <c r="AC21" i="7" s="1"/>
  <c r="C34" i="14"/>
  <c r="D33" i="14"/>
  <c r="H33" i="14" s="1"/>
  <c r="BI12" i="8"/>
  <c r="BK11" i="8"/>
  <c r="E27" i="5"/>
  <c r="F26" i="5"/>
  <c r="BK22" i="15"/>
  <c r="BQ22" i="15" s="1"/>
  <c r="BI23" i="15"/>
  <c r="AQ17" i="15"/>
  <c r="BM17" i="15"/>
  <c r="A78" i="14"/>
  <c r="I79" i="14"/>
  <c r="P29" i="7"/>
  <c r="D30" i="7"/>
  <c r="D31" i="7" s="1"/>
  <c r="A27" i="14"/>
  <c r="I28" i="14"/>
  <c r="BK10" i="16"/>
  <c r="BI11" i="16"/>
  <c r="BJ24" i="15"/>
  <c r="CY434" i="1"/>
  <c r="CM434" i="1"/>
  <c r="CS434" i="1"/>
  <c r="CH434" i="1"/>
  <c r="CT331" i="1" l="1"/>
  <c r="AK159" i="20"/>
  <c r="CL330" i="1"/>
  <c r="AK118" i="20"/>
  <c r="CN331" i="1"/>
  <c r="CH212" i="1"/>
  <c r="CI211" i="1"/>
  <c r="CG211" i="1" s="1"/>
  <c r="CZ333" i="1"/>
  <c r="AK201" i="20"/>
  <c r="CI333" i="1"/>
  <c r="AK79" i="20"/>
  <c r="CN219" i="1"/>
  <c r="AJ120" i="20"/>
  <c r="CZ219" i="1"/>
  <c r="AJ201" i="20"/>
  <c r="CT218" i="1"/>
  <c r="AJ160" i="20"/>
  <c r="D65" i="22"/>
  <c r="S64" i="22"/>
  <c r="C79" i="5"/>
  <c r="D78" i="5"/>
  <c r="H78" i="5" s="1"/>
  <c r="I82" i="5"/>
  <c r="A81" i="5"/>
  <c r="D108" i="14"/>
  <c r="H108" i="14" s="1"/>
  <c r="C109" i="14"/>
  <c r="E58" i="14"/>
  <c r="F57" i="14"/>
  <c r="M180" i="14" s="1"/>
  <c r="M187" i="14" s="1"/>
  <c r="M194" i="14" s="1"/>
  <c r="M208" i="14" s="1"/>
  <c r="D30" i="17"/>
  <c r="H30" i="17" s="1"/>
  <c r="C31" i="17"/>
  <c r="F27" i="17"/>
  <c r="E28" i="17"/>
  <c r="AE37" i="25"/>
  <c r="AC37" i="25"/>
  <c r="B38" i="25"/>
  <c r="I30" i="17"/>
  <c r="A29" i="17"/>
  <c r="I31" i="5"/>
  <c r="A30" i="5"/>
  <c r="C38" i="5"/>
  <c r="D37" i="5"/>
  <c r="H37" i="5" s="1"/>
  <c r="I84" i="17"/>
  <c r="A83" i="17"/>
  <c r="C79" i="17"/>
  <c r="D78" i="17"/>
  <c r="H78" i="17" s="1"/>
  <c r="AG63" i="22"/>
  <c r="S93" i="22"/>
  <c r="S123" i="22" s="1"/>
  <c r="S153" i="22" s="1"/>
  <c r="AU62" i="22"/>
  <c r="AU92" i="22" s="1"/>
  <c r="AU122" i="22" s="1"/>
  <c r="AU152" i="22" s="1"/>
  <c r="AG92" i="22"/>
  <c r="AG122" i="22" s="1"/>
  <c r="AG152" i="22" s="1"/>
  <c r="BV24" i="15"/>
  <c r="AW24" i="15"/>
  <c r="CP22" i="15"/>
  <c r="D26" i="15"/>
  <c r="P25" i="15"/>
  <c r="AS25" i="15"/>
  <c r="DH23" i="15"/>
  <c r="CK23" i="15"/>
  <c r="AJ18" i="15"/>
  <c r="AK18" i="15" s="1"/>
  <c r="BI24" i="8"/>
  <c r="BK23" i="8"/>
  <c r="BQ23" i="8" s="1"/>
  <c r="AO17" i="15"/>
  <c r="AP17" i="15" s="1"/>
  <c r="CB71" i="16"/>
  <c r="CL70" i="16"/>
  <c r="CE70" i="16"/>
  <c r="BR22" i="16"/>
  <c r="BS22" i="16" s="1"/>
  <c r="BJ28" i="16"/>
  <c r="CP22" i="16"/>
  <c r="AW23" i="16"/>
  <c r="BY23" i="16"/>
  <c r="BQ23" i="16" s="1"/>
  <c r="D25" i="16"/>
  <c r="AS24" i="16"/>
  <c r="BI13" i="15"/>
  <c r="BK13" i="15" s="1"/>
  <c r="BK12" i="15"/>
  <c r="CL22" i="8"/>
  <c r="DB22" i="8" s="1"/>
  <c r="D25" i="8"/>
  <c r="AS24" i="8"/>
  <c r="AW23" i="8"/>
  <c r="BV23" i="8"/>
  <c r="BI25" i="16"/>
  <c r="BK24" i="16"/>
  <c r="BJ27" i="8"/>
  <c r="C34" i="20"/>
  <c r="C155" i="20" s="1"/>
  <c r="C113" i="20"/>
  <c r="C72" i="20"/>
  <c r="J11" i="20"/>
  <c r="BJ25" i="15"/>
  <c r="BP17" i="15"/>
  <c r="BL17" i="15"/>
  <c r="CL17" i="15" s="1"/>
  <c r="BK23" i="15"/>
  <c r="BQ23" i="15" s="1"/>
  <c r="BI24" i="15"/>
  <c r="D34" i="14"/>
  <c r="H34" i="14" s="1"/>
  <c r="C35" i="14"/>
  <c r="AV17" i="15"/>
  <c r="AX17" i="15"/>
  <c r="E12" i="20" s="1"/>
  <c r="BK11" i="16"/>
  <c r="BI12" i="16"/>
  <c r="I29" i="14"/>
  <c r="A28" i="14"/>
  <c r="P31" i="7"/>
  <c r="D32" i="7"/>
  <c r="D33" i="7" s="1"/>
  <c r="I80" i="14"/>
  <c r="A79" i="14"/>
  <c r="E28" i="5"/>
  <c r="F27" i="5"/>
  <c r="P179" i="5" s="1"/>
  <c r="P186" i="5" s="1"/>
  <c r="P193" i="5" s="1"/>
  <c r="P207" i="5" s="1"/>
  <c r="BK12" i="8"/>
  <c r="BI13" i="8"/>
  <c r="BK13" i="8" s="1"/>
  <c r="AD21" i="7"/>
  <c r="AF21" i="7" s="1"/>
  <c r="CH435" i="1"/>
  <c r="CS435" i="1"/>
  <c r="CM435" i="1"/>
  <c r="CY435" i="1"/>
  <c r="AK119" i="20" l="1"/>
  <c r="CN332" i="1"/>
  <c r="AK160" i="20"/>
  <c r="CT332" i="1"/>
  <c r="CH213" i="1"/>
  <c r="CI212" i="1"/>
  <c r="CG212" i="1" s="1"/>
  <c r="CI334" i="1"/>
  <c r="AK80" i="20"/>
  <c r="CZ334" i="1"/>
  <c r="AK202" i="20"/>
  <c r="CT219" i="1"/>
  <c r="AJ161" i="20"/>
  <c r="CZ220" i="1"/>
  <c r="AJ202" i="20"/>
  <c r="CN220" i="1"/>
  <c r="AJ121" i="20"/>
  <c r="C80" i="17"/>
  <c r="D79" i="17"/>
  <c r="H79" i="17" s="1"/>
  <c r="F58" i="14"/>
  <c r="E59" i="14"/>
  <c r="C39" i="5"/>
  <c r="D38" i="5"/>
  <c r="H38" i="5" s="1"/>
  <c r="D109" i="14"/>
  <c r="H109" i="14" s="1"/>
  <c r="C110" i="14"/>
  <c r="I85" i="17"/>
  <c r="A84" i="17"/>
  <c r="A31" i="5"/>
  <c r="I32" i="5"/>
  <c r="I83" i="5"/>
  <c r="A82" i="5"/>
  <c r="I31" i="17"/>
  <c r="A30" i="17"/>
  <c r="F28" i="17"/>
  <c r="E29" i="17"/>
  <c r="C80" i="5"/>
  <c r="D79" i="5"/>
  <c r="H79" i="5" s="1"/>
  <c r="AU63" i="22"/>
  <c r="AU93" i="22" s="1"/>
  <c r="AU123" i="22" s="1"/>
  <c r="AU153" i="22" s="1"/>
  <c r="AG93" i="22"/>
  <c r="AG123" i="22" s="1"/>
  <c r="AG153" i="22" s="1"/>
  <c r="B39" i="25"/>
  <c r="AC38" i="25"/>
  <c r="AE38" i="25"/>
  <c r="S94" i="22"/>
  <c r="S124" i="22" s="1"/>
  <c r="S154" i="22" s="1"/>
  <c r="AG64" i="22"/>
  <c r="C32" i="17"/>
  <c r="D31" i="17"/>
  <c r="H31" i="17" s="1"/>
  <c r="D66" i="22"/>
  <c r="S65" i="22"/>
  <c r="BV25" i="15"/>
  <c r="AW25" i="15"/>
  <c r="D27" i="15"/>
  <c r="AS26" i="15"/>
  <c r="CP23" i="15"/>
  <c r="DH24" i="15"/>
  <c r="CK24" i="15"/>
  <c r="BI25" i="8"/>
  <c r="BK24" i="8"/>
  <c r="BQ24" i="8" s="1"/>
  <c r="AM18" i="15"/>
  <c r="AJ19" i="15" s="1"/>
  <c r="AK19" i="15" s="1"/>
  <c r="CB72" i="16"/>
  <c r="CL71" i="16"/>
  <c r="CE71" i="16"/>
  <c r="BR23" i="16"/>
  <c r="BS23" i="16" s="1"/>
  <c r="BY24" i="16"/>
  <c r="BQ24" i="16" s="1"/>
  <c r="AW24" i="16"/>
  <c r="CP23" i="16"/>
  <c r="P25" i="16"/>
  <c r="D26" i="16"/>
  <c r="AS25" i="16"/>
  <c r="BJ29" i="16"/>
  <c r="CO17" i="15"/>
  <c r="CL23" i="8"/>
  <c r="DB23" i="8" s="1"/>
  <c r="BV24" i="8"/>
  <c r="AW24" i="8"/>
  <c r="D26" i="8"/>
  <c r="AS25" i="8"/>
  <c r="P25" i="8"/>
  <c r="BI26" i="16"/>
  <c r="BK25" i="16"/>
  <c r="BJ28" i="8"/>
  <c r="C35" i="20"/>
  <c r="C114" i="20"/>
  <c r="C73" i="20"/>
  <c r="E173" i="20"/>
  <c r="H46" i="26" s="1"/>
  <c r="E51" i="20"/>
  <c r="E46" i="26" s="1"/>
  <c r="E92" i="20"/>
  <c r="F46" i="26" s="1"/>
  <c r="E133" i="20"/>
  <c r="G46" i="26" s="1"/>
  <c r="AC22" i="7"/>
  <c r="AH21" i="7"/>
  <c r="AI21" i="7" s="1"/>
  <c r="P33" i="7"/>
  <c r="D34" i="7"/>
  <c r="D35" i="7" s="1"/>
  <c r="BI13" i="16"/>
  <c r="BK13" i="16" s="1"/>
  <c r="BK12" i="16"/>
  <c r="D35" i="14"/>
  <c r="H35" i="14" s="1"/>
  <c r="C36" i="14"/>
  <c r="BK24" i="15"/>
  <c r="BQ24" i="15" s="1"/>
  <c r="BI25" i="15"/>
  <c r="BJ26" i="15"/>
  <c r="AQ18" i="15"/>
  <c r="BM18" i="15"/>
  <c r="E29" i="5"/>
  <c r="F28" i="5"/>
  <c r="I81" i="14"/>
  <c r="A80" i="14"/>
  <c r="I30" i="14"/>
  <c r="A29" i="14"/>
  <c r="CY436" i="1"/>
  <c r="CM436" i="1"/>
  <c r="CS436" i="1"/>
  <c r="CH436" i="1"/>
  <c r="CT333" i="1" l="1"/>
  <c r="AK161" i="20"/>
  <c r="AK120" i="20"/>
  <c r="CN333" i="1"/>
  <c r="CH214" i="1"/>
  <c r="CI213" i="1"/>
  <c r="CG213" i="1" s="1"/>
  <c r="CZ335" i="1"/>
  <c r="AK204" i="20" s="1"/>
  <c r="AK203" i="20"/>
  <c r="CI335" i="1"/>
  <c r="AK82" i="20" s="1"/>
  <c r="AK81" i="20"/>
  <c r="CZ221" i="1"/>
  <c r="AJ204" i="20" s="1"/>
  <c r="AJ203" i="20"/>
  <c r="CN221" i="1"/>
  <c r="AJ123" i="20" s="1"/>
  <c r="AJ122" i="20"/>
  <c r="CT220" i="1"/>
  <c r="AJ162" i="20"/>
  <c r="I86" i="17"/>
  <c r="A85" i="17"/>
  <c r="F29" i="17"/>
  <c r="E30" i="17"/>
  <c r="C111" i="14"/>
  <c r="D110" i="14"/>
  <c r="H110" i="14" s="1"/>
  <c r="A32" i="5"/>
  <c r="I33" i="5"/>
  <c r="AU64" i="22"/>
  <c r="AU94" i="22" s="1"/>
  <c r="AU124" i="22" s="1"/>
  <c r="AU154" i="22" s="1"/>
  <c r="AG94" i="22"/>
  <c r="AG124" i="22" s="1"/>
  <c r="AG154" i="22" s="1"/>
  <c r="AC39" i="25"/>
  <c r="AE39" i="25"/>
  <c r="I32" i="17"/>
  <c r="A31" i="17"/>
  <c r="D39" i="5"/>
  <c r="H39" i="5" s="1"/>
  <c r="C40" i="5"/>
  <c r="F59" i="14"/>
  <c r="M181" i="14" s="1"/>
  <c r="M188" i="14" s="1"/>
  <c r="M195" i="14" s="1"/>
  <c r="M209" i="14" s="1"/>
  <c r="E60" i="14"/>
  <c r="D32" i="17"/>
  <c r="H32" i="17" s="1"/>
  <c r="C33" i="17"/>
  <c r="S95" i="22"/>
  <c r="S125" i="22" s="1"/>
  <c r="S155" i="22" s="1"/>
  <c r="AG65" i="22"/>
  <c r="C81" i="5"/>
  <c r="D80" i="5"/>
  <c r="H80" i="5" s="1"/>
  <c r="S66" i="22"/>
  <c r="D67" i="22"/>
  <c r="I84" i="5"/>
  <c r="A83" i="5"/>
  <c r="C81" i="17"/>
  <c r="D80" i="17"/>
  <c r="H80" i="17" s="1"/>
  <c r="CP24" i="15"/>
  <c r="AW26" i="15"/>
  <c r="BV26" i="15"/>
  <c r="D28" i="15"/>
  <c r="AS27" i="15"/>
  <c r="P27" i="15"/>
  <c r="DH25" i="15"/>
  <c r="CK25" i="15"/>
  <c r="BI26" i="8"/>
  <c r="BK25" i="8"/>
  <c r="BQ25" i="8" s="1"/>
  <c r="C156" i="20"/>
  <c r="C36" i="20"/>
  <c r="AU18" i="15"/>
  <c r="AX18" i="15" s="1"/>
  <c r="E13" i="20" s="1"/>
  <c r="BR24" i="16"/>
  <c r="BS24" i="16" s="1"/>
  <c r="CE72" i="16"/>
  <c r="CB73" i="16"/>
  <c r="CL72" i="16"/>
  <c r="BJ30" i="16"/>
  <c r="AS26" i="16"/>
  <c r="D27" i="16"/>
  <c r="AW25" i="16"/>
  <c r="BY25" i="16"/>
  <c r="BQ25" i="16" s="1"/>
  <c r="CP24" i="16"/>
  <c r="AW25" i="8"/>
  <c r="BV25" i="8"/>
  <c r="AS26" i="8"/>
  <c r="D27" i="8"/>
  <c r="CL24" i="8"/>
  <c r="DB24" i="8" s="1"/>
  <c r="BK26" i="16"/>
  <c r="BI27" i="16"/>
  <c r="BJ29" i="8"/>
  <c r="C115" i="20"/>
  <c r="C74" i="20"/>
  <c r="J12" i="20"/>
  <c r="E30" i="5"/>
  <c r="F29" i="5"/>
  <c r="BL18" i="15"/>
  <c r="CL18" i="15" s="1"/>
  <c r="BP18" i="15"/>
  <c r="BJ27" i="15"/>
  <c r="BK25" i="15"/>
  <c r="BQ25" i="15" s="1"/>
  <c r="BI26" i="15"/>
  <c r="C37" i="14"/>
  <c r="D36" i="14"/>
  <c r="H36" i="14" s="1"/>
  <c r="P35" i="7"/>
  <c r="D36" i="7"/>
  <c r="D37" i="7" s="1"/>
  <c r="A30" i="14"/>
  <c r="I31" i="14"/>
  <c r="I82" i="14"/>
  <c r="A81" i="14"/>
  <c r="AD22" i="7"/>
  <c r="AF22" i="7" s="1"/>
  <c r="AC23" i="7" s="1"/>
  <c r="CH437" i="1"/>
  <c r="CS437" i="1"/>
  <c r="CM437" i="1"/>
  <c r="CY437" i="1"/>
  <c r="CN334" i="1" l="1"/>
  <c r="AK121" i="20"/>
  <c r="CT334" i="1"/>
  <c r="AK162" i="20"/>
  <c r="CH215" i="1"/>
  <c r="CI214" i="1"/>
  <c r="CG214" i="1" s="1"/>
  <c r="CT221" i="1"/>
  <c r="AJ164" i="20" s="1"/>
  <c r="AJ163" i="20"/>
  <c r="D68" i="22"/>
  <c r="S67" i="22"/>
  <c r="C41" i="5"/>
  <c r="D40" i="5"/>
  <c r="H40" i="5" s="1"/>
  <c r="C82" i="5"/>
  <c r="D81" i="5"/>
  <c r="H81" i="5" s="1"/>
  <c r="I33" i="17"/>
  <c r="A32" i="17"/>
  <c r="AG95" i="22"/>
  <c r="AG125" i="22" s="1"/>
  <c r="AG155" i="22" s="1"/>
  <c r="AU65" i="22"/>
  <c r="AU95" i="22" s="1"/>
  <c r="AU125" i="22" s="1"/>
  <c r="AU155" i="22" s="1"/>
  <c r="I85" i="5"/>
  <c r="A84" i="5"/>
  <c r="D33" i="17"/>
  <c r="H33" i="17" s="1"/>
  <c r="C34" i="17"/>
  <c r="E31" i="17"/>
  <c r="F30" i="17"/>
  <c r="D111" i="14"/>
  <c r="H111" i="14" s="1"/>
  <c r="C112" i="14"/>
  <c r="S96" i="22"/>
  <c r="S126" i="22" s="1"/>
  <c r="S156" i="22" s="1"/>
  <c r="AG66" i="22"/>
  <c r="I34" i="5"/>
  <c r="A33" i="5"/>
  <c r="C82" i="17"/>
  <c r="D81" i="17"/>
  <c r="H81" i="17" s="1"/>
  <c r="E61" i="14"/>
  <c r="F60" i="14"/>
  <c r="I87" i="17"/>
  <c r="A86" i="17"/>
  <c r="BV27" i="15"/>
  <c r="BN26" i="15" s="1"/>
  <c r="AW27" i="15"/>
  <c r="D29" i="15"/>
  <c r="AS28" i="15"/>
  <c r="DH26" i="15"/>
  <c r="CK26" i="15"/>
  <c r="CP25" i="15"/>
  <c r="AV18" i="15"/>
  <c r="BI27" i="8"/>
  <c r="BK26" i="8"/>
  <c r="BQ26" i="8" s="1"/>
  <c r="C157" i="20"/>
  <c r="C116" i="20"/>
  <c r="C75" i="20"/>
  <c r="AM19" i="15"/>
  <c r="AJ20" i="15" s="1"/>
  <c r="AK20" i="15" s="1"/>
  <c r="CE73" i="16"/>
  <c r="BR25" i="16"/>
  <c r="BS25" i="16" s="1"/>
  <c r="CB74" i="16"/>
  <c r="CL73" i="16"/>
  <c r="CP25" i="16"/>
  <c r="D28" i="16"/>
  <c r="AS27" i="16"/>
  <c r="P27" i="16"/>
  <c r="BY26" i="16"/>
  <c r="BQ26" i="16" s="1"/>
  <c r="AW26" i="16"/>
  <c r="BJ31" i="16"/>
  <c r="CO18" i="15"/>
  <c r="AS27" i="8"/>
  <c r="P27" i="8"/>
  <c r="D28" i="8"/>
  <c r="CL25" i="8"/>
  <c r="DB25" i="8" s="1"/>
  <c r="BV26" i="8"/>
  <c r="AW26" i="8"/>
  <c r="BI28" i="16"/>
  <c r="BK27" i="16"/>
  <c r="BJ30" i="8"/>
  <c r="E134" i="20"/>
  <c r="G47" i="26" s="1"/>
  <c r="E52" i="20"/>
  <c r="E47" i="26" s="1"/>
  <c r="E174" i="20"/>
  <c r="H47" i="26" s="1"/>
  <c r="E93" i="20"/>
  <c r="F47" i="26" s="1"/>
  <c r="A82" i="14"/>
  <c r="I83" i="14"/>
  <c r="C38" i="14"/>
  <c r="D37" i="14"/>
  <c r="H37" i="14" s="1"/>
  <c r="AD23" i="7"/>
  <c r="AF23" i="7" s="1"/>
  <c r="AQ19" i="15"/>
  <c r="BM19" i="15"/>
  <c r="A31" i="14"/>
  <c r="I32" i="14"/>
  <c r="P37" i="7"/>
  <c r="D38" i="7"/>
  <c r="BK26" i="15"/>
  <c r="BQ26" i="15" s="1"/>
  <c r="BI27" i="15"/>
  <c r="BJ28" i="15"/>
  <c r="F30" i="5"/>
  <c r="E31" i="5"/>
  <c r="CY438" i="1"/>
  <c r="CZ438" i="1" s="1"/>
  <c r="CM438" i="1"/>
  <c r="CN438" i="1" s="1"/>
  <c r="CS438" i="1"/>
  <c r="CT438" i="1" s="1"/>
  <c r="CH438" i="1"/>
  <c r="CI438" i="1" s="1"/>
  <c r="AK163" i="20" l="1"/>
  <c r="CT335" i="1"/>
  <c r="AK164" i="20" s="1"/>
  <c r="CN335" i="1"/>
  <c r="AK123" i="20" s="1"/>
  <c r="AK122" i="20"/>
  <c r="CH216" i="1"/>
  <c r="CI216" i="1" s="1"/>
  <c r="CI215" i="1"/>
  <c r="CG215" i="1" s="1"/>
  <c r="AG96" i="22"/>
  <c r="AG126" i="22" s="1"/>
  <c r="AG156" i="22" s="1"/>
  <c r="AU66" i="22"/>
  <c r="AU96" i="22" s="1"/>
  <c r="AU126" i="22" s="1"/>
  <c r="AU156" i="22" s="1"/>
  <c r="D112" i="14"/>
  <c r="H112" i="14" s="1"/>
  <c r="C113" i="14"/>
  <c r="A33" i="17"/>
  <c r="I34" i="17"/>
  <c r="A85" i="5"/>
  <c r="I86" i="5"/>
  <c r="C83" i="5"/>
  <c r="D82" i="5"/>
  <c r="H82" i="5" s="1"/>
  <c r="F61" i="14"/>
  <c r="L177" i="14" s="1"/>
  <c r="E62" i="14"/>
  <c r="F31" i="17"/>
  <c r="E32" i="17"/>
  <c r="C42" i="5"/>
  <c r="D41" i="5"/>
  <c r="H41" i="5" s="1"/>
  <c r="A34" i="5"/>
  <c r="I35" i="5"/>
  <c r="I88" i="17"/>
  <c r="A87" i="17"/>
  <c r="C35" i="17"/>
  <c r="D34" i="17"/>
  <c r="H34" i="17" s="1"/>
  <c r="AG67" i="22"/>
  <c r="S97" i="22"/>
  <c r="S127" i="22" s="1"/>
  <c r="S157" i="22" s="1"/>
  <c r="D82" i="17"/>
  <c r="H82" i="17" s="1"/>
  <c r="C83" i="17"/>
  <c r="D69" i="22"/>
  <c r="S69" i="22" s="1"/>
  <c r="S68" i="22"/>
  <c r="CP26" i="15"/>
  <c r="BV28" i="15"/>
  <c r="AW28" i="15"/>
  <c r="P29" i="15"/>
  <c r="D30" i="15"/>
  <c r="AS29" i="15"/>
  <c r="DH27" i="15"/>
  <c r="BN41" i="15"/>
  <c r="CK27" i="15"/>
  <c r="BN15" i="15"/>
  <c r="BN16" i="15"/>
  <c r="BO16" i="15" s="1"/>
  <c r="BR16" i="15" s="1"/>
  <c r="BX16" i="15" s="1"/>
  <c r="BN17" i="15"/>
  <c r="BO17" i="15" s="1"/>
  <c r="BR17" i="15" s="1"/>
  <c r="BX17" i="15" s="1"/>
  <c r="BN18" i="15"/>
  <c r="BO18" i="15" s="1"/>
  <c r="BR18" i="15" s="1"/>
  <c r="BX18" i="15" s="1"/>
  <c r="DJ18" i="15" s="1"/>
  <c r="BN19" i="15"/>
  <c r="BO19" i="15" s="1"/>
  <c r="BN20" i="15"/>
  <c r="BN21" i="15"/>
  <c r="BN22" i="15"/>
  <c r="BN23" i="15"/>
  <c r="BN24" i="15"/>
  <c r="BN25" i="15"/>
  <c r="BI28" i="8"/>
  <c r="BK27" i="8"/>
  <c r="BQ27" i="8" s="1"/>
  <c r="AU19" i="15"/>
  <c r="AX19" i="15" s="1"/>
  <c r="E14" i="20" s="1"/>
  <c r="AO19" i="15"/>
  <c r="AP19" i="15" s="1"/>
  <c r="CE74" i="16"/>
  <c r="BR26" i="16"/>
  <c r="BS26" i="16" s="1"/>
  <c r="CB75" i="16"/>
  <c r="CL74" i="16"/>
  <c r="BJ32" i="16"/>
  <c r="CP26" i="16"/>
  <c r="AW27" i="16"/>
  <c r="BY27" i="16"/>
  <c r="AS28" i="16"/>
  <c r="D29" i="16"/>
  <c r="CL26" i="8"/>
  <c r="DB26" i="8" s="1"/>
  <c r="AS28" i="8"/>
  <c r="D29" i="8"/>
  <c r="BV27" i="8"/>
  <c r="AW27" i="8"/>
  <c r="BI29" i="16"/>
  <c r="BK28" i="16"/>
  <c r="BJ31" i="8"/>
  <c r="J13" i="20"/>
  <c r="CN437" i="1"/>
  <c r="CN435" i="1"/>
  <c r="CN433" i="1"/>
  <c r="CN431" i="1"/>
  <c r="CN429" i="1"/>
  <c r="CN427" i="1"/>
  <c r="CN425" i="1"/>
  <c r="CN436" i="1"/>
  <c r="CN434" i="1"/>
  <c r="CN432" i="1"/>
  <c r="CN430" i="1"/>
  <c r="CN428" i="1"/>
  <c r="CN426" i="1"/>
  <c r="CN424" i="1"/>
  <c r="CT437" i="1"/>
  <c r="CT436" i="1"/>
  <c r="CT434" i="1"/>
  <c r="CT432" i="1"/>
  <c r="CT430" i="1"/>
  <c r="CT428" i="1"/>
  <c r="CT426" i="1"/>
  <c r="CT424" i="1"/>
  <c r="CT435" i="1"/>
  <c r="CT433" i="1"/>
  <c r="CT431" i="1"/>
  <c r="CT429" i="1"/>
  <c r="CT427" i="1"/>
  <c r="CT425" i="1"/>
  <c r="CZ437" i="1"/>
  <c r="CZ436" i="1"/>
  <c r="CZ433" i="1"/>
  <c r="CZ431" i="1"/>
  <c r="CZ429" i="1"/>
  <c r="CZ427" i="1"/>
  <c r="CZ425" i="1"/>
  <c r="CZ434" i="1"/>
  <c r="CZ432" i="1"/>
  <c r="CZ430" i="1"/>
  <c r="CZ428" i="1"/>
  <c r="CZ426" i="1"/>
  <c r="CZ424" i="1"/>
  <c r="CZ435" i="1"/>
  <c r="D38" i="14"/>
  <c r="H38" i="14" s="1"/>
  <c r="C39" i="14"/>
  <c r="AV19" i="15"/>
  <c r="CI425" i="1"/>
  <c r="CI426" i="1"/>
  <c r="CI430" i="1"/>
  <c r="CI433" i="1"/>
  <c r="CI435" i="1"/>
  <c r="CI437" i="1"/>
  <c r="CI428" i="1"/>
  <c r="CI432" i="1"/>
  <c r="CI434" i="1"/>
  <c r="CI436" i="1"/>
  <c r="CI424" i="1"/>
  <c r="CI429" i="1"/>
  <c r="CI431" i="1"/>
  <c r="CI427" i="1"/>
  <c r="E32" i="5"/>
  <c r="F31" i="5"/>
  <c r="BJ29" i="15"/>
  <c r="BK27" i="15"/>
  <c r="BQ27" i="15" s="1"/>
  <c r="BI28" i="15"/>
  <c r="A32" i="14"/>
  <c r="I33" i="14"/>
  <c r="BL19" i="15"/>
  <c r="CL19" i="15" s="1"/>
  <c r="BP19" i="15"/>
  <c r="AC24" i="7"/>
  <c r="AH23" i="7"/>
  <c r="AI23" i="7" s="1"/>
  <c r="I84" i="14"/>
  <c r="A83" i="14"/>
  <c r="AM20" i="15"/>
  <c r="CH439" i="1"/>
  <c r="CI439" i="1" s="1"/>
  <c r="CS439" i="1"/>
  <c r="CT439" i="1" s="1"/>
  <c r="CM439" i="1"/>
  <c r="CN439" i="1" s="1"/>
  <c r="CY439" i="1"/>
  <c r="CZ439" i="1" s="1"/>
  <c r="CG216" i="1" l="1"/>
  <c r="CI217" i="1"/>
  <c r="M182" i="14"/>
  <c r="M189" i="14" s="1"/>
  <c r="M196" i="14" s="1"/>
  <c r="M210" i="14" s="1"/>
  <c r="BN26" i="8"/>
  <c r="BN43" i="8"/>
  <c r="BN41" i="8"/>
  <c r="BN44" i="8"/>
  <c r="BN42" i="8"/>
  <c r="I36" i="5"/>
  <c r="A35" i="5"/>
  <c r="AG68" i="22"/>
  <c r="S98" i="22"/>
  <c r="S128" i="22" s="1"/>
  <c r="S158" i="22" s="1"/>
  <c r="C84" i="5"/>
  <c r="D83" i="5"/>
  <c r="H83" i="5" s="1"/>
  <c r="AG69" i="22"/>
  <c r="S99" i="22"/>
  <c r="S129" i="22" s="1"/>
  <c r="S159" i="22" s="1"/>
  <c r="C43" i="5"/>
  <c r="D42" i="5"/>
  <c r="H42" i="5" s="1"/>
  <c r="I87" i="5"/>
  <c r="A86" i="5"/>
  <c r="C84" i="17"/>
  <c r="D83" i="17"/>
  <c r="H83" i="17" s="1"/>
  <c r="CM43" i="15"/>
  <c r="CM42" i="15"/>
  <c r="A34" i="17"/>
  <c r="I35" i="17"/>
  <c r="BN41" i="16"/>
  <c r="BN42" i="16"/>
  <c r="AG97" i="22"/>
  <c r="AG127" i="22" s="1"/>
  <c r="AG157" i="22" s="1"/>
  <c r="AU67" i="22"/>
  <c r="AU97" i="22" s="1"/>
  <c r="AU127" i="22" s="1"/>
  <c r="AU157" i="22" s="1"/>
  <c r="D113" i="14"/>
  <c r="H113" i="14" s="1"/>
  <c r="C114" i="14"/>
  <c r="F32" i="17"/>
  <c r="E33" i="17"/>
  <c r="D35" i="17"/>
  <c r="H35" i="17" s="1"/>
  <c r="C36" i="17"/>
  <c r="I89" i="17"/>
  <c r="A88" i="17"/>
  <c r="F62" i="14"/>
  <c r="E63" i="14"/>
  <c r="DE18" i="15"/>
  <c r="BV29" i="15"/>
  <c r="AW29" i="15"/>
  <c r="D31" i="15"/>
  <c r="AS30" i="15"/>
  <c r="DJ17" i="15"/>
  <c r="DE17" i="15"/>
  <c r="DJ16" i="15"/>
  <c r="DE16" i="15"/>
  <c r="BR15" i="15"/>
  <c r="BX15" i="15" s="1"/>
  <c r="BO15" i="15"/>
  <c r="DH28" i="15"/>
  <c r="CK28" i="15"/>
  <c r="BN28" i="15"/>
  <c r="CP27" i="15"/>
  <c r="CM41" i="15"/>
  <c r="CM15" i="15"/>
  <c r="CM16" i="15"/>
  <c r="CM17" i="15"/>
  <c r="CM18" i="15"/>
  <c r="CM19" i="15"/>
  <c r="CM20" i="15"/>
  <c r="CM21" i="15"/>
  <c r="CM22" i="15"/>
  <c r="CM23" i="15"/>
  <c r="CM24" i="15"/>
  <c r="CM25" i="15"/>
  <c r="CM26" i="15"/>
  <c r="BI29" i="8"/>
  <c r="BK28" i="8"/>
  <c r="BQ28" i="8" s="1"/>
  <c r="CB76" i="16"/>
  <c r="CL75" i="16"/>
  <c r="BN26" i="16"/>
  <c r="CD74" i="16" s="1"/>
  <c r="BQ27" i="16"/>
  <c r="AS29" i="16"/>
  <c r="P29" i="16"/>
  <c r="D30" i="16"/>
  <c r="BN15" i="16"/>
  <c r="BN16" i="16"/>
  <c r="CD64" i="16" s="1"/>
  <c r="BN17" i="16"/>
  <c r="CD65" i="16" s="1"/>
  <c r="BN18" i="16"/>
  <c r="CD66" i="16" s="1"/>
  <c r="CP27" i="16"/>
  <c r="BN19" i="16"/>
  <c r="CD67" i="16" s="1"/>
  <c r="BN20" i="16"/>
  <c r="CD68" i="16" s="1"/>
  <c r="BN21" i="16"/>
  <c r="CD69" i="16" s="1"/>
  <c r="BN22" i="16"/>
  <c r="CD70" i="16" s="1"/>
  <c r="BN23" i="16"/>
  <c r="CD71" i="16" s="1"/>
  <c r="BN24" i="16"/>
  <c r="CD72" i="16" s="1"/>
  <c r="BN25" i="16"/>
  <c r="CD73" i="16" s="1"/>
  <c r="AW28" i="16"/>
  <c r="BY28" i="16"/>
  <c r="BQ28" i="16" s="1"/>
  <c r="BJ33" i="16"/>
  <c r="CO19" i="15"/>
  <c r="AS29" i="8"/>
  <c r="P29" i="8"/>
  <c r="D30" i="8"/>
  <c r="CL27" i="8"/>
  <c r="DB27" i="8" s="1"/>
  <c r="BN15" i="8"/>
  <c r="BO15" i="8" s="1"/>
  <c r="BR15" i="8" s="1"/>
  <c r="BX15" i="8" s="1"/>
  <c r="BN16" i="8"/>
  <c r="BN17" i="8"/>
  <c r="BN18" i="8"/>
  <c r="BN19" i="8"/>
  <c r="BN20" i="8"/>
  <c r="BN21" i="8"/>
  <c r="BN22" i="8"/>
  <c r="BN23" i="8"/>
  <c r="BN24" i="8"/>
  <c r="BN25" i="8"/>
  <c r="AW28" i="8"/>
  <c r="BV28" i="8"/>
  <c r="BK29" i="16"/>
  <c r="BI30" i="16"/>
  <c r="BJ32" i="8"/>
  <c r="E94" i="20"/>
  <c r="F48" i="26" s="1"/>
  <c r="E135" i="20"/>
  <c r="G48" i="26" s="1"/>
  <c r="E175" i="20"/>
  <c r="H48" i="26" s="1"/>
  <c r="E53" i="20"/>
  <c r="E48" i="26" s="1"/>
  <c r="AQ20" i="15"/>
  <c r="BM20" i="15"/>
  <c r="I85" i="14"/>
  <c r="A84" i="14"/>
  <c r="AD24" i="7"/>
  <c r="AF24" i="7" s="1"/>
  <c r="AC25" i="7" s="1"/>
  <c r="A33" i="14"/>
  <c r="I34" i="14"/>
  <c r="BK28" i="15"/>
  <c r="BQ28" i="15" s="1"/>
  <c r="BI29" i="15"/>
  <c r="BJ30" i="15"/>
  <c r="D39" i="14"/>
  <c r="H39" i="14" s="1"/>
  <c r="C40" i="14"/>
  <c r="AJ21" i="15"/>
  <c r="AK21" i="15" s="1"/>
  <c r="AU20" i="15"/>
  <c r="BR19" i="15"/>
  <c r="BX19" i="15" s="1"/>
  <c r="DJ19" i="15" s="1"/>
  <c r="F32" i="5"/>
  <c r="E33" i="5"/>
  <c r="CS440" i="1"/>
  <c r="CT440" i="1" s="1"/>
  <c r="CH440" i="1"/>
  <c r="CI440" i="1" s="1"/>
  <c r="CY440" i="1"/>
  <c r="CZ440" i="1" s="1"/>
  <c r="CM440" i="1"/>
  <c r="CN440" i="1" s="1"/>
  <c r="CI218" i="1" l="1"/>
  <c r="CG217" i="1"/>
  <c r="AU69" i="22"/>
  <c r="AU99" i="22" s="1"/>
  <c r="AU129" i="22" s="1"/>
  <c r="AU159" i="22" s="1"/>
  <c r="AG99" i="22"/>
  <c r="AG129" i="22" s="1"/>
  <c r="AG159" i="22" s="1"/>
  <c r="I90" i="17"/>
  <c r="A89" i="17"/>
  <c r="C85" i="5"/>
  <c r="D84" i="5"/>
  <c r="H84" i="5" s="1"/>
  <c r="C37" i="17"/>
  <c r="D36" i="17"/>
  <c r="H36" i="17" s="1"/>
  <c r="AG98" i="22"/>
  <c r="AG128" i="22" s="1"/>
  <c r="AG158" i="22" s="1"/>
  <c r="AU68" i="22"/>
  <c r="AU98" i="22" s="1"/>
  <c r="AU128" i="22" s="1"/>
  <c r="AU158" i="22" s="1"/>
  <c r="E34" i="17"/>
  <c r="F33" i="17"/>
  <c r="C85" i="17"/>
  <c r="D84" i="17"/>
  <c r="H84" i="17" s="1"/>
  <c r="I37" i="5"/>
  <c r="A36" i="5"/>
  <c r="D114" i="14"/>
  <c r="H114" i="14" s="1"/>
  <c r="C115" i="14"/>
  <c r="I88" i="5"/>
  <c r="A87" i="5"/>
  <c r="C44" i="5"/>
  <c r="D43" i="5"/>
  <c r="H43" i="5" s="1"/>
  <c r="I36" i="17"/>
  <c r="A35" i="17"/>
  <c r="F63" i="14"/>
  <c r="L178" i="14" s="1"/>
  <c r="L185" i="14" s="1"/>
  <c r="L192" i="14" s="1"/>
  <c r="L206" i="14" s="1"/>
  <c r="E64" i="14"/>
  <c r="D32" i="15"/>
  <c r="P31" i="15"/>
  <c r="AS31" i="15"/>
  <c r="CP28" i="15"/>
  <c r="CM28" i="15"/>
  <c r="AW30" i="15"/>
  <c r="BV30" i="15"/>
  <c r="DJ15" i="15"/>
  <c r="DE15" i="15"/>
  <c r="DH29" i="15"/>
  <c r="CK29" i="15"/>
  <c r="BN29" i="15"/>
  <c r="BI30" i="8"/>
  <c r="BK29" i="8"/>
  <c r="BQ29" i="8" s="1"/>
  <c r="BO15" i="16"/>
  <c r="BT15" i="16" s="1"/>
  <c r="CA15" i="16" s="1"/>
  <c r="CD63" i="16"/>
  <c r="CE75" i="16"/>
  <c r="BR27" i="16"/>
  <c r="BS27" i="16" s="1"/>
  <c r="BR28" i="16"/>
  <c r="CE76" i="16"/>
  <c r="CB77" i="16"/>
  <c r="CL76" i="16"/>
  <c r="BJ34" i="16"/>
  <c r="BN28" i="16"/>
  <c r="CD76" i="16" s="1"/>
  <c r="CP28" i="16"/>
  <c r="AS30" i="16"/>
  <c r="D31" i="16"/>
  <c r="BY29" i="16"/>
  <c r="BQ29" i="16" s="1"/>
  <c r="AW29" i="16"/>
  <c r="CL28" i="8"/>
  <c r="DB28" i="8" s="1"/>
  <c r="BN28" i="8"/>
  <c r="CO15" i="8"/>
  <c r="F12" i="21"/>
  <c r="E16" i="27" s="1"/>
  <c r="DI15" i="15"/>
  <c r="CJ15" i="8"/>
  <c r="J13" i="2" s="1"/>
  <c r="Q10" i="20"/>
  <c r="D6" i="28" s="1"/>
  <c r="CQ15" i="16"/>
  <c r="CT15" i="16" s="1"/>
  <c r="D31" i="8"/>
  <c r="AS30" i="8"/>
  <c r="BV29" i="8"/>
  <c r="AW29" i="8"/>
  <c r="BI31" i="16"/>
  <c r="BK30" i="16"/>
  <c r="BJ33" i="8"/>
  <c r="J14" i="20"/>
  <c r="AV20" i="15"/>
  <c r="AX20" i="15"/>
  <c r="E15" i="20" s="1"/>
  <c r="C41" i="14"/>
  <c r="D40" i="14"/>
  <c r="H40" i="14" s="1"/>
  <c r="BK29" i="15"/>
  <c r="BQ29" i="15" s="1"/>
  <c r="BI30" i="15"/>
  <c r="I35" i="14"/>
  <c r="A34" i="14"/>
  <c r="AD25" i="7"/>
  <c r="AF25" i="7" s="1"/>
  <c r="BO20" i="15"/>
  <c r="BP20" i="15"/>
  <c r="BL20" i="15"/>
  <c r="CL20" i="15" s="1"/>
  <c r="E34" i="5"/>
  <c r="F33" i="5"/>
  <c r="AM21" i="15"/>
  <c r="DE19" i="15"/>
  <c r="BJ31" i="15"/>
  <c r="A85" i="14"/>
  <c r="I86" i="14"/>
  <c r="CH441" i="1"/>
  <c r="CI441" i="1" s="1"/>
  <c r="CS441" i="1"/>
  <c r="CT441" i="1" s="1"/>
  <c r="CM441" i="1"/>
  <c r="CN441" i="1" s="1"/>
  <c r="CY441" i="1"/>
  <c r="CZ441" i="1" s="1"/>
  <c r="CI219" i="1" l="1"/>
  <c r="CG218" i="1"/>
  <c r="A88" i="5"/>
  <c r="I89" i="5"/>
  <c r="F34" i="17"/>
  <c r="E35" i="17"/>
  <c r="D115" i="14"/>
  <c r="H115" i="14" s="1"/>
  <c r="C116" i="14"/>
  <c r="E65" i="14"/>
  <c r="F64" i="14"/>
  <c r="D37" i="17"/>
  <c r="H37" i="17" s="1"/>
  <c r="C38" i="17"/>
  <c r="I38" i="5"/>
  <c r="A37" i="5"/>
  <c r="C86" i="5"/>
  <c r="D85" i="5"/>
  <c r="H85" i="5" s="1"/>
  <c r="A36" i="17"/>
  <c r="I37" i="17"/>
  <c r="D85" i="17"/>
  <c r="H85" i="17" s="1"/>
  <c r="C86" i="17"/>
  <c r="A90" i="17"/>
  <c r="I91" i="17"/>
  <c r="D44" i="5"/>
  <c r="H44" i="5" s="1"/>
  <c r="C45" i="5"/>
  <c r="CP29" i="15"/>
  <c r="CM29" i="15"/>
  <c r="AW31" i="15"/>
  <c r="BV31" i="15"/>
  <c r="DM15" i="15"/>
  <c r="DM18" i="15"/>
  <c r="DM17" i="15"/>
  <c r="DH30" i="15"/>
  <c r="CK30" i="15"/>
  <c r="BN30" i="15"/>
  <c r="DM16" i="15"/>
  <c r="AS32" i="15"/>
  <c r="D33" i="15"/>
  <c r="DM19" i="15"/>
  <c r="BI31" i="8"/>
  <c r="BK30" i="8"/>
  <c r="BQ30" i="8" s="1"/>
  <c r="BS28" i="16"/>
  <c r="CE77" i="16"/>
  <c r="BR29" i="16"/>
  <c r="CB78" i="16"/>
  <c r="CL77" i="16"/>
  <c r="CR15" i="16"/>
  <c r="CU15" i="16" s="1"/>
  <c r="CM15" i="16"/>
  <c r="D32" i="16"/>
  <c r="P31" i="16"/>
  <c r="AS31" i="16"/>
  <c r="BN29" i="16"/>
  <c r="CD77" i="16" s="1"/>
  <c r="CP29" i="16"/>
  <c r="BY30" i="16"/>
  <c r="BQ30" i="16" s="1"/>
  <c r="AW30" i="16"/>
  <c r="BJ35" i="16"/>
  <c r="CO20" i="15"/>
  <c r="DL15" i="15"/>
  <c r="AW30" i="8"/>
  <c r="BV30" i="8"/>
  <c r="CL29" i="8"/>
  <c r="DB29" i="8" s="1"/>
  <c r="BN29" i="8"/>
  <c r="AS31" i="8"/>
  <c r="D32" i="8"/>
  <c r="P31" i="8"/>
  <c r="AQ10" i="20"/>
  <c r="AF171" i="20"/>
  <c r="AB171" i="20" s="1"/>
  <c r="AF90" i="20"/>
  <c r="AB90" i="20" s="1"/>
  <c r="U10" i="20"/>
  <c r="AF131" i="20"/>
  <c r="AB131" i="20" s="1"/>
  <c r="BI32" i="16"/>
  <c r="BK31" i="16"/>
  <c r="BJ34" i="8"/>
  <c r="E95" i="20"/>
  <c r="F49" i="26" s="1"/>
  <c r="E54" i="20"/>
  <c r="E49" i="26" s="1"/>
  <c r="E136" i="20"/>
  <c r="G49" i="26" s="1"/>
  <c r="E176" i="20"/>
  <c r="H49" i="26" s="1"/>
  <c r="A86" i="14"/>
  <c r="I87" i="14"/>
  <c r="AQ21" i="15"/>
  <c r="BM21" i="15"/>
  <c r="E35" i="5"/>
  <c r="F34" i="5"/>
  <c r="BI31" i="15"/>
  <c r="BK30" i="15"/>
  <c r="BQ30" i="15" s="1"/>
  <c r="BJ32" i="15"/>
  <c r="AU21" i="15"/>
  <c r="AJ22" i="15"/>
  <c r="AK22" i="15" s="1"/>
  <c r="AO21" i="15"/>
  <c r="AP21" i="15" s="1"/>
  <c r="BR20" i="15"/>
  <c r="BX20" i="15" s="1"/>
  <c r="DJ20" i="15" s="1"/>
  <c r="DM20" i="15" s="1"/>
  <c r="AC26" i="7"/>
  <c r="AH25" i="7"/>
  <c r="AI25" i="7" s="1"/>
  <c r="I36" i="14"/>
  <c r="A35" i="14"/>
  <c r="D41" i="14"/>
  <c r="H41" i="14" s="1"/>
  <c r="C42" i="14"/>
  <c r="CS442" i="1"/>
  <c r="CT442" i="1" s="1"/>
  <c r="CH442" i="1"/>
  <c r="CI442" i="1" s="1"/>
  <c r="CY442" i="1"/>
  <c r="CZ442" i="1" s="1"/>
  <c r="CM442" i="1"/>
  <c r="CN442" i="1" s="1"/>
  <c r="CI220" i="1" l="1"/>
  <c r="CG219" i="1"/>
  <c r="D38" i="17"/>
  <c r="H38" i="17" s="1"/>
  <c r="C39" i="17"/>
  <c r="A91" i="17"/>
  <c r="I92" i="17"/>
  <c r="E66" i="14"/>
  <c r="F65" i="14"/>
  <c r="A38" i="5"/>
  <c r="I39" i="5"/>
  <c r="C87" i="17"/>
  <c r="D86" i="17"/>
  <c r="H86" i="17" s="1"/>
  <c r="C117" i="14"/>
  <c r="D116" i="14"/>
  <c r="H116" i="14" s="1"/>
  <c r="A37" i="17"/>
  <c r="I38" i="17"/>
  <c r="E36" i="17"/>
  <c r="F35" i="17"/>
  <c r="A89" i="5"/>
  <c r="I90" i="5"/>
  <c r="C46" i="5"/>
  <c r="D45" i="5"/>
  <c r="H45" i="5" s="1"/>
  <c r="C87" i="5"/>
  <c r="D86" i="5"/>
  <c r="H86" i="5" s="1"/>
  <c r="BV32" i="15"/>
  <c r="AW32" i="15"/>
  <c r="DH31" i="15"/>
  <c r="CK31" i="15"/>
  <c r="BN31" i="15"/>
  <c r="CP30" i="15"/>
  <c r="CM30" i="15"/>
  <c r="P33" i="15"/>
  <c r="AS33" i="15"/>
  <c r="D34" i="15"/>
  <c r="BI32" i="8"/>
  <c r="BK31" i="8"/>
  <c r="BQ31" i="8" s="1"/>
  <c r="CB79" i="16"/>
  <c r="CL78" i="16"/>
  <c r="CE78" i="16"/>
  <c r="BR30" i="16"/>
  <c r="BS29" i="16"/>
  <c r="C9" i="24"/>
  <c r="H9" i="24" s="1"/>
  <c r="D45" i="28"/>
  <c r="BJ36" i="16"/>
  <c r="BN30" i="16"/>
  <c r="CD78" i="16" s="1"/>
  <c r="CP30" i="16"/>
  <c r="AW31" i="16"/>
  <c r="BY31" i="16"/>
  <c r="BQ31" i="16" s="1"/>
  <c r="AS32" i="16"/>
  <c r="D33" i="16"/>
  <c r="D33" i="8"/>
  <c r="AS32" i="8"/>
  <c r="CL30" i="8"/>
  <c r="DB30" i="8" s="1"/>
  <c r="BN30" i="8"/>
  <c r="AW31" i="8"/>
  <c r="BV31" i="8"/>
  <c r="BK32" i="16"/>
  <c r="BI33" i="16"/>
  <c r="BJ35" i="8"/>
  <c r="J15" i="20"/>
  <c r="A36" i="14"/>
  <c r="I37" i="14"/>
  <c r="AD26" i="7"/>
  <c r="AF26" i="7" s="1"/>
  <c r="AC27" i="7" s="1"/>
  <c r="AM22" i="15"/>
  <c r="BJ33" i="15"/>
  <c r="DE20" i="15"/>
  <c r="BO21" i="15"/>
  <c r="BP21" i="15"/>
  <c r="BL21" i="15"/>
  <c r="CL21" i="15" s="1"/>
  <c r="I88" i="14"/>
  <c r="A87" i="14"/>
  <c r="C43" i="14"/>
  <c r="D42" i="14"/>
  <c r="H42" i="14" s="1"/>
  <c r="AV21" i="15"/>
  <c r="AX21" i="15"/>
  <c r="E16" i="20" s="1"/>
  <c r="BK31" i="15"/>
  <c r="BQ31" i="15" s="1"/>
  <c r="BI32" i="15"/>
  <c r="E36" i="5"/>
  <c r="F35" i="5"/>
  <c r="CH443" i="1"/>
  <c r="CI443" i="1" s="1"/>
  <c r="CS443" i="1"/>
  <c r="CT443" i="1" s="1"/>
  <c r="CM443" i="1"/>
  <c r="CN443" i="1" s="1"/>
  <c r="CY443" i="1"/>
  <c r="CZ443" i="1" s="1"/>
  <c r="CI221" i="1" l="1"/>
  <c r="CG221" i="1" s="1"/>
  <c r="CG220" i="1"/>
  <c r="D117" i="14"/>
  <c r="H117" i="14" s="1"/>
  <c r="C118" i="14"/>
  <c r="C88" i="5"/>
  <c r="D87" i="5"/>
  <c r="H87" i="5" s="1"/>
  <c r="C88" i="17"/>
  <c r="D87" i="17"/>
  <c r="H87" i="17" s="1"/>
  <c r="I40" i="5"/>
  <c r="A39" i="5"/>
  <c r="C47" i="5"/>
  <c r="D46" i="5"/>
  <c r="H46" i="5" s="1"/>
  <c r="I91" i="5"/>
  <c r="A90" i="5"/>
  <c r="E67" i="14"/>
  <c r="F66" i="14"/>
  <c r="I93" i="17"/>
  <c r="A92" i="17"/>
  <c r="E37" i="17"/>
  <c r="F36" i="17"/>
  <c r="I39" i="17"/>
  <c r="A38" i="17"/>
  <c r="D39" i="17"/>
  <c r="H39" i="17" s="1"/>
  <c r="C40" i="17"/>
  <c r="CP31" i="15"/>
  <c r="CM31" i="15"/>
  <c r="AS34" i="15"/>
  <c r="D35" i="15"/>
  <c r="AW33" i="15"/>
  <c r="BV33" i="15"/>
  <c r="DH32" i="15"/>
  <c r="CK32" i="15"/>
  <c r="BN32" i="15"/>
  <c r="BI33" i="8"/>
  <c r="BK32" i="8"/>
  <c r="BQ32" i="8" s="1"/>
  <c r="BR31" i="16"/>
  <c r="CE79" i="16"/>
  <c r="BS30" i="16"/>
  <c r="CB80" i="16"/>
  <c r="CL79" i="16"/>
  <c r="AS33" i="16"/>
  <c r="D34" i="16"/>
  <c r="P33" i="16"/>
  <c r="BN31" i="16"/>
  <c r="CD79" i="16" s="1"/>
  <c r="CP31" i="16"/>
  <c r="AW32" i="16"/>
  <c r="BY32" i="16"/>
  <c r="BQ32" i="16" s="1"/>
  <c r="BJ37" i="16"/>
  <c r="CO21" i="15"/>
  <c r="CL31" i="8"/>
  <c r="DB31" i="8" s="1"/>
  <c r="BN31" i="8"/>
  <c r="AW32" i="8"/>
  <c r="BV32" i="8"/>
  <c r="AS33" i="8"/>
  <c r="P33" i="8"/>
  <c r="D34" i="8"/>
  <c r="BK33" i="16"/>
  <c r="BI34" i="16"/>
  <c r="BJ36" i="8"/>
  <c r="E177" i="20"/>
  <c r="H50" i="26" s="1"/>
  <c r="E55" i="20"/>
  <c r="E50" i="26" s="1"/>
  <c r="E137" i="20"/>
  <c r="G50" i="26" s="1"/>
  <c r="E96" i="20"/>
  <c r="F50" i="26" s="1"/>
  <c r="AD27" i="7"/>
  <c r="AF27" i="7" s="1"/>
  <c r="BK32" i="15"/>
  <c r="BQ32" i="15" s="1"/>
  <c r="BI33" i="15"/>
  <c r="BR21" i="15"/>
  <c r="BX21" i="15" s="1"/>
  <c r="DJ21" i="15" s="1"/>
  <c r="DM21" i="15" s="1"/>
  <c r="BJ34" i="15"/>
  <c r="AJ23" i="15"/>
  <c r="AK23" i="15" s="1"/>
  <c r="AU22" i="15"/>
  <c r="A37" i="14"/>
  <c r="I38" i="14"/>
  <c r="F36" i="5"/>
  <c r="E37" i="5"/>
  <c r="C44" i="14"/>
  <c r="D43" i="14"/>
  <c r="H43" i="14" s="1"/>
  <c r="I89" i="14"/>
  <c r="A88" i="14"/>
  <c r="AQ22" i="15"/>
  <c r="BM22" i="15"/>
  <c r="CM444" i="1"/>
  <c r="CN444" i="1" s="1"/>
  <c r="CS444" i="1"/>
  <c r="CT444" i="1" s="1"/>
  <c r="CH444" i="1"/>
  <c r="CI444" i="1" s="1"/>
  <c r="CY444" i="1"/>
  <c r="CZ444" i="1" s="1"/>
  <c r="I92" i="5" l="1"/>
  <c r="A91" i="5"/>
  <c r="C41" i="17"/>
  <c r="D40" i="17"/>
  <c r="H40" i="17" s="1"/>
  <c r="C48" i="5"/>
  <c r="D47" i="5"/>
  <c r="H47" i="5" s="1"/>
  <c r="A39" i="17"/>
  <c r="I40" i="17"/>
  <c r="I41" i="5"/>
  <c r="A40" i="5"/>
  <c r="E38" i="17"/>
  <c r="F37" i="17"/>
  <c r="C89" i="17"/>
  <c r="D88" i="17"/>
  <c r="H88" i="17" s="1"/>
  <c r="A93" i="17"/>
  <c r="I94" i="17"/>
  <c r="C89" i="5"/>
  <c r="D88" i="5"/>
  <c r="H88" i="5" s="1"/>
  <c r="C119" i="14"/>
  <c r="D118" i="14"/>
  <c r="H118" i="14" s="1"/>
  <c r="E68" i="14"/>
  <c r="F67" i="14"/>
  <c r="BS31" i="16"/>
  <c r="CP32" i="15"/>
  <c r="CM32" i="15"/>
  <c r="DH33" i="15"/>
  <c r="CK33" i="15"/>
  <c r="BN33" i="15"/>
  <c r="P35" i="15"/>
  <c r="AS35" i="15"/>
  <c r="D36" i="15"/>
  <c r="AW34" i="15"/>
  <c r="BV34" i="15"/>
  <c r="BI34" i="8"/>
  <c r="BK33" i="8"/>
  <c r="BQ33" i="8" s="1"/>
  <c r="BR32" i="16"/>
  <c r="CE80" i="16"/>
  <c r="CB81" i="16"/>
  <c r="CL80" i="16"/>
  <c r="BJ38" i="16"/>
  <c r="D35" i="16"/>
  <c r="AS34" i="16"/>
  <c r="BN32" i="16"/>
  <c r="CD80" i="16" s="1"/>
  <c r="CP32" i="16"/>
  <c r="AW33" i="16"/>
  <c r="BY33" i="16"/>
  <c r="BQ33" i="16" s="1"/>
  <c r="CL32" i="8"/>
  <c r="DB32" i="8" s="1"/>
  <c r="BN32" i="8"/>
  <c r="AS34" i="8"/>
  <c r="D35" i="8"/>
  <c r="BV33" i="8"/>
  <c r="AW33" i="8"/>
  <c r="BK34" i="16"/>
  <c r="BI35" i="16"/>
  <c r="BJ37" i="8"/>
  <c r="J16" i="20"/>
  <c r="AC28" i="7"/>
  <c r="AH27" i="7"/>
  <c r="AI27" i="7" s="1"/>
  <c r="A89" i="14"/>
  <c r="I90" i="14"/>
  <c r="D44" i="14"/>
  <c r="H44" i="14" s="1"/>
  <c r="C45" i="14"/>
  <c r="AM23" i="15"/>
  <c r="BJ35" i="15"/>
  <c r="BK33" i="15"/>
  <c r="BQ33" i="15" s="1"/>
  <c r="BI34" i="15"/>
  <c r="BO22" i="15"/>
  <c r="BP22" i="15"/>
  <c r="BL22" i="15"/>
  <c r="CL22" i="15" s="1"/>
  <c r="E38" i="5"/>
  <c r="F37" i="5"/>
  <c r="I39" i="14"/>
  <c r="A38" i="14"/>
  <c r="AV22" i="15"/>
  <c r="AX22" i="15"/>
  <c r="E17" i="20" s="1"/>
  <c r="DE21" i="15"/>
  <c r="CH445" i="1"/>
  <c r="CI445" i="1" s="1"/>
  <c r="CS445" i="1"/>
  <c r="CT445" i="1" s="1"/>
  <c r="CY445" i="1"/>
  <c r="CZ445" i="1" s="1"/>
  <c r="CM445" i="1"/>
  <c r="CN445" i="1" s="1"/>
  <c r="F68" i="14" l="1"/>
  <c r="E69" i="14"/>
  <c r="A41" i="5"/>
  <c r="I42" i="5"/>
  <c r="A40" i="17"/>
  <c r="I41" i="17"/>
  <c r="D119" i="14"/>
  <c r="H119" i="14" s="1"/>
  <c r="C120" i="14"/>
  <c r="C90" i="5"/>
  <c r="D89" i="5"/>
  <c r="H89" i="5" s="1"/>
  <c r="C49" i="5"/>
  <c r="D48" i="5"/>
  <c r="H48" i="5" s="1"/>
  <c r="A94" i="17"/>
  <c r="I95" i="17"/>
  <c r="C42" i="17"/>
  <c r="D41" i="17"/>
  <c r="H41" i="17" s="1"/>
  <c r="E39" i="17"/>
  <c r="F38" i="17"/>
  <c r="C90" i="17"/>
  <c r="D89" i="17"/>
  <c r="H89" i="17" s="1"/>
  <c r="A92" i="5"/>
  <c r="I93" i="5"/>
  <c r="BS32" i="16"/>
  <c r="D37" i="15"/>
  <c r="AS36" i="15"/>
  <c r="BV35" i="15"/>
  <c r="AW35" i="15"/>
  <c r="CP33" i="15"/>
  <c r="CM33" i="15"/>
  <c r="DH34" i="15"/>
  <c r="CK34" i="15"/>
  <c r="BN34" i="15"/>
  <c r="BI35" i="8"/>
  <c r="BK34" i="8"/>
  <c r="BQ34" i="8" s="1"/>
  <c r="CE81" i="16"/>
  <c r="BQ34" i="16"/>
  <c r="CB82" i="16"/>
  <c r="CL81" i="16"/>
  <c r="BN33" i="16"/>
  <c r="CD81" i="16" s="1"/>
  <c r="CP33" i="16"/>
  <c r="BY34" i="16"/>
  <c r="AW34" i="16"/>
  <c r="AS35" i="16"/>
  <c r="P35" i="16"/>
  <c r="D36" i="16"/>
  <c r="CO22" i="15"/>
  <c r="P35" i="8"/>
  <c r="AS35" i="8"/>
  <c r="D36" i="8"/>
  <c r="CL33" i="8"/>
  <c r="DB33" i="8" s="1"/>
  <c r="BN33" i="8"/>
  <c r="AW34" i="8"/>
  <c r="BV34" i="8"/>
  <c r="BK35" i="16"/>
  <c r="BI36" i="16"/>
  <c r="BJ38" i="8"/>
  <c r="E138" i="20"/>
  <c r="G51" i="26" s="1"/>
  <c r="E97" i="20"/>
  <c r="F51" i="26" s="1"/>
  <c r="E56" i="20"/>
  <c r="E51" i="26" s="1"/>
  <c r="E178" i="20"/>
  <c r="H51" i="26" s="1"/>
  <c r="AU23" i="15"/>
  <c r="AJ24" i="15"/>
  <c r="AK24" i="15" s="1"/>
  <c r="AO23" i="15"/>
  <c r="AP23" i="15" s="1"/>
  <c r="I40" i="14"/>
  <c r="A39" i="14"/>
  <c r="F38" i="5"/>
  <c r="E39" i="5"/>
  <c r="BK34" i="15"/>
  <c r="BQ34" i="15" s="1"/>
  <c r="BI35" i="15"/>
  <c r="D45" i="14"/>
  <c r="H45" i="14" s="1"/>
  <c r="C46" i="14"/>
  <c r="A90" i="14"/>
  <c r="I91" i="14"/>
  <c r="BR22" i="15"/>
  <c r="BX22" i="15" s="1"/>
  <c r="DJ22" i="15" s="1"/>
  <c r="DM22" i="15" s="1"/>
  <c r="BJ36" i="15"/>
  <c r="AQ23" i="15"/>
  <c r="BM23" i="15"/>
  <c r="AD28" i="7"/>
  <c r="AF28" i="7" s="1"/>
  <c r="AC29" i="7" s="1"/>
  <c r="CM446" i="1"/>
  <c r="CN446" i="1" s="1"/>
  <c r="CY446" i="1"/>
  <c r="CS446" i="1"/>
  <c r="CT446" i="1" s="1"/>
  <c r="CH446" i="1"/>
  <c r="CI446" i="1" s="1"/>
  <c r="C50" i="5" l="1"/>
  <c r="D49" i="5"/>
  <c r="H49" i="5" s="1"/>
  <c r="C91" i="5"/>
  <c r="D90" i="5"/>
  <c r="H90" i="5" s="1"/>
  <c r="D120" i="14"/>
  <c r="H120" i="14" s="1"/>
  <c r="C121" i="14"/>
  <c r="C91" i="17"/>
  <c r="D90" i="17"/>
  <c r="H90" i="17" s="1"/>
  <c r="A41" i="17"/>
  <c r="I42" i="17"/>
  <c r="A93" i="5"/>
  <c r="I94" i="5"/>
  <c r="E40" i="17"/>
  <c r="F39" i="17"/>
  <c r="A42" i="5"/>
  <c r="I43" i="5"/>
  <c r="C43" i="17"/>
  <c r="D42" i="17"/>
  <c r="H42" i="17" s="1"/>
  <c r="I96" i="17"/>
  <c r="A95" i="17"/>
  <c r="F69" i="14"/>
  <c r="E70" i="14"/>
  <c r="CP34" i="15"/>
  <c r="CM34" i="15"/>
  <c r="DH35" i="15"/>
  <c r="CK35" i="15"/>
  <c r="BN35" i="15"/>
  <c r="BV36" i="15"/>
  <c r="AW36" i="15"/>
  <c r="P37" i="15"/>
  <c r="D38" i="15"/>
  <c r="AS37" i="15"/>
  <c r="BI36" i="8"/>
  <c r="BK35" i="8"/>
  <c r="BQ35" i="8" s="1"/>
  <c r="CE82" i="16"/>
  <c r="BR34" i="16"/>
  <c r="BQ35" i="16"/>
  <c r="CB83" i="16"/>
  <c r="CL82" i="16"/>
  <c r="AS36" i="16"/>
  <c r="D37" i="16"/>
  <c r="AW35" i="16"/>
  <c r="BY35" i="16"/>
  <c r="BN34" i="16"/>
  <c r="CD82" i="16" s="1"/>
  <c r="CP34" i="16"/>
  <c r="AW35" i="8"/>
  <c r="BV35" i="8"/>
  <c r="CL34" i="8"/>
  <c r="DB34" i="8" s="1"/>
  <c r="BN34" i="8"/>
  <c r="AS36" i="8"/>
  <c r="D37" i="8"/>
  <c r="BK36" i="16"/>
  <c r="BI37" i="16"/>
  <c r="BJ39" i="8"/>
  <c r="DE22" i="15"/>
  <c r="J17" i="20"/>
  <c r="AD29" i="7"/>
  <c r="AF29" i="7" s="1"/>
  <c r="BO23" i="15"/>
  <c r="BP23" i="15"/>
  <c r="BL23" i="15"/>
  <c r="CL23" i="15" s="1"/>
  <c r="BJ37" i="15"/>
  <c r="A40" i="14"/>
  <c r="I41" i="14"/>
  <c r="AM24" i="15"/>
  <c r="I92" i="14"/>
  <c r="A91" i="14"/>
  <c r="D46" i="14"/>
  <c r="H46" i="14" s="1"/>
  <c r="C47" i="14"/>
  <c r="BK35" i="15"/>
  <c r="BQ35" i="15" s="1"/>
  <c r="BI36" i="15"/>
  <c r="E40" i="5"/>
  <c r="F39" i="5"/>
  <c r="AV23" i="15"/>
  <c r="AX23" i="15"/>
  <c r="E18" i="20" s="1"/>
  <c r="CY447" i="1"/>
  <c r="CM447" i="1"/>
  <c r="CN447" i="1" s="1"/>
  <c r="CH447" i="1"/>
  <c r="CI447" i="1" s="1"/>
  <c r="CS447" i="1"/>
  <c r="CT447" i="1" s="1"/>
  <c r="A94" i="5" l="1"/>
  <c r="I95" i="5"/>
  <c r="A42" i="17"/>
  <c r="I43" i="17"/>
  <c r="E71" i="14"/>
  <c r="F70" i="14"/>
  <c r="A96" i="17"/>
  <c r="I97" i="17"/>
  <c r="D91" i="17"/>
  <c r="H91" i="17" s="1"/>
  <c r="C92" i="17"/>
  <c r="D121" i="14"/>
  <c r="H121" i="14" s="1"/>
  <c r="C122" i="14"/>
  <c r="D43" i="17"/>
  <c r="H43" i="17" s="1"/>
  <c r="C44" i="17"/>
  <c r="C92" i="5"/>
  <c r="D91" i="5"/>
  <c r="H91" i="5" s="1"/>
  <c r="A43" i="5"/>
  <c r="I44" i="5"/>
  <c r="F40" i="17"/>
  <c r="E41" i="17"/>
  <c r="C51" i="5"/>
  <c r="D50" i="5"/>
  <c r="H50" i="5" s="1"/>
  <c r="DH36" i="15"/>
  <c r="CK36" i="15"/>
  <c r="BN36" i="15"/>
  <c r="CP35" i="15"/>
  <c r="CM35" i="15"/>
  <c r="BV37" i="15"/>
  <c r="AW37" i="15"/>
  <c r="AS38" i="15"/>
  <c r="D39" i="15"/>
  <c r="BI37" i="8"/>
  <c r="BK36" i="8"/>
  <c r="BQ36" i="8" s="1"/>
  <c r="CB84" i="16"/>
  <c r="CL83" i="16"/>
  <c r="CE83" i="16"/>
  <c r="BQ36" i="16"/>
  <c r="BR35" i="16"/>
  <c r="BN35" i="16"/>
  <c r="CD83" i="16" s="1"/>
  <c r="CP35" i="16"/>
  <c r="D38" i="16"/>
  <c r="AS37" i="16"/>
  <c r="P37" i="16"/>
  <c r="BY36" i="16"/>
  <c r="AW36" i="16"/>
  <c r="CO23" i="15"/>
  <c r="AS37" i="8"/>
  <c r="P37" i="8"/>
  <c r="D38" i="8"/>
  <c r="CL35" i="8"/>
  <c r="DB35" i="8" s="1"/>
  <c r="BN35" i="8"/>
  <c r="AW36" i="8"/>
  <c r="BV36" i="8"/>
  <c r="BI38" i="16"/>
  <c r="BK37" i="16"/>
  <c r="BJ40" i="8"/>
  <c r="E179" i="20"/>
  <c r="H52" i="26" s="1"/>
  <c r="E98" i="20"/>
  <c r="F52" i="26" s="1"/>
  <c r="E139" i="20"/>
  <c r="G52" i="26" s="1"/>
  <c r="E57" i="20"/>
  <c r="E52" i="26" s="1"/>
  <c r="AC30" i="7"/>
  <c r="AH29" i="7"/>
  <c r="AI29" i="7" s="1"/>
  <c r="F40" i="5"/>
  <c r="E41" i="5"/>
  <c r="A92" i="14"/>
  <c r="I93" i="14"/>
  <c r="AQ24" i="15"/>
  <c r="BM24" i="15"/>
  <c r="BJ38" i="15"/>
  <c r="BK36" i="15"/>
  <c r="BQ36" i="15" s="1"/>
  <c r="BI37" i="15"/>
  <c r="D47" i="14"/>
  <c r="H47" i="14" s="1"/>
  <c r="C48" i="14"/>
  <c r="AJ25" i="15"/>
  <c r="AK25" i="15" s="1"/>
  <c r="AU24" i="15"/>
  <c r="I42" i="14"/>
  <c r="A41" i="14"/>
  <c r="BR23" i="15"/>
  <c r="BX23" i="15" s="1"/>
  <c r="DJ23" i="15" s="1"/>
  <c r="DM23" i="15" s="1"/>
  <c r="CM448" i="1"/>
  <c r="CN453" i="1" s="1"/>
  <c r="CN454" i="1" s="1"/>
  <c r="CN455" i="1" s="1"/>
  <c r="CN456" i="1" s="1"/>
  <c r="CN457" i="1" s="1"/>
  <c r="CY448" i="1"/>
  <c r="CS448" i="1"/>
  <c r="CT448" i="1" s="1"/>
  <c r="CH448" i="1"/>
  <c r="CI448" i="1" s="1"/>
  <c r="CI453" i="1" s="1"/>
  <c r="CI454" i="1" s="1"/>
  <c r="CI455" i="1" s="1"/>
  <c r="CI456" i="1" s="1"/>
  <c r="CI457" i="1" s="1"/>
  <c r="C123" i="14" l="1"/>
  <c r="D122" i="14"/>
  <c r="H122" i="14" s="1"/>
  <c r="C93" i="17"/>
  <c r="D92" i="17"/>
  <c r="H92" i="17" s="1"/>
  <c r="F41" i="17"/>
  <c r="E42" i="17"/>
  <c r="A97" i="17"/>
  <c r="I98" i="17"/>
  <c r="A44" i="5"/>
  <c r="I45" i="5"/>
  <c r="E72" i="14"/>
  <c r="F71" i="14"/>
  <c r="A43" i="17"/>
  <c r="I44" i="17"/>
  <c r="C93" i="5"/>
  <c r="D92" i="5"/>
  <c r="H92" i="5" s="1"/>
  <c r="D44" i="17"/>
  <c r="H44" i="17" s="1"/>
  <c r="C45" i="17"/>
  <c r="I96" i="5"/>
  <c r="A95" i="5"/>
  <c r="C52" i="5"/>
  <c r="D51" i="5"/>
  <c r="H51" i="5" s="1"/>
  <c r="BV38" i="15"/>
  <c r="AW38" i="15"/>
  <c r="DH37" i="15"/>
  <c r="CK37" i="15"/>
  <c r="BN37" i="15"/>
  <c r="CP36" i="15"/>
  <c r="CM36" i="15"/>
  <c r="P39" i="15"/>
  <c r="D40" i="15"/>
  <c r="AS39" i="15"/>
  <c r="BI38" i="8"/>
  <c r="BK37" i="8"/>
  <c r="BQ37" i="8" s="1"/>
  <c r="BJ41" i="8"/>
  <c r="BJ42" i="8" s="1"/>
  <c r="CE84" i="16"/>
  <c r="BQ37" i="16"/>
  <c r="BR36" i="16"/>
  <c r="CB85" i="16"/>
  <c r="CL84" i="16"/>
  <c r="BN36" i="16"/>
  <c r="CD84" i="16" s="1"/>
  <c r="CP36" i="16"/>
  <c r="BY37" i="16"/>
  <c r="AW37" i="16"/>
  <c r="D39" i="16"/>
  <c r="AS38" i="16"/>
  <c r="CL36" i="8"/>
  <c r="DB36" i="8" s="1"/>
  <c r="BN36" i="8"/>
  <c r="AS38" i="8"/>
  <c r="D39" i="8"/>
  <c r="BV37" i="8"/>
  <c r="AW37" i="8"/>
  <c r="BK38" i="16"/>
  <c r="J18" i="20"/>
  <c r="AV24" i="15"/>
  <c r="AX24" i="15"/>
  <c r="E19" i="20" s="1"/>
  <c r="C49" i="14"/>
  <c r="D48" i="14"/>
  <c r="H48" i="14" s="1"/>
  <c r="BK37" i="15"/>
  <c r="BQ37" i="15" s="1"/>
  <c r="BI38" i="15"/>
  <c r="BO24" i="15"/>
  <c r="BL24" i="15"/>
  <c r="CL24" i="15" s="1"/>
  <c r="BP24" i="15"/>
  <c r="I94" i="14"/>
  <c r="A93" i="14"/>
  <c r="E42" i="5"/>
  <c r="F41" i="5"/>
  <c r="A42" i="14"/>
  <c r="I43" i="14"/>
  <c r="AM25" i="15"/>
  <c r="DE23" i="15"/>
  <c r="BJ39" i="15"/>
  <c r="AD30" i="7"/>
  <c r="AF30" i="7" s="1"/>
  <c r="AC31" i="7" s="1"/>
  <c r="CY449" i="1"/>
  <c r="CY450" i="1" s="1"/>
  <c r="CM449" i="1"/>
  <c r="CM450" i="1" s="1"/>
  <c r="CH449" i="1"/>
  <c r="CH450" i="1" s="1"/>
  <c r="CS449" i="1"/>
  <c r="CS450" i="1" s="1"/>
  <c r="I99" i="17" l="1"/>
  <c r="A98" i="17"/>
  <c r="E73" i="14"/>
  <c r="F72" i="14"/>
  <c r="A96" i="5"/>
  <c r="I97" i="5"/>
  <c r="A45" i="5"/>
  <c r="I46" i="5"/>
  <c r="D45" i="17"/>
  <c r="H45" i="17" s="1"/>
  <c r="C46" i="17"/>
  <c r="E43" i="17"/>
  <c r="F42" i="17"/>
  <c r="C94" i="5"/>
  <c r="D93" i="5"/>
  <c r="H93" i="5" s="1"/>
  <c r="C94" i="17"/>
  <c r="D93" i="17"/>
  <c r="H93" i="17" s="1"/>
  <c r="BJ43" i="8"/>
  <c r="C53" i="5"/>
  <c r="D52" i="5"/>
  <c r="H52" i="5" s="1"/>
  <c r="A44" i="17"/>
  <c r="I45" i="17"/>
  <c r="D123" i="14"/>
  <c r="H123" i="14" s="1"/>
  <c r="C124" i="14"/>
  <c r="CP37" i="15"/>
  <c r="CM37" i="15"/>
  <c r="AW39" i="15"/>
  <c r="BV39" i="15"/>
  <c r="D41" i="15"/>
  <c r="AS40" i="15"/>
  <c r="DH38" i="15"/>
  <c r="CK38" i="15"/>
  <c r="BN38" i="15"/>
  <c r="BI39" i="8"/>
  <c r="BK38" i="8"/>
  <c r="BQ38" i="8" s="1"/>
  <c r="CB86" i="16"/>
  <c r="CL85" i="16"/>
  <c r="CE85" i="16"/>
  <c r="BQ38" i="16"/>
  <c r="BR37" i="16"/>
  <c r="AW38" i="16"/>
  <c r="BY38" i="16"/>
  <c r="D40" i="16"/>
  <c r="D41" i="16" s="1"/>
  <c r="AS39" i="16"/>
  <c r="P39" i="16"/>
  <c r="BN37" i="16"/>
  <c r="CD85" i="16" s="1"/>
  <c r="CP37" i="16"/>
  <c r="CO24" i="15"/>
  <c r="AS39" i="8"/>
  <c r="P39" i="8"/>
  <c r="D40" i="8"/>
  <c r="D41" i="8" s="1"/>
  <c r="AS41" i="8" s="1"/>
  <c r="AW41" i="8" s="1"/>
  <c r="CL37" i="8"/>
  <c r="DB37" i="8" s="1"/>
  <c r="BN37" i="8"/>
  <c r="BV38" i="8"/>
  <c r="AW38" i="8"/>
  <c r="E99" i="20"/>
  <c r="F53" i="26" s="1"/>
  <c r="E58" i="20"/>
  <c r="E53" i="26" s="1"/>
  <c r="E140" i="20"/>
  <c r="G53" i="26" s="1"/>
  <c r="E180" i="20"/>
  <c r="H53" i="26" s="1"/>
  <c r="AQ25" i="15"/>
  <c r="BM25" i="15"/>
  <c r="E43" i="5"/>
  <c r="F42" i="5"/>
  <c r="I95" i="14"/>
  <c r="A94" i="14"/>
  <c r="BI39" i="15"/>
  <c r="BK38" i="15"/>
  <c r="BQ38" i="15" s="1"/>
  <c r="AD31" i="7"/>
  <c r="AF31" i="7" s="1"/>
  <c r="BJ40" i="15"/>
  <c r="BJ41" i="15" s="1"/>
  <c r="BJ42" i="15" s="1"/>
  <c r="AU25" i="15"/>
  <c r="AJ26" i="15"/>
  <c r="AK26" i="15" s="1"/>
  <c r="AO25" i="15"/>
  <c r="AP25" i="15" s="1"/>
  <c r="A43" i="14"/>
  <c r="I44" i="14"/>
  <c r="BR24" i="15"/>
  <c r="BX24" i="15" s="1"/>
  <c r="DJ24" i="15" s="1"/>
  <c r="DM24" i="15" s="1"/>
  <c r="D49" i="14"/>
  <c r="H49" i="14" s="1"/>
  <c r="C50" i="14"/>
  <c r="BJ43" i="15" l="1"/>
  <c r="F43" i="17"/>
  <c r="E44" i="17"/>
  <c r="A46" i="5"/>
  <c r="I47" i="5"/>
  <c r="C54" i="5"/>
  <c r="D53" i="5"/>
  <c r="H53" i="5" s="1"/>
  <c r="A97" i="5"/>
  <c r="I98" i="5"/>
  <c r="BJ44" i="8"/>
  <c r="BJ45" i="8" s="1"/>
  <c r="A45" i="17"/>
  <c r="I46" i="17"/>
  <c r="D94" i="17"/>
  <c r="H94" i="17" s="1"/>
  <c r="C95" i="17"/>
  <c r="E74" i="14"/>
  <c r="F73" i="14"/>
  <c r="D46" i="17"/>
  <c r="H46" i="17" s="1"/>
  <c r="C47" i="17"/>
  <c r="C125" i="14"/>
  <c r="D124" i="14"/>
  <c r="H124" i="14" s="1"/>
  <c r="C95" i="5"/>
  <c r="D94" i="5"/>
  <c r="H94" i="5" s="1"/>
  <c r="I100" i="17"/>
  <c r="A99" i="17"/>
  <c r="AS41" i="16"/>
  <c r="AW41" i="16" s="1"/>
  <c r="P41" i="16"/>
  <c r="CP38" i="15"/>
  <c r="CM38" i="15"/>
  <c r="AW40" i="15"/>
  <c r="BV40" i="15"/>
  <c r="DH39" i="15"/>
  <c r="CK39" i="15"/>
  <c r="BN39" i="15"/>
  <c r="P41" i="15"/>
  <c r="AS41" i="15"/>
  <c r="AW41" i="15" s="1"/>
  <c r="BI40" i="8"/>
  <c r="BK39" i="8"/>
  <c r="BQ39" i="8" s="1"/>
  <c r="CE86" i="16"/>
  <c r="BR38" i="16"/>
  <c r="CB87" i="16"/>
  <c r="CL86" i="16"/>
  <c r="BY39" i="16"/>
  <c r="AW39" i="16"/>
  <c r="BN38" i="16"/>
  <c r="CD86" i="16" s="1"/>
  <c r="CP38" i="16"/>
  <c r="AS40" i="16"/>
  <c r="CL38" i="8"/>
  <c r="DB38" i="8" s="1"/>
  <c r="BN38" i="8"/>
  <c r="P40" i="8"/>
  <c r="AS40" i="8"/>
  <c r="BV39" i="8"/>
  <c r="AW39" i="8"/>
  <c r="J19" i="20"/>
  <c r="AC32" i="7"/>
  <c r="AH31" i="7"/>
  <c r="AI31" i="7" s="1"/>
  <c r="DE24" i="15"/>
  <c r="BO25" i="15"/>
  <c r="BL25" i="15"/>
  <c r="CL25" i="15" s="1"/>
  <c r="BP25" i="15"/>
  <c r="C51" i="14"/>
  <c r="D50" i="14"/>
  <c r="H50" i="14" s="1"/>
  <c r="I45" i="14"/>
  <c r="A44" i="14"/>
  <c r="AV25" i="15"/>
  <c r="AX25" i="15"/>
  <c r="E20" i="20" s="1"/>
  <c r="BK39" i="15"/>
  <c r="BQ39" i="15" s="1"/>
  <c r="BI40" i="15"/>
  <c r="A95" i="14"/>
  <c r="I96" i="14"/>
  <c r="E44" i="5"/>
  <c r="F43" i="5"/>
  <c r="BJ46" i="8" l="1"/>
  <c r="D125" i="14"/>
  <c r="H125" i="14" s="1"/>
  <c r="C126" i="14"/>
  <c r="D54" i="5"/>
  <c r="H54" i="5" s="1"/>
  <c r="C55" i="5"/>
  <c r="D47" i="17"/>
  <c r="H47" i="17" s="1"/>
  <c r="C48" i="17"/>
  <c r="A47" i="5"/>
  <c r="I48" i="5"/>
  <c r="C96" i="17"/>
  <c r="D95" i="17"/>
  <c r="H95" i="17" s="1"/>
  <c r="E45" i="17"/>
  <c r="F44" i="17"/>
  <c r="E75" i="14"/>
  <c r="F74" i="14"/>
  <c r="I47" i="17"/>
  <c r="A46" i="17"/>
  <c r="A100" i="17"/>
  <c r="I101" i="17"/>
  <c r="I99" i="5"/>
  <c r="A98" i="5"/>
  <c r="D95" i="5"/>
  <c r="H95" i="5" s="1"/>
  <c r="C96" i="5"/>
  <c r="CP39" i="15"/>
  <c r="CM39" i="15"/>
  <c r="DH40" i="15"/>
  <c r="CK40" i="15"/>
  <c r="BN40" i="15"/>
  <c r="BI41" i="8"/>
  <c r="BK40" i="8"/>
  <c r="BQ40" i="8" s="1"/>
  <c r="BK40" i="15"/>
  <c r="BQ40" i="15" s="1"/>
  <c r="BI41" i="15"/>
  <c r="BK41" i="15" s="1"/>
  <c r="BQ41" i="15" s="1"/>
  <c r="CB88" i="16"/>
  <c r="CL88" i="16" s="1"/>
  <c r="CL87" i="16"/>
  <c r="AW40" i="16"/>
  <c r="BY40" i="16"/>
  <c r="BN40" i="16" s="1"/>
  <c r="CD88" i="16" s="1"/>
  <c r="BN39" i="16"/>
  <c r="CD87" i="16" s="1"/>
  <c r="CP39" i="16"/>
  <c r="CO25" i="15"/>
  <c r="BV40" i="8"/>
  <c r="BN40" i="8" s="1"/>
  <c r="AW40" i="8"/>
  <c r="CL39" i="8"/>
  <c r="DB39" i="8" s="1"/>
  <c r="BN39" i="8"/>
  <c r="E181" i="20"/>
  <c r="H54" i="26" s="1"/>
  <c r="E59" i="20"/>
  <c r="E54" i="26" s="1"/>
  <c r="E141" i="20"/>
  <c r="G54" i="26" s="1"/>
  <c r="E100" i="20"/>
  <c r="F54" i="26" s="1"/>
  <c r="E45" i="5"/>
  <c r="F44" i="5"/>
  <c r="I46" i="14"/>
  <c r="A45" i="14"/>
  <c r="D51" i="14"/>
  <c r="H51" i="14" s="1"/>
  <c r="C52" i="14"/>
  <c r="AD32" i="7"/>
  <c r="AF32" i="7" s="1"/>
  <c r="AC33" i="7" s="1"/>
  <c r="AQ26" i="15"/>
  <c r="BM26" i="15"/>
  <c r="A96" i="14"/>
  <c r="I97" i="14"/>
  <c r="BR25" i="15"/>
  <c r="BX25" i="15" s="1"/>
  <c r="DJ25" i="15" s="1"/>
  <c r="DM25" i="15" s="1"/>
  <c r="AM26" i="15"/>
  <c r="BJ47" i="8" l="1"/>
  <c r="I49" i="5"/>
  <c r="A48" i="5"/>
  <c r="D55" i="5"/>
  <c r="H55" i="5" s="1"/>
  <c r="C56" i="5"/>
  <c r="D48" i="17"/>
  <c r="H48" i="17" s="1"/>
  <c r="C49" i="17"/>
  <c r="D126" i="14"/>
  <c r="H126" i="14" s="1"/>
  <c r="C127" i="14"/>
  <c r="BK41" i="8"/>
  <c r="BQ41" i="8" s="1"/>
  <c r="BI42" i="8"/>
  <c r="F75" i="14"/>
  <c r="E76" i="14"/>
  <c r="I102" i="17"/>
  <c r="A101" i="17"/>
  <c r="I100" i="5"/>
  <c r="A99" i="5"/>
  <c r="A47" i="17"/>
  <c r="I48" i="17"/>
  <c r="F45" i="17"/>
  <c r="E46" i="17"/>
  <c r="C97" i="5"/>
  <c r="D96" i="5"/>
  <c r="H96" i="5" s="1"/>
  <c r="D96" i="17"/>
  <c r="H96" i="17" s="1"/>
  <c r="C97" i="17"/>
  <c r="CP40" i="15"/>
  <c r="CM40" i="15"/>
  <c r="J20" i="20"/>
  <c r="AD33" i="7"/>
  <c r="AF33" i="7" s="1"/>
  <c r="AU26" i="15"/>
  <c r="AJ27" i="15"/>
  <c r="AK27" i="15" s="1"/>
  <c r="A97" i="14"/>
  <c r="I98" i="14"/>
  <c r="BO26" i="15"/>
  <c r="BL26" i="15"/>
  <c r="CL26" i="15" s="1"/>
  <c r="BP26" i="15"/>
  <c r="C53" i="14"/>
  <c r="D52" i="14"/>
  <c r="H52" i="14" s="1"/>
  <c r="DE25" i="15"/>
  <c r="I47" i="14"/>
  <c r="A46" i="14"/>
  <c r="E46" i="5"/>
  <c r="F45" i="5"/>
  <c r="BJ48" i="8" l="1"/>
  <c r="F76" i="14"/>
  <c r="E77" i="14"/>
  <c r="D97" i="17"/>
  <c r="H97" i="17" s="1"/>
  <c r="C98" i="17"/>
  <c r="D127" i="14"/>
  <c r="H127" i="14" s="1"/>
  <c r="C128" i="14"/>
  <c r="I49" i="17"/>
  <c r="A48" i="17"/>
  <c r="D49" i="17"/>
  <c r="H49" i="17" s="1"/>
  <c r="C50" i="17"/>
  <c r="D97" i="5"/>
  <c r="H97" i="5" s="1"/>
  <c r="C98" i="5"/>
  <c r="BK42" i="8"/>
  <c r="BQ42" i="8" s="1"/>
  <c r="BI43" i="8"/>
  <c r="C57" i="5"/>
  <c r="D56" i="5"/>
  <c r="H56" i="5" s="1"/>
  <c r="F46" i="17"/>
  <c r="E47" i="17"/>
  <c r="A100" i="5"/>
  <c r="I101" i="5"/>
  <c r="A102" i="17"/>
  <c r="I103" i="17"/>
  <c r="A49" i="5"/>
  <c r="I50" i="5"/>
  <c r="CO26" i="15"/>
  <c r="AC34" i="7"/>
  <c r="AH33" i="7"/>
  <c r="AI33" i="7" s="1"/>
  <c r="D53" i="14"/>
  <c r="H53" i="14" s="1"/>
  <c r="C54" i="14"/>
  <c r="I99" i="14"/>
  <c r="A98" i="14"/>
  <c r="AM27" i="15"/>
  <c r="F46" i="5"/>
  <c r="E47" i="5"/>
  <c r="I48" i="14"/>
  <c r="A47" i="14"/>
  <c r="BR26" i="15"/>
  <c r="BX26" i="15" s="1"/>
  <c r="DJ26" i="15" s="1"/>
  <c r="DM26" i="15" s="1"/>
  <c r="AV26" i="15"/>
  <c r="AX26" i="15"/>
  <c r="E21" i="20" s="1"/>
  <c r="I51" i="5" l="1"/>
  <c r="A50" i="5"/>
  <c r="A103" i="17"/>
  <c r="I104" i="17"/>
  <c r="A101" i="5"/>
  <c r="I102" i="5"/>
  <c r="E48" i="17"/>
  <c r="F47" i="17"/>
  <c r="C99" i="5"/>
  <c r="D98" i="5"/>
  <c r="H98" i="5" s="1"/>
  <c r="D50" i="17"/>
  <c r="H50" i="17" s="1"/>
  <c r="C51" i="17"/>
  <c r="C99" i="17"/>
  <c r="D98" i="17"/>
  <c r="H98" i="17" s="1"/>
  <c r="C58" i="5"/>
  <c r="D57" i="5"/>
  <c r="H57" i="5" s="1"/>
  <c r="BK43" i="8"/>
  <c r="BQ43" i="8" s="1"/>
  <c r="BI44" i="8"/>
  <c r="F77" i="14"/>
  <c r="E78" i="14"/>
  <c r="I50" i="17"/>
  <c r="A49" i="17"/>
  <c r="D128" i="14"/>
  <c r="H128" i="14" s="1"/>
  <c r="C129" i="14"/>
  <c r="E142" i="20"/>
  <c r="G55" i="26" s="1"/>
  <c r="E101" i="20"/>
  <c r="F55" i="26" s="1"/>
  <c r="E60" i="20"/>
  <c r="E55" i="26" s="1"/>
  <c r="E182" i="20"/>
  <c r="H55" i="26" s="1"/>
  <c r="AJ28" i="15"/>
  <c r="AK28" i="15" s="1"/>
  <c r="AU27" i="15"/>
  <c r="AO27" i="15"/>
  <c r="AP27" i="15" s="1"/>
  <c r="E48" i="5"/>
  <c r="F47" i="5"/>
  <c r="D54" i="14"/>
  <c r="H54" i="14" s="1"/>
  <c r="C55" i="14"/>
  <c r="DE26" i="15"/>
  <c r="A48" i="14"/>
  <c r="I49" i="14"/>
  <c r="AQ27" i="15"/>
  <c r="BM27" i="15"/>
  <c r="A99" i="14"/>
  <c r="I100" i="14"/>
  <c r="AD34" i="7"/>
  <c r="AF34" i="7" s="1"/>
  <c r="AC35" i="7" s="1"/>
  <c r="BK44" i="8" l="1"/>
  <c r="BQ44" i="8" s="1"/>
  <c r="BI45" i="8"/>
  <c r="D51" i="17"/>
  <c r="H51" i="17" s="1"/>
  <c r="C52" i="17"/>
  <c r="E49" i="17"/>
  <c r="F48" i="17"/>
  <c r="C100" i="5"/>
  <c r="D99" i="5"/>
  <c r="H99" i="5" s="1"/>
  <c r="A102" i="5"/>
  <c r="I103" i="5"/>
  <c r="A50" i="17"/>
  <c r="I51" i="17"/>
  <c r="E79" i="14"/>
  <c r="F78" i="14"/>
  <c r="A104" i="17"/>
  <c r="I105" i="17"/>
  <c r="C59" i="5"/>
  <c r="D58" i="5"/>
  <c r="H58" i="5" s="1"/>
  <c r="D129" i="14"/>
  <c r="H129" i="14" s="1"/>
  <c r="C130" i="14"/>
  <c r="C100" i="17"/>
  <c r="D99" i="17"/>
  <c r="H99" i="17" s="1"/>
  <c r="I52" i="5"/>
  <c r="A51" i="5"/>
  <c r="J21" i="20"/>
  <c r="AD35" i="7"/>
  <c r="AF35" i="7" s="1"/>
  <c r="E49" i="5"/>
  <c r="F48" i="5"/>
  <c r="AV27" i="15"/>
  <c r="AX27" i="15"/>
  <c r="E22" i="20" s="1"/>
  <c r="I101" i="14"/>
  <c r="A100" i="14"/>
  <c r="BO27" i="15"/>
  <c r="BL27" i="15"/>
  <c r="CL27" i="15" s="1"/>
  <c r="BP27" i="15"/>
  <c r="A49" i="14"/>
  <c r="I50" i="14"/>
  <c r="D55" i="14"/>
  <c r="H55" i="14" s="1"/>
  <c r="C56" i="14"/>
  <c r="AM28" i="15"/>
  <c r="BK45" i="8" l="1"/>
  <c r="BQ45" i="8" s="1"/>
  <c r="BI46" i="8"/>
  <c r="A51" i="17"/>
  <c r="I52" i="17"/>
  <c r="C101" i="17"/>
  <c r="D100" i="17"/>
  <c r="H100" i="17" s="1"/>
  <c r="C131" i="14"/>
  <c r="D130" i="14"/>
  <c r="H130" i="14" s="1"/>
  <c r="D100" i="5"/>
  <c r="H100" i="5" s="1"/>
  <c r="C101" i="5"/>
  <c r="E80" i="14"/>
  <c r="F79" i="14"/>
  <c r="I104" i="5"/>
  <c r="A103" i="5"/>
  <c r="I53" i="5"/>
  <c r="A52" i="5"/>
  <c r="E50" i="17"/>
  <c r="F49" i="17"/>
  <c r="D59" i="5"/>
  <c r="H59" i="5" s="1"/>
  <c r="C60" i="5"/>
  <c r="I106" i="17"/>
  <c r="A105" i="17"/>
  <c r="C53" i="17"/>
  <c r="D52" i="17"/>
  <c r="H52" i="17" s="1"/>
  <c r="CO27" i="15"/>
  <c r="CR27" i="15" s="1"/>
  <c r="E183" i="20"/>
  <c r="H56" i="26" s="1"/>
  <c r="E102" i="20"/>
  <c r="F56" i="26" s="1"/>
  <c r="E143" i="20"/>
  <c r="G56" i="26" s="1"/>
  <c r="E61" i="20"/>
  <c r="E56" i="26" s="1"/>
  <c r="BR27" i="15"/>
  <c r="BX27" i="15" s="1"/>
  <c r="DJ27" i="15" s="1"/>
  <c r="DM27" i="15" s="1"/>
  <c r="AJ29" i="15"/>
  <c r="AK29" i="15" s="1"/>
  <c r="AU28" i="15"/>
  <c r="AC36" i="7"/>
  <c r="AH35" i="7"/>
  <c r="AI35" i="7" s="1"/>
  <c r="C57" i="14"/>
  <c r="D56" i="14"/>
  <c r="H56" i="14" s="1"/>
  <c r="AQ28" i="15"/>
  <c r="BM28" i="15"/>
  <c r="I51" i="14"/>
  <c r="A50" i="14"/>
  <c r="A101" i="14"/>
  <c r="I102" i="14"/>
  <c r="E50" i="5"/>
  <c r="F49" i="5"/>
  <c r="BI47" i="8" l="1"/>
  <c r="BK46" i="8"/>
  <c r="BQ46" i="8" s="1"/>
  <c r="D101" i="5"/>
  <c r="H101" i="5" s="1"/>
  <c r="C102" i="5"/>
  <c r="D60" i="5"/>
  <c r="H60" i="5" s="1"/>
  <c r="C61" i="5"/>
  <c r="C54" i="17"/>
  <c r="D53" i="17"/>
  <c r="H53" i="17" s="1"/>
  <c r="C132" i="14"/>
  <c r="D131" i="14"/>
  <c r="H131" i="14" s="1"/>
  <c r="I107" i="17"/>
  <c r="A106" i="17"/>
  <c r="D101" i="17"/>
  <c r="H101" i="17" s="1"/>
  <c r="C102" i="17"/>
  <c r="I53" i="17"/>
  <c r="A52" i="17"/>
  <c r="I105" i="5"/>
  <c r="A104" i="5"/>
  <c r="F80" i="14"/>
  <c r="E81" i="14"/>
  <c r="F50" i="17"/>
  <c r="E51" i="17"/>
  <c r="A53" i="5"/>
  <c r="I54" i="5"/>
  <c r="BT27" i="15"/>
  <c r="J22" i="20"/>
  <c r="E51" i="5"/>
  <c r="F50" i="5"/>
  <c r="I52" i="14"/>
  <c r="A51" i="14"/>
  <c r="AV28" i="15"/>
  <c r="AX28" i="15"/>
  <c r="E23" i="20" s="1"/>
  <c r="I103" i="14"/>
  <c r="A102" i="14"/>
  <c r="BO28" i="15"/>
  <c r="BL28" i="15"/>
  <c r="CL28" i="15" s="1"/>
  <c r="BP28" i="15"/>
  <c r="DE27" i="15"/>
  <c r="D57" i="14"/>
  <c r="H57" i="14" s="1"/>
  <c r="C58" i="14"/>
  <c r="AD36" i="7"/>
  <c r="AF36" i="7" s="1"/>
  <c r="AC37" i="7" s="1"/>
  <c r="AM29" i="15"/>
  <c r="BI48" i="8" l="1"/>
  <c r="BK48" i="8" s="1"/>
  <c r="BQ48" i="8" s="1"/>
  <c r="BK47" i="8"/>
  <c r="BQ47" i="8" s="1"/>
  <c r="C55" i="17"/>
  <c r="D54" i="17"/>
  <c r="H54" i="17" s="1"/>
  <c r="I108" i="17"/>
  <c r="A107" i="17"/>
  <c r="D132" i="14"/>
  <c r="H132" i="14" s="1"/>
  <c r="C133" i="14"/>
  <c r="D61" i="5"/>
  <c r="H61" i="5" s="1"/>
  <c r="C62" i="5"/>
  <c r="A105" i="5"/>
  <c r="I106" i="5"/>
  <c r="A54" i="5"/>
  <c r="I55" i="5"/>
  <c r="F51" i="17"/>
  <c r="E52" i="17"/>
  <c r="F81" i="14"/>
  <c r="E82" i="14"/>
  <c r="C103" i="5"/>
  <c r="D102" i="5"/>
  <c r="H102" i="5" s="1"/>
  <c r="C103" i="17"/>
  <c r="D102" i="17"/>
  <c r="H102" i="17" s="1"/>
  <c r="A53" i="17"/>
  <c r="I54" i="17"/>
  <c r="CO28" i="15"/>
  <c r="BR28" i="15"/>
  <c r="BX28" i="15" s="1"/>
  <c r="DJ28" i="15" s="1"/>
  <c r="DM28" i="15" s="1"/>
  <c r="E103" i="20"/>
  <c r="F57" i="26" s="1"/>
  <c r="E62" i="20"/>
  <c r="E57" i="26" s="1"/>
  <c r="E144" i="20"/>
  <c r="G57" i="26" s="1"/>
  <c r="E184" i="20"/>
  <c r="H57" i="26" s="1"/>
  <c r="AD37" i="7"/>
  <c r="AF37" i="7" s="1"/>
  <c r="AH37" i="7" s="1"/>
  <c r="AI37" i="7" s="1"/>
  <c r="AC8" i="7" s="1"/>
  <c r="AJ30" i="15"/>
  <c r="AK30" i="15" s="1"/>
  <c r="AU29" i="15"/>
  <c r="AO29" i="15"/>
  <c r="AP29" i="15" s="1"/>
  <c r="AQ29" i="15"/>
  <c r="BM29" i="15"/>
  <c r="C59" i="14"/>
  <c r="D58" i="14"/>
  <c r="H58" i="14" s="1"/>
  <c r="A103" i="14"/>
  <c r="I104" i="14"/>
  <c r="A52" i="14"/>
  <c r="I53" i="14"/>
  <c r="E52" i="5"/>
  <c r="F51" i="5"/>
  <c r="I56" i="5" l="1"/>
  <c r="A55" i="5"/>
  <c r="C63" i="5"/>
  <c r="D62" i="5"/>
  <c r="H62" i="5" s="1"/>
  <c r="I55" i="17"/>
  <c r="A54" i="17"/>
  <c r="C134" i="14"/>
  <c r="D133" i="14"/>
  <c r="H133" i="14" s="1"/>
  <c r="E83" i="14"/>
  <c r="F82" i="14"/>
  <c r="C56" i="17"/>
  <c r="D55" i="17"/>
  <c r="H55" i="17" s="1"/>
  <c r="A106" i="5"/>
  <c r="I107" i="5"/>
  <c r="C104" i="17"/>
  <c r="D103" i="17"/>
  <c r="H103" i="17" s="1"/>
  <c r="C104" i="5"/>
  <c r="D103" i="5"/>
  <c r="H103" i="5" s="1"/>
  <c r="I109" i="17"/>
  <c r="A108" i="17"/>
  <c r="E53" i="17"/>
  <c r="F52" i="17"/>
  <c r="DE28" i="15"/>
  <c r="J23" i="20"/>
  <c r="F52" i="5"/>
  <c r="E53" i="5"/>
  <c r="I105" i="14"/>
  <c r="A104" i="14"/>
  <c r="C60" i="14"/>
  <c r="D59" i="14"/>
  <c r="H59" i="14" s="1"/>
  <c r="AV29" i="15"/>
  <c r="AX29" i="15"/>
  <c r="E24" i="20" s="1"/>
  <c r="I54" i="14"/>
  <c r="A53" i="14"/>
  <c r="BO29" i="15"/>
  <c r="BL29" i="15"/>
  <c r="CL29" i="15" s="1"/>
  <c r="BP29" i="15"/>
  <c r="AM30" i="15"/>
  <c r="E54" i="17" l="1"/>
  <c r="F53" i="17"/>
  <c r="I56" i="17"/>
  <c r="A55" i="17"/>
  <c r="I57" i="5"/>
  <c r="A56" i="5"/>
  <c r="I110" i="17"/>
  <c r="A109" i="17"/>
  <c r="D56" i="17"/>
  <c r="H56" i="17" s="1"/>
  <c r="C57" i="17"/>
  <c r="C105" i="5"/>
  <c r="D104" i="5"/>
  <c r="H104" i="5" s="1"/>
  <c r="D104" i="17"/>
  <c r="H104" i="17" s="1"/>
  <c r="C105" i="17"/>
  <c r="C64" i="5"/>
  <c r="D63" i="5"/>
  <c r="H63" i="5" s="1"/>
  <c r="F83" i="14"/>
  <c r="E84" i="14"/>
  <c r="C135" i="14"/>
  <c r="D134" i="14"/>
  <c r="H134" i="14" s="1"/>
  <c r="A107" i="5"/>
  <c r="I108" i="5"/>
  <c r="CO29" i="15"/>
  <c r="E185" i="20"/>
  <c r="H58" i="26" s="1"/>
  <c r="E63" i="20"/>
  <c r="E58" i="26" s="1"/>
  <c r="E145" i="20"/>
  <c r="G58" i="26" s="1"/>
  <c r="E104" i="20"/>
  <c r="F58" i="26" s="1"/>
  <c r="AJ31" i="15"/>
  <c r="AK31" i="15" s="1"/>
  <c r="AU30" i="15"/>
  <c r="BR29" i="15"/>
  <c r="I55" i="14"/>
  <c r="A54" i="14"/>
  <c r="C61" i="14"/>
  <c r="D60" i="14"/>
  <c r="H60" i="14" s="1"/>
  <c r="I106" i="14"/>
  <c r="A105" i="14"/>
  <c r="AQ30" i="15"/>
  <c r="BM30" i="15"/>
  <c r="E54" i="5"/>
  <c r="F53" i="5"/>
  <c r="E55" i="17" l="1"/>
  <c r="F54" i="17"/>
  <c r="C136" i="14"/>
  <c r="D135" i="14"/>
  <c r="H135" i="14" s="1"/>
  <c r="F84" i="14"/>
  <c r="E85" i="14"/>
  <c r="D57" i="17"/>
  <c r="H57" i="17" s="1"/>
  <c r="C58" i="17"/>
  <c r="I58" i="5"/>
  <c r="A57" i="5"/>
  <c r="D105" i="5"/>
  <c r="H105" i="5" s="1"/>
  <c r="C106" i="5"/>
  <c r="I111" i="17"/>
  <c r="A110" i="17"/>
  <c r="A108" i="5"/>
  <c r="I109" i="5"/>
  <c r="D64" i="5"/>
  <c r="H64" i="5" s="1"/>
  <c r="C65" i="5"/>
  <c r="I57" i="17"/>
  <c r="A56" i="17"/>
  <c r="C106" i="17"/>
  <c r="D105" i="17"/>
  <c r="H105" i="17" s="1"/>
  <c r="J24" i="20"/>
  <c r="E55" i="5"/>
  <c r="F54" i="5"/>
  <c r="BO30" i="15"/>
  <c r="BL30" i="15"/>
  <c r="CL30" i="15" s="1"/>
  <c r="BP30" i="15"/>
  <c r="AV30" i="15"/>
  <c r="AX30" i="15"/>
  <c r="E25" i="20" s="1"/>
  <c r="I107" i="14"/>
  <c r="A106" i="14"/>
  <c r="D61" i="14"/>
  <c r="H61" i="14" s="1"/>
  <c r="C62" i="14"/>
  <c r="I56" i="14"/>
  <c r="A55" i="14"/>
  <c r="BX29" i="15"/>
  <c r="BT29" i="15"/>
  <c r="AM31" i="15"/>
  <c r="E86" i="14" l="1"/>
  <c r="F85" i="14"/>
  <c r="D58" i="17"/>
  <c r="H58" i="17" s="1"/>
  <c r="C59" i="17"/>
  <c r="C107" i="5"/>
  <c r="D106" i="5"/>
  <c r="H106" i="5" s="1"/>
  <c r="D65" i="5"/>
  <c r="H65" i="5" s="1"/>
  <c r="C66" i="5"/>
  <c r="D66" i="5" s="1"/>
  <c r="H66" i="5" s="1"/>
  <c r="I110" i="5"/>
  <c r="A109" i="5"/>
  <c r="D136" i="14"/>
  <c r="H136" i="14" s="1"/>
  <c r="C137" i="14"/>
  <c r="D106" i="17"/>
  <c r="H106" i="17" s="1"/>
  <c r="C107" i="17"/>
  <c r="A58" i="5"/>
  <c r="I59" i="5"/>
  <c r="A57" i="17"/>
  <c r="I58" i="17"/>
  <c r="I112" i="17"/>
  <c r="A111" i="17"/>
  <c r="E56" i="17"/>
  <c r="F55" i="17"/>
  <c r="CO30" i="15"/>
  <c r="BR30" i="15"/>
  <c r="BX30" i="15" s="1"/>
  <c r="DJ30" i="15" s="1"/>
  <c r="DM30" i="15" s="1"/>
  <c r="E146" i="20"/>
  <c r="G59" i="26" s="1"/>
  <c r="E105" i="20"/>
  <c r="F59" i="26" s="1"/>
  <c r="E64" i="20"/>
  <c r="E59" i="26" s="1"/>
  <c r="E186" i="20"/>
  <c r="H59" i="26" s="1"/>
  <c r="AJ32" i="15"/>
  <c r="AK32" i="15" s="1"/>
  <c r="AU31" i="15"/>
  <c r="AO31" i="15"/>
  <c r="AP31" i="15" s="1"/>
  <c r="BY27" i="15"/>
  <c r="BY17" i="15"/>
  <c r="BY19" i="15"/>
  <c r="BY21" i="15"/>
  <c r="BY23" i="15"/>
  <c r="BY25" i="15"/>
  <c r="BY15" i="15"/>
  <c r="BY28" i="15"/>
  <c r="BY16" i="15"/>
  <c r="BY18" i="15"/>
  <c r="BY20" i="15"/>
  <c r="BY22" i="15"/>
  <c r="BY24" i="15"/>
  <c r="BY26" i="15"/>
  <c r="BY29" i="15"/>
  <c r="DJ29" i="15"/>
  <c r="DM29" i="15" s="1"/>
  <c r="DE29" i="15"/>
  <c r="A56" i="14"/>
  <c r="I57" i="14"/>
  <c r="C63" i="14"/>
  <c r="D62" i="14"/>
  <c r="H62" i="14" s="1"/>
  <c r="AQ31" i="15"/>
  <c r="BM31" i="15"/>
  <c r="A107" i="14"/>
  <c r="I108" i="14"/>
  <c r="E56" i="5"/>
  <c r="F55" i="5"/>
  <c r="I111" i="5" l="1"/>
  <c r="A110" i="5"/>
  <c r="D137" i="14"/>
  <c r="H137" i="14" s="1"/>
  <c r="C138" i="14"/>
  <c r="A112" i="17"/>
  <c r="I113" i="17"/>
  <c r="A58" i="17"/>
  <c r="I59" i="17"/>
  <c r="D107" i="5"/>
  <c r="H107" i="5" s="1"/>
  <c r="C108" i="5"/>
  <c r="I60" i="5"/>
  <c r="A59" i="5"/>
  <c r="C60" i="17"/>
  <c r="D59" i="17"/>
  <c r="H59" i="17" s="1"/>
  <c r="E57" i="17"/>
  <c r="F56" i="17"/>
  <c r="C108" i="17"/>
  <c r="D107" i="17"/>
  <c r="H107" i="17" s="1"/>
  <c r="E87" i="14"/>
  <c r="F86" i="14"/>
  <c r="DE30" i="15"/>
  <c r="BY30" i="15"/>
  <c r="X23" i="21" s="1"/>
  <c r="DF29" i="15"/>
  <c r="W27" i="2" s="1"/>
  <c r="X22" i="21"/>
  <c r="DF24" i="15"/>
  <c r="W22" i="2" s="1"/>
  <c r="X17" i="21"/>
  <c r="DF20" i="15"/>
  <c r="W18" i="2" s="1"/>
  <c r="X13" i="21"/>
  <c r="DF16" i="15"/>
  <c r="W14" i="2" s="1"/>
  <c r="X9" i="21"/>
  <c r="DF15" i="15"/>
  <c r="W13" i="2" s="1"/>
  <c r="X8" i="21"/>
  <c r="DF23" i="15"/>
  <c r="W21" i="2" s="1"/>
  <c r="X16" i="21"/>
  <c r="DF19" i="15"/>
  <c r="W17" i="2" s="1"/>
  <c r="X12" i="21"/>
  <c r="DF27" i="15"/>
  <c r="W25" i="2" s="1"/>
  <c r="X20" i="21"/>
  <c r="DF26" i="15"/>
  <c r="W24" i="2" s="1"/>
  <c r="X19" i="21"/>
  <c r="DF22" i="15"/>
  <c r="W20" i="2" s="1"/>
  <c r="X15" i="21"/>
  <c r="DF18" i="15"/>
  <c r="W16" i="2" s="1"/>
  <c r="X11" i="21"/>
  <c r="DF28" i="15"/>
  <c r="W26" i="2" s="1"/>
  <c r="X21" i="21"/>
  <c r="DF25" i="15"/>
  <c r="W23" i="2" s="1"/>
  <c r="X18" i="21"/>
  <c r="DF21" i="15"/>
  <c r="W19" i="2" s="1"/>
  <c r="X14" i="21"/>
  <c r="DF17" i="15"/>
  <c r="W15" i="2" s="1"/>
  <c r="X10" i="21"/>
  <c r="J25" i="20"/>
  <c r="I109" i="14"/>
  <c r="A108" i="14"/>
  <c r="C64" i="14"/>
  <c r="D63" i="14"/>
  <c r="H63" i="14" s="1"/>
  <c r="I58" i="14"/>
  <c r="A57" i="14"/>
  <c r="AV31" i="15"/>
  <c r="AX31" i="15"/>
  <c r="E26" i="20" s="1"/>
  <c r="E57" i="5"/>
  <c r="F56" i="5"/>
  <c r="BO31" i="15"/>
  <c r="BL31" i="15"/>
  <c r="CL31" i="15" s="1"/>
  <c r="BP31" i="15"/>
  <c r="AM32" i="15"/>
  <c r="F87" i="14" l="1"/>
  <c r="E88" i="14"/>
  <c r="I114" i="17"/>
  <c r="A113" i="17"/>
  <c r="C109" i="5"/>
  <c r="D108" i="5"/>
  <c r="H108" i="5" s="1"/>
  <c r="C109" i="17"/>
  <c r="D108" i="17"/>
  <c r="H108" i="17" s="1"/>
  <c r="D138" i="14"/>
  <c r="H138" i="14" s="1"/>
  <c r="C139" i="14"/>
  <c r="I60" i="17"/>
  <c r="A59" i="17"/>
  <c r="DF30" i="15"/>
  <c r="W28" i="2" s="1"/>
  <c r="E58" i="17"/>
  <c r="F57" i="17"/>
  <c r="I61" i="5"/>
  <c r="A60" i="5"/>
  <c r="C61" i="17"/>
  <c r="D60" i="17"/>
  <c r="H60" i="17" s="1"/>
  <c r="A111" i="5"/>
  <c r="I112" i="5"/>
  <c r="CO31" i="15"/>
  <c r="E187" i="20"/>
  <c r="H60" i="26" s="1"/>
  <c r="E106" i="20"/>
  <c r="F60" i="26" s="1"/>
  <c r="E147" i="20"/>
  <c r="G60" i="26" s="1"/>
  <c r="E65" i="20"/>
  <c r="E60" i="26" s="1"/>
  <c r="BR31" i="15"/>
  <c r="BT31" i="15" s="1"/>
  <c r="AU32" i="15"/>
  <c r="AJ33" i="15"/>
  <c r="AK33" i="15" s="1"/>
  <c r="AQ32" i="15"/>
  <c r="BM32" i="15"/>
  <c r="E58" i="5"/>
  <c r="F57" i="5"/>
  <c r="A58" i="14"/>
  <c r="I59" i="14"/>
  <c r="C65" i="14"/>
  <c r="D64" i="14"/>
  <c r="H64" i="14" s="1"/>
  <c r="A109" i="14"/>
  <c r="I110" i="14"/>
  <c r="C140" i="14" l="1"/>
  <c r="D139" i="14"/>
  <c r="H139" i="14" s="1"/>
  <c r="C62" i="17"/>
  <c r="D61" i="17"/>
  <c r="H61" i="17" s="1"/>
  <c r="C110" i="5"/>
  <c r="D109" i="5"/>
  <c r="H109" i="5" s="1"/>
  <c r="I113" i="5"/>
  <c r="A112" i="5"/>
  <c r="D109" i="17"/>
  <c r="H109" i="17" s="1"/>
  <c r="C110" i="17"/>
  <c r="I62" i="5"/>
  <c r="A61" i="5"/>
  <c r="I115" i="17"/>
  <c r="A114" i="17"/>
  <c r="E59" i="17"/>
  <c r="F58" i="17"/>
  <c r="F88" i="14"/>
  <c r="E89" i="14"/>
  <c r="I61" i="17"/>
  <c r="A60" i="17"/>
  <c r="BX31" i="15"/>
  <c r="DE31" i="15" s="1"/>
  <c r="J26" i="20"/>
  <c r="A59" i="14"/>
  <c r="I60" i="14"/>
  <c r="BO32" i="15"/>
  <c r="BL32" i="15"/>
  <c r="CL32" i="15" s="1"/>
  <c r="BP32" i="15"/>
  <c r="A110" i="14"/>
  <c r="I111" i="14"/>
  <c r="D65" i="14"/>
  <c r="H65" i="14" s="1"/>
  <c r="C66" i="14"/>
  <c r="D66" i="14" s="1"/>
  <c r="H66" i="14" s="1"/>
  <c r="E59" i="5"/>
  <c r="F58" i="5"/>
  <c r="AV32" i="15"/>
  <c r="AX32" i="15"/>
  <c r="E27" i="20" s="1"/>
  <c r="C111" i="5" l="1"/>
  <c r="D110" i="5"/>
  <c r="H110" i="5" s="1"/>
  <c r="A62" i="5"/>
  <c r="I63" i="5"/>
  <c r="I62" i="17"/>
  <c r="A61" i="17"/>
  <c r="E90" i="14"/>
  <c r="F89" i="14"/>
  <c r="E60" i="17"/>
  <c r="F59" i="17"/>
  <c r="C63" i="17"/>
  <c r="D62" i="17"/>
  <c r="H62" i="17" s="1"/>
  <c r="I114" i="5"/>
  <c r="A113" i="5"/>
  <c r="C111" i="17"/>
  <c r="D110" i="17"/>
  <c r="H110" i="17" s="1"/>
  <c r="A115" i="17"/>
  <c r="I116" i="17"/>
  <c r="D140" i="14"/>
  <c r="H140" i="14" s="1"/>
  <c r="C141" i="14"/>
  <c r="CO32" i="15"/>
  <c r="DJ31" i="15"/>
  <c r="DM31" i="15" s="1"/>
  <c r="BY31" i="15"/>
  <c r="DF31" i="15" s="1"/>
  <c r="W29" i="2" s="1"/>
  <c r="E188" i="20"/>
  <c r="H61" i="26" s="1"/>
  <c r="E107" i="20"/>
  <c r="F61" i="26" s="1"/>
  <c r="E148" i="20"/>
  <c r="G61" i="26" s="1"/>
  <c r="E66" i="20"/>
  <c r="E61" i="26" s="1"/>
  <c r="AQ33" i="15"/>
  <c r="BM33" i="15"/>
  <c r="BR32" i="15"/>
  <c r="BX32" i="15" s="1"/>
  <c r="DE32" i="15" s="1"/>
  <c r="A60" i="14"/>
  <c r="I61" i="14"/>
  <c r="E60" i="5"/>
  <c r="F59" i="5"/>
  <c r="A111" i="14"/>
  <c r="I112" i="14"/>
  <c r="AM33" i="15"/>
  <c r="E61" i="17" l="1"/>
  <c r="F60" i="17"/>
  <c r="A116" i="17"/>
  <c r="I117" i="17"/>
  <c r="I63" i="17"/>
  <c r="A62" i="17"/>
  <c r="I64" i="5"/>
  <c r="A63" i="5"/>
  <c r="D141" i="14"/>
  <c r="H141" i="14" s="1"/>
  <c r="C142" i="14"/>
  <c r="C112" i="17"/>
  <c r="D111" i="17"/>
  <c r="H111" i="17" s="1"/>
  <c r="C64" i="17"/>
  <c r="D63" i="17"/>
  <c r="H63" i="17" s="1"/>
  <c r="E91" i="14"/>
  <c r="F90" i="14"/>
  <c r="A114" i="5"/>
  <c r="I115" i="5"/>
  <c r="D111" i="5"/>
  <c r="H111" i="5" s="1"/>
  <c r="C112" i="5"/>
  <c r="X24" i="21"/>
  <c r="J27" i="20"/>
  <c r="F60" i="5"/>
  <c r="E61" i="5"/>
  <c r="AJ34" i="15"/>
  <c r="AK34" i="15" s="1"/>
  <c r="AU33" i="15"/>
  <c r="AO33" i="15"/>
  <c r="AP33" i="15" s="1"/>
  <c r="I113" i="14"/>
  <c r="A112" i="14"/>
  <c r="I62" i="14"/>
  <c r="A61" i="14"/>
  <c r="DJ32" i="15"/>
  <c r="DM32" i="15" s="1"/>
  <c r="BY32" i="15"/>
  <c r="BO33" i="15"/>
  <c r="BP33" i="15"/>
  <c r="BL33" i="15"/>
  <c r="CL33" i="15" s="1"/>
  <c r="D142" i="14" l="1"/>
  <c r="H142" i="14" s="1"/>
  <c r="C143" i="14"/>
  <c r="C113" i="17"/>
  <c r="D112" i="17"/>
  <c r="H112" i="17" s="1"/>
  <c r="D112" i="5"/>
  <c r="H112" i="5" s="1"/>
  <c r="C113" i="5"/>
  <c r="A115" i="5"/>
  <c r="I116" i="5"/>
  <c r="I64" i="17"/>
  <c r="A63" i="17"/>
  <c r="I118" i="17"/>
  <c r="A117" i="17"/>
  <c r="E92" i="14"/>
  <c r="F91" i="14"/>
  <c r="I65" i="5"/>
  <c r="A64" i="5"/>
  <c r="D64" i="17"/>
  <c r="H64" i="17" s="1"/>
  <c r="C65" i="17"/>
  <c r="F61" i="17"/>
  <c r="E62" i="17"/>
  <c r="CO33" i="15"/>
  <c r="DF32" i="15"/>
  <c r="W30" i="2" s="1"/>
  <c r="X25" i="21"/>
  <c r="BR33" i="15"/>
  <c r="A113" i="14"/>
  <c r="I114" i="14"/>
  <c r="AV33" i="15"/>
  <c r="AX33" i="15"/>
  <c r="E28" i="20" s="1"/>
  <c r="E62" i="5"/>
  <c r="F61" i="5"/>
  <c r="A62" i="14"/>
  <c r="I63" i="14"/>
  <c r="AM34" i="15"/>
  <c r="C114" i="5" l="1"/>
  <c r="D113" i="5"/>
  <c r="H113" i="5" s="1"/>
  <c r="A118" i="17"/>
  <c r="I119" i="17"/>
  <c r="F62" i="17"/>
  <c r="E63" i="17"/>
  <c r="I66" i="5"/>
  <c r="A66" i="5" s="1"/>
  <c r="A65" i="5"/>
  <c r="C114" i="17"/>
  <c r="D113" i="17"/>
  <c r="H113" i="17" s="1"/>
  <c r="A64" i="17"/>
  <c r="I65" i="17"/>
  <c r="I117" i="5"/>
  <c r="A116" i="5"/>
  <c r="C144" i="14"/>
  <c r="D143" i="14"/>
  <c r="H143" i="14" s="1"/>
  <c r="C66" i="17"/>
  <c r="D66" i="17" s="1"/>
  <c r="H66" i="17" s="1"/>
  <c r="D65" i="17"/>
  <c r="H65" i="17" s="1"/>
  <c r="F92" i="14"/>
  <c r="E93" i="14"/>
  <c r="E189" i="20"/>
  <c r="H62" i="26" s="1"/>
  <c r="E108" i="20"/>
  <c r="F62" i="26" s="1"/>
  <c r="E149" i="20"/>
  <c r="G62" i="26" s="1"/>
  <c r="E67" i="20"/>
  <c r="E62" i="26" s="1"/>
  <c r="AQ34" i="15"/>
  <c r="BM34" i="15"/>
  <c r="F62" i="5"/>
  <c r="E63" i="5"/>
  <c r="AU34" i="15"/>
  <c r="AJ35" i="15"/>
  <c r="AK35" i="15" s="1"/>
  <c r="A63" i="14"/>
  <c r="I64" i="14"/>
  <c r="A114" i="14"/>
  <c r="I115" i="14"/>
  <c r="BX33" i="15"/>
  <c r="BT33" i="15"/>
  <c r="E94" i="14" l="1"/>
  <c r="F93" i="14"/>
  <c r="F63" i="17"/>
  <c r="E64" i="17"/>
  <c r="I120" i="17"/>
  <c r="A119" i="17"/>
  <c r="I66" i="17"/>
  <c r="A66" i="17" s="1"/>
  <c r="A65" i="17"/>
  <c r="C115" i="17"/>
  <c r="D114" i="17"/>
  <c r="H114" i="17" s="1"/>
  <c r="D144" i="14"/>
  <c r="H144" i="14" s="1"/>
  <c r="C145" i="14"/>
  <c r="I118" i="5"/>
  <c r="A117" i="5"/>
  <c r="C115" i="5"/>
  <c r="D114" i="5"/>
  <c r="H114" i="5" s="1"/>
  <c r="J28" i="20"/>
  <c r="DJ33" i="15"/>
  <c r="DM33" i="15" s="1"/>
  <c r="BY33" i="15"/>
  <c r="A115" i="14"/>
  <c r="I116" i="14"/>
  <c r="DE33" i="15"/>
  <c r="A64" i="14"/>
  <c r="I65" i="14"/>
  <c r="E64" i="5"/>
  <c r="F63" i="5"/>
  <c r="AV34" i="15"/>
  <c r="AX34" i="15"/>
  <c r="E29" i="20" s="1"/>
  <c r="BO34" i="15"/>
  <c r="BP34" i="15"/>
  <c r="BL34" i="15"/>
  <c r="CL34" i="15" s="1"/>
  <c r="C146" i="14" l="1"/>
  <c r="D145" i="14"/>
  <c r="H145" i="14" s="1"/>
  <c r="A120" i="17"/>
  <c r="I121" i="17"/>
  <c r="E65" i="17"/>
  <c r="F64" i="17"/>
  <c r="D115" i="17"/>
  <c r="H115" i="17" s="1"/>
  <c r="C116" i="17"/>
  <c r="D115" i="5"/>
  <c r="H115" i="5" s="1"/>
  <c r="C116" i="5"/>
  <c r="A118" i="5"/>
  <c r="I119" i="5"/>
  <c r="E95" i="14"/>
  <c r="F94" i="14"/>
  <c r="CO34" i="15"/>
  <c r="E190" i="20"/>
  <c r="H63" i="26" s="1"/>
  <c r="E109" i="20"/>
  <c r="F63" i="26" s="1"/>
  <c r="E150" i="20"/>
  <c r="G63" i="26" s="1"/>
  <c r="E68" i="20"/>
  <c r="E63" i="26" s="1"/>
  <c r="DF33" i="15"/>
  <c r="W31" i="2" s="1"/>
  <c r="X26" i="21"/>
  <c r="BR34" i="15"/>
  <c r="BX34" i="15" s="1"/>
  <c r="E65" i="5"/>
  <c r="F64" i="5"/>
  <c r="AQ35" i="15"/>
  <c r="BM35" i="15"/>
  <c r="I66" i="14"/>
  <c r="A66" i="14" s="1"/>
  <c r="A65" i="14"/>
  <c r="A116" i="14"/>
  <c r="I117" i="14"/>
  <c r="AM35" i="15"/>
  <c r="D116" i="5" l="1"/>
  <c r="H116" i="5" s="1"/>
  <c r="C117" i="5"/>
  <c r="I122" i="17"/>
  <c r="A121" i="17"/>
  <c r="I120" i="5"/>
  <c r="A119" i="5"/>
  <c r="D116" i="17"/>
  <c r="H116" i="17" s="1"/>
  <c r="C117" i="17"/>
  <c r="F65" i="17"/>
  <c r="L178" i="17" s="1"/>
  <c r="E66" i="17"/>
  <c r="E96" i="14"/>
  <c r="F95" i="14"/>
  <c r="D146" i="14"/>
  <c r="H146" i="14" s="1"/>
  <c r="C147" i="14"/>
  <c r="J29" i="20"/>
  <c r="AJ36" i="15"/>
  <c r="AK36" i="15" s="1"/>
  <c r="AU35" i="15"/>
  <c r="AO35" i="15"/>
  <c r="AP35" i="15" s="1"/>
  <c r="A117" i="14"/>
  <c r="I118" i="14"/>
  <c r="BO35" i="15"/>
  <c r="BP35" i="15"/>
  <c r="BL35" i="15"/>
  <c r="CL35" i="15" s="1"/>
  <c r="E66" i="5"/>
  <c r="F65" i="5"/>
  <c r="BY34" i="15"/>
  <c r="DJ34" i="15"/>
  <c r="DM34" i="15" s="1"/>
  <c r="F66" i="17" l="1"/>
  <c r="E67" i="17"/>
  <c r="D117" i="17"/>
  <c r="H117" i="17" s="1"/>
  <c r="C118" i="17"/>
  <c r="A122" i="17"/>
  <c r="I123" i="17"/>
  <c r="D147" i="14"/>
  <c r="H147" i="14" s="1"/>
  <c r="C148" i="14"/>
  <c r="D117" i="5"/>
  <c r="H117" i="5" s="1"/>
  <c r="C118" i="5"/>
  <c r="F96" i="14"/>
  <c r="E97" i="14"/>
  <c r="I121" i="5"/>
  <c r="A120" i="5"/>
  <c r="CO35" i="15"/>
  <c r="DF34" i="15"/>
  <c r="W32" i="2" s="1"/>
  <c r="X27" i="21"/>
  <c r="F66" i="5"/>
  <c r="E67" i="5"/>
  <c r="BR35" i="15"/>
  <c r="AV35" i="15"/>
  <c r="AX35" i="15"/>
  <c r="E30" i="20" s="1"/>
  <c r="A118" i="14"/>
  <c r="I119" i="14"/>
  <c r="AM36" i="15"/>
  <c r="C119" i="5" l="1"/>
  <c r="D118" i="5"/>
  <c r="H118" i="5" s="1"/>
  <c r="C119" i="17"/>
  <c r="D118" i="17"/>
  <c r="H118" i="17" s="1"/>
  <c r="I122" i="5"/>
  <c r="A121" i="5"/>
  <c r="E68" i="17"/>
  <c r="F67" i="17"/>
  <c r="L179" i="17" s="1"/>
  <c r="D148" i="14"/>
  <c r="H148" i="14" s="1"/>
  <c r="C149" i="14"/>
  <c r="A123" i="17"/>
  <c r="I124" i="17"/>
  <c r="F97" i="14"/>
  <c r="E98" i="14"/>
  <c r="E191" i="20"/>
  <c r="H64" i="26" s="1"/>
  <c r="E110" i="20"/>
  <c r="F64" i="26" s="1"/>
  <c r="E151" i="20"/>
  <c r="G64" i="26" s="1"/>
  <c r="E69" i="20"/>
  <c r="E64" i="26" s="1"/>
  <c r="AJ37" i="15"/>
  <c r="AK37" i="15" s="1"/>
  <c r="AU36" i="15"/>
  <c r="A119" i="14"/>
  <c r="I120" i="14"/>
  <c r="BT35" i="15"/>
  <c r="BX35" i="15"/>
  <c r="DE35" i="15" s="1"/>
  <c r="AQ36" i="15"/>
  <c r="BM36" i="15"/>
  <c r="E68" i="5"/>
  <c r="F67" i="5"/>
  <c r="I125" i="17" l="1"/>
  <c r="A124" i="17"/>
  <c r="I123" i="5"/>
  <c r="A122" i="5"/>
  <c r="E69" i="17"/>
  <c r="F68" i="17"/>
  <c r="C120" i="17"/>
  <c r="D119" i="17"/>
  <c r="H119" i="17" s="1"/>
  <c r="C150" i="14"/>
  <c r="D149" i="14"/>
  <c r="H149" i="14" s="1"/>
  <c r="F98" i="14"/>
  <c r="E99" i="14"/>
  <c r="C120" i="5"/>
  <c r="D119" i="5"/>
  <c r="H119" i="5" s="1"/>
  <c r="J30" i="20"/>
  <c r="A120" i="14"/>
  <c r="I121" i="14"/>
  <c r="AV36" i="15"/>
  <c r="AX36" i="15"/>
  <c r="E31" i="20" s="1"/>
  <c r="E69" i="5"/>
  <c r="F68" i="5"/>
  <c r="BO36" i="15"/>
  <c r="BL36" i="15"/>
  <c r="CL36" i="15" s="1"/>
  <c r="BP36" i="15"/>
  <c r="DJ35" i="15"/>
  <c r="DM35" i="15" s="1"/>
  <c r="BY35" i="15"/>
  <c r="AM37" i="15"/>
  <c r="C151" i="14" l="1"/>
  <c r="D150" i="14"/>
  <c r="H150" i="14" s="1"/>
  <c r="A123" i="5"/>
  <c r="I124" i="5"/>
  <c r="C121" i="17"/>
  <c r="D120" i="17"/>
  <c r="H120" i="17" s="1"/>
  <c r="C121" i="5"/>
  <c r="D120" i="5"/>
  <c r="H120" i="5" s="1"/>
  <c r="F69" i="17"/>
  <c r="L180" i="17" s="1"/>
  <c r="E70" i="17"/>
  <c r="E100" i="14"/>
  <c r="F99" i="14"/>
  <c r="I126" i="17"/>
  <c r="A125" i="17"/>
  <c r="CO36" i="15"/>
  <c r="BR36" i="15"/>
  <c r="BX36" i="15" s="1"/>
  <c r="BY36" i="15" s="1"/>
  <c r="DF36" i="15" s="1"/>
  <c r="W34" i="2" s="1"/>
  <c r="DF35" i="15"/>
  <c r="W33" i="2" s="1"/>
  <c r="X28" i="21"/>
  <c r="E152" i="20"/>
  <c r="G65" i="26" s="1"/>
  <c r="E70" i="20"/>
  <c r="E65" i="26" s="1"/>
  <c r="E192" i="20"/>
  <c r="H65" i="26" s="1"/>
  <c r="E111" i="20"/>
  <c r="F65" i="26" s="1"/>
  <c r="AJ38" i="15"/>
  <c r="AK38" i="15" s="1"/>
  <c r="AU37" i="15"/>
  <c r="AO37" i="15"/>
  <c r="AP37" i="15" s="1"/>
  <c r="A121" i="14"/>
  <c r="I122" i="14"/>
  <c r="AQ37" i="15"/>
  <c r="BM37" i="15"/>
  <c r="E70" i="5"/>
  <c r="F69" i="5"/>
  <c r="E71" i="17" l="1"/>
  <c r="F70" i="17"/>
  <c r="F100" i="14"/>
  <c r="E101" i="14"/>
  <c r="C122" i="5"/>
  <c r="D121" i="5"/>
  <c r="H121" i="5" s="1"/>
  <c r="D121" i="17"/>
  <c r="H121" i="17" s="1"/>
  <c r="C122" i="17"/>
  <c r="I125" i="5"/>
  <c r="A124" i="5"/>
  <c r="O126" i="17"/>
  <c r="J126" i="17"/>
  <c r="P126" i="17" s="1"/>
  <c r="I127" i="17"/>
  <c r="A126" i="17"/>
  <c r="D151" i="14"/>
  <c r="H151" i="14" s="1"/>
  <c r="C152" i="14"/>
  <c r="DJ36" i="15"/>
  <c r="DM36" i="15" s="1"/>
  <c r="DE36" i="15"/>
  <c r="X29" i="21"/>
  <c r="J31" i="20"/>
  <c r="F70" i="5"/>
  <c r="E71" i="5"/>
  <c r="A122" i="14"/>
  <c r="I123" i="14"/>
  <c r="AV37" i="15"/>
  <c r="AX37" i="15"/>
  <c r="E32" i="20" s="1"/>
  <c r="BO37" i="15"/>
  <c r="BL37" i="15"/>
  <c r="CL37" i="15" s="1"/>
  <c r="BP37" i="15"/>
  <c r="AM38" i="15"/>
  <c r="I126" i="5" l="1"/>
  <c r="A125" i="5"/>
  <c r="C123" i="17"/>
  <c r="D122" i="17"/>
  <c r="H122" i="17" s="1"/>
  <c r="C123" i="5"/>
  <c r="D122" i="5"/>
  <c r="H122" i="5" s="1"/>
  <c r="C153" i="14"/>
  <c r="D152" i="14"/>
  <c r="H152" i="14" s="1"/>
  <c r="O127" i="17"/>
  <c r="J127" i="17"/>
  <c r="P127" i="17" s="1"/>
  <c r="A127" i="17"/>
  <c r="I128" i="17"/>
  <c r="E102" i="14"/>
  <c r="F101" i="14"/>
  <c r="F71" i="17"/>
  <c r="L181" i="17" s="1"/>
  <c r="E72" i="17"/>
  <c r="CO37" i="15"/>
  <c r="E153" i="20"/>
  <c r="G66" i="26" s="1"/>
  <c r="E71" i="20"/>
  <c r="E66" i="26" s="1"/>
  <c r="E193" i="20"/>
  <c r="H66" i="26" s="1"/>
  <c r="E112" i="20"/>
  <c r="F66" i="26" s="1"/>
  <c r="AQ38" i="15"/>
  <c r="BM38" i="15"/>
  <c r="BR37" i="15"/>
  <c r="E72" i="5"/>
  <c r="F71" i="5"/>
  <c r="AU38" i="15"/>
  <c r="AJ39" i="15"/>
  <c r="AK39" i="15" s="1"/>
  <c r="A123" i="14"/>
  <c r="I124" i="14"/>
  <c r="C154" i="14" l="1"/>
  <c r="D153" i="14"/>
  <c r="H153" i="14" s="1"/>
  <c r="E73" i="17"/>
  <c r="F72" i="17"/>
  <c r="C124" i="5"/>
  <c r="D123" i="5"/>
  <c r="H123" i="5" s="1"/>
  <c r="F102" i="14"/>
  <c r="E103" i="14"/>
  <c r="I129" i="17"/>
  <c r="O128" i="17"/>
  <c r="A128" i="17"/>
  <c r="J128" i="17"/>
  <c r="P128" i="17" s="1"/>
  <c r="D123" i="17"/>
  <c r="H123" i="17" s="1"/>
  <c r="C124" i="17"/>
  <c r="O126" i="5"/>
  <c r="J126" i="5"/>
  <c r="A126" i="5"/>
  <c r="I127" i="5"/>
  <c r="J32" i="20"/>
  <c r="AM39" i="15"/>
  <c r="AJ40" i="15" s="1"/>
  <c r="AK40" i="15" s="1"/>
  <c r="E73" i="5"/>
  <c r="F72" i="5"/>
  <c r="BT37" i="15"/>
  <c r="BX37" i="15"/>
  <c r="I125" i="14"/>
  <c r="A124" i="14"/>
  <c r="AV38" i="15"/>
  <c r="AX38" i="15"/>
  <c r="E33" i="20" s="1"/>
  <c r="BO38" i="15"/>
  <c r="BL38" i="15"/>
  <c r="CL38" i="15" s="1"/>
  <c r="BP38" i="15"/>
  <c r="P126" i="5" l="1"/>
  <c r="I130" i="17"/>
  <c r="O129" i="17"/>
  <c r="A129" i="17"/>
  <c r="J129" i="17"/>
  <c r="P129" i="17" s="1"/>
  <c r="E104" i="14"/>
  <c r="F103" i="14"/>
  <c r="C125" i="5"/>
  <c r="D124" i="5"/>
  <c r="H124" i="5" s="1"/>
  <c r="E74" i="17"/>
  <c r="F73" i="17"/>
  <c r="D124" i="17"/>
  <c r="H124" i="17" s="1"/>
  <c r="C125" i="17"/>
  <c r="O127" i="5"/>
  <c r="A127" i="5"/>
  <c r="J127" i="5"/>
  <c r="I128" i="5"/>
  <c r="C155" i="14"/>
  <c r="D154" i="14"/>
  <c r="H154" i="14" s="1"/>
  <c r="CO38" i="15"/>
  <c r="BR38" i="15"/>
  <c r="BX38" i="15" s="1"/>
  <c r="DJ38" i="15" s="1"/>
  <c r="DM38" i="15" s="1"/>
  <c r="E154" i="20"/>
  <c r="G67" i="26" s="1"/>
  <c r="E72" i="20"/>
  <c r="E67" i="26" s="1"/>
  <c r="E194" i="20"/>
  <c r="H67" i="26" s="1"/>
  <c r="E113" i="20"/>
  <c r="F67" i="26" s="1"/>
  <c r="DJ37" i="15"/>
  <c r="DM37" i="15" s="1"/>
  <c r="BY37" i="15"/>
  <c r="DE37" i="15"/>
  <c r="E74" i="5"/>
  <c r="F73" i="5"/>
  <c r="AQ39" i="15"/>
  <c r="BM39" i="15"/>
  <c r="BM40" i="15"/>
  <c r="A125" i="14"/>
  <c r="I126" i="14"/>
  <c r="AU39" i="15"/>
  <c r="AO39" i="15"/>
  <c r="AP39" i="15" s="1"/>
  <c r="F104" i="14" l="1"/>
  <c r="E105" i="14"/>
  <c r="D125" i="17"/>
  <c r="H125" i="17" s="1"/>
  <c r="C126" i="17"/>
  <c r="O128" i="5"/>
  <c r="J128" i="5"/>
  <c r="A128" i="5"/>
  <c r="I129" i="5"/>
  <c r="C156" i="14"/>
  <c r="D155" i="14"/>
  <c r="H155" i="14" s="1"/>
  <c r="P127" i="5"/>
  <c r="E75" i="17"/>
  <c r="F74" i="17"/>
  <c r="A130" i="17"/>
  <c r="O130" i="17"/>
  <c r="I131" i="17"/>
  <c r="J130" i="17"/>
  <c r="P130" i="17" s="1"/>
  <c r="C126" i="5"/>
  <c r="D125" i="5"/>
  <c r="H125" i="5" s="1"/>
  <c r="AM40" i="15"/>
  <c r="AQ40" i="15"/>
  <c r="BY38" i="15"/>
  <c r="DF38" i="15" s="1"/>
  <c r="W36" i="2" s="1"/>
  <c r="DE38" i="15"/>
  <c r="DF37" i="15"/>
  <c r="W35" i="2" s="1"/>
  <c r="X30" i="21"/>
  <c r="J33" i="20"/>
  <c r="AV39" i="15"/>
  <c r="AX39" i="15"/>
  <c r="BO40" i="15"/>
  <c r="BL40" i="15"/>
  <c r="CL40" i="15" s="1"/>
  <c r="BP40" i="15"/>
  <c r="CO40" i="15" s="1"/>
  <c r="CT40" i="15" s="1"/>
  <c r="R35" i="20" s="1"/>
  <c r="I127" i="14"/>
  <c r="A126" i="14"/>
  <c r="J126" i="14"/>
  <c r="O126" i="14"/>
  <c r="M126" i="14"/>
  <c r="L126" i="14"/>
  <c r="K126" i="14"/>
  <c r="BO39" i="15"/>
  <c r="BL39" i="15"/>
  <c r="CL39" i="15" s="1"/>
  <c r="BP39" i="15"/>
  <c r="F74" i="5"/>
  <c r="E75" i="5"/>
  <c r="J129" i="5" l="1"/>
  <c r="A129" i="5"/>
  <c r="I130" i="5"/>
  <c r="O129" i="5"/>
  <c r="P128" i="5"/>
  <c r="F75" i="17"/>
  <c r="E76" i="17"/>
  <c r="C127" i="5"/>
  <c r="D126" i="5"/>
  <c r="H126" i="5" s="1"/>
  <c r="D126" i="17"/>
  <c r="H126" i="17" s="1"/>
  <c r="C127" i="17"/>
  <c r="D156" i="14"/>
  <c r="H156" i="14" s="1"/>
  <c r="C157" i="14"/>
  <c r="J131" i="17"/>
  <c r="P131" i="17" s="1"/>
  <c r="A131" i="17"/>
  <c r="I132" i="17"/>
  <c r="O131" i="17"/>
  <c r="F105" i="14"/>
  <c r="E106" i="14"/>
  <c r="E34" i="20"/>
  <c r="E73" i="20" s="1"/>
  <c r="E68" i="26" s="1"/>
  <c r="AU40" i="15"/>
  <c r="AX40" i="15" s="1"/>
  <c r="AJ41" i="15"/>
  <c r="AK41" i="15" s="1"/>
  <c r="X31" i="21"/>
  <c r="E31" i="28"/>
  <c r="CO39" i="15"/>
  <c r="E76" i="5"/>
  <c r="F75" i="5"/>
  <c r="BR39" i="15"/>
  <c r="P126" i="14"/>
  <c r="J127" i="14"/>
  <c r="A127" i="14"/>
  <c r="I128" i="14"/>
  <c r="O127" i="14"/>
  <c r="L127" i="14"/>
  <c r="M127" i="14"/>
  <c r="K127" i="14"/>
  <c r="BR40" i="15"/>
  <c r="BX40" i="15" s="1"/>
  <c r="F76" i="17" l="1"/>
  <c r="E77" i="17"/>
  <c r="F106" i="14"/>
  <c r="E107" i="14"/>
  <c r="J132" i="17"/>
  <c r="P132" i="17" s="1"/>
  <c r="I133" i="17"/>
  <c r="A132" i="17"/>
  <c r="C128" i="17"/>
  <c r="D127" i="17"/>
  <c r="H127" i="17" s="1"/>
  <c r="A130" i="5"/>
  <c r="J130" i="5"/>
  <c r="I131" i="5"/>
  <c r="O130" i="5"/>
  <c r="P129" i="5"/>
  <c r="C158" i="14"/>
  <c r="D157" i="14"/>
  <c r="H157" i="14" s="1"/>
  <c r="D127" i="5"/>
  <c r="H127" i="5" s="1"/>
  <c r="C128" i="5"/>
  <c r="E155" i="20"/>
  <c r="G68" i="26" s="1"/>
  <c r="E114" i="20"/>
  <c r="F68" i="26" s="1"/>
  <c r="E195" i="20"/>
  <c r="H68" i="26" s="1"/>
  <c r="BY40" i="15"/>
  <c r="X33" i="21" s="1"/>
  <c r="DJ40" i="15"/>
  <c r="AM41" i="15"/>
  <c r="AJ42" i="15" s="1"/>
  <c r="E35" i="20"/>
  <c r="AV40" i="15"/>
  <c r="O128" i="14"/>
  <c r="I129" i="14"/>
  <c r="A128" i="14"/>
  <c r="J128" i="14"/>
  <c r="K128" i="14"/>
  <c r="L128" i="14"/>
  <c r="M128" i="14"/>
  <c r="P127" i="14"/>
  <c r="BT39" i="15"/>
  <c r="BN8" i="15" s="1"/>
  <c r="BX39" i="15"/>
  <c r="BY39" i="15" s="1"/>
  <c r="E77" i="5"/>
  <c r="F76" i="5"/>
  <c r="O131" i="5" l="1"/>
  <c r="I132" i="5"/>
  <c r="A131" i="5"/>
  <c r="J131" i="5"/>
  <c r="D128" i="5"/>
  <c r="H128" i="5" s="1"/>
  <c r="C129" i="5"/>
  <c r="E108" i="14"/>
  <c r="F107" i="14"/>
  <c r="P130" i="5"/>
  <c r="I134" i="17"/>
  <c r="J133" i="17"/>
  <c r="P133" i="17" s="1"/>
  <c r="A133" i="17"/>
  <c r="D158" i="14"/>
  <c r="H158" i="14" s="1"/>
  <c r="C159" i="14"/>
  <c r="D128" i="17"/>
  <c r="H128" i="17" s="1"/>
  <c r="C129" i="17"/>
  <c r="F77" i="17"/>
  <c r="E78" i="17"/>
  <c r="AK42" i="15"/>
  <c r="J34" i="20"/>
  <c r="AU41" i="15"/>
  <c r="AX41" i="15" s="1"/>
  <c r="AO41" i="15"/>
  <c r="AP41" i="15" s="1"/>
  <c r="E156" i="20"/>
  <c r="G69" i="26" s="1"/>
  <c r="G79" i="26" s="1"/>
  <c r="E196" i="20"/>
  <c r="H69" i="26" s="1"/>
  <c r="H79" i="26" s="1"/>
  <c r="E74" i="20"/>
  <c r="E115" i="20"/>
  <c r="F69" i="26" s="1"/>
  <c r="F79" i="26" s="1"/>
  <c r="AQ41" i="15"/>
  <c r="BM41" i="15"/>
  <c r="X32" i="21"/>
  <c r="AG196" i="20"/>
  <c r="AG74" i="20"/>
  <c r="AG156" i="20"/>
  <c r="AG115" i="20"/>
  <c r="V35" i="20"/>
  <c r="DJ39" i="15"/>
  <c r="DM39" i="15" s="1"/>
  <c r="DF39" i="15"/>
  <c r="W37" i="2" s="1"/>
  <c r="DE39" i="15"/>
  <c r="E78" i="5"/>
  <c r="F77" i="5"/>
  <c r="P128" i="14"/>
  <c r="J129" i="14"/>
  <c r="A129" i="14"/>
  <c r="K129" i="14"/>
  <c r="I130" i="14"/>
  <c r="O129" i="14"/>
  <c r="L129" i="14"/>
  <c r="M129" i="14"/>
  <c r="BM42" i="15" l="1"/>
  <c r="AQ42" i="15"/>
  <c r="D129" i="5"/>
  <c r="H129" i="5" s="1"/>
  <c r="C130" i="5"/>
  <c r="AM42" i="15"/>
  <c r="J134" i="17"/>
  <c r="P134" i="17" s="1"/>
  <c r="K134" i="17"/>
  <c r="I135" i="17"/>
  <c r="A134" i="17"/>
  <c r="P131" i="5"/>
  <c r="F78" i="17"/>
  <c r="E79" i="17"/>
  <c r="C130" i="17"/>
  <c r="D129" i="17"/>
  <c r="D159" i="14"/>
  <c r="H159" i="14" s="1"/>
  <c r="C160" i="14"/>
  <c r="A132" i="5"/>
  <c r="J132" i="5"/>
  <c r="I133" i="5"/>
  <c r="E109" i="14"/>
  <c r="F108" i="14"/>
  <c r="AC196" i="20"/>
  <c r="AC115" i="20"/>
  <c r="AC156" i="20"/>
  <c r="BP41" i="15"/>
  <c r="CO41" i="15" s="1"/>
  <c r="CU41" i="15" s="1"/>
  <c r="BL41" i="15"/>
  <c r="CL41" i="15" s="1"/>
  <c r="BO41" i="15"/>
  <c r="E69" i="26"/>
  <c r="E79" i="26" s="1"/>
  <c r="J35" i="20"/>
  <c r="AV41" i="15"/>
  <c r="E36" i="20"/>
  <c r="AC74" i="20"/>
  <c r="D34" i="24"/>
  <c r="E70" i="28"/>
  <c r="A130" i="14"/>
  <c r="J130" i="14"/>
  <c r="K130" i="14"/>
  <c r="O130" i="14"/>
  <c r="I131" i="14"/>
  <c r="M130" i="14"/>
  <c r="L130" i="14"/>
  <c r="N130" i="14"/>
  <c r="P129" i="14"/>
  <c r="F78" i="5"/>
  <c r="E79" i="5"/>
  <c r="BP42" i="15" l="1"/>
  <c r="CO42" i="15" s="1"/>
  <c r="CT42" i="15" s="1"/>
  <c r="R37" i="20" s="1"/>
  <c r="BO42" i="15"/>
  <c r="BL42" i="15"/>
  <c r="CL42" i="15" s="1"/>
  <c r="K133" i="5"/>
  <c r="J133" i="5"/>
  <c r="I134" i="5"/>
  <c r="A133" i="5"/>
  <c r="H129" i="17"/>
  <c r="K133" i="17"/>
  <c r="D130" i="17"/>
  <c r="C131" i="17"/>
  <c r="F79" i="17"/>
  <c r="E80" i="17"/>
  <c r="D160" i="14"/>
  <c r="C161" i="14"/>
  <c r="AJ43" i="15"/>
  <c r="AK43" i="15" s="1"/>
  <c r="AQ43" i="15" s="1"/>
  <c r="AU42" i="15"/>
  <c r="P132" i="5"/>
  <c r="E110" i="14"/>
  <c r="F109" i="14"/>
  <c r="I136" i="17"/>
  <c r="K135" i="17"/>
  <c r="J135" i="17"/>
  <c r="P135" i="17" s="1"/>
  <c r="A135" i="17"/>
  <c r="D130" i="5"/>
  <c r="C131" i="5"/>
  <c r="E197" i="20"/>
  <c r="H70" i="26" s="1"/>
  <c r="E157" i="20"/>
  <c r="G70" i="26" s="1"/>
  <c r="E116" i="20"/>
  <c r="F70" i="26" s="1"/>
  <c r="E75" i="20"/>
  <c r="E70" i="26" s="1"/>
  <c r="AC35" i="20"/>
  <c r="AG35" i="20" s="1"/>
  <c r="BR41" i="15"/>
  <c r="CT41" i="15"/>
  <c r="R36" i="20" s="1"/>
  <c r="E80" i="5"/>
  <c r="F79" i="5"/>
  <c r="J131" i="14"/>
  <c r="A131" i="14"/>
  <c r="I132" i="14"/>
  <c r="O131" i="14"/>
  <c r="K131" i="14"/>
  <c r="N131" i="14"/>
  <c r="L131" i="14"/>
  <c r="M131" i="14"/>
  <c r="P130" i="14"/>
  <c r="V36" i="20" l="1"/>
  <c r="E71" i="28" s="1"/>
  <c r="E32" i="28"/>
  <c r="AG158" i="20"/>
  <c r="E33" i="28"/>
  <c r="AG117" i="20"/>
  <c r="AG76" i="20"/>
  <c r="AG198" i="20"/>
  <c r="BT41" i="15"/>
  <c r="BX41" i="15"/>
  <c r="AX42" i="15"/>
  <c r="E37" i="20" s="1"/>
  <c r="E158" i="20" s="1"/>
  <c r="AV42" i="15"/>
  <c r="C132" i="17"/>
  <c r="D131" i="17"/>
  <c r="H130" i="17"/>
  <c r="K132" i="17"/>
  <c r="F80" i="17"/>
  <c r="E81" i="17"/>
  <c r="K136" i="17"/>
  <c r="I137" i="17"/>
  <c r="A136" i="17"/>
  <c r="J136" i="17"/>
  <c r="P136" i="17" s="1"/>
  <c r="AM43" i="15"/>
  <c r="BM43" i="15"/>
  <c r="BO43" i="15" s="1"/>
  <c r="K134" i="5"/>
  <c r="A134" i="5"/>
  <c r="I135" i="5"/>
  <c r="J134" i="5"/>
  <c r="D131" i="5"/>
  <c r="H131" i="5" s="1"/>
  <c r="C132" i="5"/>
  <c r="K131" i="5"/>
  <c r="E111" i="14"/>
  <c r="F110" i="14"/>
  <c r="P133" i="5"/>
  <c r="H130" i="5"/>
  <c r="K132" i="5"/>
  <c r="D161" i="14"/>
  <c r="H161" i="14" s="1"/>
  <c r="C162" i="14"/>
  <c r="N128" i="14"/>
  <c r="H160" i="14"/>
  <c r="N129" i="14"/>
  <c r="J36" i="20"/>
  <c r="AG116" i="20"/>
  <c r="AC116" i="20" s="1"/>
  <c r="AG157" i="20"/>
  <c r="AC157" i="20" s="1"/>
  <c r="AG197" i="20"/>
  <c r="AC197" i="20" s="1"/>
  <c r="AG75" i="20"/>
  <c r="AC75" i="20" s="1"/>
  <c r="R196" i="20"/>
  <c r="V196" i="20" s="1"/>
  <c r="R74" i="20"/>
  <c r="V74" i="20" s="1"/>
  <c r="D64" i="24" s="1"/>
  <c r="DC327" i="1"/>
  <c r="R156" i="20"/>
  <c r="AH129" i="22" s="1"/>
  <c r="R115" i="20"/>
  <c r="AH99" i="22" s="1"/>
  <c r="K132" i="14"/>
  <c r="I133" i="14"/>
  <c r="L132" i="14"/>
  <c r="A132" i="14"/>
  <c r="J132" i="14"/>
  <c r="M132" i="14"/>
  <c r="N132" i="14"/>
  <c r="P131" i="14"/>
  <c r="F80" i="5"/>
  <c r="E81" i="5"/>
  <c r="AC158" i="20" l="1"/>
  <c r="G71" i="26"/>
  <c r="BY41" i="15"/>
  <c r="DJ41" i="15"/>
  <c r="V37" i="20"/>
  <c r="E72" i="28" s="1"/>
  <c r="E76" i="20"/>
  <c r="E117" i="20"/>
  <c r="E198" i="20"/>
  <c r="AU43" i="15"/>
  <c r="AO43" i="15"/>
  <c r="AP43" i="15" s="1"/>
  <c r="AJ44" i="15"/>
  <c r="AK44" i="15" s="1"/>
  <c r="BM44" i="15" s="1"/>
  <c r="BP43" i="15"/>
  <c r="CO43" i="15" s="1"/>
  <c r="CT43" i="15" s="1"/>
  <c r="R38" i="20" s="1"/>
  <c r="BL43" i="15"/>
  <c r="CL43" i="15" s="1"/>
  <c r="CL44" i="15" s="1"/>
  <c r="CL45" i="15" s="1"/>
  <c r="CL46" i="15" s="1"/>
  <c r="CL47" i="15" s="1"/>
  <c r="CL48" i="15" s="1"/>
  <c r="I138" i="17"/>
  <c r="J137" i="17"/>
  <c r="P137" i="17" s="1"/>
  <c r="A137" i="17"/>
  <c r="K137" i="17"/>
  <c r="F81" i="17"/>
  <c r="E82" i="17"/>
  <c r="E112" i="14"/>
  <c r="F111" i="14"/>
  <c r="P134" i="5"/>
  <c r="H131" i="17"/>
  <c r="K131" i="17"/>
  <c r="D132" i="5"/>
  <c r="C133" i="5"/>
  <c r="K135" i="5"/>
  <c r="I136" i="5"/>
  <c r="A135" i="5"/>
  <c r="J135" i="5"/>
  <c r="D132" i="17"/>
  <c r="C133" i="17"/>
  <c r="C163" i="14"/>
  <c r="D162" i="14"/>
  <c r="AH159" i="22"/>
  <c r="V156" i="20"/>
  <c r="D124" i="24" s="1"/>
  <c r="AC36" i="20"/>
  <c r="AG36" i="20" s="1"/>
  <c r="R75" i="20" s="1"/>
  <c r="V75" i="20" s="1"/>
  <c r="AH69" i="22"/>
  <c r="V115" i="20"/>
  <c r="D154" i="24"/>
  <c r="X64" i="24"/>
  <c r="AE64" i="24"/>
  <c r="I64" i="24"/>
  <c r="Q64" i="24"/>
  <c r="E82" i="5"/>
  <c r="F81" i="5"/>
  <c r="I134" i="14"/>
  <c r="K133" i="14"/>
  <c r="L133" i="14"/>
  <c r="J133" i="14"/>
  <c r="A133" i="14"/>
  <c r="M133" i="14"/>
  <c r="N133" i="14"/>
  <c r="P132" i="14"/>
  <c r="E34" i="28" l="1"/>
  <c r="BO44" i="15"/>
  <c r="BP44" i="15"/>
  <c r="CO44" i="15" s="1"/>
  <c r="CT44" i="15" s="1"/>
  <c r="R39" i="20" s="1"/>
  <c r="BL44" i="15"/>
  <c r="AC117" i="20"/>
  <c r="F71" i="26"/>
  <c r="AC198" i="20"/>
  <c r="H71" i="26"/>
  <c r="AC76" i="20"/>
  <c r="E71" i="26"/>
  <c r="J37" i="20"/>
  <c r="AM44" i="15"/>
  <c r="AQ44" i="15"/>
  <c r="AX43" i="15"/>
  <c r="E38" i="20" s="1"/>
  <c r="V38" i="20" s="1"/>
  <c r="E73" i="28" s="1"/>
  <c r="AV43" i="15"/>
  <c r="K136" i="5"/>
  <c r="A136" i="5"/>
  <c r="I137" i="5"/>
  <c r="L136" i="5"/>
  <c r="J136" i="5"/>
  <c r="F112" i="14"/>
  <c r="E113" i="14"/>
  <c r="D133" i="5"/>
  <c r="C134" i="5"/>
  <c r="E83" i="17"/>
  <c r="F82" i="17"/>
  <c r="D133" i="17"/>
  <c r="H133" i="17" s="1"/>
  <c r="C134" i="17"/>
  <c r="H132" i="5"/>
  <c r="K130" i="5"/>
  <c r="D163" i="14"/>
  <c r="C164" i="14"/>
  <c r="H132" i="17"/>
  <c r="K130" i="17"/>
  <c r="L137" i="17"/>
  <c r="AG199" i="20"/>
  <c r="AG159" i="20"/>
  <c r="AG77" i="20"/>
  <c r="AG118" i="20"/>
  <c r="H162" i="14"/>
  <c r="N127" i="14"/>
  <c r="P135" i="5"/>
  <c r="I139" i="17"/>
  <c r="J138" i="17"/>
  <c r="P138" i="17" s="1"/>
  <c r="A138" i="17"/>
  <c r="K138" i="17"/>
  <c r="L138" i="17"/>
  <c r="AK35" i="20"/>
  <c r="R116" i="20"/>
  <c r="V116" i="20" s="1"/>
  <c r="R157" i="20"/>
  <c r="V157" i="20" s="1"/>
  <c r="DC328" i="1"/>
  <c r="R197" i="20"/>
  <c r="V197" i="20" s="1"/>
  <c r="I124" i="24"/>
  <c r="AE124" i="24"/>
  <c r="D94" i="24"/>
  <c r="I94" i="24" s="1"/>
  <c r="Q154" i="24"/>
  <c r="X154" i="24"/>
  <c r="AE154" i="24"/>
  <c r="I154" i="24"/>
  <c r="X124" i="24"/>
  <c r="Q124" i="24"/>
  <c r="P133" i="14"/>
  <c r="K134" i="14"/>
  <c r="I135" i="14"/>
  <c r="L134" i="14"/>
  <c r="A134" i="14"/>
  <c r="J134" i="14"/>
  <c r="N134" i="14"/>
  <c r="M134" i="14"/>
  <c r="E83" i="5"/>
  <c r="F82" i="5"/>
  <c r="AC37" i="20" l="1"/>
  <c r="AG37" i="20" s="1"/>
  <c r="R198" i="20" s="1"/>
  <c r="V198" i="20" s="1"/>
  <c r="E35" i="28"/>
  <c r="AG160" i="20"/>
  <c r="AG200" i="20"/>
  <c r="AG119" i="20"/>
  <c r="AG78" i="20"/>
  <c r="R117" i="20"/>
  <c r="V117" i="20" s="1"/>
  <c r="R76" i="20"/>
  <c r="V76" i="20" s="1"/>
  <c r="R158" i="20"/>
  <c r="V158" i="20" s="1"/>
  <c r="E159" i="20"/>
  <c r="E118" i="20"/>
  <c r="E77" i="20"/>
  <c r="E72" i="26" s="1"/>
  <c r="E199" i="20"/>
  <c r="AJ45" i="15"/>
  <c r="AK45" i="15" s="1"/>
  <c r="BM45" i="15" s="1"/>
  <c r="AU44" i="15"/>
  <c r="E114" i="14"/>
  <c r="F113" i="14"/>
  <c r="K139" i="17"/>
  <c r="A139" i="17"/>
  <c r="L139" i="17"/>
  <c r="I140" i="17"/>
  <c r="J139" i="17"/>
  <c r="P139" i="17" s="1"/>
  <c r="D134" i="17"/>
  <c r="C135" i="17"/>
  <c r="P136" i="5"/>
  <c r="A137" i="5"/>
  <c r="I138" i="5"/>
  <c r="J137" i="5"/>
  <c r="K137" i="5"/>
  <c r="L137" i="5"/>
  <c r="F83" i="17"/>
  <c r="E84" i="17"/>
  <c r="C165" i="14"/>
  <c r="D164" i="14"/>
  <c r="H164" i="14" s="1"/>
  <c r="L136" i="17"/>
  <c r="H163" i="14"/>
  <c r="N126" i="14"/>
  <c r="D134" i="5"/>
  <c r="C135" i="5"/>
  <c r="H133" i="5"/>
  <c r="K129" i="5"/>
  <c r="AK36" i="20"/>
  <c r="Q94" i="24"/>
  <c r="AE94" i="24"/>
  <c r="X94" i="24"/>
  <c r="E84" i="5"/>
  <c r="F83" i="5"/>
  <c r="P134" i="14"/>
  <c r="J135" i="14"/>
  <c r="A135" i="14"/>
  <c r="L135" i="14"/>
  <c r="I136" i="14"/>
  <c r="K135" i="14"/>
  <c r="M135" i="14"/>
  <c r="N135" i="14"/>
  <c r="O135" i="14"/>
  <c r="AK37" i="20" l="1"/>
  <c r="BO45" i="15"/>
  <c r="BL45" i="15"/>
  <c r="BP45" i="15"/>
  <c r="CO45" i="15" s="1"/>
  <c r="AC159" i="20"/>
  <c r="G72" i="26"/>
  <c r="AC199" i="20"/>
  <c r="H72" i="26"/>
  <c r="AC118" i="20"/>
  <c r="F72" i="26"/>
  <c r="AM45" i="15"/>
  <c r="AQ45" i="15"/>
  <c r="AV44" i="15"/>
  <c r="AX44" i="15"/>
  <c r="E39" i="20" s="1"/>
  <c r="J38" i="20"/>
  <c r="AC77" i="20"/>
  <c r="F84" i="17"/>
  <c r="E85" i="17"/>
  <c r="H134" i="17"/>
  <c r="L135" i="17"/>
  <c r="J140" i="17"/>
  <c r="P140" i="17" s="1"/>
  <c r="I141" i="17"/>
  <c r="A140" i="17"/>
  <c r="L140" i="17"/>
  <c r="K140" i="17"/>
  <c r="H134" i="5"/>
  <c r="L135" i="5"/>
  <c r="P137" i="5"/>
  <c r="A138" i="5"/>
  <c r="K138" i="5"/>
  <c r="J138" i="5"/>
  <c r="L138" i="5"/>
  <c r="I139" i="5"/>
  <c r="D135" i="5"/>
  <c r="C136" i="5"/>
  <c r="E115" i="14"/>
  <c r="F114" i="14"/>
  <c r="D165" i="14"/>
  <c r="H165" i="14" s="1"/>
  <c r="C166" i="14"/>
  <c r="D135" i="17"/>
  <c r="C136" i="17"/>
  <c r="P135" i="14"/>
  <c r="A136" i="14"/>
  <c r="L136" i="14"/>
  <c r="K136" i="14"/>
  <c r="I137" i="14"/>
  <c r="J136" i="14"/>
  <c r="N136" i="14"/>
  <c r="O136" i="14"/>
  <c r="M136" i="14"/>
  <c r="E85" i="5"/>
  <c r="F84" i="5"/>
  <c r="CT45" i="15" l="1"/>
  <c r="R40" i="20" s="1"/>
  <c r="AC38" i="20"/>
  <c r="AG38" i="20" s="1"/>
  <c r="R77" i="20" s="1"/>
  <c r="V77" i="20" s="1"/>
  <c r="E119" i="20"/>
  <c r="E78" i="20"/>
  <c r="E200" i="20"/>
  <c r="E160" i="20"/>
  <c r="V39" i="20"/>
  <c r="E74" i="28" s="1"/>
  <c r="R199" i="20"/>
  <c r="V199" i="20" s="1"/>
  <c r="R159" i="20"/>
  <c r="V159" i="20" s="1"/>
  <c r="R118" i="20"/>
  <c r="V118" i="20" s="1"/>
  <c r="AJ46" i="15"/>
  <c r="AU45" i="15"/>
  <c r="AO45" i="15"/>
  <c r="AP45" i="15" s="1"/>
  <c r="P138" i="5"/>
  <c r="C137" i="17"/>
  <c r="D136" i="17"/>
  <c r="H136" i="17" s="1"/>
  <c r="L133" i="17"/>
  <c r="L141" i="17"/>
  <c r="I142" i="17"/>
  <c r="J141" i="17"/>
  <c r="P141" i="17" s="1"/>
  <c r="K141" i="17"/>
  <c r="A141" i="17"/>
  <c r="D166" i="14"/>
  <c r="C167" i="14"/>
  <c r="O134" i="14"/>
  <c r="C137" i="5"/>
  <c r="D136" i="5"/>
  <c r="H135" i="17"/>
  <c r="L134" i="17"/>
  <c r="H135" i="5"/>
  <c r="L134" i="5"/>
  <c r="F115" i="14"/>
  <c r="E116" i="14"/>
  <c r="F85" i="17"/>
  <c r="E86" i="17"/>
  <c r="A139" i="5"/>
  <c r="I140" i="5"/>
  <c r="L139" i="5"/>
  <c r="K139" i="5"/>
  <c r="J139" i="5"/>
  <c r="P136" i="14"/>
  <c r="E86" i="5"/>
  <c r="F85" i="5"/>
  <c r="I138" i="14"/>
  <c r="J137" i="14"/>
  <c r="A137" i="14"/>
  <c r="L137" i="14"/>
  <c r="K137" i="14"/>
  <c r="N137" i="14"/>
  <c r="O137" i="14"/>
  <c r="M137" i="14"/>
  <c r="AC200" i="20" l="1"/>
  <c r="H73" i="26"/>
  <c r="E36" i="28"/>
  <c r="AG161" i="20"/>
  <c r="AG201" i="20"/>
  <c r="AG79" i="20"/>
  <c r="AG120" i="20"/>
  <c r="AC160" i="20"/>
  <c r="G73" i="26"/>
  <c r="AC78" i="20"/>
  <c r="E73" i="26"/>
  <c r="J39" i="20"/>
  <c r="F73" i="26"/>
  <c r="AC119" i="20"/>
  <c r="CT46" i="15"/>
  <c r="R41" i="20" s="1"/>
  <c r="AK38" i="20"/>
  <c r="AV45" i="15"/>
  <c r="AX45" i="15"/>
  <c r="E40" i="20" s="1"/>
  <c r="AK46" i="15"/>
  <c r="P139" i="5"/>
  <c r="E117" i="14"/>
  <c r="F116" i="14"/>
  <c r="H136" i="5"/>
  <c r="L133" i="5"/>
  <c r="D137" i="5"/>
  <c r="H137" i="5" s="1"/>
  <c r="C138" i="5"/>
  <c r="D167" i="14"/>
  <c r="H167" i="14" s="1"/>
  <c r="O132" i="14"/>
  <c r="J140" i="5"/>
  <c r="L140" i="5"/>
  <c r="A140" i="5"/>
  <c r="I141" i="5"/>
  <c r="K140" i="5"/>
  <c r="H166" i="14"/>
  <c r="O133" i="14"/>
  <c r="D137" i="17"/>
  <c r="H137" i="17" s="1"/>
  <c r="C138" i="17"/>
  <c r="F86" i="17"/>
  <c r="E87" i="17"/>
  <c r="I143" i="17"/>
  <c r="J142" i="17"/>
  <c r="P142" i="17" s="1"/>
  <c r="K142" i="17"/>
  <c r="L142" i="17"/>
  <c r="A142" i="17"/>
  <c r="A138" i="14"/>
  <c r="L138" i="14"/>
  <c r="M138" i="14"/>
  <c r="K138" i="14"/>
  <c r="I139" i="14"/>
  <c r="J138" i="14"/>
  <c r="N138" i="14"/>
  <c r="O138" i="14"/>
  <c r="E87" i="5"/>
  <c r="F86" i="5"/>
  <c r="P137" i="14"/>
  <c r="AM16" i="8"/>
  <c r="AQ16" i="8"/>
  <c r="BM16" i="8"/>
  <c r="AC39" i="20" l="1"/>
  <c r="AG39" i="20" s="1"/>
  <c r="R160" i="20" s="1"/>
  <c r="V160" i="20" s="1"/>
  <c r="E120" i="20"/>
  <c r="E79" i="20"/>
  <c r="E201" i="20"/>
  <c r="E161" i="20"/>
  <c r="V40" i="20"/>
  <c r="E75" i="28" s="1"/>
  <c r="AQ46" i="15"/>
  <c r="BM46" i="15"/>
  <c r="E37" i="28"/>
  <c r="AG202" i="20"/>
  <c r="AG80" i="20"/>
  <c r="AG121" i="20"/>
  <c r="AG162" i="20"/>
  <c r="CT48" i="15"/>
  <c r="R43" i="20" s="1"/>
  <c r="CT47" i="15"/>
  <c r="R42" i="20" s="1"/>
  <c r="AM46" i="15"/>
  <c r="AJ47" i="15" s="1"/>
  <c r="F87" i="17"/>
  <c r="E88" i="17"/>
  <c r="C139" i="5"/>
  <c r="D138" i="5"/>
  <c r="H138" i="5" s="1"/>
  <c r="M143" i="17"/>
  <c r="A143" i="17"/>
  <c r="L143" i="17"/>
  <c r="I144" i="17"/>
  <c r="K143" i="17"/>
  <c r="J143" i="17"/>
  <c r="P143" i="17" s="1"/>
  <c r="K141" i="5"/>
  <c r="A141" i="5"/>
  <c r="J141" i="5"/>
  <c r="M141" i="5"/>
  <c r="L141" i="5"/>
  <c r="I142" i="5"/>
  <c r="C139" i="17"/>
  <c r="D138" i="17"/>
  <c r="H138" i="17" s="1"/>
  <c r="M141" i="17"/>
  <c r="P140" i="5"/>
  <c r="M142" i="17"/>
  <c r="E118" i="14"/>
  <c r="F117" i="14"/>
  <c r="BL16" i="8"/>
  <c r="BP16" i="8"/>
  <c r="BO16" i="8"/>
  <c r="P138" i="14"/>
  <c r="E88" i="5"/>
  <c r="F87" i="5"/>
  <c r="I140" i="14"/>
  <c r="J139" i="14"/>
  <c r="A139" i="14"/>
  <c r="L139" i="14"/>
  <c r="K139" i="14"/>
  <c r="M139" i="14"/>
  <c r="N139" i="14"/>
  <c r="O139" i="14"/>
  <c r="AJ17" i="8"/>
  <c r="AK17" i="8" s="1"/>
  <c r="AU16" i="8"/>
  <c r="BA102" i="8" s="1"/>
  <c r="R119" i="20" l="1"/>
  <c r="V119" i="20" s="1"/>
  <c r="R200" i="20"/>
  <c r="V200" i="20" s="1"/>
  <c r="R78" i="20"/>
  <c r="V78" i="20" s="1"/>
  <c r="BP46" i="15"/>
  <c r="CO46" i="15" s="1"/>
  <c r="BL46" i="15"/>
  <c r="BO46" i="15"/>
  <c r="AC161" i="20"/>
  <c r="G74" i="26"/>
  <c r="AG122" i="20"/>
  <c r="E38" i="28"/>
  <c r="AG163" i="20"/>
  <c r="AG203" i="20"/>
  <c r="AG81" i="20"/>
  <c r="H74" i="26"/>
  <c r="AC201" i="20"/>
  <c r="AC79" i="20"/>
  <c r="E74" i="26"/>
  <c r="J40" i="20"/>
  <c r="AG123" i="20"/>
  <c r="AG164" i="20"/>
  <c r="E39" i="28"/>
  <c r="AG204" i="20"/>
  <c r="AG82" i="20"/>
  <c r="AK39" i="20"/>
  <c r="AC120" i="20"/>
  <c r="F74" i="26"/>
  <c r="AU46" i="15"/>
  <c r="AV46" i="15" s="1"/>
  <c r="AK47" i="15"/>
  <c r="BM17" i="8"/>
  <c r="BL17" i="8" s="1"/>
  <c r="P141" i="5"/>
  <c r="F118" i="14"/>
  <c r="E119" i="14"/>
  <c r="D139" i="17"/>
  <c r="C140" i="17"/>
  <c r="C140" i="5"/>
  <c r="D139" i="5"/>
  <c r="H139" i="5" s="1"/>
  <c r="M140" i="5"/>
  <c r="F88" i="17"/>
  <c r="E89" i="17"/>
  <c r="L144" i="17"/>
  <c r="M144" i="17"/>
  <c r="A144" i="17"/>
  <c r="I145" i="17"/>
  <c r="J144" i="17"/>
  <c r="P144" i="17" s="1"/>
  <c r="K144" i="17"/>
  <c r="L142" i="5"/>
  <c r="A142" i="5"/>
  <c r="K142" i="5"/>
  <c r="J142" i="5"/>
  <c r="M142" i="5"/>
  <c r="I143" i="5"/>
  <c r="BR16" i="8"/>
  <c r="BX16" i="8" s="1"/>
  <c r="AX16" i="8"/>
  <c r="BB102" i="8" s="1"/>
  <c r="AV16" i="8"/>
  <c r="P139" i="14"/>
  <c r="E89" i="5"/>
  <c r="F88" i="5"/>
  <c r="AM17" i="8"/>
  <c r="AQ17" i="8"/>
  <c r="A140" i="14"/>
  <c r="L140" i="14"/>
  <c r="M140" i="14"/>
  <c r="K140" i="14"/>
  <c r="I141" i="14"/>
  <c r="J140" i="14"/>
  <c r="O140" i="14"/>
  <c r="N140" i="14"/>
  <c r="AC40" i="20" l="1"/>
  <c r="AG40" i="20" s="1"/>
  <c r="AQ47" i="15"/>
  <c r="BM47" i="15"/>
  <c r="AM47" i="15"/>
  <c r="AU47" i="15" s="1"/>
  <c r="AX46" i="15"/>
  <c r="E41" i="20" s="1"/>
  <c r="BP17" i="8"/>
  <c r="BO17" i="8"/>
  <c r="BR17" i="8" s="1"/>
  <c r="BX17" i="8" s="1"/>
  <c r="CO17" i="8" s="1"/>
  <c r="H139" i="17"/>
  <c r="M140" i="17"/>
  <c r="E120" i="14"/>
  <c r="F119" i="14"/>
  <c r="E90" i="17"/>
  <c r="F89" i="17"/>
  <c r="P142" i="5"/>
  <c r="C141" i="5"/>
  <c r="D140" i="5"/>
  <c r="H140" i="5" s="1"/>
  <c r="M139" i="5"/>
  <c r="A143" i="5"/>
  <c r="J143" i="5"/>
  <c r="L143" i="5"/>
  <c r="I144" i="5"/>
  <c r="K143" i="5"/>
  <c r="M143" i="5"/>
  <c r="I146" i="17"/>
  <c r="J145" i="17"/>
  <c r="P145" i="17" s="1"/>
  <c r="M145" i="17"/>
  <c r="L145" i="17"/>
  <c r="A145" i="17"/>
  <c r="K145" i="17"/>
  <c r="C141" i="17"/>
  <c r="D140" i="17"/>
  <c r="H140" i="17" s="1"/>
  <c r="M139" i="17"/>
  <c r="CO16" i="8"/>
  <c r="F13" i="21"/>
  <c r="E17" i="27" s="1"/>
  <c r="DI16" i="15"/>
  <c r="DL16" i="15" s="1"/>
  <c r="Q11" i="20"/>
  <c r="D7" i="28" s="1"/>
  <c r="CQ16" i="16"/>
  <c r="CT16" i="16" s="1"/>
  <c r="CJ16" i="8"/>
  <c r="J14" i="2" s="1"/>
  <c r="D11" i="20"/>
  <c r="P140" i="14"/>
  <c r="AJ18" i="8"/>
  <c r="AK18" i="8" s="1"/>
  <c r="AU17" i="8"/>
  <c r="BA103" i="8" s="1"/>
  <c r="AO17" i="8"/>
  <c r="AP17" i="8" s="1"/>
  <c r="F89" i="5"/>
  <c r="E90" i="5"/>
  <c r="L141" i="14"/>
  <c r="M141" i="14"/>
  <c r="A141" i="14"/>
  <c r="I142" i="14"/>
  <c r="J141" i="14"/>
  <c r="K141" i="14"/>
  <c r="N141" i="14"/>
  <c r="O141" i="14"/>
  <c r="BO47" i="15" l="1"/>
  <c r="BP47" i="15"/>
  <c r="CO47" i="15" s="1"/>
  <c r="BL47" i="15"/>
  <c r="R79" i="20"/>
  <c r="V79" i="20" s="1"/>
  <c r="R201" i="20"/>
  <c r="V201" i="20" s="1"/>
  <c r="R161" i="20"/>
  <c r="V161" i="20" s="1"/>
  <c r="R120" i="20"/>
  <c r="V120" i="20" s="1"/>
  <c r="V41" i="20"/>
  <c r="E202" i="20"/>
  <c r="E162" i="20"/>
  <c r="E80" i="20"/>
  <c r="E121" i="20"/>
  <c r="AO47" i="15"/>
  <c r="AP47" i="15" s="1"/>
  <c r="AJ11" i="15" s="1"/>
  <c r="AL6" i="15" s="1"/>
  <c r="AJ48" i="15"/>
  <c r="AK48" i="15" s="1"/>
  <c r="BM48" i="15" s="1"/>
  <c r="F14" i="21"/>
  <c r="E18" i="27" s="1"/>
  <c r="Q12" i="20"/>
  <c r="D8" i="28" s="1"/>
  <c r="DI17" i="15"/>
  <c r="DL17" i="15" s="1"/>
  <c r="CQ17" i="16"/>
  <c r="CT17" i="16" s="1"/>
  <c r="AV47" i="15"/>
  <c r="AX47" i="15"/>
  <c r="E42" i="20" s="1"/>
  <c r="AM48" i="15"/>
  <c r="AU48" i="15" s="1"/>
  <c r="AQ48" i="15"/>
  <c r="C142" i="17"/>
  <c r="D141" i="17"/>
  <c r="H141" i="17" s="1"/>
  <c r="J144" i="5"/>
  <c r="L144" i="5"/>
  <c r="K144" i="5"/>
  <c r="A144" i="5"/>
  <c r="M144" i="5"/>
  <c r="I145" i="5"/>
  <c r="F90" i="17"/>
  <c r="E91" i="17"/>
  <c r="P143" i="5"/>
  <c r="E121" i="14"/>
  <c r="F120" i="14"/>
  <c r="C142" i="5"/>
  <c r="D141" i="5"/>
  <c r="H141" i="5" s="1"/>
  <c r="M138" i="5"/>
  <c r="J146" i="17"/>
  <c r="K146" i="17"/>
  <c r="A146" i="17"/>
  <c r="M146" i="17"/>
  <c r="I147" i="17"/>
  <c r="L146" i="17"/>
  <c r="AF172" i="20"/>
  <c r="AQ11" i="20"/>
  <c r="AF132" i="20"/>
  <c r="AF91" i="20"/>
  <c r="BM18" i="8"/>
  <c r="U11" i="20"/>
  <c r="D46" i="28" s="1"/>
  <c r="D172" i="20"/>
  <c r="H6" i="26" s="1"/>
  <c r="D50" i="20"/>
  <c r="E6" i="26" s="1"/>
  <c r="D91" i="20"/>
  <c r="F6" i="26" s="1"/>
  <c r="D132" i="20"/>
  <c r="G6" i="26" s="1"/>
  <c r="P141" i="14"/>
  <c r="E91" i="5"/>
  <c r="F90" i="5"/>
  <c r="AX17" i="8"/>
  <c r="BB103" i="8" s="1"/>
  <c r="AV17" i="8"/>
  <c r="M142" i="14"/>
  <c r="A142" i="14"/>
  <c r="L142" i="14"/>
  <c r="K142" i="14"/>
  <c r="I143" i="14"/>
  <c r="J142" i="14"/>
  <c r="N142" i="14"/>
  <c r="O142" i="14"/>
  <c r="AM18" i="8"/>
  <c r="AQ18" i="8"/>
  <c r="E76" i="28" l="1"/>
  <c r="AK40" i="20"/>
  <c r="BL48" i="15"/>
  <c r="BP48" i="15"/>
  <c r="CO48" i="15" s="1"/>
  <c r="BO48" i="15"/>
  <c r="AC80" i="20"/>
  <c r="E75" i="26"/>
  <c r="J41" i="20"/>
  <c r="G75" i="26"/>
  <c r="AC162" i="20"/>
  <c r="F75" i="26"/>
  <c r="AC121" i="20"/>
  <c r="H75" i="26"/>
  <c r="AC202" i="20"/>
  <c r="V42" i="20"/>
  <c r="E163" i="20"/>
  <c r="E203" i="20"/>
  <c r="E81" i="20"/>
  <c r="E122" i="20"/>
  <c r="AQ12" i="20"/>
  <c r="AF173" i="20"/>
  <c r="AF133" i="20"/>
  <c r="AF92" i="20"/>
  <c r="AV48" i="15"/>
  <c r="AX48" i="15"/>
  <c r="E43" i="20" s="1"/>
  <c r="P144" i="5"/>
  <c r="S131" i="17"/>
  <c r="S143" i="17"/>
  <c r="S132" i="17"/>
  <c r="S133" i="17"/>
  <c r="S145" i="17"/>
  <c r="S144" i="17"/>
  <c r="S134" i="17"/>
  <c r="S146" i="17"/>
  <c r="S137" i="17"/>
  <c r="S140" i="17"/>
  <c r="S135" i="17"/>
  <c r="S136" i="17"/>
  <c r="S138" i="17"/>
  <c r="S139" i="17"/>
  <c r="S141" i="17"/>
  <c r="S130" i="17"/>
  <c r="S142" i="17"/>
  <c r="R130" i="17"/>
  <c r="R142" i="17"/>
  <c r="R127" i="17"/>
  <c r="R131" i="17"/>
  <c r="R143" i="17"/>
  <c r="R132" i="17"/>
  <c r="R133" i="17"/>
  <c r="R134" i="17"/>
  <c r="R144" i="17"/>
  <c r="R136" i="17"/>
  <c r="R146" i="17"/>
  <c r="R145" i="17"/>
  <c r="R128" i="17"/>
  <c r="R141" i="17"/>
  <c r="R140" i="17"/>
  <c r="R135" i="17"/>
  <c r="R129" i="17"/>
  <c r="R137" i="17"/>
  <c r="R126" i="17"/>
  <c r="R138" i="17"/>
  <c r="R139" i="17"/>
  <c r="K145" i="5"/>
  <c r="M145" i="5"/>
  <c r="A145" i="5"/>
  <c r="J145" i="5"/>
  <c r="I146" i="5"/>
  <c r="L145" i="5"/>
  <c r="T135" i="17"/>
  <c r="T136" i="17"/>
  <c r="T141" i="17"/>
  <c r="T137" i="17"/>
  <c r="T138" i="17"/>
  <c r="T146" i="17"/>
  <c r="T133" i="17"/>
  <c r="T139" i="17"/>
  <c r="T145" i="17"/>
  <c r="T144" i="17"/>
  <c r="T140" i="17"/>
  <c r="T142" i="17"/>
  <c r="T143" i="17"/>
  <c r="T134" i="17"/>
  <c r="A147" i="17"/>
  <c r="L147" i="17"/>
  <c r="T147" i="17" s="1"/>
  <c r="J147" i="17"/>
  <c r="R147" i="17" s="1"/>
  <c r="M147" i="17"/>
  <c r="U147" i="17" s="1"/>
  <c r="I148" i="17"/>
  <c r="K147" i="17"/>
  <c r="S147" i="17" s="1"/>
  <c r="D142" i="5"/>
  <c r="H142" i="5" s="1"/>
  <c r="C143" i="5"/>
  <c r="L127" i="5"/>
  <c r="E122" i="14"/>
  <c r="F121" i="14"/>
  <c r="D142" i="17"/>
  <c r="H142" i="17" s="1"/>
  <c r="C143" i="17"/>
  <c r="F91" i="17"/>
  <c r="E92" i="17"/>
  <c r="U146" i="17"/>
  <c r="U142" i="17"/>
  <c r="U140" i="17"/>
  <c r="U143" i="17"/>
  <c r="U144" i="17"/>
  <c r="U141" i="17"/>
  <c r="U145" i="17"/>
  <c r="U139" i="17"/>
  <c r="BO18" i="8"/>
  <c r="BP18" i="8"/>
  <c r="BL18" i="8"/>
  <c r="CR15" i="15"/>
  <c r="CR16" i="15"/>
  <c r="CR26" i="15"/>
  <c r="CR19" i="15"/>
  <c r="CR17" i="15"/>
  <c r="CR25" i="15"/>
  <c r="CR20" i="15"/>
  <c r="CR23" i="15"/>
  <c r="CR33" i="15"/>
  <c r="CT33" i="15" s="1"/>
  <c r="R28" i="20" s="1"/>
  <c r="CR30" i="15"/>
  <c r="CT30" i="15" s="1"/>
  <c r="R25" i="20" s="1"/>
  <c r="CR24" i="15"/>
  <c r="CR22" i="15"/>
  <c r="CR34" i="15"/>
  <c r="CT34" i="15" s="1"/>
  <c r="R29" i="20" s="1"/>
  <c r="CR37" i="15"/>
  <c r="CT37" i="15" s="1"/>
  <c r="R32" i="20" s="1"/>
  <c r="CR35" i="15"/>
  <c r="CT35" i="15" s="1"/>
  <c r="R30" i="20" s="1"/>
  <c r="CR29" i="15"/>
  <c r="CR36" i="15"/>
  <c r="CT36" i="15" s="1"/>
  <c r="R31" i="20" s="1"/>
  <c r="CR21" i="15"/>
  <c r="CR32" i="15"/>
  <c r="CT32" i="15" s="1"/>
  <c r="R27" i="20" s="1"/>
  <c r="CR18" i="15"/>
  <c r="CR28" i="15"/>
  <c r="CR38" i="15"/>
  <c r="CT38" i="15" s="1"/>
  <c r="R33" i="20" s="1"/>
  <c r="I11" i="20"/>
  <c r="CJ17" i="8"/>
  <c r="J15" i="2" s="1"/>
  <c r="D12" i="20"/>
  <c r="AB91" i="20"/>
  <c r="AB172" i="20"/>
  <c r="C10" i="24"/>
  <c r="AB132" i="20"/>
  <c r="P142" i="14"/>
  <c r="AU18" i="8"/>
  <c r="BA104" i="8" s="1"/>
  <c r="AJ19" i="8"/>
  <c r="AK19" i="8" s="1"/>
  <c r="I144" i="14"/>
  <c r="J143" i="14"/>
  <c r="K143" i="14"/>
  <c r="L143" i="14"/>
  <c r="M143" i="14"/>
  <c r="A143" i="14"/>
  <c r="N143" i="14"/>
  <c r="O143" i="14"/>
  <c r="E92" i="5"/>
  <c r="F91" i="5"/>
  <c r="E77" i="28" l="1"/>
  <c r="V43" i="20"/>
  <c r="E82" i="20"/>
  <c r="E204" i="20"/>
  <c r="E123" i="20"/>
  <c r="E164" i="20"/>
  <c r="G76" i="26"/>
  <c r="AC163" i="20"/>
  <c r="AC122" i="20"/>
  <c r="F76" i="26"/>
  <c r="AC203" i="20"/>
  <c r="H76" i="26"/>
  <c r="E76" i="26"/>
  <c r="J42" i="20"/>
  <c r="AC81" i="20"/>
  <c r="AC41" i="20"/>
  <c r="AG41" i="20" s="1"/>
  <c r="K148" i="17"/>
  <c r="S148" i="17" s="1"/>
  <c r="A148" i="17"/>
  <c r="N148" i="17"/>
  <c r="I149" i="17"/>
  <c r="L148" i="17"/>
  <c r="T148" i="17" s="1"/>
  <c r="J148" i="17"/>
  <c r="R148" i="17" s="1"/>
  <c r="M148" i="17"/>
  <c r="U148" i="17" s="1"/>
  <c r="D143" i="17"/>
  <c r="H143" i="17" s="1"/>
  <c r="C144" i="17"/>
  <c r="J146" i="5"/>
  <c r="I147" i="5"/>
  <c r="M146" i="5"/>
  <c r="A146" i="5"/>
  <c r="K146" i="5"/>
  <c r="L146" i="5"/>
  <c r="T145" i="5" s="1"/>
  <c r="P145" i="5"/>
  <c r="R145" i="5"/>
  <c r="F122" i="14"/>
  <c r="E123" i="14"/>
  <c r="N147" i="17"/>
  <c r="D143" i="5"/>
  <c r="H143" i="5" s="1"/>
  <c r="C144" i="5"/>
  <c r="F92" i="17"/>
  <c r="E93" i="17"/>
  <c r="T127" i="5"/>
  <c r="BM19" i="8"/>
  <c r="BR18" i="8"/>
  <c r="BX18" i="8" s="1"/>
  <c r="CS28" i="15"/>
  <c r="CT28" i="15" s="1"/>
  <c r="R23" i="20" s="1"/>
  <c r="CS26" i="15"/>
  <c r="CT26" i="15" s="1"/>
  <c r="R21" i="20" s="1"/>
  <c r="CS24" i="15"/>
  <c r="CT24" i="15" s="1"/>
  <c r="R19" i="20" s="1"/>
  <c r="CS22" i="15"/>
  <c r="CT22" i="15" s="1"/>
  <c r="R17" i="20" s="1"/>
  <c r="CS20" i="15"/>
  <c r="CT20" i="15" s="1"/>
  <c r="R15" i="20" s="1"/>
  <c r="CS18" i="15"/>
  <c r="CT18" i="15" s="1"/>
  <c r="R13" i="20" s="1"/>
  <c r="CS16" i="15"/>
  <c r="CT16" i="15" s="1"/>
  <c r="R11" i="20" s="1"/>
  <c r="CS29" i="15"/>
  <c r="CT29" i="15" s="1"/>
  <c r="R24" i="20" s="1"/>
  <c r="CS27" i="15"/>
  <c r="CT27" i="15" s="1"/>
  <c r="R22" i="20" s="1"/>
  <c r="CS25" i="15"/>
  <c r="CT25" i="15" s="1"/>
  <c r="R20" i="20" s="1"/>
  <c r="CS23" i="15"/>
  <c r="CT23" i="15" s="1"/>
  <c r="R18" i="20" s="1"/>
  <c r="CS21" i="15"/>
  <c r="CT21" i="15" s="1"/>
  <c r="R16" i="20" s="1"/>
  <c r="CS19" i="15"/>
  <c r="CT19" i="15" s="1"/>
  <c r="R14" i="20" s="1"/>
  <c r="CS17" i="15"/>
  <c r="CT17" i="15" s="1"/>
  <c r="R12" i="20" s="1"/>
  <c r="CS15" i="15"/>
  <c r="CT15" i="15" s="1"/>
  <c r="R10" i="20" s="1"/>
  <c r="CU29" i="15"/>
  <c r="CU37" i="15"/>
  <c r="CU35" i="15"/>
  <c r="CU33" i="15"/>
  <c r="U12" i="20"/>
  <c r="D47" i="28" s="1"/>
  <c r="D173" i="20"/>
  <c r="H7" i="26" s="1"/>
  <c r="D92" i="20"/>
  <c r="F7" i="26" s="1"/>
  <c r="D51" i="20"/>
  <c r="E7" i="26" s="1"/>
  <c r="D133" i="20"/>
  <c r="G7" i="26" s="1"/>
  <c r="E93" i="5"/>
  <c r="F92" i="5"/>
  <c r="P143" i="14"/>
  <c r="AV18" i="8"/>
  <c r="AX18" i="8"/>
  <c r="BB104" i="8" s="1"/>
  <c r="AM16" i="16"/>
  <c r="AQ16" i="16"/>
  <c r="K144" i="14"/>
  <c r="I145" i="14"/>
  <c r="J144" i="14"/>
  <c r="M144" i="14"/>
  <c r="A144" i="14"/>
  <c r="L144" i="14"/>
  <c r="O144" i="14"/>
  <c r="N144" i="14"/>
  <c r="AM19" i="8"/>
  <c r="AQ19" i="8"/>
  <c r="E78" i="28" l="1"/>
  <c r="AR36" i="20"/>
  <c r="AR37" i="20"/>
  <c r="AR38" i="20"/>
  <c r="AR39" i="20"/>
  <c r="AR40" i="20"/>
  <c r="AR41" i="20"/>
  <c r="AR43" i="20"/>
  <c r="AR42" i="20"/>
  <c r="AC123" i="20"/>
  <c r="F77" i="26"/>
  <c r="R121" i="20"/>
  <c r="V121" i="20" s="1"/>
  <c r="R80" i="20"/>
  <c r="V80" i="20" s="1"/>
  <c r="R162" i="20"/>
  <c r="V162" i="20" s="1"/>
  <c r="R202" i="20"/>
  <c r="V202" i="20" s="1"/>
  <c r="H77" i="26"/>
  <c r="AC204" i="20"/>
  <c r="AC42" i="20"/>
  <c r="AG42" i="20" s="1"/>
  <c r="AC82" i="20"/>
  <c r="E77" i="26"/>
  <c r="J43" i="20"/>
  <c r="AC164" i="20"/>
  <c r="G77" i="26"/>
  <c r="E124" i="14"/>
  <c r="F123" i="14"/>
  <c r="S146" i="5"/>
  <c r="S133" i="5"/>
  <c r="S131" i="5"/>
  <c r="S134" i="5"/>
  <c r="S132" i="5"/>
  <c r="S135" i="5"/>
  <c r="S136" i="5"/>
  <c r="S130" i="5"/>
  <c r="S137" i="5"/>
  <c r="S129" i="5"/>
  <c r="S138" i="5"/>
  <c r="S139" i="5"/>
  <c r="S140" i="5"/>
  <c r="S141" i="5"/>
  <c r="S142" i="5"/>
  <c r="S143" i="5"/>
  <c r="S144" i="5"/>
  <c r="E94" i="17"/>
  <c r="F93" i="17"/>
  <c r="N146" i="5"/>
  <c r="U146" i="5"/>
  <c r="U141" i="5"/>
  <c r="U140" i="5"/>
  <c r="U142" i="5"/>
  <c r="U139" i="5"/>
  <c r="U143" i="5"/>
  <c r="U144" i="5"/>
  <c r="U138" i="5"/>
  <c r="S145" i="5"/>
  <c r="K147" i="5"/>
  <c r="S147" i="5" s="1"/>
  <c r="N147" i="5"/>
  <c r="V147" i="5" s="1"/>
  <c r="L147" i="5"/>
  <c r="T147" i="5" s="1"/>
  <c r="M147" i="5"/>
  <c r="U147" i="5" s="1"/>
  <c r="I148" i="5"/>
  <c r="A147" i="5"/>
  <c r="J147" i="5"/>
  <c r="R147" i="5" s="1"/>
  <c r="R146" i="5"/>
  <c r="R126" i="5"/>
  <c r="R127" i="5"/>
  <c r="R128" i="5"/>
  <c r="R129" i="5"/>
  <c r="R130" i="5"/>
  <c r="R131" i="5"/>
  <c r="R132" i="5"/>
  <c r="R133" i="5"/>
  <c r="R134" i="5"/>
  <c r="R135" i="5"/>
  <c r="R136" i="5"/>
  <c r="R137" i="5"/>
  <c r="R138" i="5"/>
  <c r="R139" i="5"/>
  <c r="R140" i="5"/>
  <c r="R141" i="5"/>
  <c r="R142" i="5"/>
  <c r="R143" i="5"/>
  <c r="R144" i="5"/>
  <c r="N146" i="17"/>
  <c r="V146" i="17" s="1"/>
  <c r="J149" i="17"/>
  <c r="R149" i="17" s="1"/>
  <c r="M149" i="17"/>
  <c r="U149" i="17" s="1"/>
  <c r="K149" i="17"/>
  <c r="S149" i="17" s="1"/>
  <c r="A149" i="17"/>
  <c r="L149" i="17"/>
  <c r="T149" i="17" s="1"/>
  <c r="N149" i="17"/>
  <c r="V149" i="17" s="1"/>
  <c r="I150" i="17"/>
  <c r="T146" i="5"/>
  <c r="T136" i="5"/>
  <c r="T137" i="5"/>
  <c r="T138" i="5"/>
  <c r="T135" i="5"/>
  <c r="T139" i="5"/>
  <c r="T134" i="5"/>
  <c r="T140" i="5"/>
  <c r="T133" i="5"/>
  <c r="T141" i="5"/>
  <c r="T142" i="5"/>
  <c r="T143" i="5"/>
  <c r="T144" i="5"/>
  <c r="C145" i="5"/>
  <c r="D144" i="5"/>
  <c r="H144" i="5" s="1"/>
  <c r="U145" i="5"/>
  <c r="D144" i="17"/>
  <c r="C145" i="17"/>
  <c r="CO18" i="8"/>
  <c r="F15" i="21"/>
  <c r="E19" i="27" s="1"/>
  <c r="DI18" i="15"/>
  <c r="DL18" i="15" s="1"/>
  <c r="Q13" i="20"/>
  <c r="CQ18" i="16"/>
  <c r="CT18" i="16" s="1"/>
  <c r="BL19" i="8"/>
  <c r="BO19" i="8"/>
  <c r="BP19" i="8"/>
  <c r="E18" i="28"/>
  <c r="AG61" i="20"/>
  <c r="AC61" i="20" s="1"/>
  <c r="AG143" i="20"/>
  <c r="AC143" i="20" s="1"/>
  <c r="V22" i="20"/>
  <c r="AG102" i="20"/>
  <c r="AC102" i="20" s="1"/>
  <c r="AG183" i="20"/>
  <c r="AC183" i="20" s="1"/>
  <c r="E6" i="28"/>
  <c r="AG49" i="20"/>
  <c r="AG131" i="20"/>
  <c r="AC131" i="20" s="1"/>
  <c r="V10" i="20"/>
  <c r="AR22" i="20"/>
  <c r="AR10" i="20"/>
  <c r="AG90" i="20"/>
  <c r="AC90" i="20" s="1"/>
  <c r="AG171" i="20"/>
  <c r="AC171" i="20" s="1"/>
  <c r="AR35" i="20"/>
  <c r="E17" i="28"/>
  <c r="AG60" i="20"/>
  <c r="AG142" i="20"/>
  <c r="AC142" i="20" s="1"/>
  <c r="V21" i="20"/>
  <c r="AR21" i="20"/>
  <c r="AG101" i="20"/>
  <c r="AC101" i="20" s="1"/>
  <c r="AG182" i="20"/>
  <c r="AC182" i="20" s="1"/>
  <c r="E8" i="28"/>
  <c r="AG51" i="20"/>
  <c r="AG133" i="20"/>
  <c r="AC133" i="20" s="1"/>
  <c r="V12" i="20"/>
  <c r="AR12" i="20"/>
  <c r="AG92" i="20"/>
  <c r="AC92" i="20" s="1"/>
  <c r="AG173" i="20"/>
  <c r="AC173" i="20" s="1"/>
  <c r="E11" i="28"/>
  <c r="AG136" i="20"/>
  <c r="AC136" i="20" s="1"/>
  <c r="AG54" i="20"/>
  <c r="V15" i="20"/>
  <c r="AR15" i="20"/>
  <c r="AG176" i="20"/>
  <c r="AC176" i="20" s="1"/>
  <c r="AG95" i="20"/>
  <c r="AC95" i="20" s="1"/>
  <c r="E24" i="28"/>
  <c r="AG67" i="20"/>
  <c r="AG149" i="20"/>
  <c r="AC149" i="20" s="1"/>
  <c r="V28" i="20"/>
  <c r="AR28" i="20"/>
  <c r="AG108" i="20"/>
  <c r="AC108" i="20" s="1"/>
  <c r="AG189" i="20"/>
  <c r="AC189" i="20" s="1"/>
  <c r="E27" i="28"/>
  <c r="AG152" i="20"/>
  <c r="AC152" i="20" s="1"/>
  <c r="AG70" i="20"/>
  <c r="V31" i="20"/>
  <c r="AR31" i="20"/>
  <c r="AG192" i="20"/>
  <c r="AC192" i="20" s="1"/>
  <c r="AG111" i="20"/>
  <c r="AC111" i="20" s="1"/>
  <c r="E23" i="28"/>
  <c r="AR27" i="20"/>
  <c r="AG188" i="20"/>
  <c r="AC188" i="20" s="1"/>
  <c r="AG107" i="20"/>
  <c r="AC107" i="20" s="1"/>
  <c r="AG148" i="20"/>
  <c r="AC148" i="20" s="1"/>
  <c r="AG66" i="20"/>
  <c r="V27" i="20"/>
  <c r="E19" i="28"/>
  <c r="AR23" i="20"/>
  <c r="AG184" i="20"/>
  <c r="AC184" i="20" s="1"/>
  <c r="AG103" i="20"/>
  <c r="AC103" i="20" s="1"/>
  <c r="AG144" i="20"/>
  <c r="AC144" i="20" s="1"/>
  <c r="AG62" i="20"/>
  <c r="V23" i="20"/>
  <c r="E20" i="28"/>
  <c r="AG63" i="20"/>
  <c r="AG145" i="20"/>
  <c r="AC145" i="20" s="1"/>
  <c r="V24" i="20"/>
  <c r="AR24" i="20"/>
  <c r="AG104" i="20"/>
  <c r="AC104" i="20" s="1"/>
  <c r="AG185" i="20"/>
  <c r="AC185" i="20" s="1"/>
  <c r="E15" i="28"/>
  <c r="AR19" i="20"/>
  <c r="AG180" i="20"/>
  <c r="AC180" i="20" s="1"/>
  <c r="AG99" i="20"/>
  <c r="AC99" i="20" s="1"/>
  <c r="AG140" i="20"/>
  <c r="AC140" i="20" s="1"/>
  <c r="AG58" i="20"/>
  <c r="V19" i="20"/>
  <c r="E25" i="28"/>
  <c r="AG68" i="20"/>
  <c r="AG150" i="20"/>
  <c r="AC150" i="20" s="1"/>
  <c r="V29" i="20"/>
  <c r="AR29" i="20"/>
  <c r="AG109" i="20"/>
  <c r="AC109" i="20" s="1"/>
  <c r="AG190" i="20"/>
  <c r="AC190" i="20" s="1"/>
  <c r="E26" i="28"/>
  <c r="AG69" i="20"/>
  <c r="AG151" i="20"/>
  <c r="AC151" i="20" s="1"/>
  <c r="V30" i="20"/>
  <c r="AR30" i="20"/>
  <c r="AG110" i="20"/>
  <c r="AC110" i="20" s="1"/>
  <c r="AG191" i="20"/>
  <c r="AC191" i="20" s="1"/>
  <c r="E7" i="28"/>
  <c r="AR11" i="20"/>
  <c r="AG172" i="20"/>
  <c r="AC172" i="20" s="1"/>
  <c r="AG50" i="20"/>
  <c r="AG132" i="20"/>
  <c r="AC132" i="20" s="1"/>
  <c r="AG91" i="20"/>
  <c r="AC91" i="20" s="1"/>
  <c r="V11" i="20"/>
  <c r="E10" i="28"/>
  <c r="AG53" i="20"/>
  <c r="AG135" i="20"/>
  <c r="AC135" i="20" s="1"/>
  <c r="V14" i="20"/>
  <c r="AR14" i="20"/>
  <c r="AG94" i="20"/>
  <c r="AC94" i="20" s="1"/>
  <c r="AG175" i="20"/>
  <c r="AC175" i="20" s="1"/>
  <c r="E16" i="28"/>
  <c r="AG59" i="20"/>
  <c r="AG141" i="20"/>
  <c r="AC141" i="20" s="1"/>
  <c r="V20" i="20"/>
  <c r="AR20" i="20"/>
  <c r="AG100" i="20"/>
  <c r="AC100" i="20" s="1"/>
  <c r="AG181" i="20"/>
  <c r="AC181" i="20" s="1"/>
  <c r="E14" i="28"/>
  <c r="AR18" i="20"/>
  <c r="AG98" i="20"/>
  <c r="AC98" i="20" s="1"/>
  <c r="AG179" i="20"/>
  <c r="AC179" i="20" s="1"/>
  <c r="AG57" i="20"/>
  <c r="AG139" i="20"/>
  <c r="AC139" i="20" s="1"/>
  <c r="V18" i="20"/>
  <c r="E21" i="28"/>
  <c r="AG64" i="20"/>
  <c r="AG146" i="20"/>
  <c r="AC146" i="20" s="1"/>
  <c r="V25" i="20"/>
  <c r="AR25" i="20"/>
  <c r="AG105" i="20"/>
  <c r="AC105" i="20" s="1"/>
  <c r="AG186" i="20"/>
  <c r="AC186" i="20" s="1"/>
  <c r="E13" i="28"/>
  <c r="AR17" i="20"/>
  <c r="AG97" i="20"/>
  <c r="AC97" i="20" s="1"/>
  <c r="AG178" i="20"/>
  <c r="AC178" i="20" s="1"/>
  <c r="AG56" i="20"/>
  <c r="AG138" i="20"/>
  <c r="AC138" i="20" s="1"/>
  <c r="V17" i="20"/>
  <c r="E28" i="28"/>
  <c r="AG71" i="20"/>
  <c r="AG153" i="20"/>
  <c r="AC153" i="20" s="1"/>
  <c r="V32" i="20"/>
  <c r="AR32" i="20"/>
  <c r="AG112" i="20"/>
  <c r="AC112" i="20" s="1"/>
  <c r="AG193" i="20"/>
  <c r="AC193" i="20" s="1"/>
  <c r="E12" i="28"/>
  <c r="AR16" i="20"/>
  <c r="AG96" i="20"/>
  <c r="AC96" i="20" s="1"/>
  <c r="AG177" i="20"/>
  <c r="AC177" i="20" s="1"/>
  <c r="AG55" i="20"/>
  <c r="AG137" i="20"/>
  <c r="AC137" i="20" s="1"/>
  <c r="V16" i="20"/>
  <c r="E9" i="28"/>
  <c r="AG52" i="20"/>
  <c r="AG134" i="20"/>
  <c r="AC134" i="20" s="1"/>
  <c r="V13" i="20"/>
  <c r="AR13" i="20"/>
  <c r="AG93" i="20"/>
  <c r="AC93" i="20" s="1"/>
  <c r="AG174" i="20"/>
  <c r="AC174" i="20" s="1"/>
  <c r="E29" i="28"/>
  <c r="AG72" i="20"/>
  <c r="V33" i="20"/>
  <c r="AR33" i="20"/>
  <c r="AG154" i="20"/>
  <c r="AC154" i="20" s="1"/>
  <c r="AG194" i="20"/>
  <c r="AC194" i="20" s="1"/>
  <c r="AG113" i="20"/>
  <c r="AC113" i="20" s="1"/>
  <c r="CJ18" i="8"/>
  <c r="J16" i="2" s="1"/>
  <c r="D13" i="20"/>
  <c r="AB133" i="20"/>
  <c r="AB92" i="20"/>
  <c r="I12" i="20"/>
  <c r="AB173" i="20"/>
  <c r="C11" i="24"/>
  <c r="AO19" i="8"/>
  <c r="AP19" i="8" s="1"/>
  <c r="AU19" i="8"/>
  <c r="BA105" i="8" s="1"/>
  <c r="AJ20" i="8"/>
  <c r="AK20" i="8" s="1"/>
  <c r="P144" i="14"/>
  <c r="I146" i="14"/>
  <c r="J145" i="14"/>
  <c r="K145" i="14"/>
  <c r="L145" i="14"/>
  <c r="M145" i="14"/>
  <c r="A145" i="14"/>
  <c r="N145" i="14"/>
  <c r="O145" i="14"/>
  <c r="AU16" i="16"/>
  <c r="AJ17" i="16"/>
  <c r="AK17" i="16" s="1"/>
  <c r="F93" i="5"/>
  <c r="E94" i="5"/>
  <c r="AC43" i="20" l="1"/>
  <c r="AG43" i="20" s="1"/>
  <c r="R81" i="20"/>
  <c r="V81" i="20" s="1"/>
  <c r="R122" i="20"/>
  <c r="V122" i="20" s="1"/>
  <c r="R203" i="20"/>
  <c r="V203" i="20" s="1"/>
  <c r="R163" i="20"/>
  <c r="V163" i="20" s="1"/>
  <c r="AK41" i="20"/>
  <c r="R164" i="20"/>
  <c r="V164" i="20" s="1"/>
  <c r="R82" i="20"/>
  <c r="V82" i="20" s="1"/>
  <c r="R204" i="20"/>
  <c r="V204" i="20" s="1"/>
  <c r="R123" i="20"/>
  <c r="V123" i="20" s="1"/>
  <c r="A150" i="17"/>
  <c r="M150" i="17"/>
  <c r="U150" i="17" s="1"/>
  <c r="I151" i="17"/>
  <c r="L150" i="17"/>
  <c r="T150" i="17" s="1"/>
  <c r="N150" i="17"/>
  <c r="V150" i="17" s="1"/>
  <c r="J150" i="17"/>
  <c r="R150" i="17" s="1"/>
  <c r="K150" i="17"/>
  <c r="S150" i="17" s="1"/>
  <c r="E95" i="17"/>
  <c r="F94" i="17"/>
  <c r="V147" i="17"/>
  <c r="D145" i="17"/>
  <c r="H145" i="17" s="1"/>
  <c r="C146" i="17"/>
  <c r="N144" i="17"/>
  <c r="V144" i="17" s="1"/>
  <c r="V145" i="5"/>
  <c r="V146" i="5"/>
  <c r="H144" i="17"/>
  <c r="N145" i="17"/>
  <c r="V145" i="17" s="1"/>
  <c r="C146" i="5"/>
  <c r="D145" i="5"/>
  <c r="V148" i="17"/>
  <c r="N145" i="5"/>
  <c r="L148" i="5"/>
  <c r="T148" i="5" s="1"/>
  <c r="M148" i="5"/>
  <c r="U148" i="5" s="1"/>
  <c r="N148" i="5"/>
  <c r="V148" i="5" s="1"/>
  <c r="A148" i="5"/>
  <c r="J148" i="5"/>
  <c r="R148" i="5" s="1"/>
  <c r="K148" i="5"/>
  <c r="S148" i="5" s="1"/>
  <c r="I149" i="5"/>
  <c r="F124" i="14"/>
  <c r="E125" i="14"/>
  <c r="BM17" i="16"/>
  <c r="BW17" i="16" s="1"/>
  <c r="BR19" i="8"/>
  <c r="BX19" i="8" s="1"/>
  <c r="DI19" i="15" s="1"/>
  <c r="DL19" i="15" s="1"/>
  <c r="BM20" i="8"/>
  <c r="D9" i="28"/>
  <c r="AQ13" i="20"/>
  <c r="AF134" i="20"/>
  <c r="AF174" i="20"/>
  <c r="AF93" i="20"/>
  <c r="D21" i="24"/>
  <c r="E57" i="28"/>
  <c r="AC22" i="20"/>
  <c r="AG22" i="20" s="1"/>
  <c r="D32" i="24"/>
  <c r="E68" i="28"/>
  <c r="D12" i="24"/>
  <c r="E48" i="28"/>
  <c r="AC52" i="20"/>
  <c r="AC13" i="20" s="1"/>
  <c r="AG13" i="20" s="1"/>
  <c r="D15" i="24"/>
  <c r="E51" i="28"/>
  <c r="AC55" i="20"/>
  <c r="AC16" i="20" s="1"/>
  <c r="AG16" i="20" s="1"/>
  <c r="D31" i="24"/>
  <c r="E67" i="28"/>
  <c r="AC71" i="20"/>
  <c r="AC32" i="20" s="1"/>
  <c r="AG32" i="20" s="1"/>
  <c r="D16" i="24"/>
  <c r="E52" i="28"/>
  <c r="AC56" i="20"/>
  <c r="AC17" i="20" s="1"/>
  <c r="AG17" i="20" s="1"/>
  <c r="D24" i="24"/>
  <c r="E60" i="28"/>
  <c r="AC64" i="20"/>
  <c r="AC25" i="20" s="1"/>
  <c r="AG25" i="20" s="1"/>
  <c r="D17" i="24"/>
  <c r="E53" i="28"/>
  <c r="AC57" i="20"/>
  <c r="AC18" i="20" s="1"/>
  <c r="AG18" i="20" s="1"/>
  <c r="D19" i="24"/>
  <c r="E55" i="28"/>
  <c r="AC59" i="20"/>
  <c r="AC20" i="20" s="1"/>
  <c r="AG20" i="20" s="1"/>
  <c r="AC50" i="20"/>
  <c r="AC11" i="20" s="1"/>
  <c r="AG11" i="20" s="1"/>
  <c r="D28" i="24"/>
  <c r="E64" i="28"/>
  <c r="AC68" i="20"/>
  <c r="AC29" i="20" s="1"/>
  <c r="AG29" i="20" s="1"/>
  <c r="D18" i="24"/>
  <c r="E54" i="28"/>
  <c r="D22" i="24"/>
  <c r="E58" i="28"/>
  <c r="AC66" i="20"/>
  <c r="AC27" i="20" s="1"/>
  <c r="AG27" i="20" s="1"/>
  <c r="AC70" i="20"/>
  <c r="AC31" i="20" s="1"/>
  <c r="AG31" i="20" s="1"/>
  <c r="D27" i="24"/>
  <c r="E63" i="28"/>
  <c r="AC67" i="20"/>
  <c r="AC28" i="20" s="1"/>
  <c r="AG28" i="20" s="1"/>
  <c r="AC54" i="20"/>
  <c r="AC15" i="20" s="1"/>
  <c r="AG15" i="20" s="1"/>
  <c r="D11" i="24"/>
  <c r="E47" i="28"/>
  <c r="AC51" i="20"/>
  <c r="AC12" i="20" s="1"/>
  <c r="AG12" i="20" s="1"/>
  <c r="E45" i="28"/>
  <c r="D9" i="24"/>
  <c r="I9" i="24" s="1"/>
  <c r="AC49" i="20"/>
  <c r="AC10" i="20" s="1"/>
  <c r="AG10" i="20" s="1"/>
  <c r="AC72" i="20"/>
  <c r="AC33" i="20" s="1"/>
  <c r="AG33" i="20" s="1"/>
  <c r="D13" i="24"/>
  <c r="E49" i="28"/>
  <c r="AC53" i="20"/>
  <c r="AC14" i="20" s="1"/>
  <c r="AG14" i="20" s="1"/>
  <c r="D10" i="24"/>
  <c r="E46" i="28"/>
  <c r="D29" i="24"/>
  <c r="E65" i="28"/>
  <c r="AC69" i="20"/>
  <c r="AC30" i="20" s="1"/>
  <c r="AG30" i="20" s="1"/>
  <c r="AC58" i="20"/>
  <c r="AC19" i="20" s="1"/>
  <c r="AG19" i="20" s="1"/>
  <c r="D23" i="24"/>
  <c r="E59" i="28"/>
  <c r="AC63" i="20"/>
  <c r="AC24" i="20" s="1"/>
  <c r="AG24" i="20" s="1"/>
  <c r="AC62" i="20"/>
  <c r="AC23" i="20" s="1"/>
  <c r="AG23" i="20" s="1"/>
  <c r="D26" i="24"/>
  <c r="E62" i="28"/>
  <c r="E66" i="28"/>
  <c r="D30" i="24"/>
  <c r="D14" i="24"/>
  <c r="E50" i="28"/>
  <c r="D20" i="24"/>
  <c r="E56" i="28"/>
  <c r="AC60" i="20"/>
  <c r="AC21" i="20" s="1"/>
  <c r="AG21" i="20" s="1"/>
  <c r="U13" i="20"/>
  <c r="D48" i="28" s="1"/>
  <c r="D93" i="20"/>
  <c r="F8" i="26" s="1"/>
  <c r="D134" i="20"/>
  <c r="G8" i="26" s="1"/>
  <c r="D174" i="20"/>
  <c r="H8" i="26" s="1"/>
  <c r="D52" i="20"/>
  <c r="E8" i="26" s="1"/>
  <c r="E95" i="5"/>
  <c r="F94" i="5"/>
  <c r="AV16" i="16"/>
  <c r="AX16" i="16"/>
  <c r="BM16" i="16" s="1"/>
  <c r="P145" i="14"/>
  <c r="AM20" i="8"/>
  <c r="AQ20" i="8"/>
  <c r="AM17" i="16"/>
  <c r="AQ17" i="16"/>
  <c r="M146" i="14"/>
  <c r="A146" i="14"/>
  <c r="N146" i="14"/>
  <c r="L146" i="14"/>
  <c r="T145" i="14" s="1"/>
  <c r="K146" i="14"/>
  <c r="I147" i="14"/>
  <c r="J146" i="14"/>
  <c r="P146" i="14"/>
  <c r="X144" i="14" s="1"/>
  <c r="O146" i="14"/>
  <c r="AV19" i="8"/>
  <c r="AX19" i="8"/>
  <c r="BB105" i="8" s="1"/>
  <c r="AK43" i="20" l="1"/>
  <c r="AK42" i="20"/>
  <c r="C147" i="5"/>
  <c r="D146" i="5"/>
  <c r="H146" i="5" s="1"/>
  <c r="N143" i="5"/>
  <c r="V143" i="5" s="1"/>
  <c r="F95" i="17"/>
  <c r="E96" i="17"/>
  <c r="L149" i="5"/>
  <c r="T149" i="5" s="1"/>
  <c r="N149" i="5"/>
  <c r="V149" i="5" s="1"/>
  <c r="K149" i="5"/>
  <c r="S149" i="5" s="1"/>
  <c r="I150" i="5"/>
  <c r="M149" i="5"/>
  <c r="U149" i="5" s="1"/>
  <c r="A149" i="5"/>
  <c r="J149" i="5"/>
  <c r="R149" i="5" s="1"/>
  <c r="A151" i="17"/>
  <c r="N151" i="17"/>
  <c r="V151" i="17" s="1"/>
  <c r="L151" i="17"/>
  <c r="T151" i="17" s="1"/>
  <c r="J151" i="17"/>
  <c r="R151" i="17" s="1"/>
  <c r="M151" i="17"/>
  <c r="U151" i="17" s="1"/>
  <c r="I152" i="17"/>
  <c r="K151" i="17"/>
  <c r="S151" i="17" s="1"/>
  <c r="C147" i="17"/>
  <c r="D146" i="17"/>
  <c r="H146" i="17" s="1"/>
  <c r="BL17" i="16"/>
  <c r="F125" i="14"/>
  <c r="E126" i="14"/>
  <c r="H145" i="5"/>
  <c r="N144" i="5"/>
  <c r="V144" i="5" s="1"/>
  <c r="BO17" i="16"/>
  <c r="BP17" i="16"/>
  <c r="CO19" i="8"/>
  <c r="F16" i="21"/>
  <c r="E20" i="27" s="1"/>
  <c r="Q14" i="20"/>
  <c r="AQ14" i="20" s="1"/>
  <c r="CQ19" i="16"/>
  <c r="CT19" i="16" s="1"/>
  <c r="BP20" i="8"/>
  <c r="BO20" i="8"/>
  <c r="BL20" i="8"/>
  <c r="DC314" i="1"/>
  <c r="R102" i="20"/>
  <c r="R61" i="20"/>
  <c r="R183" i="20"/>
  <c r="R143" i="20"/>
  <c r="DC315" i="1"/>
  <c r="R103" i="20"/>
  <c r="R62" i="20"/>
  <c r="R184" i="20"/>
  <c r="R144" i="20"/>
  <c r="DC311" i="1"/>
  <c r="R99" i="20"/>
  <c r="R58" i="20"/>
  <c r="R180" i="20"/>
  <c r="R140" i="20"/>
  <c r="DC322" i="1"/>
  <c r="R191" i="20"/>
  <c r="R151" i="20"/>
  <c r="R110" i="20"/>
  <c r="R69" i="20"/>
  <c r="DC313" i="1"/>
  <c r="R101" i="20"/>
  <c r="R60" i="20"/>
  <c r="R182" i="20"/>
  <c r="R142" i="20"/>
  <c r="DC316" i="1"/>
  <c r="R104" i="20"/>
  <c r="R63" i="20"/>
  <c r="R185" i="20"/>
  <c r="R145" i="20"/>
  <c r="R132" i="20"/>
  <c r="R172" i="20"/>
  <c r="R50" i="20"/>
  <c r="DC303" i="1"/>
  <c r="R91" i="20"/>
  <c r="DC306" i="1"/>
  <c r="R94" i="20"/>
  <c r="R53" i="20"/>
  <c r="R175" i="20"/>
  <c r="R135" i="20"/>
  <c r="R113" i="20"/>
  <c r="R72" i="20"/>
  <c r="R154" i="20"/>
  <c r="R194" i="20"/>
  <c r="DC325" i="1"/>
  <c r="DC302" i="1"/>
  <c r="R90" i="20"/>
  <c r="R49" i="20"/>
  <c r="R171" i="20"/>
  <c r="R131" i="20"/>
  <c r="DC304" i="1"/>
  <c r="R92" i="20"/>
  <c r="R51" i="20"/>
  <c r="R173" i="20"/>
  <c r="R133" i="20"/>
  <c r="DC307" i="1"/>
  <c r="R54" i="20"/>
  <c r="R95" i="20"/>
  <c r="R136" i="20"/>
  <c r="R176" i="20"/>
  <c r="DC320" i="1"/>
  <c r="R67" i="20"/>
  <c r="R108" i="20"/>
  <c r="R149" i="20"/>
  <c r="R189" i="20"/>
  <c r="DC323" i="1"/>
  <c r="R152" i="20"/>
  <c r="R192" i="20"/>
  <c r="R70" i="20"/>
  <c r="R111" i="20"/>
  <c r="DC319" i="1"/>
  <c r="R66" i="20"/>
  <c r="R107" i="20"/>
  <c r="R148" i="20"/>
  <c r="R188" i="20"/>
  <c r="DC321" i="1"/>
  <c r="R109" i="20"/>
  <c r="R68" i="20"/>
  <c r="R190" i="20"/>
  <c r="R150" i="20"/>
  <c r="DC312" i="1"/>
  <c r="R100" i="20"/>
  <c r="R59" i="20"/>
  <c r="R181" i="20"/>
  <c r="R141" i="20"/>
  <c r="DC310" i="1"/>
  <c r="R98" i="20"/>
  <c r="R57" i="20"/>
  <c r="R179" i="20"/>
  <c r="R139" i="20"/>
  <c r="DC317" i="1"/>
  <c r="R105" i="20"/>
  <c r="R64" i="20"/>
  <c r="R186" i="20"/>
  <c r="R146" i="20"/>
  <c r="DC309" i="1"/>
  <c r="R56" i="20"/>
  <c r="R97" i="20"/>
  <c r="R138" i="20"/>
  <c r="R178" i="20"/>
  <c r="DC324" i="1"/>
  <c r="R153" i="20"/>
  <c r="R193" i="20"/>
  <c r="R71" i="20"/>
  <c r="R112" i="20"/>
  <c r="DC308" i="1"/>
  <c r="R96" i="20"/>
  <c r="R55" i="20"/>
  <c r="R177" i="20"/>
  <c r="R137" i="20"/>
  <c r="DC305" i="1"/>
  <c r="R52" i="20"/>
  <c r="R93" i="20"/>
  <c r="R134" i="20"/>
  <c r="R174" i="20"/>
  <c r="BW16" i="16"/>
  <c r="BP16" i="16"/>
  <c r="BL16" i="16"/>
  <c r="BO16" i="16"/>
  <c r="BT16" i="16" s="1"/>
  <c r="CA16" i="16" s="1"/>
  <c r="F11" i="20"/>
  <c r="AB174" i="20"/>
  <c r="AB134" i="20"/>
  <c r="C12" i="24"/>
  <c r="CJ19" i="8"/>
  <c r="J17" i="2" s="1"/>
  <c r="D14" i="20"/>
  <c r="I13" i="20"/>
  <c r="AB93" i="20"/>
  <c r="W146" i="14"/>
  <c r="W126" i="14"/>
  <c r="W127" i="14"/>
  <c r="W128" i="14"/>
  <c r="W129" i="14"/>
  <c r="W130" i="14"/>
  <c r="W131" i="14"/>
  <c r="W134" i="14"/>
  <c r="W132" i="14"/>
  <c r="W133" i="14"/>
  <c r="W135" i="14"/>
  <c r="W136" i="14"/>
  <c r="W137" i="14"/>
  <c r="W138" i="14"/>
  <c r="W139" i="14"/>
  <c r="W140" i="14"/>
  <c r="W141" i="14"/>
  <c r="W142" i="14"/>
  <c r="W143" i="14"/>
  <c r="W144" i="14"/>
  <c r="R146" i="14"/>
  <c r="R126" i="14"/>
  <c r="R127" i="14"/>
  <c r="R128" i="14"/>
  <c r="R129" i="14"/>
  <c r="R130" i="14"/>
  <c r="R131" i="14"/>
  <c r="R132" i="14"/>
  <c r="R133" i="14"/>
  <c r="R134" i="14"/>
  <c r="R135" i="14"/>
  <c r="R136" i="14"/>
  <c r="R137" i="14"/>
  <c r="R138" i="14"/>
  <c r="R139" i="14"/>
  <c r="R140" i="14"/>
  <c r="R141" i="14"/>
  <c r="R142" i="14"/>
  <c r="R143" i="14"/>
  <c r="R144" i="14"/>
  <c r="S146" i="14"/>
  <c r="S126" i="14"/>
  <c r="S127" i="14"/>
  <c r="S128" i="14"/>
  <c r="S129" i="14"/>
  <c r="S130" i="14"/>
  <c r="S131" i="14"/>
  <c r="S132" i="14"/>
  <c r="S133" i="14"/>
  <c r="S134" i="14"/>
  <c r="S135" i="14"/>
  <c r="S136" i="14"/>
  <c r="S137" i="14"/>
  <c r="S138" i="14"/>
  <c r="S139" i="14"/>
  <c r="S140" i="14"/>
  <c r="S141" i="14"/>
  <c r="S142" i="14"/>
  <c r="S143" i="14"/>
  <c r="S144" i="14"/>
  <c r="V146" i="14"/>
  <c r="V130" i="14"/>
  <c r="V128" i="14"/>
  <c r="V129" i="14"/>
  <c r="V127" i="14"/>
  <c r="V131" i="14"/>
  <c r="V132" i="14"/>
  <c r="V126" i="14"/>
  <c r="V133" i="14"/>
  <c r="V134" i="14"/>
  <c r="V135" i="14"/>
  <c r="V136" i="14"/>
  <c r="V137" i="14"/>
  <c r="V138" i="14"/>
  <c r="V139" i="14"/>
  <c r="V140" i="14"/>
  <c r="V141" i="14"/>
  <c r="V142" i="14"/>
  <c r="V143" i="14"/>
  <c r="V144" i="14"/>
  <c r="U146" i="14"/>
  <c r="U126" i="14"/>
  <c r="U127" i="14"/>
  <c r="U128" i="14"/>
  <c r="U129" i="14"/>
  <c r="U130" i="14"/>
  <c r="U131" i="14"/>
  <c r="U132" i="14"/>
  <c r="U133" i="14"/>
  <c r="U134" i="14"/>
  <c r="U135" i="14"/>
  <c r="U136" i="14"/>
  <c r="U137" i="14"/>
  <c r="U138" i="14"/>
  <c r="U139" i="14"/>
  <c r="U140" i="14"/>
  <c r="U141" i="14"/>
  <c r="U142" i="14"/>
  <c r="U143" i="14"/>
  <c r="U144" i="14"/>
  <c r="U145" i="14"/>
  <c r="R145" i="14"/>
  <c r="X146" i="14"/>
  <c r="X126" i="14"/>
  <c r="X127" i="14"/>
  <c r="X128" i="14"/>
  <c r="X129" i="14"/>
  <c r="X130" i="14"/>
  <c r="X131" i="14"/>
  <c r="X132" i="14"/>
  <c r="X133" i="14"/>
  <c r="X134" i="14"/>
  <c r="X135" i="14"/>
  <c r="X136" i="14"/>
  <c r="X137" i="14"/>
  <c r="X138" i="14"/>
  <c r="X139" i="14"/>
  <c r="X140" i="14"/>
  <c r="X141" i="14"/>
  <c r="X142" i="14"/>
  <c r="X143" i="14"/>
  <c r="I148" i="14"/>
  <c r="N147" i="14"/>
  <c r="V147" i="14" s="1"/>
  <c r="L147" i="14"/>
  <c r="T147" i="14" s="1"/>
  <c r="J147" i="14"/>
  <c r="R147" i="14" s="1"/>
  <c r="M147" i="14"/>
  <c r="U147" i="14" s="1"/>
  <c r="K147" i="14"/>
  <c r="S147" i="14" s="1"/>
  <c r="A147" i="14"/>
  <c r="P147" i="14"/>
  <c r="X147" i="14" s="1"/>
  <c r="O147" i="14"/>
  <c r="W147" i="14" s="1"/>
  <c r="T146" i="14"/>
  <c r="T126" i="14"/>
  <c r="T127" i="14"/>
  <c r="T128" i="14"/>
  <c r="T129" i="14"/>
  <c r="T130" i="14"/>
  <c r="T131" i="14"/>
  <c r="T132" i="14"/>
  <c r="T133" i="14"/>
  <c r="T134" i="14"/>
  <c r="T135" i="14"/>
  <c r="T136" i="14"/>
  <c r="T137" i="14"/>
  <c r="T138" i="14"/>
  <c r="T139" i="14"/>
  <c r="T140" i="14"/>
  <c r="T141" i="14"/>
  <c r="T142" i="14"/>
  <c r="T143" i="14"/>
  <c r="T144" i="14"/>
  <c r="S145" i="14"/>
  <c r="V145" i="14"/>
  <c r="AO17" i="16"/>
  <c r="AP17" i="16" s="1"/>
  <c r="AU17" i="16"/>
  <c r="AJ18" i="16"/>
  <c r="AK18" i="16" s="1"/>
  <c r="AU20" i="8"/>
  <c r="BA106" i="8" s="1"/>
  <c r="AJ21" i="8"/>
  <c r="AK21" i="8" s="1"/>
  <c r="X145" i="14"/>
  <c r="W145" i="14"/>
  <c r="E96" i="5"/>
  <c r="F95" i="5"/>
  <c r="F96" i="17" l="1"/>
  <c r="E97" i="17"/>
  <c r="D147" i="17"/>
  <c r="H147" i="17" s="1"/>
  <c r="C148" i="17"/>
  <c r="N152" i="17"/>
  <c r="V152" i="17" s="1"/>
  <c r="O152" i="17"/>
  <c r="K152" i="17"/>
  <c r="S152" i="17" s="1"/>
  <c r="J152" i="17"/>
  <c r="R152" i="17" s="1"/>
  <c r="A152" i="17"/>
  <c r="L152" i="17"/>
  <c r="T152" i="17" s="1"/>
  <c r="I153" i="17"/>
  <c r="M152" i="17"/>
  <c r="U152" i="17" s="1"/>
  <c r="F126" i="14"/>
  <c r="E127" i="14"/>
  <c r="J150" i="5"/>
  <c r="R150" i="5" s="1"/>
  <c r="I151" i="5"/>
  <c r="A150" i="5"/>
  <c r="K150" i="5"/>
  <c r="S150" i="5" s="1"/>
  <c r="N150" i="5"/>
  <c r="V150" i="5" s="1"/>
  <c r="L150" i="5"/>
  <c r="T150" i="5" s="1"/>
  <c r="M150" i="5"/>
  <c r="U150" i="5" s="1"/>
  <c r="D147" i="5"/>
  <c r="H147" i="5" s="1"/>
  <c r="C148" i="5"/>
  <c r="N142" i="5"/>
  <c r="V142" i="5" s="1"/>
  <c r="D10" i="28"/>
  <c r="BM18" i="16"/>
  <c r="AF175" i="20"/>
  <c r="AF94" i="20"/>
  <c r="AF135" i="20"/>
  <c r="BR20" i="8"/>
  <c r="BX20" i="8" s="1"/>
  <c r="BM21" i="8"/>
  <c r="AH146" i="22"/>
  <c r="V183" i="20"/>
  <c r="D141" i="24" s="1"/>
  <c r="AH86" i="22"/>
  <c r="V102" i="20"/>
  <c r="D81" i="24" s="1"/>
  <c r="AH116" i="22"/>
  <c r="V143" i="20"/>
  <c r="D111" i="24" s="1"/>
  <c r="V61" i="20"/>
  <c r="AH56" i="22"/>
  <c r="V174" i="20"/>
  <c r="AH137" i="22"/>
  <c r="AH77" i="22"/>
  <c r="V93" i="20"/>
  <c r="V177" i="20"/>
  <c r="AH140" i="22"/>
  <c r="AH80" i="22"/>
  <c r="V96" i="20"/>
  <c r="AH96" i="22"/>
  <c r="V112" i="20"/>
  <c r="AH156" i="22"/>
  <c r="V193" i="20"/>
  <c r="V138" i="20"/>
  <c r="AH111" i="22"/>
  <c r="AH51" i="22"/>
  <c r="V56" i="20"/>
  <c r="V146" i="20"/>
  <c r="AH119" i="22"/>
  <c r="AH59" i="22"/>
  <c r="V64" i="20"/>
  <c r="V179" i="20"/>
  <c r="AH142" i="22"/>
  <c r="AH82" i="22"/>
  <c r="V98" i="20"/>
  <c r="V141" i="20"/>
  <c r="AH114" i="22"/>
  <c r="AH54" i="22"/>
  <c r="V59" i="20"/>
  <c r="V190" i="20"/>
  <c r="AH153" i="22"/>
  <c r="AH93" i="22"/>
  <c r="V109" i="20"/>
  <c r="V148" i="20"/>
  <c r="AH121" i="22"/>
  <c r="AH61" i="22"/>
  <c r="V66" i="20"/>
  <c r="AH95" i="22"/>
  <c r="V111" i="20"/>
  <c r="V192" i="20"/>
  <c r="AH155" i="22"/>
  <c r="V149" i="20"/>
  <c r="AH122" i="22"/>
  <c r="AH62" i="22"/>
  <c r="V67" i="20"/>
  <c r="V176" i="20"/>
  <c r="AH139" i="22"/>
  <c r="AH79" i="22"/>
  <c r="V95" i="20"/>
  <c r="V173" i="20"/>
  <c r="AH136" i="22"/>
  <c r="AH76" i="22"/>
  <c r="V92" i="20"/>
  <c r="V171" i="20"/>
  <c r="AH134" i="22"/>
  <c r="AH74" i="22"/>
  <c r="V90" i="20"/>
  <c r="AH127" i="22"/>
  <c r="V154" i="20"/>
  <c r="AH97" i="22"/>
  <c r="V113" i="20"/>
  <c r="V175" i="20"/>
  <c r="AH138" i="22"/>
  <c r="AH78" i="22"/>
  <c r="V94" i="20"/>
  <c r="AH75" i="22"/>
  <c r="V91" i="20"/>
  <c r="AH45" i="22"/>
  <c r="V50" i="20"/>
  <c r="V132" i="20"/>
  <c r="AH105" i="22"/>
  <c r="V185" i="20"/>
  <c r="AH148" i="22"/>
  <c r="AH88" i="22"/>
  <c r="V104" i="20"/>
  <c r="V182" i="20"/>
  <c r="AH145" i="22"/>
  <c r="AH85" i="22"/>
  <c r="V101" i="20"/>
  <c r="AH94" i="22"/>
  <c r="V110" i="20"/>
  <c r="V191" i="20"/>
  <c r="AH154" i="22"/>
  <c r="V140" i="20"/>
  <c r="AH113" i="22"/>
  <c r="AH53" i="22"/>
  <c r="V58" i="20"/>
  <c r="V184" i="20"/>
  <c r="AH147" i="22"/>
  <c r="AH87" i="22"/>
  <c r="V103" i="20"/>
  <c r="V134" i="20"/>
  <c r="AH107" i="22"/>
  <c r="AH47" i="22"/>
  <c r="V52" i="20"/>
  <c r="V137" i="20"/>
  <c r="AH110" i="22"/>
  <c r="AH50" i="22"/>
  <c r="V55" i="20"/>
  <c r="AH66" i="22"/>
  <c r="V71" i="20"/>
  <c r="AH126" i="22"/>
  <c r="V153" i="20"/>
  <c r="V178" i="20"/>
  <c r="AH141" i="22"/>
  <c r="AH81" i="22"/>
  <c r="V97" i="20"/>
  <c r="V186" i="20"/>
  <c r="AH149" i="22"/>
  <c r="AH89" i="22"/>
  <c r="V105" i="20"/>
  <c r="V139" i="20"/>
  <c r="AH112" i="22"/>
  <c r="AH52" i="22"/>
  <c r="V57" i="20"/>
  <c r="V181" i="20"/>
  <c r="AH144" i="22"/>
  <c r="AH84" i="22"/>
  <c r="V100" i="20"/>
  <c r="V150" i="20"/>
  <c r="AH123" i="22"/>
  <c r="AH63" i="22"/>
  <c r="V68" i="20"/>
  <c r="V188" i="20"/>
  <c r="AH151" i="22"/>
  <c r="AH91" i="22"/>
  <c r="V107" i="20"/>
  <c r="AH65" i="22"/>
  <c r="V70" i="20"/>
  <c r="V152" i="20"/>
  <c r="AH125" i="22"/>
  <c r="V189" i="20"/>
  <c r="AH152" i="22"/>
  <c r="AH92" i="22"/>
  <c r="V108" i="20"/>
  <c r="V136" i="20"/>
  <c r="AH109" i="22"/>
  <c r="AH49" i="22"/>
  <c r="V54" i="20"/>
  <c r="V133" i="20"/>
  <c r="AH106" i="22"/>
  <c r="AH46" i="22"/>
  <c r="V51" i="20"/>
  <c r="V131" i="20"/>
  <c r="AH104" i="22"/>
  <c r="AH44" i="22"/>
  <c r="V49" i="20"/>
  <c r="AH157" i="22"/>
  <c r="V194" i="20"/>
  <c r="AH67" i="22"/>
  <c r="V72" i="20"/>
  <c r="V135" i="20"/>
  <c r="AH108" i="22"/>
  <c r="AH48" i="22"/>
  <c r="V53" i="20"/>
  <c r="V172" i="20"/>
  <c r="AH135" i="22"/>
  <c r="V145" i="20"/>
  <c r="AH118" i="22"/>
  <c r="AH58" i="22"/>
  <c r="V63" i="20"/>
  <c r="V142" i="20"/>
  <c r="AH115" i="22"/>
  <c r="AH55" i="22"/>
  <c r="V60" i="20"/>
  <c r="AH64" i="22"/>
  <c r="V69" i="20"/>
  <c r="V151" i="20"/>
  <c r="AH124" i="22"/>
  <c r="V180" i="20"/>
  <c r="AH143" i="22"/>
  <c r="AH83" i="22"/>
  <c r="V99" i="20"/>
  <c r="V144" i="20"/>
  <c r="AH117" i="22"/>
  <c r="AH57" i="22"/>
  <c r="V62" i="20"/>
  <c r="CR16" i="16"/>
  <c r="CU16" i="16" s="1"/>
  <c r="CM16" i="16"/>
  <c r="F172" i="20"/>
  <c r="H88" i="26" s="1"/>
  <c r="F91" i="20"/>
  <c r="F88" i="26" s="1"/>
  <c r="F132" i="20"/>
  <c r="G88" i="26" s="1"/>
  <c r="F50" i="20"/>
  <c r="E88" i="26" s="1"/>
  <c r="G11" i="20"/>
  <c r="O11" i="20" s="1"/>
  <c r="U14" i="20"/>
  <c r="D49" i="28" s="1"/>
  <c r="D135" i="20"/>
  <c r="G9" i="26" s="1"/>
  <c r="D53" i="20"/>
  <c r="E9" i="26" s="1"/>
  <c r="D175" i="20"/>
  <c r="H9" i="26" s="1"/>
  <c r="D94" i="20"/>
  <c r="F9" i="26" s="1"/>
  <c r="AX20" i="8"/>
  <c r="BB106" i="8" s="1"/>
  <c r="AV20" i="8"/>
  <c r="AM18" i="16"/>
  <c r="AQ18" i="16"/>
  <c r="A148" i="14"/>
  <c r="N148" i="14"/>
  <c r="V148" i="14" s="1"/>
  <c r="L148" i="14"/>
  <c r="T148" i="14" s="1"/>
  <c r="J148" i="14"/>
  <c r="R148" i="14" s="1"/>
  <c r="P148" i="14"/>
  <c r="X148" i="14" s="1"/>
  <c r="M148" i="14"/>
  <c r="U148" i="14" s="1"/>
  <c r="K148" i="14"/>
  <c r="S148" i="14" s="1"/>
  <c r="I149" i="14"/>
  <c r="O148" i="14"/>
  <c r="W148" i="14" s="1"/>
  <c r="Y145" i="14"/>
  <c r="Y139" i="14"/>
  <c r="Y135" i="14"/>
  <c r="Y133" i="14"/>
  <c r="Y146" i="14"/>
  <c r="Y143" i="14"/>
  <c r="Y141" i="14"/>
  <c r="Y137" i="14"/>
  <c r="Y131" i="14"/>
  <c r="Y129" i="14"/>
  <c r="Y127" i="14"/>
  <c r="E97" i="5"/>
  <c r="F96" i="5"/>
  <c r="AM21" i="8"/>
  <c r="AQ21" i="8"/>
  <c r="AV17" i="16"/>
  <c r="AX17" i="16"/>
  <c r="Y147" i="14"/>
  <c r="Y138" i="14"/>
  <c r="Y134" i="14"/>
  <c r="Y130" i="14"/>
  <c r="Y128" i="14"/>
  <c r="Y126" i="14"/>
  <c r="Y144" i="14"/>
  <c r="Y142" i="14"/>
  <c r="Y140" i="14"/>
  <c r="Y136" i="14"/>
  <c r="Y132" i="14"/>
  <c r="K153" i="17" l="1"/>
  <c r="S153" i="17" s="1"/>
  <c r="A153" i="17"/>
  <c r="N153" i="17"/>
  <c r="V153" i="17" s="1"/>
  <c r="L153" i="17"/>
  <c r="T153" i="17" s="1"/>
  <c r="J153" i="17"/>
  <c r="R153" i="17" s="1"/>
  <c r="O153" i="17"/>
  <c r="I154" i="17"/>
  <c r="M153" i="17"/>
  <c r="U153" i="17" s="1"/>
  <c r="F127" i="14"/>
  <c r="E128" i="14"/>
  <c r="C149" i="17"/>
  <c r="D148" i="17"/>
  <c r="N151" i="5"/>
  <c r="V151" i="5" s="1"/>
  <c r="I152" i="5"/>
  <c r="O151" i="5"/>
  <c r="A151" i="5"/>
  <c r="J151" i="5"/>
  <c r="R151" i="5" s="1"/>
  <c r="M151" i="5"/>
  <c r="U151" i="5" s="1"/>
  <c r="K151" i="5"/>
  <c r="S151" i="5" s="1"/>
  <c r="L151" i="5"/>
  <c r="T151" i="5" s="1"/>
  <c r="F97" i="17"/>
  <c r="E98" i="17"/>
  <c r="C149" i="5"/>
  <c r="D148" i="5"/>
  <c r="H148" i="5" s="1"/>
  <c r="Z144" i="14"/>
  <c r="G27" i="15" s="1"/>
  <c r="H27" i="15" s="1"/>
  <c r="Z142" i="14"/>
  <c r="G25" i="15" s="1"/>
  <c r="H25" i="15" s="1"/>
  <c r="Z134" i="14"/>
  <c r="G17" i="15" s="1"/>
  <c r="H17" i="15" s="1"/>
  <c r="Z136" i="14"/>
  <c r="G19" i="15" s="1"/>
  <c r="H19" i="15" s="1"/>
  <c r="Z140" i="14"/>
  <c r="G23" i="15" s="1"/>
  <c r="H23" i="15" s="1"/>
  <c r="BW18" i="16"/>
  <c r="BO18" i="16"/>
  <c r="BP18" i="16"/>
  <c r="BL18" i="16"/>
  <c r="BL21" i="8"/>
  <c r="BO21" i="8"/>
  <c r="BP21" i="8"/>
  <c r="CO20" i="8"/>
  <c r="Q15" i="20"/>
  <c r="DI20" i="15"/>
  <c r="DL20" i="15" s="1"/>
  <c r="F17" i="21"/>
  <c r="E21" i="27" s="1"/>
  <c r="CQ20" i="16"/>
  <c r="CT20" i="16" s="1"/>
  <c r="Q111" i="24"/>
  <c r="I111" i="24"/>
  <c r="X111" i="24"/>
  <c r="AE111" i="24"/>
  <c r="Q81" i="24"/>
  <c r="I81" i="24"/>
  <c r="X81" i="24"/>
  <c r="AE81" i="24"/>
  <c r="Q141" i="24"/>
  <c r="X141" i="24"/>
  <c r="I141" i="24"/>
  <c r="AE141" i="24"/>
  <c r="AK22" i="20"/>
  <c r="D51" i="24"/>
  <c r="D78" i="24"/>
  <c r="Q78" i="24" s="1"/>
  <c r="D138" i="24"/>
  <c r="Q138" i="24" s="1"/>
  <c r="D110" i="24"/>
  <c r="I110" i="24" s="1"/>
  <c r="D130" i="24"/>
  <c r="X130" i="24" s="1"/>
  <c r="D101" i="24"/>
  <c r="I101" i="24" s="1"/>
  <c r="D120" i="24"/>
  <c r="Q120" i="24" s="1"/>
  <c r="D86" i="24"/>
  <c r="I86" i="24" s="1"/>
  <c r="D146" i="24"/>
  <c r="X146" i="24" s="1"/>
  <c r="D107" i="24"/>
  <c r="Q107" i="24" s="1"/>
  <c r="D84" i="24"/>
  <c r="Q84" i="24" s="1"/>
  <c r="D144" i="24"/>
  <c r="X144" i="24" s="1"/>
  <c r="D76" i="24"/>
  <c r="Q76" i="24" s="1"/>
  <c r="D136" i="24"/>
  <c r="X136" i="24" s="1"/>
  <c r="D121" i="24"/>
  <c r="X121" i="24" s="1"/>
  <c r="D105" i="24"/>
  <c r="Q105" i="24" s="1"/>
  <c r="D108" i="24"/>
  <c r="Q108" i="24" s="1"/>
  <c r="D80" i="24"/>
  <c r="Q80" i="24" s="1"/>
  <c r="D140" i="24"/>
  <c r="Q140" i="24" s="1"/>
  <c r="D83" i="24"/>
  <c r="X83" i="24" s="1"/>
  <c r="D143" i="24"/>
  <c r="Q143" i="24" s="1"/>
  <c r="D73" i="24"/>
  <c r="X73" i="24" s="1"/>
  <c r="D133" i="24"/>
  <c r="Q133" i="24" s="1"/>
  <c r="D92" i="24"/>
  <c r="AE92" i="24" s="1"/>
  <c r="D71" i="24"/>
  <c r="Q71" i="24" s="1"/>
  <c r="D131" i="24"/>
  <c r="I131" i="24" s="1"/>
  <c r="D74" i="24"/>
  <c r="Q74" i="24" s="1"/>
  <c r="D134" i="24"/>
  <c r="I134" i="24" s="1"/>
  <c r="D150" i="24"/>
  <c r="Q150" i="24" s="1"/>
  <c r="D90" i="24"/>
  <c r="Q90" i="24" s="1"/>
  <c r="D116" i="24"/>
  <c r="X116" i="24" s="1"/>
  <c r="D109" i="24"/>
  <c r="Q109" i="24" s="1"/>
  <c r="D77" i="24"/>
  <c r="Q77" i="24" s="1"/>
  <c r="D137" i="24"/>
  <c r="I137" i="24" s="1"/>
  <c r="D106" i="24"/>
  <c r="Q106" i="24" s="1"/>
  <c r="D151" i="24"/>
  <c r="AE151" i="24" s="1"/>
  <c r="D75" i="24"/>
  <c r="Q75" i="24" s="1"/>
  <c r="D135" i="24"/>
  <c r="Q135" i="24" s="1"/>
  <c r="D72" i="24"/>
  <c r="Q72" i="24" s="1"/>
  <c r="D132" i="24"/>
  <c r="Q132" i="24" s="1"/>
  <c r="D112" i="24"/>
  <c r="Q112" i="24" s="1"/>
  <c r="D119" i="24"/>
  <c r="X119" i="24" s="1"/>
  <c r="D113" i="24"/>
  <c r="Q113" i="24" s="1"/>
  <c r="D103" i="24"/>
  <c r="Q103" i="24" s="1"/>
  <c r="D152" i="24"/>
  <c r="AE152" i="24" s="1"/>
  <c r="D104" i="24"/>
  <c r="Q104" i="24" s="1"/>
  <c r="D87" i="24"/>
  <c r="AE87" i="24" s="1"/>
  <c r="D147" i="24"/>
  <c r="AE147" i="24" s="1"/>
  <c r="D118" i="24"/>
  <c r="Q118" i="24" s="1"/>
  <c r="D79" i="24"/>
  <c r="Q79" i="24" s="1"/>
  <c r="D139" i="24"/>
  <c r="Q139" i="24" s="1"/>
  <c r="D102" i="24"/>
  <c r="Q102" i="24" s="1"/>
  <c r="D82" i="24"/>
  <c r="Q82" i="24" s="1"/>
  <c r="D142" i="24"/>
  <c r="I142" i="24" s="1"/>
  <c r="D149" i="24"/>
  <c r="Q149" i="24" s="1"/>
  <c r="D89" i="24"/>
  <c r="X89" i="24" s="1"/>
  <c r="D100" i="24"/>
  <c r="Q100" i="24" s="1"/>
  <c r="D70" i="24"/>
  <c r="Q70" i="24" s="1"/>
  <c r="D122" i="24"/>
  <c r="X122" i="24" s="1"/>
  <c r="D117" i="24"/>
  <c r="AE117" i="24" s="1"/>
  <c r="D88" i="24"/>
  <c r="I88" i="24" s="1"/>
  <c r="D148" i="24"/>
  <c r="Q148" i="24" s="1"/>
  <c r="D114" i="24"/>
  <c r="Q114" i="24" s="1"/>
  <c r="D91" i="24"/>
  <c r="Q91" i="24" s="1"/>
  <c r="D99" i="24"/>
  <c r="Q99" i="24" s="1"/>
  <c r="D69" i="24"/>
  <c r="Q69" i="24" s="1"/>
  <c r="D129" i="24"/>
  <c r="Q129" i="24" s="1"/>
  <c r="AK30" i="20"/>
  <c r="D59" i="24"/>
  <c r="D50" i="24"/>
  <c r="AK21" i="20"/>
  <c r="D62" i="24"/>
  <c r="AK33" i="20"/>
  <c r="D41" i="24"/>
  <c r="AK12" i="20"/>
  <c r="D47" i="24"/>
  <c r="AK18" i="20"/>
  <c r="AK32" i="20"/>
  <c r="D61" i="24"/>
  <c r="AK16" i="20"/>
  <c r="D45" i="24"/>
  <c r="AK19" i="20"/>
  <c r="D48" i="24"/>
  <c r="D40" i="24"/>
  <c r="AK11" i="20"/>
  <c r="D56" i="24"/>
  <c r="AK27" i="20"/>
  <c r="D49" i="24"/>
  <c r="AK20" i="20"/>
  <c r="AK17" i="20"/>
  <c r="D46" i="24"/>
  <c r="AK23" i="20"/>
  <c r="D52" i="24"/>
  <c r="AK24" i="20"/>
  <c r="D53" i="24"/>
  <c r="AK14" i="20"/>
  <c r="D43" i="24"/>
  <c r="AK10" i="20"/>
  <c r="D39" i="24"/>
  <c r="D44" i="24"/>
  <c r="AK15" i="20"/>
  <c r="AK31" i="20"/>
  <c r="D60" i="24"/>
  <c r="AE86" i="24"/>
  <c r="D58" i="24"/>
  <c r="AK29" i="20"/>
  <c r="AK13" i="20"/>
  <c r="D42" i="24"/>
  <c r="D57" i="24"/>
  <c r="AK28" i="20"/>
  <c r="AK25" i="20"/>
  <c r="D54" i="24"/>
  <c r="BT17" i="16"/>
  <c r="CA17" i="16" s="1"/>
  <c r="F12" i="20"/>
  <c r="M11" i="20"/>
  <c r="AU11" i="20"/>
  <c r="A11" i="20"/>
  <c r="N11" i="20"/>
  <c r="G132" i="20"/>
  <c r="O132" i="20" s="1"/>
  <c r="G172" i="20"/>
  <c r="O172" i="20" s="1"/>
  <c r="K11" i="20"/>
  <c r="G50" i="20"/>
  <c r="O50" i="20" s="1"/>
  <c r="G91" i="20"/>
  <c r="O91" i="20" s="1"/>
  <c r="Z132" i="14"/>
  <c r="G15" i="15" s="1"/>
  <c r="H15" i="15" s="1"/>
  <c r="Z128" i="14"/>
  <c r="G11" i="15" s="1"/>
  <c r="H11" i="15" s="1"/>
  <c r="Z147" i="14"/>
  <c r="G30" i="15" s="1"/>
  <c r="H30" i="15" s="1"/>
  <c r="CJ20" i="8"/>
  <c r="J18" i="2" s="1"/>
  <c r="D15" i="20"/>
  <c r="AB94" i="20"/>
  <c r="I14" i="20"/>
  <c r="AB175" i="20"/>
  <c r="AB135" i="20"/>
  <c r="C13" i="24"/>
  <c r="Z137" i="14"/>
  <c r="G20" i="15" s="1"/>
  <c r="H20" i="15" s="1"/>
  <c r="Z143" i="14"/>
  <c r="G26" i="15" s="1"/>
  <c r="H26" i="15" s="1"/>
  <c r="Z139" i="14"/>
  <c r="G22" i="15" s="1"/>
  <c r="H22" i="15" s="1"/>
  <c r="AO21" i="8"/>
  <c r="AP21" i="8" s="1"/>
  <c r="AJ22" i="8"/>
  <c r="AK22" i="8" s="1"/>
  <c r="AU21" i="8"/>
  <c r="BA107" i="8" s="1"/>
  <c r="F97" i="5"/>
  <c r="E98" i="5"/>
  <c r="Z129" i="14"/>
  <c r="G12" i="15" s="1"/>
  <c r="H12" i="15" s="1"/>
  <c r="Z133" i="14"/>
  <c r="G16" i="15" s="1"/>
  <c r="H16" i="15" s="1"/>
  <c r="Z145" i="14"/>
  <c r="G28" i="15" s="1"/>
  <c r="H28" i="15" s="1"/>
  <c r="N149" i="14"/>
  <c r="V149" i="14" s="1"/>
  <c r="L149" i="14"/>
  <c r="T149" i="14" s="1"/>
  <c r="J149" i="14"/>
  <c r="R149" i="14" s="1"/>
  <c r="M149" i="14"/>
  <c r="U149" i="14" s="1"/>
  <c r="K149" i="14"/>
  <c r="S149" i="14" s="1"/>
  <c r="O149" i="14"/>
  <c r="W149" i="14" s="1"/>
  <c r="P149" i="14"/>
  <c r="X149" i="14" s="1"/>
  <c r="I150" i="14"/>
  <c r="A149" i="14"/>
  <c r="Z130" i="14"/>
  <c r="G13" i="15" s="1"/>
  <c r="H13" i="15" s="1"/>
  <c r="Z138" i="14"/>
  <c r="G21" i="15" s="1"/>
  <c r="H21" i="15" s="1"/>
  <c r="Z127" i="14"/>
  <c r="G10" i="15" s="1"/>
  <c r="H10" i="15" s="1"/>
  <c r="Z131" i="14"/>
  <c r="G14" i="15" s="1"/>
  <c r="H14" i="15" s="1"/>
  <c r="Z141" i="14"/>
  <c r="G24" i="15" s="1"/>
  <c r="H24" i="15" s="1"/>
  <c r="Z146" i="14"/>
  <c r="G29" i="15" s="1"/>
  <c r="H29" i="15" s="1"/>
  <c r="I28" i="15" s="1"/>
  <c r="Z135" i="14"/>
  <c r="G18" i="15" s="1"/>
  <c r="H18" i="15" s="1"/>
  <c r="Y148" i="14"/>
  <c r="Z148" i="14" s="1"/>
  <c r="G31" i="15" s="1"/>
  <c r="H31" i="15" s="1"/>
  <c r="AJ19" i="16"/>
  <c r="AK19" i="16" s="1"/>
  <c r="AU18" i="16"/>
  <c r="F128" i="14" l="1"/>
  <c r="E129" i="14"/>
  <c r="A152" i="5"/>
  <c r="N152" i="5"/>
  <c r="V152" i="5" s="1"/>
  <c r="O152" i="5"/>
  <c r="I153" i="5"/>
  <c r="J152" i="5"/>
  <c r="R152" i="5" s="1"/>
  <c r="K152" i="5"/>
  <c r="S152" i="5" s="1"/>
  <c r="L152" i="5"/>
  <c r="T152" i="5" s="1"/>
  <c r="M152" i="5"/>
  <c r="U152" i="5" s="1"/>
  <c r="C150" i="5"/>
  <c r="D149" i="5"/>
  <c r="H149" i="5" s="1"/>
  <c r="O150" i="5"/>
  <c r="A154" i="17"/>
  <c r="N154" i="17"/>
  <c r="V154" i="17" s="1"/>
  <c r="J154" i="17"/>
  <c r="R154" i="17" s="1"/>
  <c r="I155" i="17"/>
  <c r="L154" i="17"/>
  <c r="T154" i="17" s="1"/>
  <c r="M154" i="17"/>
  <c r="U154" i="17" s="1"/>
  <c r="K154" i="17"/>
  <c r="S154" i="17" s="1"/>
  <c r="O154" i="17"/>
  <c r="E99" i="17"/>
  <c r="F98" i="17"/>
  <c r="H148" i="17"/>
  <c r="O151" i="17"/>
  <c r="C150" i="17"/>
  <c r="D149" i="17"/>
  <c r="H149" i="17" s="1"/>
  <c r="O150" i="17"/>
  <c r="AE114" i="24"/>
  <c r="Q151" i="24"/>
  <c r="I73" i="24"/>
  <c r="X110" i="24"/>
  <c r="Q136" i="24"/>
  <c r="Q131" i="24"/>
  <c r="I80" i="24"/>
  <c r="Q119" i="24"/>
  <c r="X84" i="24"/>
  <c r="BM19" i="16"/>
  <c r="BR21" i="8"/>
  <c r="BX21" i="8" s="1"/>
  <c r="BM22" i="8"/>
  <c r="D11" i="28"/>
  <c r="AF176" i="20"/>
  <c r="AQ15" i="20"/>
  <c r="AF95" i="20"/>
  <c r="AF136" i="20"/>
  <c r="I132" i="24"/>
  <c r="X90" i="24"/>
  <c r="X69" i="24"/>
  <c r="AE83" i="24"/>
  <c r="I105" i="24"/>
  <c r="Q144" i="24"/>
  <c r="AE107" i="24"/>
  <c r="X101" i="24"/>
  <c r="I78" i="24"/>
  <c r="AE77" i="24"/>
  <c r="X71" i="24"/>
  <c r="I140" i="24"/>
  <c r="AE138" i="24"/>
  <c r="AE135" i="24"/>
  <c r="X137" i="24"/>
  <c r="I109" i="24"/>
  <c r="Q134" i="24"/>
  <c r="I92" i="24"/>
  <c r="AE70" i="24"/>
  <c r="Q147" i="24"/>
  <c r="Q117" i="24"/>
  <c r="Q142" i="24"/>
  <c r="X79" i="24"/>
  <c r="I104" i="24"/>
  <c r="I122" i="24"/>
  <c r="X87" i="24"/>
  <c r="X132" i="24"/>
  <c r="I135" i="24"/>
  <c r="X151" i="24"/>
  <c r="Q137" i="24"/>
  <c r="AE109" i="24"/>
  <c r="I90" i="24"/>
  <c r="X134" i="24"/>
  <c r="X131" i="24"/>
  <c r="I69" i="24"/>
  <c r="X92" i="24"/>
  <c r="Q73" i="24"/>
  <c r="Q83" i="24"/>
  <c r="X80" i="24"/>
  <c r="AE105" i="24"/>
  <c r="AE136" i="24"/>
  <c r="AE144" i="24"/>
  <c r="X107" i="24"/>
  <c r="X86" i="24"/>
  <c r="Q101" i="24"/>
  <c r="Q110" i="24"/>
  <c r="X78" i="24"/>
  <c r="AE88" i="24"/>
  <c r="AE89" i="24"/>
  <c r="AE102" i="24"/>
  <c r="X103" i="24"/>
  <c r="I114" i="24"/>
  <c r="Q88" i="24"/>
  <c r="X117" i="24"/>
  <c r="X70" i="24"/>
  <c r="I89" i="24"/>
  <c r="X142" i="24"/>
  <c r="I102" i="24"/>
  <c r="I79" i="24"/>
  <c r="X147" i="24"/>
  <c r="AE104" i="24"/>
  <c r="AE103" i="24"/>
  <c r="I119" i="24"/>
  <c r="X75" i="24"/>
  <c r="AE150" i="24"/>
  <c r="AE133" i="24"/>
  <c r="I121" i="24"/>
  <c r="AE120" i="24"/>
  <c r="I148" i="24"/>
  <c r="AE149" i="24"/>
  <c r="I118" i="24"/>
  <c r="AE113" i="24"/>
  <c r="AE132" i="24"/>
  <c r="X135" i="24"/>
  <c r="I151" i="24"/>
  <c r="AE137" i="24"/>
  <c r="X109" i="24"/>
  <c r="AE90" i="24"/>
  <c r="AE134" i="24"/>
  <c r="AE131" i="24"/>
  <c r="AE69" i="24"/>
  <c r="Q92" i="24"/>
  <c r="AE73" i="24"/>
  <c r="I83" i="24"/>
  <c r="AE80" i="24"/>
  <c r="X105" i="24"/>
  <c r="I136" i="24"/>
  <c r="I144" i="24"/>
  <c r="I107" i="24"/>
  <c r="Q86" i="24"/>
  <c r="AE101" i="24"/>
  <c r="AE110" i="24"/>
  <c r="AE78" i="24"/>
  <c r="X114" i="24"/>
  <c r="X88" i="24"/>
  <c r="I117" i="24"/>
  <c r="I70" i="24"/>
  <c r="Q89" i="24"/>
  <c r="AE142" i="24"/>
  <c r="X102" i="24"/>
  <c r="AE79" i="24"/>
  <c r="I147" i="24"/>
  <c r="X104" i="24"/>
  <c r="I103" i="24"/>
  <c r="AE119" i="24"/>
  <c r="X72" i="24"/>
  <c r="AE106" i="24"/>
  <c r="I116" i="24"/>
  <c r="X74" i="24"/>
  <c r="X129" i="24"/>
  <c r="AE143" i="24"/>
  <c r="AE108" i="24"/>
  <c r="X76" i="24"/>
  <c r="AE146" i="24"/>
  <c r="I130" i="24"/>
  <c r="X91" i="24"/>
  <c r="AE100" i="24"/>
  <c r="X82" i="24"/>
  <c r="AE139" i="24"/>
  <c r="X152" i="24"/>
  <c r="AE112" i="24"/>
  <c r="I72" i="24"/>
  <c r="I75" i="24"/>
  <c r="I106" i="24"/>
  <c r="X77" i="24"/>
  <c r="AE116" i="24"/>
  <c r="I150" i="24"/>
  <c r="I74" i="24"/>
  <c r="I71" i="24"/>
  <c r="AE129" i="24"/>
  <c r="I133" i="24"/>
  <c r="I143" i="24"/>
  <c r="X140" i="24"/>
  <c r="I108" i="24"/>
  <c r="AE121" i="24"/>
  <c r="I76" i="24"/>
  <c r="I84" i="24"/>
  <c r="I146" i="24"/>
  <c r="I120" i="24"/>
  <c r="Q130" i="24"/>
  <c r="I138" i="24"/>
  <c r="I91" i="24"/>
  <c r="X148" i="24"/>
  <c r="AE122" i="24"/>
  <c r="I100" i="24"/>
  <c r="I149" i="24"/>
  <c r="I82" i="24"/>
  <c r="I139" i="24"/>
  <c r="X118" i="24"/>
  <c r="I87" i="24"/>
  <c r="I152" i="24"/>
  <c r="I113" i="24"/>
  <c r="I112" i="24"/>
  <c r="AE99" i="24"/>
  <c r="I99" i="24"/>
  <c r="AE72" i="24"/>
  <c r="AE75" i="24"/>
  <c r="X106" i="24"/>
  <c r="I77" i="24"/>
  <c r="Q116" i="24"/>
  <c r="X150" i="24"/>
  <c r="AE74" i="24"/>
  <c r="AE71" i="24"/>
  <c r="I129" i="24"/>
  <c r="X133" i="24"/>
  <c r="X143" i="24"/>
  <c r="AE140" i="24"/>
  <c r="X108" i="24"/>
  <c r="Q121" i="24"/>
  <c r="AE76" i="24"/>
  <c r="AE84" i="24"/>
  <c r="Q146" i="24"/>
  <c r="X120" i="24"/>
  <c r="AE130" i="24"/>
  <c r="X138" i="24"/>
  <c r="AE91" i="24"/>
  <c r="AE148" i="24"/>
  <c r="Q122" i="24"/>
  <c r="X100" i="24"/>
  <c r="X149" i="24"/>
  <c r="AE82" i="24"/>
  <c r="X139" i="24"/>
  <c r="AE118" i="24"/>
  <c r="Q87" i="24"/>
  <c r="X99" i="24"/>
  <c r="Q152" i="24"/>
  <c r="X113" i="24"/>
  <c r="X112" i="24"/>
  <c r="X51" i="24"/>
  <c r="Q51" i="24"/>
  <c r="AE51" i="24"/>
  <c r="I51" i="24"/>
  <c r="AE54" i="24"/>
  <c r="Q54" i="24"/>
  <c r="X54" i="24"/>
  <c r="I54" i="24"/>
  <c r="AE42" i="24"/>
  <c r="Q42" i="24"/>
  <c r="X42" i="24"/>
  <c r="I42" i="24"/>
  <c r="X60" i="24"/>
  <c r="I60" i="24"/>
  <c r="AE60" i="24"/>
  <c r="Q60" i="24"/>
  <c r="AE49" i="24"/>
  <c r="Q49" i="24"/>
  <c r="X49" i="24"/>
  <c r="I49" i="24"/>
  <c r="X56" i="24"/>
  <c r="I56" i="24"/>
  <c r="AE56" i="24"/>
  <c r="Q56" i="24"/>
  <c r="X40" i="24"/>
  <c r="Q40" i="24"/>
  <c r="I40" i="24"/>
  <c r="AE40" i="24"/>
  <c r="AE47" i="24"/>
  <c r="Q47" i="24"/>
  <c r="X47" i="24"/>
  <c r="I47" i="24"/>
  <c r="AE41" i="24"/>
  <c r="Q41" i="24"/>
  <c r="X41" i="24"/>
  <c r="I41" i="24"/>
  <c r="X62" i="24"/>
  <c r="I62" i="24"/>
  <c r="AE62" i="24"/>
  <c r="Q62" i="24"/>
  <c r="AE50" i="24"/>
  <c r="Q50" i="24"/>
  <c r="X50" i="24"/>
  <c r="I50" i="24"/>
  <c r="X57" i="24"/>
  <c r="Q57" i="24"/>
  <c r="AE57" i="24"/>
  <c r="I57" i="24"/>
  <c r="AE58" i="24"/>
  <c r="Q58" i="24"/>
  <c r="X58" i="24"/>
  <c r="I58" i="24"/>
  <c r="X44" i="24"/>
  <c r="Q44" i="24"/>
  <c r="AE44" i="24"/>
  <c r="I44" i="24"/>
  <c r="AE39" i="24"/>
  <c r="Q39" i="24"/>
  <c r="X39" i="24"/>
  <c r="I39" i="24"/>
  <c r="AE43" i="24"/>
  <c r="Q43" i="24"/>
  <c r="X43" i="24"/>
  <c r="I43" i="24"/>
  <c r="AE53" i="24"/>
  <c r="Q53" i="24"/>
  <c r="X53" i="24"/>
  <c r="I53" i="24"/>
  <c r="X52" i="24"/>
  <c r="Q52" i="24"/>
  <c r="AE52" i="24"/>
  <c r="I52" i="24"/>
  <c r="AE46" i="24"/>
  <c r="Q46" i="24"/>
  <c r="X46" i="24"/>
  <c r="I46" i="24"/>
  <c r="X48" i="24"/>
  <c r="Q48" i="24"/>
  <c r="AE48" i="24"/>
  <c r="I48" i="24"/>
  <c r="AE45" i="24"/>
  <c r="Q45" i="24"/>
  <c r="X45" i="24"/>
  <c r="I45" i="24"/>
  <c r="X61" i="24"/>
  <c r="I61" i="24"/>
  <c r="AE61" i="24"/>
  <c r="Q61" i="24"/>
  <c r="AE59" i="24"/>
  <c r="Q59" i="24"/>
  <c r="I59" i="24"/>
  <c r="X59" i="24"/>
  <c r="CR17" i="16"/>
  <c r="CU17" i="16" s="1"/>
  <c r="CM17" i="16"/>
  <c r="M91" i="20"/>
  <c r="N91" i="20"/>
  <c r="M132" i="20"/>
  <c r="N132" i="20"/>
  <c r="F51" i="20"/>
  <c r="E89" i="26" s="1"/>
  <c r="F133" i="20"/>
  <c r="G89" i="26" s="1"/>
  <c r="F173" i="20"/>
  <c r="H89" i="26" s="1"/>
  <c r="F92" i="20"/>
  <c r="F89" i="26" s="1"/>
  <c r="G12" i="20"/>
  <c r="M50" i="20"/>
  <c r="N50" i="20"/>
  <c r="N172" i="20"/>
  <c r="M172" i="20"/>
  <c r="U15" i="20"/>
  <c r="D50" i="28" s="1"/>
  <c r="D176" i="20"/>
  <c r="H10" i="26" s="1"/>
  <c r="D54" i="20"/>
  <c r="E10" i="26" s="1"/>
  <c r="D136" i="20"/>
  <c r="G10" i="26" s="1"/>
  <c r="D95" i="20"/>
  <c r="F10" i="26" s="1"/>
  <c r="AM19" i="16"/>
  <c r="AQ19" i="16"/>
  <c r="M150" i="14"/>
  <c r="U150" i="14" s="1"/>
  <c r="K150" i="14"/>
  <c r="S150" i="14" s="1"/>
  <c r="I151" i="14"/>
  <c r="A150" i="14"/>
  <c r="N150" i="14"/>
  <c r="V150" i="14" s="1"/>
  <c r="L150" i="14"/>
  <c r="T150" i="14" s="1"/>
  <c r="J150" i="14"/>
  <c r="R150" i="14" s="1"/>
  <c r="O150" i="14"/>
  <c r="W150" i="14" s="1"/>
  <c r="P150" i="14"/>
  <c r="X150" i="14" s="1"/>
  <c r="G52" i="15"/>
  <c r="E99" i="5"/>
  <c r="F98" i="5"/>
  <c r="AV21" i="8"/>
  <c r="AX21" i="8"/>
  <c r="BB107" i="8" s="1"/>
  <c r="AX18" i="16"/>
  <c r="AV18" i="16"/>
  <c r="I27" i="15"/>
  <c r="I30" i="15"/>
  <c r="I31" i="15" s="1"/>
  <c r="Y149" i="14"/>
  <c r="Z149" i="14" s="1"/>
  <c r="G32" i="15" s="1"/>
  <c r="H52" i="15"/>
  <c r="AM22" i="8"/>
  <c r="AQ22" i="8"/>
  <c r="C151" i="17" l="1"/>
  <c r="D150" i="17"/>
  <c r="H150" i="17" s="1"/>
  <c r="O149" i="17"/>
  <c r="O155" i="17"/>
  <c r="I156" i="17"/>
  <c r="N155" i="17"/>
  <c r="V155" i="17" s="1"/>
  <c r="L155" i="17"/>
  <c r="T155" i="17" s="1"/>
  <c r="J155" i="17"/>
  <c r="R155" i="17" s="1"/>
  <c r="A155" i="17"/>
  <c r="M155" i="17"/>
  <c r="U155" i="17" s="1"/>
  <c r="K155" i="17"/>
  <c r="S155" i="17" s="1"/>
  <c r="J153" i="5"/>
  <c r="R153" i="5" s="1"/>
  <c r="I154" i="5"/>
  <c r="K153" i="5"/>
  <c r="S153" i="5" s="1"/>
  <c r="L153" i="5"/>
  <c r="T153" i="5" s="1"/>
  <c r="M153" i="5"/>
  <c r="U153" i="5" s="1"/>
  <c r="N153" i="5"/>
  <c r="V153" i="5" s="1"/>
  <c r="O153" i="5"/>
  <c r="A153" i="5"/>
  <c r="F99" i="17"/>
  <c r="E100" i="17"/>
  <c r="E130" i="14"/>
  <c r="F129" i="14"/>
  <c r="D150" i="5"/>
  <c r="H150" i="5" s="1"/>
  <c r="C151" i="5"/>
  <c r="O149" i="5"/>
  <c r="BW19" i="16"/>
  <c r="BP19" i="16"/>
  <c r="BL19" i="16"/>
  <c r="BO19" i="16"/>
  <c r="BL22" i="8"/>
  <c r="BP22" i="8"/>
  <c r="BO22" i="8"/>
  <c r="CQ21" i="16"/>
  <c r="CT21" i="16" s="1"/>
  <c r="DI21" i="15"/>
  <c r="DL21" i="15" s="1"/>
  <c r="Q16" i="20"/>
  <c r="CO21" i="8"/>
  <c r="F18" i="21"/>
  <c r="E22" i="27" s="1"/>
  <c r="BT18" i="16"/>
  <c r="CA18" i="16" s="1"/>
  <c r="F13" i="20"/>
  <c r="M12" i="20"/>
  <c r="A12" i="20"/>
  <c r="N12" i="20"/>
  <c r="AU12" i="20"/>
  <c r="G173" i="20"/>
  <c r="O173" i="20" s="1"/>
  <c r="K12" i="20"/>
  <c r="G51" i="20"/>
  <c r="O51" i="20" s="1"/>
  <c r="O12" i="20"/>
  <c r="G92" i="20"/>
  <c r="O92" i="20" s="1"/>
  <c r="G133" i="20"/>
  <c r="O133" i="20" s="1"/>
  <c r="AB95" i="20"/>
  <c r="I15" i="20"/>
  <c r="CJ21" i="8"/>
  <c r="J19" i="2" s="1"/>
  <c r="D16" i="20"/>
  <c r="AB136" i="20"/>
  <c r="AB176" i="20"/>
  <c r="C14" i="24"/>
  <c r="AU22" i="8"/>
  <c r="BA108" i="8" s="1"/>
  <c r="AJ23" i="8"/>
  <c r="AK23" i="8" s="1"/>
  <c r="BM23" i="8" s="1"/>
  <c r="H32" i="15"/>
  <c r="I32" i="15" s="1"/>
  <c r="O31" i="15"/>
  <c r="Q31" i="15" s="1"/>
  <c r="E100" i="5"/>
  <c r="F99" i="5"/>
  <c r="Y150" i="14"/>
  <c r="Z150" i="14" s="1"/>
  <c r="G33" i="15" s="1"/>
  <c r="H33" i="15" s="1"/>
  <c r="O27" i="15"/>
  <c r="Q27" i="15" s="1"/>
  <c r="I26" i="15"/>
  <c r="I25" i="15" s="1"/>
  <c r="I152" i="14"/>
  <c r="M151" i="14"/>
  <c r="U151" i="14" s="1"/>
  <c r="K151" i="14"/>
  <c r="S151" i="14" s="1"/>
  <c r="P151" i="14"/>
  <c r="X151" i="14" s="1"/>
  <c r="N151" i="14"/>
  <c r="V151" i="14" s="1"/>
  <c r="L151" i="14"/>
  <c r="T151" i="14" s="1"/>
  <c r="J151" i="14"/>
  <c r="R151" i="14" s="1"/>
  <c r="O151" i="14"/>
  <c r="W151" i="14" s="1"/>
  <c r="A151" i="14"/>
  <c r="AJ20" i="16"/>
  <c r="AK20" i="16" s="1"/>
  <c r="AO19" i="16"/>
  <c r="AP19" i="16" s="1"/>
  <c r="AU19" i="16"/>
  <c r="I157" i="17" l="1"/>
  <c r="N156" i="17"/>
  <c r="V156" i="17" s="1"/>
  <c r="L156" i="17"/>
  <c r="T156" i="17" s="1"/>
  <c r="M156" i="17"/>
  <c r="U156" i="17" s="1"/>
  <c r="A156" i="17"/>
  <c r="J156" i="17"/>
  <c r="R156" i="17" s="1"/>
  <c r="O156" i="17"/>
  <c r="K156" i="17"/>
  <c r="S156" i="17" s="1"/>
  <c r="K154" i="5"/>
  <c r="S154" i="5" s="1"/>
  <c r="J154" i="5"/>
  <c r="R154" i="5" s="1"/>
  <c r="I155" i="5"/>
  <c r="L154" i="5"/>
  <c r="T154" i="5" s="1"/>
  <c r="M154" i="5"/>
  <c r="U154" i="5" s="1"/>
  <c r="O154" i="5"/>
  <c r="N154" i="5"/>
  <c r="V154" i="5" s="1"/>
  <c r="A154" i="5"/>
  <c r="F100" i="17"/>
  <c r="E101" i="17"/>
  <c r="E131" i="14"/>
  <c r="F130" i="14"/>
  <c r="C152" i="5"/>
  <c r="D151" i="5"/>
  <c r="H151" i="5" s="1"/>
  <c r="O148" i="5"/>
  <c r="C152" i="17"/>
  <c r="D151" i="17"/>
  <c r="H151" i="17" s="1"/>
  <c r="BR22" i="8"/>
  <c r="BX22" i="8" s="1"/>
  <c r="CO22" i="8" s="1"/>
  <c r="BM20" i="16"/>
  <c r="D12" i="28"/>
  <c r="AQ16" i="20"/>
  <c r="AF177" i="20"/>
  <c r="AF137" i="20"/>
  <c r="AF96" i="20"/>
  <c r="BO23" i="8"/>
  <c r="BL23" i="8"/>
  <c r="BP23" i="8"/>
  <c r="CR18" i="16"/>
  <c r="CU18" i="16" s="1"/>
  <c r="CM18" i="16"/>
  <c r="M133" i="20"/>
  <c r="N133" i="20"/>
  <c r="M51" i="20"/>
  <c r="N51" i="20"/>
  <c r="M173" i="20"/>
  <c r="N173" i="20"/>
  <c r="F174" i="20"/>
  <c r="H90" i="26" s="1"/>
  <c r="F93" i="20"/>
  <c r="F90" i="26" s="1"/>
  <c r="F134" i="20"/>
  <c r="G90" i="26" s="1"/>
  <c r="F52" i="20"/>
  <c r="E90" i="26" s="1"/>
  <c r="G13" i="20"/>
  <c r="O13" i="20" s="1"/>
  <c r="M92" i="20"/>
  <c r="N92" i="20"/>
  <c r="U16" i="20"/>
  <c r="D51" i="28" s="1"/>
  <c r="D137" i="20"/>
  <c r="G11" i="26" s="1"/>
  <c r="D96" i="20"/>
  <c r="F11" i="26" s="1"/>
  <c r="D55" i="20"/>
  <c r="E11" i="26" s="1"/>
  <c r="D177" i="20"/>
  <c r="H11" i="26" s="1"/>
  <c r="AX19" i="16"/>
  <c r="BT19" i="16" s="1"/>
  <c r="AV19" i="16"/>
  <c r="AM20" i="16"/>
  <c r="AQ20" i="16"/>
  <c r="Y151" i="14"/>
  <c r="Z151" i="14" s="1"/>
  <c r="G34" i="15" s="1"/>
  <c r="H34" i="15" s="1"/>
  <c r="O152" i="14"/>
  <c r="W152" i="14" s="1"/>
  <c r="A152" i="14"/>
  <c r="N152" i="14"/>
  <c r="V152" i="14" s="1"/>
  <c r="L152" i="14"/>
  <c r="T152" i="14" s="1"/>
  <c r="J152" i="14"/>
  <c r="R152" i="14" s="1"/>
  <c r="M152" i="14"/>
  <c r="U152" i="14" s="1"/>
  <c r="K152" i="14"/>
  <c r="S152" i="14" s="1"/>
  <c r="I153" i="14"/>
  <c r="P152" i="14"/>
  <c r="X152" i="14" s="1"/>
  <c r="E101" i="5"/>
  <c r="F100" i="5"/>
  <c r="AV22" i="8"/>
  <c r="AX22" i="8"/>
  <c r="BB108" i="8" s="1"/>
  <c r="O25" i="15"/>
  <c r="Q25" i="15" s="1"/>
  <c r="I24" i="15"/>
  <c r="I23" i="15" s="1"/>
  <c r="I33" i="15"/>
  <c r="AM23" i="8"/>
  <c r="AQ23" i="8"/>
  <c r="Q17" i="20" l="1"/>
  <c r="D13" i="28" s="1"/>
  <c r="F19" i="21"/>
  <c r="E23" i="27" s="1"/>
  <c r="D152" i="17"/>
  <c r="H152" i="17" s="1"/>
  <c r="C153" i="17"/>
  <c r="E102" i="17"/>
  <c r="F101" i="17"/>
  <c r="CQ22" i="16"/>
  <c r="CT22" i="16" s="1"/>
  <c r="DI22" i="15"/>
  <c r="DL22" i="15" s="1"/>
  <c r="D152" i="5"/>
  <c r="H152" i="5" s="1"/>
  <c r="C153" i="5"/>
  <c r="L155" i="5"/>
  <c r="T155" i="5" s="1"/>
  <c r="J155" i="5"/>
  <c r="R155" i="5" s="1"/>
  <c r="O155" i="5"/>
  <c r="I156" i="5"/>
  <c r="M155" i="5"/>
  <c r="U155" i="5" s="1"/>
  <c r="K155" i="5"/>
  <c r="S155" i="5" s="1"/>
  <c r="A155" i="5"/>
  <c r="N155" i="5"/>
  <c r="V155" i="5" s="1"/>
  <c r="E132" i="14"/>
  <c r="F131" i="14"/>
  <c r="A157" i="17"/>
  <c r="I158" i="17"/>
  <c r="BW20" i="16"/>
  <c r="BL20" i="16"/>
  <c r="BP20" i="16"/>
  <c r="BO20" i="16"/>
  <c r="BR23" i="8"/>
  <c r="BX23" i="8" s="1"/>
  <c r="F14" i="20"/>
  <c r="F94" i="20" s="1"/>
  <c r="F91" i="26" s="1"/>
  <c r="CA19" i="16"/>
  <c r="CR19" i="16" s="1"/>
  <c r="CU19" i="16" s="1"/>
  <c r="K13" i="20"/>
  <c r="G52" i="20"/>
  <c r="O52" i="20" s="1"/>
  <c r="G93" i="20"/>
  <c r="M13" i="20"/>
  <c r="A13" i="20"/>
  <c r="AU13" i="20"/>
  <c r="N13" i="20"/>
  <c r="G134" i="20"/>
  <c r="O134" i="20" s="1"/>
  <c r="G174" i="20"/>
  <c r="CJ22" i="8"/>
  <c r="J20" i="2" s="1"/>
  <c r="D17" i="20"/>
  <c r="I16" i="20"/>
  <c r="AB137" i="20"/>
  <c r="C15" i="24"/>
  <c r="AB177" i="20"/>
  <c r="AB96" i="20"/>
  <c r="I34" i="15"/>
  <c r="O33" i="15"/>
  <c r="Q33" i="15" s="1"/>
  <c r="O23" i="15"/>
  <c r="Q23" i="15" s="1"/>
  <c r="I22" i="15"/>
  <c r="I21" i="15" s="1"/>
  <c r="F101" i="5"/>
  <c r="E102" i="5"/>
  <c r="N153" i="14"/>
  <c r="V153" i="14" s="1"/>
  <c r="L153" i="14"/>
  <c r="T153" i="14" s="1"/>
  <c r="J153" i="14"/>
  <c r="R153" i="14" s="1"/>
  <c r="O153" i="14"/>
  <c r="W153" i="14" s="1"/>
  <c r="A153" i="14"/>
  <c r="P153" i="14"/>
  <c r="X153" i="14" s="1"/>
  <c r="I154" i="14"/>
  <c r="M153" i="14"/>
  <c r="U153" i="14" s="1"/>
  <c r="K153" i="14"/>
  <c r="S153" i="14" s="1"/>
  <c r="AJ21" i="16"/>
  <c r="AK21" i="16" s="1"/>
  <c r="AU20" i="16"/>
  <c r="AO23" i="8"/>
  <c r="AP23" i="8" s="1"/>
  <c r="AJ24" i="8"/>
  <c r="AK24" i="8" s="1"/>
  <c r="BM24" i="8" s="1"/>
  <c r="AU23" i="8"/>
  <c r="BA109" i="8" s="1"/>
  <c r="Y152" i="14"/>
  <c r="Z152" i="14" s="1"/>
  <c r="G35" i="15" s="1"/>
  <c r="AF138" i="20" l="1"/>
  <c r="AF97" i="20"/>
  <c r="AQ17" i="20"/>
  <c r="AF178" i="20"/>
  <c r="I159" i="17"/>
  <c r="A158" i="17"/>
  <c r="E103" i="17"/>
  <c r="F102" i="17"/>
  <c r="E133" i="14"/>
  <c r="F132" i="14"/>
  <c r="C154" i="5"/>
  <c r="D153" i="5"/>
  <c r="H153" i="5" s="1"/>
  <c r="D153" i="17"/>
  <c r="C154" i="17"/>
  <c r="A156" i="5"/>
  <c r="J156" i="5"/>
  <c r="R156" i="5" s="1"/>
  <c r="I157" i="5"/>
  <c r="K156" i="5"/>
  <c r="S156" i="5" s="1"/>
  <c r="M156" i="5"/>
  <c r="U156" i="5" s="1"/>
  <c r="L156" i="5"/>
  <c r="T156" i="5" s="1"/>
  <c r="N156" i="5"/>
  <c r="V156" i="5" s="1"/>
  <c r="O156" i="5"/>
  <c r="CM19" i="16"/>
  <c r="BM21" i="16"/>
  <c r="BL24" i="8"/>
  <c r="BO24" i="8"/>
  <c r="BP24" i="8"/>
  <c r="CO23" i="8"/>
  <c r="CQ23" i="16"/>
  <c r="CT23" i="16" s="1"/>
  <c r="F20" i="21"/>
  <c r="E24" i="27" s="1"/>
  <c r="DI23" i="15"/>
  <c r="DL23" i="15" s="1"/>
  <c r="Q18" i="20"/>
  <c r="G14" i="20"/>
  <c r="O14" i="20" s="1"/>
  <c r="F175" i="20"/>
  <c r="H91" i="26" s="1"/>
  <c r="F135" i="20"/>
  <c r="G91" i="26" s="1"/>
  <c r="F53" i="20"/>
  <c r="E91" i="26" s="1"/>
  <c r="N174" i="20"/>
  <c r="M174" i="20"/>
  <c r="M93" i="20"/>
  <c r="N93" i="20"/>
  <c r="G94" i="20"/>
  <c r="O94" i="20" s="1"/>
  <c r="O174" i="20"/>
  <c r="M134" i="20"/>
  <c r="N134" i="20"/>
  <c r="O93" i="20"/>
  <c r="M52" i="20"/>
  <c r="N52" i="20"/>
  <c r="U17" i="20"/>
  <c r="D52" i="28" s="1"/>
  <c r="D178" i="20"/>
  <c r="H12" i="26" s="1"/>
  <c r="D97" i="20"/>
  <c r="F12" i="26" s="1"/>
  <c r="D138" i="20"/>
  <c r="G12" i="26" s="1"/>
  <c r="D56" i="20"/>
  <c r="E12" i="26" s="1"/>
  <c r="AX23" i="8"/>
  <c r="BB109" i="8" s="1"/>
  <c r="AV23" i="8"/>
  <c r="AM21" i="16"/>
  <c r="AQ21" i="16"/>
  <c r="AM24" i="8"/>
  <c r="AQ24" i="8"/>
  <c r="AX20" i="16"/>
  <c r="BT20" i="16" s="1"/>
  <c r="AV20" i="16"/>
  <c r="Y153" i="14"/>
  <c r="Z153" i="14" s="1"/>
  <c r="G36" i="15" s="1"/>
  <c r="H36" i="15" s="1"/>
  <c r="I155" i="14"/>
  <c r="M154" i="14"/>
  <c r="U154" i="14" s="1"/>
  <c r="K154" i="14"/>
  <c r="S154" i="14" s="1"/>
  <c r="N154" i="14"/>
  <c r="V154" i="14" s="1"/>
  <c r="L154" i="14"/>
  <c r="T154" i="14" s="1"/>
  <c r="J154" i="14"/>
  <c r="R154" i="14" s="1"/>
  <c r="O154" i="14"/>
  <c r="W154" i="14" s="1"/>
  <c r="A154" i="14"/>
  <c r="P154" i="14"/>
  <c r="X154" i="14" s="1"/>
  <c r="I20" i="15"/>
  <c r="I19" i="15" s="1"/>
  <c r="O21" i="15"/>
  <c r="Q21" i="15" s="1"/>
  <c r="H35" i="15"/>
  <c r="I35" i="15" s="1"/>
  <c r="E103" i="5"/>
  <c r="F102" i="5"/>
  <c r="C155" i="5" l="1"/>
  <c r="D154" i="5"/>
  <c r="H154" i="5" s="1"/>
  <c r="P155" i="5"/>
  <c r="A157" i="5"/>
  <c r="I158" i="5"/>
  <c r="P156" i="5"/>
  <c r="F133" i="14"/>
  <c r="E134" i="14"/>
  <c r="E104" i="17"/>
  <c r="F103" i="17"/>
  <c r="C155" i="17"/>
  <c r="D154" i="17"/>
  <c r="H154" i="17" s="1"/>
  <c r="P155" i="17"/>
  <c r="H153" i="17"/>
  <c r="P156" i="17"/>
  <c r="A159" i="17"/>
  <c r="I160" i="17"/>
  <c r="G175" i="20"/>
  <c r="O175" i="20" s="1"/>
  <c r="BW21" i="16"/>
  <c r="BL21" i="16"/>
  <c r="BP21" i="16"/>
  <c r="BO21" i="16"/>
  <c r="BR24" i="8"/>
  <c r="BX24" i="8" s="1"/>
  <c r="CO24" i="8" s="1"/>
  <c r="D14" i="28"/>
  <c r="AF179" i="20"/>
  <c r="AQ18" i="20"/>
  <c r="AF98" i="20"/>
  <c r="AF139" i="20"/>
  <c r="AU14" i="20"/>
  <c r="K14" i="20"/>
  <c r="A14" i="20"/>
  <c r="G53" i="20"/>
  <c r="O53" i="20" s="1"/>
  <c r="G135" i="20"/>
  <c r="O135" i="20" s="1"/>
  <c r="N14" i="20"/>
  <c r="M14" i="20"/>
  <c r="F15" i="20"/>
  <c r="F176" i="20" s="1"/>
  <c r="H92" i="26" s="1"/>
  <c r="CA20" i="16"/>
  <c r="CR20" i="16" s="1"/>
  <c r="CU20" i="16" s="1"/>
  <c r="M94" i="20"/>
  <c r="N94" i="20"/>
  <c r="I17" i="20"/>
  <c r="AB178" i="20"/>
  <c r="CJ23" i="8"/>
  <c r="J21" i="2" s="1"/>
  <c r="D18" i="20"/>
  <c r="AB138" i="20"/>
  <c r="AB97" i="20"/>
  <c r="C16" i="24"/>
  <c r="E104" i="5"/>
  <c r="F103" i="5"/>
  <c r="Y154" i="14"/>
  <c r="Z154" i="14" s="1"/>
  <c r="G37" i="15" s="1"/>
  <c r="M155" i="14"/>
  <c r="U155" i="14" s="1"/>
  <c r="K155" i="14"/>
  <c r="S155" i="14" s="1"/>
  <c r="I156" i="14"/>
  <c r="O155" i="14"/>
  <c r="W155" i="14" s="1"/>
  <c r="A155" i="14"/>
  <c r="N155" i="14"/>
  <c r="V155" i="14" s="1"/>
  <c r="L155" i="14"/>
  <c r="T155" i="14" s="1"/>
  <c r="J155" i="14"/>
  <c r="R155" i="14" s="1"/>
  <c r="P155" i="14"/>
  <c r="X155" i="14" s="1"/>
  <c r="I36" i="15"/>
  <c r="O35" i="15"/>
  <c r="Q35" i="15" s="1"/>
  <c r="I18" i="15"/>
  <c r="I17" i="15" s="1"/>
  <c r="O19" i="15"/>
  <c r="Q19" i="15" s="1"/>
  <c r="AU24" i="8"/>
  <c r="BA110" i="8" s="1"/>
  <c r="AJ25" i="8"/>
  <c r="AK25" i="8" s="1"/>
  <c r="BM25" i="8" s="1"/>
  <c r="AO21" i="16"/>
  <c r="AP21" i="16" s="1"/>
  <c r="AJ22" i="16"/>
  <c r="AK22" i="16" s="1"/>
  <c r="AU21" i="16"/>
  <c r="F134" i="14" l="1"/>
  <c r="E135" i="14"/>
  <c r="I159" i="5"/>
  <c r="A158" i="5"/>
  <c r="C156" i="17"/>
  <c r="D155" i="17"/>
  <c r="C156" i="5"/>
  <c r="D155" i="5"/>
  <c r="I161" i="17"/>
  <c r="A160" i="17"/>
  <c r="E105" i="17"/>
  <c r="F104" i="17"/>
  <c r="N175" i="20"/>
  <c r="G15" i="20"/>
  <c r="O15" i="20" s="1"/>
  <c r="M175" i="20"/>
  <c r="BM22" i="16"/>
  <c r="CQ24" i="16"/>
  <c r="CT24" i="16" s="1"/>
  <c r="F21" i="21"/>
  <c r="E25" i="27" s="1"/>
  <c r="DI24" i="15"/>
  <c r="DL24" i="15" s="1"/>
  <c r="Q19" i="20"/>
  <c r="AQ19" i="20" s="1"/>
  <c r="BP25" i="8"/>
  <c r="BL25" i="8"/>
  <c r="BO25" i="8"/>
  <c r="M53" i="20"/>
  <c r="F95" i="20"/>
  <c r="F92" i="26" s="1"/>
  <c r="F136" i="20"/>
  <c r="G92" i="26" s="1"/>
  <c r="N53" i="20"/>
  <c r="F54" i="20"/>
  <c r="E92" i="26" s="1"/>
  <c r="N135" i="20"/>
  <c r="CM20" i="16"/>
  <c r="M135" i="20"/>
  <c r="G176" i="20"/>
  <c r="O176" i="20" s="1"/>
  <c r="Y155" i="14"/>
  <c r="Z155" i="14" s="1"/>
  <c r="G38" i="15" s="1"/>
  <c r="H38" i="15" s="1"/>
  <c r="U18" i="20"/>
  <c r="D53" i="28" s="1"/>
  <c r="D57" i="20"/>
  <c r="E13" i="26" s="1"/>
  <c r="D139" i="20"/>
  <c r="G13" i="26" s="1"/>
  <c r="D98" i="20"/>
  <c r="F13" i="26" s="1"/>
  <c r="D179" i="20"/>
  <c r="H13" i="26" s="1"/>
  <c r="AV21" i="16"/>
  <c r="AX21" i="16"/>
  <c r="BT21" i="16" s="1"/>
  <c r="AX24" i="8"/>
  <c r="BB110" i="8" s="1"/>
  <c r="AV24" i="8"/>
  <c r="AM22" i="16"/>
  <c r="AQ22" i="16"/>
  <c r="AM25" i="8"/>
  <c r="AQ25" i="8"/>
  <c r="I157" i="14"/>
  <c r="N156" i="14"/>
  <c r="V156" i="14" s="1"/>
  <c r="L156" i="14"/>
  <c r="T156" i="14" s="1"/>
  <c r="J156" i="14"/>
  <c r="R156" i="14" s="1"/>
  <c r="O156" i="14"/>
  <c r="W156" i="14" s="1"/>
  <c r="A156" i="14"/>
  <c r="P156" i="14"/>
  <c r="X156" i="14" s="1"/>
  <c r="M156" i="14"/>
  <c r="U156" i="14" s="1"/>
  <c r="K156" i="14"/>
  <c r="S156" i="14" s="1"/>
  <c r="E105" i="5"/>
  <c r="F104" i="5"/>
  <c r="I16" i="15"/>
  <c r="I15" i="15" s="1"/>
  <c r="O17" i="15"/>
  <c r="Q17" i="15" s="1"/>
  <c r="H37" i="15"/>
  <c r="I37" i="15" s="1"/>
  <c r="M157" i="14" l="1"/>
  <c r="U157" i="14" s="1"/>
  <c r="N157" i="14"/>
  <c r="V157" i="14" s="1"/>
  <c r="O157" i="14"/>
  <c r="W157" i="14" s="1"/>
  <c r="P157" i="14"/>
  <c r="X157" i="14" s="1"/>
  <c r="J157" i="14"/>
  <c r="R157" i="14" s="1"/>
  <c r="K157" i="14"/>
  <c r="S157" i="14" s="1"/>
  <c r="L157" i="14"/>
  <c r="T157" i="14" s="1"/>
  <c r="H155" i="5"/>
  <c r="P154" i="5"/>
  <c r="C157" i="5"/>
  <c r="D156" i="5"/>
  <c r="H156" i="5" s="1"/>
  <c r="P153" i="5"/>
  <c r="H155" i="17"/>
  <c r="P154" i="17"/>
  <c r="D156" i="17"/>
  <c r="H156" i="17" s="1"/>
  <c r="C157" i="17"/>
  <c r="P153" i="17"/>
  <c r="E106" i="17"/>
  <c r="F105" i="17"/>
  <c r="A159" i="5"/>
  <c r="I160" i="5"/>
  <c r="A161" i="17"/>
  <c r="I162" i="17"/>
  <c r="F135" i="14"/>
  <c r="E136" i="14"/>
  <c r="D15" i="28"/>
  <c r="N15" i="20"/>
  <c r="A15" i="20"/>
  <c r="G95" i="20"/>
  <c r="O95" i="20" s="1"/>
  <c r="AF180" i="20"/>
  <c r="M15" i="20"/>
  <c r="AU15" i="20"/>
  <c r="G136" i="20"/>
  <c r="O136" i="20" s="1"/>
  <c r="G54" i="20"/>
  <c r="O54" i="20" s="1"/>
  <c r="K15" i="20"/>
  <c r="BW22" i="16"/>
  <c r="BO22" i="16"/>
  <c r="BL22" i="16"/>
  <c r="BP22" i="16"/>
  <c r="AF140" i="20"/>
  <c r="AF99" i="20"/>
  <c r="BR25" i="8"/>
  <c r="BX25" i="8" s="1"/>
  <c r="F16" i="20"/>
  <c r="F137" i="20" s="1"/>
  <c r="G93" i="26" s="1"/>
  <c r="CA21" i="16"/>
  <c r="CR21" i="16" s="1"/>
  <c r="CU21" i="16" s="1"/>
  <c r="M176" i="20"/>
  <c r="N176" i="20"/>
  <c r="AB179" i="20"/>
  <c r="AB139" i="20"/>
  <c r="CJ24" i="8"/>
  <c r="J22" i="2" s="1"/>
  <c r="D19" i="20"/>
  <c r="AB98" i="20"/>
  <c r="I18" i="20"/>
  <c r="C17" i="24"/>
  <c r="O37" i="15"/>
  <c r="Q37" i="15" s="1"/>
  <c r="I38" i="15"/>
  <c r="A157" i="14"/>
  <c r="I158" i="14"/>
  <c r="AU25" i="8"/>
  <c r="BA111" i="8" s="1"/>
  <c r="AO25" i="8"/>
  <c r="AP25" i="8" s="1"/>
  <c r="AJ26" i="8"/>
  <c r="AK26" i="8" s="1"/>
  <c r="BM26" i="8" s="1"/>
  <c r="AJ23" i="16"/>
  <c r="AK23" i="16" s="1"/>
  <c r="AU22" i="16"/>
  <c r="I14" i="15"/>
  <c r="I13" i="15" s="1"/>
  <c r="I12" i="15" s="1"/>
  <c r="I11" i="15" s="1"/>
  <c r="I10" i="15" s="1"/>
  <c r="O15" i="15"/>
  <c r="Q15" i="15" s="1"/>
  <c r="F105" i="5"/>
  <c r="E106" i="5"/>
  <c r="Y156" i="14"/>
  <c r="Z156" i="14" s="1"/>
  <c r="G39" i="15" s="1"/>
  <c r="Y157" i="14" l="1"/>
  <c r="Z157" i="14" s="1"/>
  <c r="G40" i="15" s="1"/>
  <c r="H40" i="15" s="1"/>
  <c r="L158" i="14"/>
  <c r="T158" i="14" s="1"/>
  <c r="M158" i="14"/>
  <c r="U158" i="14" s="1"/>
  <c r="J158" i="14"/>
  <c r="R158" i="14" s="1"/>
  <c r="K158" i="14"/>
  <c r="S158" i="14" s="1"/>
  <c r="N158" i="14"/>
  <c r="V158" i="14" s="1"/>
  <c r="O158" i="14"/>
  <c r="W158" i="14" s="1"/>
  <c r="P158" i="14"/>
  <c r="X158" i="14" s="1"/>
  <c r="F106" i="17"/>
  <c r="E107" i="17"/>
  <c r="C158" i="17"/>
  <c r="D157" i="17"/>
  <c r="H157" i="17" s="1"/>
  <c r="E137" i="14"/>
  <c r="F136" i="14"/>
  <c r="A160" i="5"/>
  <c r="I161" i="5"/>
  <c r="C158" i="5"/>
  <c r="D157" i="5"/>
  <c r="H157" i="5" s="1"/>
  <c r="I163" i="17"/>
  <c r="A162" i="17"/>
  <c r="N95" i="20"/>
  <c r="M95" i="20"/>
  <c r="F96" i="20"/>
  <c r="F93" i="26" s="1"/>
  <c r="M54" i="20"/>
  <c r="N136" i="20"/>
  <c r="M136" i="20"/>
  <c r="N54" i="20"/>
  <c r="BM23" i="16"/>
  <c r="BO26" i="8"/>
  <c r="BL26" i="8"/>
  <c r="BP26" i="8"/>
  <c r="BU25" i="8"/>
  <c r="CO25" i="8"/>
  <c r="CQ25" i="16"/>
  <c r="CT25" i="16" s="1"/>
  <c r="F22" i="21"/>
  <c r="E26" i="27" s="1"/>
  <c r="DI25" i="15"/>
  <c r="DL25" i="15" s="1"/>
  <c r="Q20" i="20"/>
  <c r="G16" i="20"/>
  <c r="O16" i="20" s="1"/>
  <c r="F55" i="20"/>
  <c r="E93" i="26" s="1"/>
  <c r="F177" i="20"/>
  <c r="H93" i="26" s="1"/>
  <c r="CM21" i="16"/>
  <c r="G137" i="20"/>
  <c r="O137" i="20" s="1"/>
  <c r="U19" i="20"/>
  <c r="D54" i="28" s="1"/>
  <c r="D180" i="20"/>
  <c r="H14" i="26" s="1"/>
  <c r="D58" i="20"/>
  <c r="E14" i="26" s="1"/>
  <c r="D140" i="20"/>
  <c r="G14" i="26" s="1"/>
  <c r="D99" i="20"/>
  <c r="F14" i="26" s="1"/>
  <c r="H39" i="15"/>
  <c r="H53" i="15" s="1"/>
  <c r="G53" i="15"/>
  <c r="AM23" i="16"/>
  <c r="AQ23" i="16"/>
  <c r="A158" i="14"/>
  <c r="I159" i="14"/>
  <c r="E107" i="5"/>
  <c r="F106" i="5"/>
  <c r="AX22" i="16"/>
  <c r="BT22" i="16" s="1"/>
  <c r="AV22" i="16"/>
  <c r="AM26" i="8"/>
  <c r="AQ26" i="8"/>
  <c r="AX25" i="8"/>
  <c r="BB111" i="8" s="1"/>
  <c r="AV25" i="8"/>
  <c r="Y158" i="14" l="1"/>
  <c r="Z158" i="14" s="1"/>
  <c r="G41" i="15" s="1"/>
  <c r="H41" i="15" s="1"/>
  <c r="K159" i="14"/>
  <c r="S159" i="14" s="1"/>
  <c r="L159" i="14"/>
  <c r="T159" i="14" s="1"/>
  <c r="M159" i="14"/>
  <c r="U159" i="14" s="1"/>
  <c r="N159" i="14"/>
  <c r="V159" i="14" s="1"/>
  <c r="O159" i="14"/>
  <c r="W159" i="14" s="1"/>
  <c r="P159" i="14"/>
  <c r="X159" i="14" s="1"/>
  <c r="J159" i="14"/>
  <c r="R159" i="14" s="1"/>
  <c r="C159" i="5"/>
  <c r="D158" i="5"/>
  <c r="H158" i="5" s="1"/>
  <c r="I162" i="5"/>
  <c r="A161" i="5"/>
  <c r="F137" i="14"/>
  <c r="E138" i="14"/>
  <c r="D158" i="17"/>
  <c r="H158" i="17" s="1"/>
  <c r="C159" i="17"/>
  <c r="I164" i="17"/>
  <c r="A163" i="17"/>
  <c r="F107" i="17"/>
  <c r="E108" i="17"/>
  <c r="G96" i="20"/>
  <c r="O96" i="20" s="1"/>
  <c r="K16" i="20"/>
  <c r="G55" i="20"/>
  <c r="O55" i="20" s="1"/>
  <c r="BW23" i="16"/>
  <c r="BO23" i="16"/>
  <c r="BP23" i="16"/>
  <c r="BL23" i="16"/>
  <c r="D16" i="28"/>
  <c r="AF141" i="20"/>
  <c r="AQ20" i="20"/>
  <c r="AF181" i="20"/>
  <c r="AF100" i="20"/>
  <c r="BR26" i="8"/>
  <c r="BX26" i="8" s="1"/>
  <c r="N16" i="20"/>
  <c r="A16" i="20"/>
  <c r="AU16" i="20"/>
  <c r="M16" i="20"/>
  <c r="G177" i="20"/>
  <c r="O177" i="20" s="1"/>
  <c r="F17" i="20"/>
  <c r="F138" i="20" s="1"/>
  <c r="G94" i="26" s="1"/>
  <c r="CA22" i="16"/>
  <c r="CR22" i="16" s="1"/>
  <c r="CU22" i="16" s="1"/>
  <c r="I39" i="15"/>
  <c r="N137" i="20"/>
  <c r="M137" i="20"/>
  <c r="CJ25" i="8"/>
  <c r="J23" i="2" s="1"/>
  <c r="D20" i="20"/>
  <c r="AB99" i="20"/>
  <c r="I19" i="20"/>
  <c r="AB140" i="20"/>
  <c r="AB180" i="20"/>
  <c r="C18" i="24"/>
  <c r="AO23" i="16"/>
  <c r="AP23" i="16" s="1"/>
  <c r="AJ24" i="16"/>
  <c r="AK24" i="16" s="1"/>
  <c r="AU23" i="16"/>
  <c r="AU26" i="8"/>
  <c r="BA112" i="8" s="1"/>
  <c r="AJ27" i="8"/>
  <c r="AK27" i="8" s="1"/>
  <c r="BM27" i="8" s="1"/>
  <c r="E108" i="5"/>
  <c r="F107" i="5"/>
  <c r="A159" i="14"/>
  <c r="I160" i="14"/>
  <c r="Y159" i="14" l="1"/>
  <c r="Z159" i="14" s="1"/>
  <c r="G42" i="15" s="1"/>
  <c r="H42" i="15" s="1"/>
  <c r="P160" i="14"/>
  <c r="X160" i="14" s="1"/>
  <c r="L160" i="14"/>
  <c r="T160" i="14" s="1"/>
  <c r="J160" i="14"/>
  <c r="R160" i="14" s="1"/>
  <c r="K160" i="14"/>
  <c r="S160" i="14" s="1"/>
  <c r="M160" i="14"/>
  <c r="U160" i="14" s="1"/>
  <c r="N160" i="14"/>
  <c r="V160" i="14" s="1"/>
  <c r="O160" i="14"/>
  <c r="W160" i="14" s="1"/>
  <c r="E109" i="17"/>
  <c r="F108" i="17"/>
  <c r="F138" i="14"/>
  <c r="E139" i="14"/>
  <c r="I165" i="17"/>
  <c r="A164" i="17"/>
  <c r="C160" i="17"/>
  <c r="D159" i="17"/>
  <c r="H159" i="17" s="1"/>
  <c r="I163" i="5"/>
  <c r="A162" i="5"/>
  <c r="C160" i="5"/>
  <c r="D159" i="5"/>
  <c r="H159" i="5" s="1"/>
  <c r="M96" i="20"/>
  <c r="N96" i="20"/>
  <c r="M55" i="20"/>
  <c r="N55" i="20"/>
  <c r="BM24" i="16"/>
  <c r="BL27" i="8"/>
  <c r="BO27" i="8"/>
  <c r="BP27" i="8"/>
  <c r="DI26" i="15"/>
  <c r="DL26" i="15" s="1"/>
  <c r="CQ26" i="16"/>
  <c r="CT26" i="16" s="1"/>
  <c r="F23" i="21"/>
  <c r="E27" i="27" s="1"/>
  <c r="CO26" i="8"/>
  <c r="Q21" i="20"/>
  <c r="F97" i="20"/>
  <c r="F94" i="26" s="1"/>
  <c r="O39" i="15"/>
  <c r="Q39" i="15" s="1"/>
  <c r="I40" i="15"/>
  <c r="I41" i="15" s="1"/>
  <c r="N177" i="20"/>
  <c r="F178" i="20"/>
  <c r="H94" i="26" s="1"/>
  <c r="G17" i="20"/>
  <c r="O17" i="20" s="1"/>
  <c r="F56" i="20"/>
  <c r="E94" i="26" s="1"/>
  <c r="CM22" i="16"/>
  <c r="M177" i="20"/>
  <c r="G138" i="20"/>
  <c r="O138" i="20" s="1"/>
  <c r="U20" i="20"/>
  <c r="D55" i="28" s="1"/>
  <c r="D141" i="20"/>
  <c r="G15" i="26" s="1"/>
  <c r="D100" i="20"/>
  <c r="F15" i="26" s="1"/>
  <c r="D59" i="20"/>
  <c r="E15" i="26" s="1"/>
  <c r="D181" i="20"/>
  <c r="H15" i="26" s="1"/>
  <c r="E109" i="5"/>
  <c r="F108" i="5"/>
  <c r="AV26" i="8"/>
  <c r="AX26" i="8"/>
  <c r="BB112" i="8" s="1"/>
  <c r="AV23" i="16"/>
  <c r="AX23" i="16"/>
  <c r="BT23" i="16" s="1"/>
  <c r="A160" i="14"/>
  <c r="I161" i="14"/>
  <c r="AM27" i="8"/>
  <c r="AQ27" i="8"/>
  <c r="AM24" i="16"/>
  <c r="AQ24" i="16"/>
  <c r="Y160" i="14" l="1"/>
  <c r="Z160" i="14" s="1"/>
  <c r="G43" i="15" s="1"/>
  <c r="H43" i="15" s="1"/>
  <c r="J161" i="14"/>
  <c r="R161" i="14" s="1"/>
  <c r="K161" i="14"/>
  <c r="S161" i="14" s="1"/>
  <c r="L161" i="14"/>
  <c r="T161" i="14" s="1"/>
  <c r="M161" i="14"/>
  <c r="U161" i="14" s="1"/>
  <c r="N161" i="14"/>
  <c r="V161" i="14" s="1"/>
  <c r="O161" i="14"/>
  <c r="W161" i="14" s="1"/>
  <c r="P161" i="14"/>
  <c r="X161" i="14" s="1"/>
  <c r="O41" i="15"/>
  <c r="Q41" i="15" s="1"/>
  <c r="I42" i="15"/>
  <c r="I43" i="15" s="1"/>
  <c r="C161" i="5"/>
  <c r="D160" i="5"/>
  <c r="H160" i="5" s="1"/>
  <c r="I164" i="5"/>
  <c r="A163" i="5"/>
  <c r="D160" i="17"/>
  <c r="H160" i="17" s="1"/>
  <c r="C161" i="17"/>
  <c r="I166" i="17"/>
  <c r="A165" i="17"/>
  <c r="F139" i="14"/>
  <c r="E140" i="14"/>
  <c r="E110" i="17"/>
  <c r="F109" i="17"/>
  <c r="G97" i="20"/>
  <c r="O97" i="20" s="1"/>
  <c r="K17" i="20"/>
  <c r="BW24" i="16"/>
  <c r="BL24" i="16"/>
  <c r="BP24" i="16"/>
  <c r="BO24" i="16"/>
  <c r="BR27" i="8"/>
  <c r="BX27" i="8" s="1"/>
  <c r="D17" i="28"/>
  <c r="AF182" i="20"/>
  <c r="AF101" i="20"/>
  <c r="AQ21" i="20"/>
  <c r="AF142" i="20"/>
  <c r="AU17" i="20"/>
  <c r="A17" i="20"/>
  <c r="G178" i="20"/>
  <c r="O178" i="20" s="1"/>
  <c r="G56" i="20"/>
  <c r="O56" i="20" s="1"/>
  <c r="N17" i="20"/>
  <c r="M17" i="20"/>
  <c r="F18" i="20"/>
  <c r="F57" i="20" s="1"/>
  <c r="E95" i="26" s="1"/>
  <c r="CA23" i="16"/>
  <c r="CR23" i="16" s="1"/>
  <c r="CU23" i="16" s="1"/>
  <c r="M138" i="20"/>
  <c r="N138" i="20"/>
  <c r="CJ26" i="8"/>
  <c r="J24" i="2" s="1"/>
  <c r="D21" i="20"/>
  <c r="I20" i="20"/>
  <c r="AB141" i="20"/>
  <c r="C19" i="24"/>
  <c r="AB181" i="20"/>
  <c r="AB100" i="20"/>
  <c r="AJ25" i="16"/>
  <c r="AK25" i="16" s="1"/>
  <c r="AU24" i="16"/>
  <c r="AU27" i="8"/>
  <c r="BA113" i="8" s="1"/>
  <c r="AJ28" i="8"/>
  <c r="AK28" i="8" s="1"/>
  <c r="BM28" i="8" s="1"/>
  <c r="AO27" i="8"/>
  <c r="AP27" i="8" s="1"/>
  <c r="F109" i="5"/>
  <c r="E110" i="5"/>
  <c r="A161" i="14"/>
  <c r="I162" i="14"/>
  <c r="N97" i="20" l="1"/>
  <c r="M97" i="20"/>
  <c r="N162" i="14"/>
  <c r="V162" i="14" s="1"/>
  <c r="O162" i="14"/>
  <c r="W162" i="14" s="1"/>
  <c r="J162" i="14"/>
  <c r="R162" i="14" s="1"/>
  <c r="K162" i="14"/>
  <c r="S162" i="14" s="1"/>
  <c r="L162" i="14"/>
  <c r="T162" i="14" s="1"/>
  <c r="M162" i="14"/>
  <c r="U162" i="14" s="1"/>
  <c r="P162" i="14"/>
  <c r="X162" i="14" s="1"/>
  <c r="Y161" i="14"/>
  <c r="Z161" i="14" s="1"/>
  <c r="G44" i="15" s="1"/>
  <c r="H44" i="15" s="1"/>
  <c r="I44" i="15" s="1"/>
  <c r="A166" i="17"/>
  <c r="I167" i="17"/>
  <c r="A167" i="17" s="1"/>
  <c r="C162" i="17"/>
  <c r="D161" i="17"/>
  <c r="H161" i="17" s="1"/>
  <c r="I165" i="5"/>
  <c r="A164" i="5"/>
  <c r="E141" i="14"/>
  <c r="F140" i="14"/>
  <c r="E111" i="17"/>
  <c r="F110" i="17"/>
  <c r="C162" i="5"/>
  <c r="D161" i="5"/>
  <c r="H161" i="5" s="1"/>
  <c r="M56" i="20"/>
  <c r="F98" i="20"/>
  <c r="F95" i="26" s="1"/>
  <c r="BM25" i="16"/>
  <c r="BT27" i="8"/>
  <c r="BO28" i="8"/>
  <c r="BP28" i="8"/>
  <c r="BL28" i="8"/>
  <c r="CO27" i="8"/>
  <c r="F24" i="21"/>
  <c r="E28" i="27" s="1"/>
  <c r="DI27" i="15"/>
  <c r="DL27" i="15" s="1"/>
  <c r="BU27" i="8"/>
  <c r="Q22" i="20"/>
  <c r="CQ27" i="16"/>
  <c r="CT27" i="16" s="1"/>
  <c r="N56" i="20"/>
  <c r="N178" i="20"/>
  <c r="M178" i="20"/>
  <c r="G18" i="20"/>
  <c r="O18" i="20" s="1"/>
  <c r="F139" i="20"/>
  <c r="G95" i="26" s="1"/>
  <c r="F179" i="20"/>
  <c r="H95" i="26" s="1"/>
  <c r="CM23" i="16"/>
  <c r="G57" i="20"/>
  <c r="O57" i="20" s="1"/>
  <c r="U21" i="20"/>
  <c r="D56" i="28" s="1"/>
  <c r="D182" i="20"/>
  <c r="H16" i="26" s="1"/>
  <c r="D101" i="20"/>
  <c r="F16" i="26" s="1"/>
  <c r="D142" i="20"/>
  <c r="G16" i="26" s="1"/>
  <c r="D60" i="20"/>
  <c r="E16" i="26" s="1"/>
  <c r="AM28" i="8"/>
  <c r="AQ28" i="8"/>
  <c r="AV24" i="16"/>
  <c r="AX24" i="16"/>
  <c r="BT24" i="16" s="1"/>
  <c r="I163" i="14"/>
  <c r="A162" i="14"/>
  <c r="E111" i="5"/>
  <c r="F110" i="5"/>
  <c r="AV27" i="8"/>
  <c r="AX27" i="8"/>
  <c r="BB113" i="8" s="1"/>
  <c r="AM25" i="16"/>
  <c r="AQ25" i="16"/>
  <c r="Y162" i="14" l="1"/>
  <c r="Z162" i="14" s="1"/>
  <c r="G45" i="15" s="1"/>
  <c r="H45" i="15" s="1"/>
  <c r="I45" i="15" s="1"/>
  <c r="J163" i="14"/>
  <c r="R163" i="14" s="1"/>
  <c r="K163" i="14"/>
  <c r="S163" i="14" s="1"/>
  <c r="L163" i="14"/>
  <c r="T163" i="14" s="1"/>
  <c r="M163" i="14"/>
  <c r="U163" i="14" s="1"/>
  <c r="N163" i="14"/>
  <c r="V163" i="14" s="1"/>
  <c r="P163" i="14"/>
  <c r="X163" i="14" s="1"/>
  <c r="O163" i="14"/>
  <c r="W163" i="14" s="1"/>
  <c r="D162" i="5"/>
  <c r="H162" i="5" s="1"/>
  <c r="C163" i="5"/>
  <c r="F141" i="14"/>
  <c r="E142" i="14"/>
  <c r="A165" i="5"/>
  <c r="I166" i="5"/>
  <c r="C163" i="17"/>
  <c r="D162" i="17"/>
  <c r="H162" i="17" s="1"/>
  <c r="E112" i="17"/>
  <c r="F111" i="17"/>
  <c r="G98" i="20"/>
  <c r="O98" i="20" s="1"/>
  <c r="BW25" i="16"/>
  <c r="BP25" i="16"/>
  <c r="BO25" i="16"/>
  <c r="BL25" i="16"/>
  <c r="D18" i="28"/>
  <c r="AQ22" i="20"/>
  <c r="AF102" i="20"/>
  <c r="AF143" i="20"/>
  <c r="AF183" i="20"/>
  <c r="BR28" i="8"/>
  <c r="BX28" i="8" s="1"/>
  <c r="G179" i="20"/>
  <c r="O179" i="20" s="1"/>
  <c r="K18" i="20"/>
  <c r="G139" i="20"/>
  <c r="O139" i="20" s="1"/>
  <c r="AU18" i="20"/>
  <c r="N18" i="20"/>
  <c r="A18" i="20"/>
  <c r="M18" i="20"/>
  <c r="F19" i="20"/>
  <c r="F180" i="20" s="1"/>
  <c r="H96" i="26" s="1"/>
  <c r="CA24" i="16"/>
  <c r="CR24" i="16" s="1"/>
  <c r="CU24" i="16" s="1"/>
  <c r="F140" i="20"/>
  <c r="G96" i="26" s="1"/>
  <c r="M57" i="20"/>
  <c r="N57" i="20"/>
  <c r="I21" i="20"/>
  <c r="AB182" i="20"/>
  <c r="CJ27" i="8"/>
  <c r="J25" i="2" s="1"/>
  <c r="D22" i="20"/>
  <c r="AB142" i="20"/>
  <c r="AB101" i="20"/>
  <c r="C20" i="24"/>
  <c r="AJ26" i="16"/>
  <c r="AK26" i="16" s="1"/>
  <c r="BM26" i="16" s="1"/>
  <c r="AO25" i="16"/>
  <c r="AP25" i="16" s="1"/>
  <c r="AU25" i="16"/>
  <c r="E112" i="5"/>
  <c r="F111" i="5"/>
  <c r="I164" i="14"/>
  <c r="A163" i="14"/>
  <c r="AJ29" i="8"/>
  <c r="AK29" i="8" s="1"/>
  <c r="BM29" i="8" s="1"/>
  <c r="AU28" i="8"/>
  <c r="BA114" i="8" s="1"/>
  <c r="Y163" i="14" l="1"/>
  <c r="Z163" i="14" s="1"/>
  <c r="G46" i="15" s="1"/>
  <c r="H46" i="15" s="1"/>
  <c r="I46" i="15" s="1"/>
  <c r="L164" i="14"/>
  <c r="T164" i="14" s="1"/>
  <c r="M164" i="14"/>
  <c r="U164" i="14" s="1"/>
  <c r="O164" i="14"/>
  <c r="W164" i="14" s="1"/>
  <c r="P164" i="14"/>
  <c r="X164" i="14" s="1"/>
  <c r="K164" i="14"/>
  <c r="S164" i="14" s="1"/>
  <c r="N164" i="14"/>
  <c r="V164" i="14" s="1"/>
  <c r="J164" i="14"/>
  <c r="R164" i="14" s="1"/>
  <c r="E113" i="17"/>
  <c r="F112" i="17"/>
  <c r="A166" i="5"/>
  <c r="I167" i="5"/>
  <c r="A167" i="5" s="1"/>
  <c r="E143" i="14"/>
  <c r="F142" i="14"/>
  <c r="C164" i="5"/>
  <c r="D163" i="5"/>
  <c r="H163" i="5" s="1"/>
  <c r="C164" i="17"/>
  <c r="D163" i="17"/>
  <c r="H163" i="17" s="1"/>
  <c r="N98" i="20"/>
  <c r="M98" i="20"/>
  <c r="M179" i="20"/>
  <c r="BW26" i="16"/>
  <c r="BP26" i="16"/>
  <c r="BO26" i="16"/>
  <c r="BL26" i="16"/>
  <c r="BP29" i="8"/>
  <c r="BO29" i="8"/>
  <c r="BL29" i="8"/>
  <c r="CO28" i="8"/>
  <c r="CQ28" i="16"/>
  <c r="CT28" i="16" s="1"/>
  <c r="F25" i="21"/>
  <c r="E29" i="27" s="1"/>
  <c r="DI28" i="15"/>
  <c r="DL28" i="15" s="1"/>
  <c r="Q23" i="20"/>
  <c r="N179" i="20"/>
  <c r="N139" i="20"/>
  <c r="M139" i="20"/>
  <c r="G19" i="20"/>
  <c r="O19" i="20" s="1"/>
  <c r="CM24" i="16"/>
  <c r="F58" i="20"/>
  <c r="E96" i="26" s="1"/>
  <c r="F99" i="20"/>
  <c r="F96" i="26" s="1"/>
  <c r="G140" i="20"/>
  <c r="G180" i="20"/>
  <c r="U22" i="20"/>
  <c r="D57" i="28" s="1"/>
  <c r="D61" i="20"/>
  <c r="E17" i="26" s="1"/>
  <c r="D143" i="20"/>
  <c r="G17" i="26" s="1"/>
  <c r="D102" i="20"/>
  <c r="F17" i="26" s="1"/>
  <c r="D183" i="20"/>
  <c r="H17" i="26" s="1"/>
  <c r="AM29" i="8"/>
  <c r="AQ29" i="8"/>
  <c r="AX28" i="8"/>
  <c r="BB114" i="8" s="1"/>
  <c r="AV28" i="8"/>
  <c r="AV25" i="16"/>
  <c r="AX25" i="16"/>
  <c r="BT25" i="16" s="1"/>
  <c r="AM26" i="16"/>
  <c r="AQ26" i="16"/>
  <c r="I165" i="14"/>
  <c r="A164" i="14"/>
  <c r="E113" i="5"/>
  <c r="F112" i="5"/>
  <c r="Y164" i="14" l="1"/>
  <c r="Z164" i="14" s="1"/>
  <c r="G47" i="15" s="1"/>
  <c r="H47" i="15" s="1"/>
  <c r="I47" i="15" s="1"/>
  <c r="L165" i="14"/>
  <c r="T165" i="14" s="1"/>
  <c r="M165" i="14"/>
  <c r="U165" i="14" s="1"/>
  <c r="J165" i="14"/>
  <c r="R165" i="14" s="1"/>
  <c r="K165" i="14"/>
  <c r="S165" i="14" s="1"/>
  <c r="N165" i="14"/>
  <c r="V165" i="14" s="1"/>
  <c r="O165" i="14"/>
  <c r="W165" i="14" s="1"/>
  <c r="P165" i="14"/>
  <c r="X165" i="14" s="1"/>
  <c r="C165" i="5"/>
  <c r="D164" i="5"/>
  <c r="H164" i="5" s="1"/>
  <c r="E144" i="14"/>
  <c r="F143" i="14"/>
  <c r="C165" i="17"/>
  <c r="D164" i="17"/>
  <c r="H164" i="17" s="1"/>
  <c r="F113" i="17"/>
  <c r="E114" i="17"/>
  <c r="M19" i="20"/>
  <c r="BR29" i="8"/>
  <c r="BT29" i="8" s="1"/>
  <c r="D19" i="28"/>
  <c r="AF184" i="20"/>
  <c r="AF144" i="20"/>
  <c r="AQ23" i="20"/>
  <c r="AF103" i="20"/>
  <c r="N19" i="20"/>
  <c r="A19" i="20"/>
  <c r="AU19" i="20"/>
  <c r="G99" i="20"/>
  <c r="O99" i="20" s="1"/>
  <c r="K19" i="20"/>
  <c r="G58" i="20"/>
  <c r="O58" i="20" s="1"/>
  <c r="F20" i="20"/>
  <c r="F141" i="20" s="1"/>
  <c r="G97" i="26" s="1"/>
  <c r="CA25" i="16"/>
  <c r="CR25" i="16" s="1"/>
  <c r="CU25" i="16" s="1"/>
  <c r="M180" i="20"/>
  <c r="N180" i="20"/>
  <c r="M140" i="20"/>
  <c r="N140" i="20"/>
  <c r="O180" i="20"/>
  <c r="O140" i="20"/>
  <c r="AB102" i="20"/>
  <c r="I22" i="20"/>
  <c r="C21" i="24"/>
  <c r="CJ28" i="8"/>
  <c r="J26" i="2" s="1"/>
  <c r="D23" i="20"/>
  <c r="AB183" i="20"/>
  <c r="AB143" i="20"/>
  <c r="F113" i="5"/>
  <c r="E114" i="5"/>
  <c r="A165" i="14"/>
  <c r="I166" i="14"/>
  <c r="AJ27" i="16"/>
  <c r="AK27" i="16" s="1"/>
  <c r="BM27" i="16" s="1"/>
  <c r="AU26" i="16"/>
  <c r="AU29" i="8"/>
  <c r="BA115" i="8" s="1"/>
  <c r="AO29" i="8"/>
  <c r="AP29" i="8" s="1"/>
  <c r="AJ30" i="8"/>
  <c r="AK30" i="8" s="1"/>
  <c r="BM30" i="8" s="1"/>
  <c r="Y165" i="14" l="1"/>
  <c r="Z165" i="14" s="1"/>
  <c r="G48" i="15" s="1"/>
  <c r="H48" i="15" s="1"/>
  <c r="I48" i="15" s="1"/>
  <c r="J166" i="14"/>
  <c r="R166" i="14" s="1"/>
  <c r="K166" i="14"/>
  <c r="S166" i="14" s="1"/>
  <c r="L166" i="14"/>
  <c r="T166" i="14" s="1"/>
  <c r="M166" i="14"/>
  <c r="U166" i="14" s="1"/>
  <c r="O166" i="14"/>
  <c r="W166" i="14" s="1"/>
  <c r="P166" i="14"/>
  <c r="X166" i="14" s="1"/>
  <c r="N166" i="14"/>
  <c r="V166" i="14" s="1"/>
  <c r="C166" i="17"/>
  <c r="D165" i="17"/>
  <c r="H165" i="17" s="1"/>
  <c r="F144" i="14"/>
  <c r="E145" i="14"/>
  <c r="F114" i="17"/>
  <c r="E115" i="17"/>
  <c r="D165" i="5"/>
  <c r="H165" i="5" s="1"/>
  <c r="C166" i="5"/>
  <c r="M99" i="20"/>
  <c r="F100" i="20"/>
  <c r="F97" i="26" s="1"/>
  <c r="CM25" i="16"/>
  <c r="BW27" i="16"/>
  <c r="BP27" i="16"/>
  <c r="BL27" i="16"/>
  <c r="BO27" i="16"/>
  <c r="BX29" i="8"/>
  <c r="CO29" i="8" s="1"/>
  <c r="BO30" i="8"/>
  <c r="BL30" i="8"/>
  <c r="BP30" i="8"/>
  <c r="M58" i="20"/>
  <c r="G20" i="20"/>
  <c r="O20" i="20" s="1"/>
  <c r="N58" i="20"/>
  <c r="N99" i="20"/>
  <c r="F181" i="20"/>
  <c r="H97" i="26" s="1"/>
  <c r="F59" i="20"/>
  <c r="E97" i="26" s="1"/>
  <c r="G141" i="20"/>
  <c r="O141" i="20" s="1"/>
  <c r="U23" i="20"/>
  <c r="D58" i="28" s="1"/>
  <c r="D184" i="20"/>
  <c r="H18" i="26" s="1"/>
  <c r="D62" i="20"/>
  <c r="E18" i="26" s="1"/>
  <c r="D144" i="20"/>
  <c r="G18" i="26" s="1"/>
  <c r="D103" i="20"/>
  <c r="F18" i="26" s="1"/>
  <c r="AM30" i="8"/>
  <c r="AQ30" i="8"/>
  <c r="AV29" i="8"/>
  <c r="AX29" i="8"/>
  <c r="BB115" i="8" s="1"/>
  <c r="AX26" i="16"/>
  <c r="BT26" i="16" s="1"/>
  <c r="AV26" i="16"/>
  <c r="I167" i="14"/>
  <c r="A166" i="14"/>
  <c r="E115" i="5"/>
  <c r="F114" i="5"/>
  <c r="AM27" i="16"/>
  <c r="AQ27" i="16"/>
  <c r="A167" i="14" l="1"/>
  <c r="O167" i="14"/>
  <c r="W167" i="14" s="1"/>
  <c r="P167" i="14"/>
  <c r="X167" i="14" s="1"/>
  <c r="J167" i="14"/>
  <c r="R167" i="14" s="1"/>
  <c r="K167" i="14"/>
  <c r="S167" i="14" s="1"/>
  <c r="L167" i="14"/>
  <c r="T167" i="14" s="1"/>
  <c r="M167" i="14"/>
  <c r="U167" i="14" s="1"/>
  <c r="N167" i="14"/>
  <c r="V167" i="14" s="1"/>
  <c r="Y166" i="14"/>
  <c r="Z166" i="14" s="1"/>
  <c r="D166" i="5"/>
  <c r="H166" i="5" s="1"/>
  <c r="C167" i="5"/>
  <c r="D167" i="5" s="1"/>
  <c r="F145" i="14"/>
  <c r="E146" i="14"/>
  <c r="E116" i="17"/>
  <c r="F115" i="17"/>
  <c r="C167" i="17"/>
  <c r="D167" i="17" s="1"/>
  <c r="D166" i="17"/>
  <c r="H166" i="17" s="1"/>
  <c r="G100" i="20"/>
  <c r="O100" i="20" s="1"/>
  <c r="CQ29" i="16"/>
  <c r="CT29" i="16" s="1"/>
  <c r="Q24" i="20"/>
  <c r="AQ24" i="20" s="1"/>
  <c r="DI29" i="15"/>
  <c r="DL29" i="15" s="1"/>
  <c r="F26" i="21"/>
  <c r="E30" i="27" s="1"/>
  <c r="BR30" i="8"/>
  <c r="BX30" i="8" s="1"/>
  <c r="M20" i="20"/>
  <c r="G181" i="20"/>
  <c r="O181" i="20" s="1"/>
  <c r="K20" i="20"/>
  <c r="N20" i="20"/>
  <c r="A20" i="20"/>
  <c r="AU20" i="20"/>
  <c r="G59" i="20"/>
  <c r="O59" i="20" s="1"/>
  <c r="F21" i="20"/>
  <c r="F142" i="20" s="1"/>
  <c r="G98" i="26" s="1"/>
  <c r="CA26" i="16"/>
  <c r="CR26" i="16" s="1"/>
  <c r="CU26" i="16" s="1"/>
  <c r="M141" i="20"/>
  <c r="N141" i="20"/>
  <c r="AB144" i="20"/>
  <c r="AB184" i="20"/>
  <c r="C22" i="24"/>
  <c r="CJ29" i="8"/>
  <c r="J27" i="2" s="1"/>
  <c r="D24" i="20"/>
  <c r="AB103" i="20"/>
  <c r="I23" i="20"/>
  <c r="AO27" i="16"/>
  <c r="AP27" i="16" s="1"/>
  <c r="AU27" i="16"/>
  <c r="AJ28" i="16"/>
  <c r="AK28" i="16" s="1"/>
  <c r="BM28" i="16" s="1"/>
  <c r="E116" i="5"/>
  <c r="F115" i="5"/>
  <c r="AU30" i="8"/>
  <c r="BA116" i="8" s="1"/>
  <c r="AJ31" i="8"/>
  <c r="AK31" i="8" s="1"/>
  <c r="BM31" i="8" s="1"/>
  <c r="Y167" i="14" l="1"/>
  <c r="Z167" i="14" s="1"/>
  <c r="H167" i="17"/>
  <c r="L126" i="17"/>
  <c r="T126" i="17" s="1"/>
  <c r="M126" i="17"/>
  <c r="U126" i="17" s="1"/>
  <c r="M128" i="17"/>
  <c r="U128" i="17" s="1"/>
  <c r="K126" i="17"/>
  <c r="S126" i="17" s="1"/>
  <c r="L128" i="17"/>
  <c r="T128" i="17" s="1"/>
  <c r="K128" i="17"/>
  <c r="S128" i="17" s="1"/>
  <c r="M127" i="17"/>
  <c r="U127" i="17" s="1"/>
  <c r="K127" i="17"/>
  <c r="S127" i="17" s="1"/>
  <c r="K129" i="17"/>
  <c r="S129" i="17" s="1"/>
  <c r="L127" i="17"/>
  <c r="T127" i="17" s="1"/>
  <c r="L129" i="17"/>
  <c r="T129" i="17" s="1"/>
  <c r="N129" i="17"/>
  <c r="V129" i="17" s="1"/>
  <c r="N126" i="17"/>
  <c r="V126" i="17" s="1"/>
  <c r="N128" i="17"/>
  <c r="V128" i="17" s="1"/>
  <c r="M129" i="17"/>
  <c r="U129" i="17" s="1"/>
  <c r="N127" i="17"/>
  <c r="V127" i="17" s="1"/>
  <c r="M130" i="17"/>
  <c r="U130" i="17" s="1"/>
  <c r="L130" i="17"/>
  <c r="T130" i="17" s="1"/>
  <c r="N130" i="17"/>
  <c r="V130" i="17" s="1"/>
  <c r="N131" i="17"/>
  <c r="V131" i="17" s="1"/>
  <c r="M132" i="17"/>
  <c r="U132" i="17" s="1"/>
  <c r="L131" i="17"/>
  <c r="T131" i="17" s="1"/>
  <c r="M131" i="17"/>
  <c r="U131" i="17" s="1"/>
  <c r="O132" i="17"/>
  <c r="L132" i="17"/>
  <c r="T132" i="17" s="1"/>
  <c r="N132" i="17"/>
  <c r="V132" i="17" s="1"/>
  <c r="M133" i="17"/>
  <c r="U133" i="17" s="1"/>
  <c r="O134" i="17"/>
  <c r="N133" i="17"/>
  <c r="V133" i="17" s="1"/>
  <c r="N134" i="17"/>
  <c r="V134" i="17" s="1"/>
  <c r="M134" i="17"/>
  <c r="U134" i="17" s="1"/>
  <c r="O133" i="17"/>
  <c r="N137" i="17"/>
  <c r="V137" i="17" s="1"/>
  <c r="O136" i="17"/>
  <c r="N136" i="17"/>
  <c r="V136" i="17" s="1"/>
  <c r="M136" i="17"/>
  <c r="U136" i="17" s="1"/>
  <c r="M135" i="17"/>
  <c r="U135" i="17" s="1"/>
  <c r="N135" i="17"/>
  <c r="V135" i="17" s="1"/>
  <c r="O135" i="17"/>
  <c r="N138" i="17"/>
  <c r="V138" i="17" s="1"/>
  <c r="M137" i="17"/>
  <c r="U137" i="17" s="1"/>
  <c r="M138" i="17"/>
  <c r="U138" i="17" s="1"/>
  <c r="O137" i="17"/>
  <c r="N140" i="17"/>
  <c r="V140" i="17" s="1"/>
  <c r="O140" i="17"/>
  <c r="O139" i="17"/>
  <c r="O138" i="17"/>
  <c r="N139" i="17"/>
  <c r="V139" i="17" s="1"/>
  <c r="N141" i="17"/>
  <c r="V141" i="17" s="1"/>
  <c r="O141" i="17"/>
  <c r="O142" i="17"/>
  <c r="O143" i="17"/>
  <c r="N143" i="17"/>
  <c r="V143" i="17" s="1"/>
  <c r="N142" i="17"/>
  <c r="V142" i="17" s="1"/>
  <c r="O145" i="17"/>
  <c r="O144" i="17"/>
  <c r="O147" i="17"/>
  <c r="P147" i="17"/>
  <c r="X147" i="17" s="1"/>
  <c r="O146" i="17"/>
  <c r="P146" i="17"/>
  <c r="P148" i="17"/>
  <c r="X148" i="17" s="1"/>
  <c r="O148" i="17"/>
  <c r="P149" i="17"/>
  <c r="X149" i="17" s="1"/>
  <c r="P150" i="17"/>
  <c r="X150" i="17" s="1"/>
  <c r="P151" i="17"/>
  <c r="X151" i="17" s="1"/>
  <c r="P152" i="17"/>
  <c r="X152" i="17" s="1"/>
  <c r="F116" i="17"/>
  <c r="E117" i="17"/>
  <c r="F146" i="14"/>
  <c r="E147" i="14"/>
  <c r="K128" i="5"/>
  <c r="S128" i="5" s="1"/>
  <c r="L128" i="5"/>
  <c r="T128" i="5" s="1"/>
  <c r="K126" i="5"/>
  <c r="S126" i="5" s="1"/>
  <c r="K127" i="5"/>
  <c r="S127" i="5" s="1"/>
  <c r="H167" i="5"/>
  <c r="M133" i="5"/>
  <c r="U133" i="5" s="1"/>
  <c r="L130" i="5"/>
  <c r="T130" i="5" s="1"/>
  <c r="L129" i="5"/>
  <c r="T129" i="5" s="1"/>
  <c r="L132" i="5"/>
  <c r="T132" i="5" s="1"/>
  <c r="M132" i="5"/>
  <c r="U132" i="5" s="1"/>
  <c r="L131" i="5"/>
  <c r="T131" i="5" s="1"/>
  <c r="M134" i="5"/>
  <c r="U134" i="5" s="1"/>
  <c r="M137" i="5"/>
  <c r="U137" i="5" s="1"/>
  <c r="M135" i="5"/>
  <c r="U135" i="5" s="1"/>
  <c r="M136" i="5"/>
  <c r="U136" i="5" s="1"/>
  <c r="N130" i="5"/>
  <c r="V130" i="5" s="1"/>
  <c r="N138" i="5"/>
  <c r="V138" i="5" s="1"/>
  <c r="O138" i="5"/>
  <c r="L126" i="5"/>
  <c r="T126" i="5" s="1"/>
  <c r="N129" i="5"/>
  <c r="V129" i="5" s="1"/>
  <c r="N132" i="5"/>
  <c r="V132" i="5" s="1"/>
  <c r="M128" i="5"/>
  <c r="U128" i="5" s="1"/>
  <c r="O132" i="5"/>
  <c r="N137" i="5"/>
  <c r="V137" i="5" s="1"/>
  <c r="M126" i="5"/>
  <c r="U126" i="5" s="1"/>
  <c r="O135" i="5"/>
  <c r="O133" i="5"/>
  <c r="N127" i="5"/>
  <c r="V127" i="5" s="1"/>
  <c r="M129" i="5"/>
  <c r="U129" i="5" s="1"/>
  <c r="N126" i="5"/>
  <c r="V126" i="5" s="1"/>
  <c r="M131" i="5"/>
  <c r="U131" i="5" s="1"/>
  <c r="N136" i="5"/>
  <c r="V136" i="5" s="1"/>
  <c r="N131" i="5"/>
  <c r="V131" i="5" s="1"/>
  <c r="M127" i="5"/>
  <c r="U127" i="5" s="1"/>
  <c r="O136" i="5"/>
  <c r="N128" i="5"/>
  <c r="V128" i="5" s="1"/>
  <c r="O137" i="5"/>
  <c r="W137" i="5" s="1"/>
  <c r="N133" i="5"/>
  <c r="V133" i="5" s="1"/>
  <c r="O134" i="5"/>
  <c r="N134" i="5"/>
  <c r="V134" i="5" s="1"/>
  <c r="N135" i="5"/>
  <c r="V135" i="5" s="1"/>
  <c r="M130" i="5"/>
  <c r="U130" i="5" s="1"/>
  <c r="O139" i="5"/>
  <c r="N139" i="5"/>
  <c r="V139" i="5" s="1"/>
  <c r="N140" i="5"/>
  <c r="V140" i="5" s="1"/>
  <c r="O140" i="5"/>
  <c r="W140" i="5" s="1"/>
  <c r="O141" i="5"/>
  <c r="W141" i="5" s="1"/>
  <c r="N141" i="5"/>
  <c r="V141" i="5" s="1"/>
  <c r="O142" i="5"/>
  <c r="W142" i="5" s="1"/>
  <c r="O147" i="5"/>
  <c r="O143" i="5"/>
  <c r="W143" i="5" s="1"/>
  <c r="O144" i="5"/>
  <c r="W144" i="5" s="1"/>
  <c r="P147" i="5"/>
  <c r="O145" i="5"/>
  <c r="W145" i="5" s="1"/>
  <c r="O146" i="5"/>
  <c r="P146" i="5"/>
  <c r="P148" i="5"/>
  <c r="X148" i="5" s="1"/>
  <c r="P149" i="5"/>
  <c r="X149" i="5" s="1"/>
  <c r="P150" i="5"/>
  <c r="X150" i="5" s="1"/>
  <c r="P152" i="5"/>
  <c r="X152" i="5" s="1"/>
  <c r="P151" i="5"/>
  <c r="X151" i="5" s="1"/>
  <c r="M100" i="20"/>
  <c r="N100" i="20"/>
  <c r="D20" i="28"/>
  <c r="AF145" i="20"/>
  <c r="AF104" i="20"/>
  <c r="M181" i="20"/>
  <c r="AF185" i="20"/>
  <c r="BW28" i="16"/>
  <c r="BO28" i="16"/>
  <c r="BL28" i="16"/>
  <c r="BP28" i="16"/>
  <c r="BL31" i="8"/>
  <c r="BP31" i="8"/>
  <c r="BO31" i="8"/>
  <c r="CQ30" i="16"/>
  <c r="CT30" i="16" s="1"/>
  <c r="DI30" i="15"/>
  <c r="DL30" i="15" s="1"/>
  <c r="F27" i="21"/>
  <c r="E31" i="27" s="1"/>
  <c r="CO30" i="8"/>
  <c r="Q25" i="20"/>
  <c r="N181" i="20"/>
  <c r="M59" i="20"/>
  <c r="CM26" i="16"/>
  <c r="N59" i="20"/>
  <c r="F101" i="20"/>
  <c r="F98" i="26" s="1"/>
  <c r="G21" i="20"/>
  <c r="O21" i="20" s="1"/>
  <c r="F182" i="20"/>
  <c r="H98" i="26" s="1"/>
  <c r="F60" i="20"/>
  <c r="E98" i="26" s="1"/>
  <c r="G142" i="20"/>
  <c r="O142" i="20" s="1"/>
  <c r="U24" i="20"/>
  <c r="D59" i="28" s="1"/>
  <c r="D145" i="20"/>
  <c r="G19" i="26" s="1"/>
  <c r="D104" i="20"/>
  <c r="F19" i="26" s="1"/>
  <c r="D63" i="20"/>
  <c r="E19" i="26" s="1"/>
  <c r="D185" i="20"/>
  <c r="H19" i="26" s="1"/>
  <c r="AM31" i="8"/>
  <c r="AQ31" i="8"/>
  <c r="AM28" i="16"/>
  <c r="AQ28" i="16"/>
  <c r="AX30" i="8"/>
  <c r="BB116" i="8" s="1"/>
  <c r="AV30" i="8"/>
  <c r="E117" i="5"/>
  <c r="F116" i="5"/>
  <c r="AX27" i="16"/>
  <c r="BT27" i="16" s="1"/>
  <c r="AV27" i="16"/>
  <c r="E148" i="14" l="1"/>
  <c r="F147" i="14"/>
  <c r="W139" i="17"/>
  <c r="W136" i="17"/>
  <c r="W136" i="5"/>
  <c r="W132" i="5"/>
  <c r="W147" i="17"/>
  <c r="Y147" i="17" s="1"/>
  <c r="W140" i="17"/>
  <c r="F117" i="17"/>
  <c r="E118" i="17"/>
  <c r="W144" i="17"/>
  <c r="W133" i="17"/>
  <c r="W130" i="17"/>
  <c r="W146" i="17"/>
  <c r="W126" i="17"/>
  <c r="W127" i="17"/>
  <c r="W128" i="17"/>
  <c r="W129" i="17"/>
  <c r="W131" i="17"/>
  <c r="W152" i="17"/>
  <c r="Y152" i="17" s="1"/>
  <c r="W153" i="17"/>
  <c r="W151" i="17"/>
  <c r="Y151" i="17" s="1"/>
  <c r="W154" i="17"/>
  <c r="W150" i="17"/>
  <c r="Y150" i="17" s="1"/>
  <c r="W149" i="17"/>
  <c r="Y149" i="17" s="1"/>
  <c r="W155" i="17"/>
  <c r="W156" i="17"/>
  <c r="W145" i="17"/>
  <c r="W137" i="17"/>
  <c r="X135" i="5"/>
  <c r="X136" i="5"/>
  <c r="X134" i="5"/>
  <c r="X132" i="5"/>
  <c r="X146" i="5"/>
  <c r="X126" i="5"/>
  <c r="X127" i="5"/>
  <c r="X128" i="5"/>
  <c r="X129" i="5"/>
  <c r="X133" i="5"/>
  <c r="X130" i="5"/>
  <c r="X131" i="5"/>
  <c r="X137" i="5"/>
  <c r="Y137" i="5" s="1"/>
  <c r="X138" i="5"/>
  <c r="X139" i="5"/>
  <c r="X140" i="5"/>
  <c r="Y140" i="5" s="1"/>
  <c r="X141" i="5"/>
  <c r="Y141" i="5" s="1"/>
  <c r="X142" i="5"/>
  <c r="Y142" i="5" s="1"/>
  <c r="X143" i="5"/>
  <c r="Y143" i="5" s="1"/>
  <c r="X144" i="5"/>
  <c r="Y144" i="5" s="1"/>
  <c r="X145" i="5"/>
  <c r="Y145" i="5" s="1"/>
  <c r="X156" i="5"/>
  <c r="X155" i="5"/>
  <c r="X154" i="5"/>
  <c r="X153" i="5"/>
  <c r="Y151" i="5"/>
  <c r="W146" i="5"/>
  <c r="W126" i="5"/>
  <c r="W127" i="5"/>
  <c r="W128" i="5"/>
  <c r="W129" i="5"/>
  <c r="W130" i="5"/>
  <c r="W131" i="5"/>
  <c r="W151" i="5"/>
  <c r="W150" i="5"/>
  <c r="Y150" i="5" s="1"/>
  <c r="W152" i="5"/>
  <c r="Y152" i="5" s="1"/>
  <c r="W153" i="5"/>
  <c r="W149" i="5"/>
  <c r="Y149" i="5" s="1"/>
  <c r="W154" i="5"/>
  <c r="W148" i="5"/>
  <c r="Y148" i="5" s="1"/>
  <c r="W155" i="5"/>
  <c r="W156" i="5"/>
  <c r="W139" i="5"/>
  <c r="W138" i="5"/>
  <c r="W143" i="17"/>
  <c r="W134" i="17"/>
  <c r="X147" i="5"/>
  <c r="W142" i="17"/>
  <c r="W135" i="17"/>
  <c r="W138" i="17"/>
  <c r="W148" i="17"/>
  <c r="Y148" i="17" s="1"/>
  <c r="W141" i="17"/>
  <c r="W134" i="5"/>
  <c r="W133" i="5"/>
  <c r="W147" i="5"/>
  <c r="W135" i="5"/>
  <c r="X144" i="17"/>
  <c r="X146" i="17"/>
  <c r="X137" i="17"/>
  <c r="X139" i="17"/>
  <c r="Y139" i="17" s="1"/>
  <c r="X129" i="17"/>
  <c r="Y129" i="17" s="1"/>
  <c r="X126" i="17"/>
  <c r="Y126" i="17" s="1"/>
  <c r="X138" i="17"/>
  <c r="X127" i="17"/>
  <c r="X131" i="17"/>
  <c r="X128" i="17"/>
  <c r="X141" i="17"/>
  <c r="Y141" i="17" s="1"/>
  <c r="X134" i="17"/>
  <c r="X140" i="17"/>
  <c r="X142" i="17"/>
  <c r="X130" i="17"/>
  <c r="X143" i="17"/>
  <c r="X132" i="17"/>
  <c r="X133" i="17"/>
  <c r="X135" i="17"/>
  <c r="X136" i="17"/>
  <c r="Y136" i="17" s="1"/>
  <c r="X145" i="17"/>
  <c r="X155" i="17"/>
  <c r="X156" i="17"/>
  <c r="X153" i="17"/>
  <c r="X154" i="17"/>
  <c r="W132" i="17"/>
  <c r="G101" i="20"/>
  <c r="N101" i="20" s="1"/>
  <c r="BR31" i="8"/>
  <c r="BT31" i="8" s="1"/>
  <c r="G182" i="20"/>
  <c r="O182" i="20" s="1"/>
  <c r="D21" i="28"/>
  <c r="AQ25" i="20"/>
  <c r="AF105" i="20"/>
  <c r="AF186" i="20"/>
  <c r="AF146" i="20"/>
  <c r="K21" i="20"/>
  <c r="M21" i="20"/>
  <c r="A21" i="20"/>
  <c r="AU21" i="20"/>
  <c r="N21" i="20"/>
  <c r="G60" i="20"/>
  <c r="N60" i="20" s="1"/>
  <c r="F22" i="20"/>
  <c r="F61" i="20" s="1"/>
  <c r="E99" i="26" s="1"/>
  <c r="N142" i="20"/>
  <c r="M142" i="20"/>
  <c r="CJ30" i="8"/>
  <c r="J28" i="2" s="1"/>
  <c r="D25" i="20"/>
  <c r="AB185" i="20"/>
  <c r="AB104" i="20"/>
  <c r="I24" i="20"/>
  <c r="AB145" i="20"/>
  <c r="C23" i="24"/>
  <c r="F117" i="5"/>
  <c r="E118" i="5"/>
  <c r="AJ29" i="16"/>
  <c r="AK29" i="16" s="1"/>
  <c r="BM29" i="16" s="1"/>
  <c r="AU28" i="16"/>
  <c r="AJ32" i="8"/>
  <c r="AK32" i="8" s="1"/>
  <c r="BM32" i="8" s="1"/>
  <c r="AU31" i="8"/>
  <c r="BA117" i="8" s="1"/>
  <c r="AO31" i="8"/>
  <c r="AP31" i="8" s="1"/>
  <c r="Y128" i="5" l="1"/>
  <c r="Y130" i="17"/>
  <c r="Z145" i="5"/>
  <c r="G26" i="7" s="1"/>
  <c r="H26" i="7" s="1"/>
  <c r="Y130" i="5"/>
  <c r="Z142" i="5"/>
  <c r="G25" i="8" s="1"/>
  <c r="H25" i="8" s="1"/>
  <c r="Y139" i="5"/>
  <c r="Z140" i="5" s="1"/>
  <c r="Y138" i="17"/>
  <c r="Y135" i="17"/>
  <c r="Y133" i="17"/>
  <c r="Y127" i="17"/>
  <c r="Z127" i="17" s="1"/>
  <c r="G10" i="16" s="1"/>
  <c r="H10" i="16" s="1"/>
  <c r="Y132" i="17"/>
  <c r="Y134" i="17"/>
  <c r="Y129" i="5"/>
  <c r="Z129" i="5" s="1"/>
  <c r="Z130" i="17"/>
  <c r="G13" i="16" s="1"/>
  <c r="H13" i="16" s="1"/>
  <c r="Y142" i="17"/>
  <c r="Z142" i="17" s="1"/>
  <c r="G25" i="16" s="1"/>
  <c r="H25" i="16" s="1"/>
  <c r="Y140" i="17"/>
  <c r="Z141" i="17" s="1"/>
  <c r="G24" i="16" s="1"/>
  <c r="H24" i="16" s="1"/>
  <c r="Y147" i="5"/>
  <c r="Z148" i="5" s="1"/>
  <c r="Z152" i="5"/>
  <c r="G35" i="8" s="1"/>
  <c r="H35" i="8" s="1"/>
  <c r="Y137" i="17"/>
  <c r="Z137" i="17" s="1"/>
  <c r="G20" i="16" s="1"/>
  <c r="H20" i="16" s="1"/>
  <c r="Y128" i="17"/>
  <c r="Y145" i="17"/>
  <c r="Y143" i="17"/>
  <c r="Y156" i="5"/>
  <c r="Y133" i="5"/>
  <c r="Y131" i="17"/>
  <c r="Z149" i="17"/>
  <c r="G32" i="16" s="1"/>
  <c r="H32" i="16" s="1"/>
  <c r="Z143" i="5"/>
  <c r="G26" i="8" s="1"/>
  <c r="H26" i="8" s="1"/>
  <c r="M101" i="20"/>
  <c r="O101" i="20"/>
  <c r="Z149" i="5"/>
  <c r="G33" i="7"/>
  <c r="H33" i="7" s="1"/>
  <c r="Z150" i="5"/>
  <c r="Z136" i="17"/>
  <c r="G19" i="16" s="1"/>
  <c r="H19" i="16" s="1"/>
  <c r="Z139" i="17"/>
  <c r="G22" i="16" s="1"/>
  <c r="H22" i="16" s="1"/>
  <c r="Y155" i="5"/>
  <c r="Y156" i="17"/>
  <c r="Z144" i="5"/>
  <c r="Y155" i="17"/>
  <c r="Y146" i="17"/>
  <c r="Y127" i="5"/>
  <c r="Z151" i="5"/>
  <c r="G23" i="7"/>
  <c r="H23" i="7" s="1"/>
  <c r="Y126" i="5"/>
  <c r="Z150" i="17"/>
  <c r="G33" i="16" s="1"/>
  <c r="H33" i="16" s="1"/>
  <c r="Z141" i="5"/>
  <c r="Y146" i="5"/>
  <c r="Z146" i="5" s="1"/>
  <c r="Y154" i="17"/>
  <c r="Y132" i="5"/>
  <c r="Z151" i="17"/>
  <c r="G34" i="16" s="1"/>
  <c r="H34" i="16" s="1"/>
  <c r="Y134" i="5"/>
  <c r="Y153" i="17"/>
  <c r="Z153" i="17" s="1"/>
  <c r="G36" i="16" s="1"/>
  <c r="H36" i="16" s="1"/>
  <c r="Y144" i="17"/>
  <c r="Y138" i="5"/>
  <c r="Z138" i="5" s="1"/>
  <c r="Y136" i="5"/>
  <c r="Z137" i="5" s="1"/>
  <c r="Z152" i="17"/>
  <c r="G35" i="16" s="1"/>
  <c r="H35" i="16" s="1"/>
  <c r="F118" i="17"/>
  <c r="E119" i="17"/>
  <c r="Y153" i="5"/>
  <c r="Z153" i="5" s="1"/>
  <c r="Y135" i="5"/>
  <c r="E149" i="14"/>
  <c r="F148" i="14"/>
  <c r="Z148" i="17"/>
  <c r="G31" i="16" s="1"/>
  <c r="H31" i="16" s="1"/>
  <c r="Y154" i="5"/>
  <c r="Y131" i="5"/>
  <c r="Z131" i="5" s="1"/>
  <c r="M182" i="20"/>
  <c r="BX31" i="8"/>
  <c r="CO31" i="8" s="1"/>
  <c r="N182" i="20"/>
  <c r="G22" i="20"/>
  <c r="O22" i="20" s="1"/>
  <c r="F183" i="20"/>
  <c r="H99" i="26" s="1"/>
  <c r="F102" i="20"/>
  <c r="F99" i="26" s="1"/>
  <c r="M60" i="20"/>
  <c r="O60" i="20"/>
  <c r="F143" i="20"/>
  <c r="G99" i="26" s="1"/>
  <c r="BW29" i="16"/>
  <c r="BO29" i="16"/>
  <c r="BL29" i="16"/>
  <c r="BP29" i="16"/>
  <c r="BL32" i="8"/>
  <c r="BP32" i="8"/>
  <c r="BO32" i="8"/>
  <c r="CQ31" i="16"/>
  <c r="CT31" i="16" s="1"/>
  <c r="CA27" i="16"/>
  <c r="BV27" i="16"/>
  <c r="G61" i="20"/>
  <c r="O61" i="20" s="1"/>
  <c r="U25" i="20"/>
  <c r="D60" i="28" s="1"/>
  <c r="D186" i="20"/>
  <c r="H20" i="26" s="1"/>
  <c r="D105" i="20"/>
  <c r="F20" i="26" s="1"/>
  <c r="D146" i="20"/>
  <c r="G20" i="26" s="1"/>
  <c r="D64" i="20"/>
  <c r="E20" i="26" s="1"/>
  <c r="AM32" i="8"/>
  <c r="AQ32" i="8"/>
  <c r="AM29" i="16"/>
  <c r="AQ29" i="16"/>
  <c r="E119" i="5"/>
  <c r="F118" i="5"/>
  <c r="AV31" i="8"/>
  <c r="AX31" i="8"/>
  <c r="BB117" i="8" s="1"/>
  <c r="AX28" i="16"/>
  <c r="BT28" i="16" s="1"/>
  <c r="AV28" i="16"/>
  <c r="Z131" i="17" l="1"/>
  <c r="G14" i="16" s="1"/>
  <c r="H14" i="16" s="1"/>
  <c r="G28" i="8"/>
  <c r="H28" i="8" s="1"/>
  <c r="Z134" i="17"/>
  <c r="G17" i="16" s="1"/>
  <c r="H17" i="16" s="1"/>
  <c r="Z130" i="5"/>
  <c r="G24" i="7"/>
  <c r="H24" i="7" s="1"/>
  <c r="Z145" i="17"/>
  <c r="G28" i="16" s="1"/>
  <c r="H28" i="16" s="1"/>
  <c r="Z156" i="5"/>
  <c r="Z132" i="17"/>
  <c r="G15" i="16" s="1"/>
  <c r="H15" i="16" s="1"/>
  <c r="Z132" i="5"/>
  <c r="G15" i="8" s="1"/>
  <c r="H15" i="8" s="1"/>
  <c r="G23" i="8"/>
  <c r="H23" i="8" s="1"/>
  <c r="G21" i="7"/>
  <c r="H21" i="7" s="1"/>
  <c r="Z143" i="17"/>
  <c r="G26" i="16" s="1"/>
  <c r="H26" i="16" s="1"/>
  <c r="Z140" i="17"/>
  <c r="G23" i="16" s="1"/>
  <c r="H23" i="16" s="1"/>
  <c r="Z133" i="17"/>
  <c r="G16" i="16" s="1"/>
  <c r="H16" i="16" s="1"/>
  <c r="Z128" i="17"/>
  <c r="G11" i="16" s="1"/>
  <c r="H11" i="16" s="1"/>
  <c r="Z135" i="17"/>
  <c r="G18" i="16" s="1"/>
  <c r="H18" i="16" s="1"/>
  <c r="Z144" i="17"/>
  <c r="G27" i="16" s="1"/>
  <c r="H27" i="16" s="1"/>
  <c r="Z134" i="5"/>
  <c r="Z129" i="17"/>
  <c r="G12" i="16" s="1"/>
  <c r="H12" i="16" s="1"/>
  <c r="G31" i="8"/>
  <c r="H31" i="8" s="1"/>
  <c r="G29" i="7"/>
  <c r="H29" i="7" s="1"/>
  <c r="Z146" i="17"/>
  <c r="G29" i="16" s="1"/>
  <c r="H29" i="16" s="1"/>
  <c r="I28" i="16" s="1"/>
  <c r="I27" i="16" s="1"/>
  <c r="Z147" i="5"/>
  <c r="G30" i="8" s="1"/>
  <c r="Z154" i="5"/>
  <c r="G35" i="7" s="1"/>
  <c r="H35" i="7" s="1"/>
  <c r="Z155" i="17"/>
  <c r="G38" i="16" s="1"/>
  <c r="H38" i="16" s="1"/>
  <c r="Z147" i="17"/>
  <c r="G30" i="16" s="1"/>
  <c r="H30" i="16" s="1"/>
  <c r="I30" i="16" s="1"/>
  <c r="I31" i="16" s="1"/>
  <c r="Z135" i="5"/>
  <c r="G18" i="8" s="1"/>
  <c r="H18" i="8" s="1"/>
  <c r="Z139" i="5"/>
  <c r="G20" i="7" s="1"/>
  <c r="H20" i="7" s="1"/>
  <c r="Z138" i="17"/>
  <c r="G21" i="16" s="1"/>
  <c r="H21" i="16" s="1"/>
  <c r="E150" i="14"/>
  <c r="F149" i="14"/>
  <c r="G15" i="7"/>
  <c r="H15" i="7" s="1"/>
  <c r="G17" i="8"/>
  <c r="H17" i="8" s="1"/>
  <c r="G27" i="8"/>
  <c r="H27" i="8" s="1"/>
  <c r="G25" i="7"/>
  <c r="H25" i="7" s="1"/>
  <c r="G20" i="8"/>
  <c r="G18" i="7"/>
  <c r="Z156" i="17"/>
  <c r="G39" i="16" s="1"/>
  <c r="G40" i="16" s="1"/>
  <c r="G33" i="8"/>
  <c r="H33" i="8" s="1"/>
  <c r="G31" i="7"/>
  <c r="H31" i="7" s="1"/>
  <c r="F119" i="17"/>
  <c r="E120" i="17"/>
  <c r="Z133" i="5"/>
  <c r="G34" i="8"/>
  <c r="H34" i="8" s="1"/>
  <c r="G32" i="7"/>
  <c r="H32" i="7" s="1"/>
  <c r="Z127" i="5"/>
  <c r="AA132" i="5"/>
  <c r="G13" i="7"/>
  <c r="H13" i="7" s="1"/>
  <c r="Z154" i="17"/>
  <c r="G37" i="16" s="1"/>
  <c r="H37" i="16" s="1"/>
  <c r="Z136" i="5"/>
  <c r="AA146" i="5"/>
  <c r="G29" i="8"/>
  <c r="H29" i="8" s="1"/>
  <c r="I28" i="8" s="1"/>
  <c r="I27" i="8" s="1"/>
  <c r="G27" i="7"/>
  <c r="H27" i="7" s="1"/>
  <c r="I26" i="7" s="1"/>
  <c r="I25" i="7" s="1"/>
  <c r="G13" i="8"/>
  <c r="H13" i="8" s="1"/>
  <c r="G11" i="7"/>
  <c r="H11" i="7" s="1"/>
  <c r="G34" i="7"/>
  <c r="H34" i="7" s="1"/>
  <c r="G36" i="8"/>
  <c r="H36" i="8" s="1"/>
  <c r="G12" i="8"/>
  <c r="H12" i="8" s="1"/>
  <c r="G10" i="7"/>
  <c r="H10" i="7" s="1"/>
  <c r="G14" i="8"/>
  <c r="H14" i="8" s="1"/>
  <c r="G12" i="7"/>
  <c r="H12" i="7" s="1"/>
  <c r="G19" i="7"/>
  <c r="H19" i="7" s="1"/>
  <c r="G21" i="8"/>
  <c r="H21" i="8" s="1"/>
  <c r="G24" i="8"/>
  <c r="H24" i="8" s="1"/>
  <c r="G22" i="7"/>
  <c r="H22" i="7" s="1"/>
  <c r="Z155" i="5"/>
  <c r="G30" i="7"/>
  <c r="H30" i="7" s="1"/>
  <c r="G32" i="8"/>
  <c r="H32" i="8" s="1"/>
  <c r="AA156" i="5"/>
  <c r="G39" i="8"/>
  <c r="G37" i="7"/>
  <c r="H37" i="7" s="1"/>
  <c r="Z128" i="5"/>
  <c r="G102" i="20"/>
  <c r="O102" i="20" s="1"/>
  <c r="Q26" i="20"/>
  <c r="AF106" i="20" s="1"/>
  <c r="DI31" i="15"/>
  <c r="DL31" i="15" s="1"/>
  <c r="F28" i="21"/>
  <c r="E32" i="27" s="1"/>
  <c r="AU22" i="20"/>
  <c r="BR32" i="8"/>
  <c r="BX32" i="8" s="1"/>
  <c r="CQ32" i="16" s="1"/>
  <c r="CT32" i="16" s="1"/>
  <c r="N22" i="20"/>
  <c r="A22" i="20"/>
  <c r="M22" i="20"/>
  <c r="G183" i="20"/>
  <c r="O183" i="20" s="1"/>
  <c r="G143" i="20"/>
  <c r="O143" i="20" s="1"/>
  <c r="K22" i="20"/>
  <c r="CR31" i="15"/>
  <c r="F23" i="20"/>
  <c r="F144" i="20" s="1"/>
  <c r="G100" i="26" s="1"/>
  <c r="CA28" i="16"/>
  <c r="CR28" i="16" s="1"/>
  <c r="CU28" i="16" s="1"/>
  <c r="CR27" i="16"/>
  <c r="CU27" i="16" s="1"/>
  <c r="CM27" i="16"/>
  <c r="M61" i="20"/>
  <c r="N61" i="20"/>
  <c r="AB146" i="20"/>
  <c r="AB105" i="20"/>
  <c r="C24" i="24"/>
  <c r="CJ31" i="8"/>
  <c r="J29" i="2" s="1"/>
  <c r="D26" i="20"/>
  <c r="I25" i="20"/>
  <c r="AB186" i="20"/>
  <c r="E120" i="5"/>
  <c r="F119" i="5"/>
  <c r="AO29" i="16"/>
  <c r="AP29" i="16" s="1"/>
  <c r="AU29" i="16"/>
  <c r="AJ30" i="16"/>
  <c r="AK30" i="16" s="1"/>
  <c r="BM30" i="16" s="1"/>
  <c r="AJ33" i="8"/>
  <c r="AK33" i="8" s="1"/>
  <c r="BM33" i="8" s="1"/>
  <c r="AU32" i="8"/>
  <c r="BA118" i="8" s="1"/>
  <c r="G28" i="7" l="1"/>
  <c r="H28" i="7" s="1"/>
  <c r="G37" i="8"/>
  <c r="H37" i="8" s="1"/>
  <c r="H53" i="16"/>
  <c r="G22" i="8"/>
  <c r="H22" i="8" s="1"/>
  <c r="G16" i="7"/>
  <c r="H16" i="7" s="1"/>
  <c r="G53" i="16"/>
  <c r="N102" i="20"/>
  <c r="G38" i="8"/>
  <c r="H38" i="8" s="1"/>
  <c r="G36" i="7"/>
  <c r="H36" i="7" s="1"/>
  <c r="O27" i="8"/>
  <c r="Q27" i="8" s="1"/>
  <c r="I26" i="8"/>
  <c r="I25" i="8" s="1"/>
  <c r="F120" i="17"/>
  <c r="E121" i="17"/>
  <c r="G40" i="8"/>
  <c r="H39" i="8"/>
  <c r="G19" i="8"/>
  <c r="H19" i="8" s="1"/>
  <c r="G17" i="7"/>
  <c r="H17" i="7" s="1"/>
  <c r="G41" i="16"/>
  <c r="H40" i="16"/>
  <c r="O25" i="7"/>
  <c r="Q25" i="7" s="1"/>
  <c r="I24" i="7"/>
  <c r="I23" i="7" s="1"/>
  <c r="M102" i="20"/>
  <c r="H30" i="8"/>
  <c r="H18" i="7"/>
  <c r="H48" i="7" s="1"/>
  <c r="G48" i="7"/>
  <c r="H20" i="8"/>
  <c r="G9" i="7"/>
  <c r="H9" i="7" s="1"/>
  <c r="G11" i="8"/>
  <c r="H11" i="8" s="1"/>
  <c r="G8" i="7"/>
  <c r="H8" i="7" s="1"/>
  <c r="G10" i="8"/>
  <c r="H10" i="8" s="1"/>
  <c r="G16" i="8"/>
  <c r="H16" i="8" s="1"/>
  <c r="G14" i="7"/>
  <c r="H14" i="7" s="1"/>
  <c r="G54" i="16"/>
  <c r="O27" i="16"/>
  <c r="Q27" i="16" s="1"/>
  <c r="I26" i="16"/>
  <c r="I25" i="16" s="1"/>
  <c r="O31" i="16"/>
  <c r="Q31" i="16" s="1"/>
  <c r="I32" i="16"/>
  <c r="I33" i="16" s="1"/>
  <c r="F150" i="14"/>
  <c r="E151" i="14"/>
  <c r="AQ26" i="20"/>
  <c r="AF187" i="20"/>
  <c r="D22" i="28"/>
  <c r="AF147" i="20"/>
  <c r="CO32" i="8"/>
  <c r="DI32" i="15"/>
  <c r="DL32" i="15" s="1"/>
  <c r="F29" i="21"/>
  <c r="E33" i="27" s="1"/>
  <c r="Q27" i="20"/>
  <c r="AF107" i="20" s="1"/>
  <c r="M183" i="20"/>
  <c r="N183" i="20"/>
  <c r="N143" i="20"/>
  <c r="CT31" i="15"/>
  <c r="R26" i="20" s="1"/>
  <c r="CU31" i="15"/>
  <c r="M143" i="20"/>
  <c r="F103" i="20"/>
  <c r="F100" i="26" s="1"/>
  <c r="F184" i="20"/>
  <c r="H100" i="26" s="1"/>
  <c r="BW30" i="16"/>
  <c r="BP30" i="16"/>
  <c r="BO30" i="16"/>
  <c r="BL30" i="16"/>
  <c r="BO33" i="8"/>
  <c r="BP33" i="8"/>
  <c r="BL33" i="8"/>
  <c r="CM28" i="16"/>
  <c r="G23" i="20"/>
  <c r="O23" i="20" s="1"/>
  <c r="F62" i="20"/>
  <c r="E100" i="26" s="1"/>
  <c r="G144" i="20"/>
  <c r="O144" i="20" s="1"/>
  <c r="U26" i="20"/>
  <c r="D61" i="28" s="1"/>
  <c r="D106" i="20"/>
  <c r="F21" i="26" s="1"/>
  <c r="D65" i="20"/>
  <c r="E21" i="26" s="1"/>
  <c r="D147" i="20"/>
  <c r="G21" i="26" s="1"/>
  <c r="D187" i="20"/>
  <c r="H21" i="26" s="1"/>
  <c r="J177" i="17"/>
  <c r="K180" i="17"/>
  <c r="J176" i="17"/>
  <c r="J180" i="17"/>
  <c r="K181" i="17"/>
  <c r="J178" i="17"/>
  <c r="J179" i="17"/>
  <c r="J181" i="17"/>
  <c r="AX32" i="8"/>
  <c r="BB118" i="8" s="1"/>
  <c r="AV32" i="8"/>
  <c r="AM30" i="16"/>
  <c r="AQ30" i="16"/>
  <c r="E121" i="5"/>
  <c r="F120" i="5"/>
  <c r="AM33" i="8"/>
  <c r="AQ33" i="8"/>
  <c r="AV29" i="16"/>
  <c r="AX29" i="16"/>
  <c r="BT29" i="16" s="1"/>
  <c r="H53" i="8" l="1"/>
  <c r="G53" i="8"/>
  <c r="G54" i="8"/>
  <c r="G49" i="7"/>
  <c r="H41" i="16"/>
  <c r="G42" i="16"/>
  <c r="F151" i="14"/>
  <c r="E152" i="14"/>
  <c r="G41" i="8"/>
  <c r="H41" i="8" s="1"/>
  <c r="H40" i="8"/>
  <c r="I30" i="8"/>
  <c r="I31" i="8" s="1"/>
  <c r="H54" i="8"/>
  <c r="E122" i="17"/>
  <c r="F121" i="17"/>
  <c r="I24" i="16"/>
  <c r="I23" i="16" s="1"/>
  <c r="O25" i="16"/>
  <c r="Q25" i="16" s="1"/>
  <c r="I34" i="16"/>
  <c r="I35" i="16" s="1"/>
  <c r="O33" i="16"/>
  <c r="Q33" i="16" s="1"/>
  <c r="O23" i="7"/>
  <c r="Q23" i="7" s="1"/>
  <c r="I22" i="7"/>
  <c r="I21" i="7" s="1"/>
  <c r="I24" i="8"/>
  <c r="I23" i="8" s="1"/>
  <c r="O25" i="8"/>
  <c r="Q25" i="8" s="1"/>
  <c r="H49" i="7"/>
  <c r="I28" i="7"/>
  <c r="I29" i="7" s="1"/>
  <c r="J186" i="17"/>
  <c r="J193" i="17" s="1"/>
  <c r="J207" i="17" s="1"/>
  <c r="AF188" i="20"/>
  <c r="D23" i="28"/>
  <c r="AF148" i="20"/>
  <c r="AQ27" i="20"/>
  <c r="G103" i="20"/>
  <c r="O103" i="20" s="1"/>
  <c r="E22" i="28"/>
  <c r="AG187" i="20"/>
  <c r="AC187" i="20" s="1"/>
  <c r="AG106" i="20"/>
  <c r="AC106" i="20" s="1"/>
  <c r="AG147" i="20"/>
  <c r="AC147" i="20" s="1"/>
  <c r="AR26" i="20"/>
  <c r="AG65" i="20"/>
  <c r="AC65" i="20" s="1"/>
  <c r="V26" i="20"/>
  <c r="K23" i="20"/>
  <c r="G184" i="20"/>
  <c r="O184" i="20" s="1"/>
  <c r="BR33" i="8"/>
  <c r="N23" i="20"/>
  <c r="A23" i="20"/>
  <c r="AU23" i="20"/>
  <c r="M23" i="20"/>
  <c r="G62" i="20"/>
  <c r="O62" i="20" s="1"/>
  <c r="F24" i="20"/>
  <c r="F104" i="20" s="1"/>
  <c r="F101" i="26" s="1"/>
  <c r="M144" i="20"/>
  <c r="N144" i="20"/>
  <c r="AB187" i="20"/>
  <c r="AB147" i="20"/>
  <c r="AB106" i="20"/>
  <c r="CJ32" i="8"/>
  <c r="J30" i="2" s="1"/>
  <c r="D27" i="20"/>
  <c r="I26" i="20"/>
  <c r="C25" i="24"/>
  <c r="AO33" i="8"/>
  <c r="AP33" i="8" s="1"/>
  <c r="AJ34" i="8"/>
  <c r="AK34" i="8" s="1"/>
  <c r="BM34" i="8" s="1"/>
  <c r="AU33" i="8"/>
  <c r="BA119" i="8" s="1"/>
  <c r="F121" i="5"/>
  <c r="E122" i="5"/>
  <c r="AJ31" i="16"/>
  <c r="AK31" i="16" s="1"/>
  <c r="BM31" i="16" s="1"/>
  <c r="AU30" i="16"/>
  <c r="J184" i="17"/>
  <c r="J191" i="17" s="1"/>
  <c r="J188" i="17"/>
  <c r="J195" i="17" s="1"/>
  <c r="J185" i="17"/>
  <c r="J192" i="17" s="1"/>
  <c r="J187" i="17"/>
  <c r="J194" i="17" s="1"/>
  <c r="G43" i="16" l="1"/>
  <c r="H42" i="16"/>
  <c r="I36" i="16"/>
  <c r="I37" i="16" s="1"/>
  <c r="O35" i="16"/>
  <c r="Q35" i="16" s="1"/>
  <c r="I22" i="16"/>
  <c r="I21" i="16" s="1"/>
  <c r="O23" i="16"/>
  <c r="Q23" i="16" s="1"/>
  <c r="E123" i="17"/>
  <c r="F122" i="17"/>
  <c r="O31" i="8"/>
  <c r="Q31" i="8" s="1"/>
  <c r="I32" i="8"/>
  <c r="I33" i="8" s="1"/>
  <c r="I22" i="8"/>
  <c r="I21" i="8" s="1"/>
  <c r="O23" i="8"/>
  <c r="Q23" i="8" s="1"/>
  <c r="O29" i="7"/>
  <c r="Q29" i="7" s="1"/>
  <c r="I30" i="7"/>
  <c r="I31" i="7" s="1"/>
  <c r="O21" i="7"/>
  <c r="Q21" i="7" s="1"/>
  <c r="I20" i="7"/>
  <c r="I19" i="7" s="1"/>
  <c r="E153" i="14"/>
  <c r="F152" i="14"/>
  <c r="M103" i="20"/>
  <c r="N103" i="20"/>
  <c r="M62" i="20"/>
  <c r="M184" i="20"/>
  <c r="AC26" i="20"/>
  <c r="AG26" i="20" s="1"/>
  <c r="R187" i="20" s="1"/>
  <c r="E61" i="28"/>
  <c r="D25" i="24"/>
  <c r="N184" i="20"/>
  <c r="BW31" i="16"/>
  <c r="BL31" i="16"/>
  <c r="BP31" i="16"/>
  <c r="BO31" i="16"/>
  <c r="BO34" i="8"/>
  <c r="BP34" i="8"/>
  <c r="BL34" i="8"/>
  <c r="BX33" i="8"/>
  <c r="BT33" i="8"/>
  <c r="N62" i="20"/>
  <c r="F185" i="20"/>
  <c r="H101" i="26" s="1"/>
  <c r="F145" i="20"/>
  <c r="G101" i="26" s="1"/>
  <c r="G24" i="20"/>
  <c r="O24" i="20" s="1"/>
  <c r="F63" i="20"/>
  <c r="E101" i="26" s="1"/>
  <c r="BV29" i="16"/>
  <c r="CA29" i="16"/>
  <c r="G104" i="20"/>
  <c r="O104" i="20" s="1"/>
  <c r="U27" i="20"/>
  <c r="D62" i="28" s="1"/>
  <c r="D188" i="20"/>
  <c r="H22" i="26" s="1"/>
  <c r="D66" i="20"/>
  <c r="E22" i="26" s="1"/>
  <c r="D148" i="20"/>
  <c r="G22" i="26" s="1"/>
  <c r="D107" i="20"/>
  <c r="F22" i="26" s="1"/>
  <c r="J209" i="17"/>
  <c r="J206" i="17"/>
  <c r="J205" i="17"/>
  <c r="AM31" i="16"/>
  <c r="AQ31" i="16"/>
  <c r="AM34" i="8"/>
  <c r="AQ34" i="8"/>
  <c r="J208" i="17"/>
  <c r="AX30" i="16"/>
  <c r="BT30" i="16" s="1"/>
  <c r="AV30" i="16"/>
  <c r="E123" i="5"/>
  <c r="F122" i="5"/>
  <c r="AV33" i="8"/>
  <c r="AX33" i="8"/>
  <c r="BB119" i="8" s="1"/>
  <c r="G44" i="16" l="1"/>
  <c r="H43" i="16"/>
  <c r="O21" i="8"/>
  <c r="Q21" i="8" s="1"/>
  <c r="I20" i="8"/>
  <c r="I19" i="8" s="1"/>
  <c r="I34" i="8"/>
  <c r="I35" i="8" s="1"/>
  <c r="O33" i="8"/>
  <c r="Q33" i="8" s="1"/>
  <c r="E154" i="14"/>
  <c r="F153" i="14"/>
  <c r="F123" i="17"/>
  <c r="E124" i="17"/>
  <c r="I18" i="7"/>
  <c r="I17" i="7" s="1"/>
  <c r="O19" i="7"/>
  <c r="Q19" i="7" s="1"/>
  <c r="O21" i="16"/>
  <c r="Q21" i="16" s="1"/>
  <c r="I20" i="16"/>
  <c r="I19" i="16" s="1"/>
  <c r="I32" i="7"/>
  <c r="I33" i="7" s="1"/>
  <c r="O31" i="7"/>
  <c r="Q31" i="7" s="1"/>
  <c r="O37" i="16"/>
  <c r="Q37" i="16" s="1"/>
  <c r="I38" i="16"/>
  <c r="M24" i="20"/>
  <c r="G63" i="20"/>
  <c r="O63" i="20" s="1"/>
  <c r="R147" i="20"/>
  <c r="AH120" i="22" s="1"/>
  <c r="R106" i="20"/>
  <c r="V106" i="20" s="1"/>
  <c r="D85" i="24" s="1"/>
  <c r="R65" i="20"/>
  <c r="AH60" i="22" s="1"/>
  <c r="DC318" i="1"/>
  <c r="V187" i="20"/>
  <c r="D145" i="24" s="1"/>
  <c r="AH150" i="22"/>
  <c r="G185" i="20"/>
  <c r="O185" i="20" s="1"/>
  <c r="CO33" i="8"/>
  <c r="F30" i="21"/>
  <c r="E34" i="27" s="1"/>
  <c r="DI33" i="15"/>
  <c r="DL33" i="15" s="1"/>
  <c r="Q28" i="20"/>
  <c r="CQ33" i="16"/>
  <c r="CT33" i="16" s="1"/>
  <c r="BR34" i="8"/>
  <c r="BX34" i="8" s="1"/>
  <c r="G145" i="20"/>
  <c r="O145" i="20" s="1"/>
  <c r="A24" i="20"/>
  <c r="CB16" i="16"/>
  <c r="CC16" i="16" s="1"/>
  <c r="CB18" i="16"/>
  <c r="CC18" i="16" s="1"/>
  <c r="CB20" i="16"/>
  <c r="CC20" i="16" s="1"/>
  <c r="CB22" i="16"/>
  <c r="CC22" i="16" s="1"/>
  <c r="CB24" i="16"/>
  <c r="CC24" i="16" s="1"/>
  <c r="CB26" i="16"/>
  <c r="CC26" i="16" s="1"/>
  <c r="CB28" i="16"/>
  <c r="CC28" i="16" s="1"/>
  <c r="CB15" i="16"/>
  <c r="CC15" i="16" s="1"/>
  <c r="CB17" i="16"/>
  <c r="CC17" i="16" s="1"/>
  <c r="CB19" i="16"/>
  <c r="CC19" i="16" s="1"/>
  <c r="CB21" i="16"/>
  <c r="CC21" i="16" s="1"/>
  <c r="CB23" i="16"/>
  <c r="CC23" i="16" s="1"/>
  <c r="CB25" i="16"/>
  <c r="CC25" i="16" s="1"/>
  <c r="CB27" i="16"/>
  <c r="CC27" i="16" s="1"/>
  <c r="CB29" i="16"/>
  <c r="CC29" i="16" s="1"/>
  <c r="N24" i="20"/>
  <c r="AU24" i="20"/>
  <c r="K24" i="20"/>
  <c r="F25" i="20"/>
  <c r="F146" i="20" s="1"/>
  <c r="G102" i="26" s="1"/>
  <c r="CA30" i="16"/>
  <c r="CR29" i="16"/>
  <c r="CU29" i="16" s="1"/>
  <c r="CM29" i="16"/>
  <c r="M104" i="20"/>
  <c r="N104" i="20"/>
  <c r="CJ33" i="8"/>
  <c r="J31" i="2" s="1"/>
  <c r="D28" i="20"/>
  <c r="AB148" i="20"/>
  <c r="AB188" i="20"/>
  <c r="C26" i="24"/>
  <c r="AB107" i="20"/>
  <c r="I27" i="20"/>
  <c r="AU34" i="8"/>
  <c r="BA120" i="8" s="1"/>
  <c r="AJ35" i="8"/>
  <c r="AK35" i="8" s="1"/>
  <c r="BM35" i="8" s="1"/>
  <c r="AJ32" i="16"/>
  <c r="AK32" i="16" s="1"/>
  <c r="BM32" i="16" s="1"/>
  <c r="AU31" i="16"/>
  <c r="AO31" i="16"/>
  <c r="AP31" i="16" s="1"/>
  <c r="E124" i="5"/>
  <c r="F123" i="5"/>
  <c r="G45" i="16" l="1"/>
  <c r="H44" i="16"/>
  <c r="I18" i="16"/>
  <c r="I17" i="16" s="1"/>
  <c r="O19" i="16"/>
  <c r="Q19" i="16" s="1"/>
  <c r="I16" i="7"/>
  <c r="I15" i="7" s="1"/>
  <c r="O17" i="7"/>
  <c r="Q17" i="7" s="1"/>
  <c r="F124" i="17"/>
  <c r="E125" i="17"/>
  <c r="F154" i="14"/>
  <c r="E155" i="14"/>
  <c r="O35" i="8"/>
  <c r="Q35" i="8" s="1"/>
  <c r="I36" i="8"/>
  <c r="I37" i="8" s="1"/>
  <c r="O19" i="8"/>
  <c r="Q19" i="8" s="1"/>
  <c r="I18" i="8"/>
  <c r="I17" i="8" s="1"/>
  <c r="I34" i="7"/>
  <c r="I35" i="7" s="1"/>
  <c r="O33" i="7"/>
  <c r="Q33" i="7" s="1"/>
  <c r="M185" i="20"/>
  <c r="AH90" i="22"/>
  <c r="M63" i="20"/>
  <c r="N63" i="20"/>
  <c r="V147" i="20"/>
  <c r="D115" i="24" s="1"/>
  <c r="I115" i="24" s="1"/>
  <c r="V65" i="20"/>
  <c r="D55" i="24" s="1"/>
  <c r="AE85" i="24"/>
  <c r="I85" i="24"/>
  <c r="X85" i="24"/>
  <c r="Q85" i="24"/>
  <c r="Q145" i="24"/>
  <c r="AE145" i="24"/>
  <c r="X145" i="24"/>
  <c r="I145" i="24"/>
  <c r="N185" i="20"/>
  <c r="BW32" i="16"/>
  <c r="BO32" i="16"/>
  <c r="BP32" i="16"/>
  <c r="BL32" i="16"/>
  <c r="BO35" i="8"/>
  <c r="BP35" i="8"/>
  <c r="BL35" i="8"/>
  <c r="D24" i="28"/>
  <c r="AF108" i="20"/>
  <c r="AQ28" i="20"/>
  <c r="AF189" i="20"/>
  <c r="AF149" i="20"/>
  <c r="CO34" i="8"/>
  <c r="CQ34" i="16"/>
  <c r="CT34" i="16" s="1"/>
  <c r="F31" i="21"/>
  <c r="E35" i="27" s="1"/>
  <c r="Q29" i="20"/>
  <c r="DI34" i="15"/>
  <c r="DL34" i="15" s="1"/>
  <c r="N145" i="20"/>
  <c r="M145" i="20"/>
  <c r="F105" i="20"/>
  <c r="F102" i="26" s="1"/>
  <c r="G25" i="20"/>
  <c r="O25" i="20" s="1"/>
  <c r="F186" i="20"/>
  <c r="H102" i="26" s="1"/>
  <c r="F18" i="28"/>
  <c r="CM75" i="16"/>
  <c r="F14" i="28"/>
  <c r="CM71" i="16"/>
  <c r="F10" i="28"/>
  <c r="CM67" i="16"/>
  <c r="F17" i="28"/>
  <c r="CM74" i="16"/>
  <c r="F13" i="28"/>
  <c r="CM70" i="16"/>
  <c r="F9" i="28"/>
  <c r="CM66" i="16"/>
  <c r="F20" i="28"/>
  <c r="CM77" i="16"/>
  <c r="F16" i="28"/>
  <c r="CM73" i="16"/>
  <c r="F12" i="28"/>
  <c r="CM69" i="16"/>
  <c r="F8" i="28"/>
  <c r="CM65" i="16"/>
  <c r="F19" i="28"/>
  <c r="CM76" i="16"/>
  <c r="F15" i="28"/>
  <c r="CM72" i="16"/>
  <c r="F11" i="28"/>
  <c r="CM68" i="16"/>
  <c r="F7" i="28"/>
  <c r="CM64" i="16"/>
  <c r="F6" i="28"/>
  <c r="CM63" i="16"/>
  <c r="CM30" i="16"/>
  <c r="CC30" i="16"/>
  <c r="F64" i="20"/>
  <c r="E102" i="26" s="1"/>
  <c r="AM12" i="21"/>
  <c r="CN19" i="16"/>
  <c r="AK17" i="2" s="1"/>
  <c r="AW17" i="2" s="1"/>
  <c r="AM19" i="21"/>
  <c r="CN26" i="16"/>
  <c r="AK24" i="2" s="1"/>
  <c r="AW24" i="2" s="1"/>
  <c r="CN16" i="16"/>
  <c r="AK14" i="2" s="1"/>
  <c r="AW14" i="2" s="1"/>
  <c r="AM9" i="21"/>
  <c r="AM10" i="21"/>
  <c r="CN17" i="16"/>
  <c r="AK15" i="2" s="1"/>
  <c r="AW15" i="2" s="1"/>
  <c r="AM18" i="21"/>
  <c r="CN25" i="16"/>
  <c r="AK23" i="2" s="1"/>
  <c r="AW23" i="2" s="1"/>
  <c r="AM20" i="21"/>
  <c r="CN27" i="16"/>
  <c r="AK25" i="2" s="1"/>
  <c r="AW25" i="2" s="1"/>
  <c r="AM16" i="21"/>
  <c r="CN23" i="16"/>
  <c r="AK21" i="2" s="1"/>
  <c r="AW21" i="2" s="1"/>
  <c r="CR30" i="16"/>
  <c r="CU30" i="16" s="1"/>
  <c r="AM22" i="21"/>
  <c r="CN29" i="16"/>
  <c r="AK27" i="2" s="1"/>
  <c r="AW27" i="2" s="1"/>
  <c r="AM17" i="21"/>
  <c r="CN24" i="16"/>
  <c r="AK22" i="2" s="1"/>
  <c r="AW22" i="2" s="1"/>
  <c r="AM15" i="21"/>
  <c r="CN22" i="16"/>
  <c r="AK20" i="2" s="1"/>
  <c r="AW20" i="2" s="1"/>
  <c r="AM8" i="21"/>
  <c r="CN15" i="16"/>
  <c r="AK13" i="2" s="1"/>
  <c r="AW13" i="2" s="1"/>
  <c r="AY13" i="2" s="1"/>
  <c r="AM21" i="21"/>
  <c r="CN28" i="16"/>
  <c r="AK26" i="2" s="1"/>
  <c r="AW26" i="2" s="1"/>
  <c r="AM14" i="21"/>
  <c r="CN21" i="16"/>
  <c r="AK19" i="2" s="1"/>
  <c r="AW19" i="2" s="1"/>
  <c r="AM13" i="21"/>
  <c r="CN20" i="16"/>
  <c r="AK18" i="2" s="1"/>
  <c r="AW18" i="2" s="1"/>
  <c r="AM11" i="21"/>
  <c r="CN18" i="16"/>
  <c r="AK16" i="2" s="1"/>
  <c r="AW16" i="2" s="1"/>
  <c r="G146" i="20"/>
  <c r="O146" i="20" s="1"/>
  <c r="U28" i="20"/>
  <c r="D63" i="28" s="1"/>
  <c r="D67" i="20"/>
  <c r="E23" i="26" s="1"/>
  <c r="D149" i="20"/>
  <c r="G23" i="26" s="1"/>
  <c r="D108" i="20"/>
  <c r="F23" i="26" s="1"/>
  <c r="D189" i="20"/>
  <c r="H23" i="26" s="1"/>
  <c r="AM32" i="16"/>
  <c r="AQ32" i="16"/>
  <c r="AX34" i="8"/>
  <c r="BB120" i="8" s="1"/>
  <c r="AV34" i="8"/>
  <c r="E125" i="5"/>
  <c r="F124" i="5"/>
  <c r="AV31" i="16"/>
  <c r="AX31" i="16"/>
  <c r="BT31" i="16" s="1"/>
  <c r="AM35" i="8"/>
  <c r="AQ35" i="8"/>
  <c r="G46" i="16" l="1"/>
  <c r="H45" i="16"/>
  <c r="M25" i="20"/>
  <c r="O17" i="8"/>
  <c r="Q17" i="8" s="1"/>
  <c r="I16" i="8"/>
  <c r="I15" i="8" s="1"/>
  <c r="O37" i="8"/>
  <c r="Q37" i="8" s="1"/>
  <c r="I38" i="8"/>
  <c r="I39" i="8" s="1"/>
  <c r="F155" i="14"/>
  <c r="E156" i="14"/>
  <c r="F125" i="17"/>
  <c r="E126" i="17"/>
  <c r="O15" i="7"/>
  <c r="Q15" i="7" s="1"/>
  <c r="I14" i="7"/>
  <c r="I13" i="7" s="1"/>
  <c r="O35" i="7"/>
  <c r="Q35" i="7" s="1"/>
  <c r="I36" i="7"/>
  <c r="I37" i="7" s="1"/>
  <c r="O37" i="7" s="1"/>
  <c r="Q37" i="7" s="1"/>
  <c r="I16" i="16"/>
  <c r="I15" i="16" s="1"/>
  <c r="O17" i="16"/>
  <c r="Q17" i="16" s="1"/>
  <c r="X115" i="24"/>
  <c r="Q115" i="24"/>
  <c r="AE115" i="24"/>
  <c r="AK26" i="20"/>
  <c r="X55" i="24"/>
  <c r="AE55" i="24"/>
  <c r="Q55" i="24"/>
  <c r="I55" i="24"/>
  <c r="D25" i="28"/>
  <c r="AQ29" i="20"/>
  <c r="AF109" i="20"/>
  <c r="AF190" i="20"/>
  <c r="AF150" i="20"/>
  <c r="BR35" i="8"/>
  <c r="AY25" i="2"/>
  <c r="G186" i="20"/>
  <c r="O186" i="20" s="1"/>
  <c r="A25" i="20"/>
  <c r="G105" i="20"/>
  <c r="O105" i="20" s="1"/>
  <c r="K25" i="20"/>
  <c r="G64" i="20"/>
  <c r="O64" i="20" s="1"/>
  <c r="AU25" i="20"/>
  <c r="N25" i="20"/>
  <c r="F21" i="28"/>
  <c r="CM78" i="16"/>
  <c r="AY15" i="2"/>
  <c r="AY26" i="2"/>
  <c r="AY16" i="2"/>
  <c r="AY22" i="2"/>
  <c r="AY18" i="2"/>
  <c r="AY19" i="2"/>
  <c r="AY21" i="2"/>
  <c r="AS13" i="20"/>
  <c r="AH52" i="20"/>
  <c r="AD52" i="20" s="1"/>
  <c r="AH134" i="20"/>
  <c r="AD134" i="20" s="1"/>
  <c r="AH93" i="20"/>
  <c r="AD93" i="20" s="1"/>
  <c r="AH174" i="20"/>
  <c r="AD174" i="20" s="1"/>
  <c r="W13" i="20"/>
  <c r="AS16" i="20"/>
  <c r="AH96" i="20"/>
  <c r="AD96" i="20" s="1"/>
  <c r="AH177" i="20"/>
  <c r="AD177" i="20" s="1"/>
  <c r="AH137" i="20"/>
  <c r="AD137" i="20" s="1"/>
  <c r="AH55" i="20"/>
  <c r="AD55" i="20" s="1"/>
  <c r="W16" i="20"/>
  <c r="AY20" i="2"/>
  <c r="AH99" i="20"/>
  <c r="AD99" i="20" s="1"/>
  <c r="AH180" i="20"/>
  <c r="AD180" i="20" s="1"/>
  <c r="AS19" i="20"/>
  <c r="AH58" i="20"/>
  <c r="AD58" i="20" s="1"/>
  <c r="AH140" i="20"/>
  <c r="AD140" i="20" s="1"/>
  <c r="W19" i="20"/>
  <c r="AY27" i="2"/>
  <c r="AH98" i="20"/>
  <c r="AD98" i="20" s="1"/>
  <c r="AH139" i="20"/>
  <c r="AD139" i="20" s="1"/>
  <c r="AS18" i="20"/>
  <c r="AH57" i="20"/>
  <c r="AD57" i="20" s="1"/>
  <c r="AH179" i="20"/>
  <c r="AD179" i="20" s="1"/>
  <c r="W18" i="20"/>
  <c r="AH141" i="20"/>
  <c r="AD141" i="20" s="1"/>
  <c r="AH59" i="20"/>
  <c r="AD59" i="20" s="1"/>
  <c r="AS20" i="20"/>
  <c r="AH100" i="20"/>
  <c r="AD100" i="20" s="1"/>
  <c r="AH181" i="20"/>
  <c r="AD181" i="20" s="1"/>
  <c r="W20" i="20"/>
  <c r="AH133" i="20"/>
  <c r="AD133" i="20" s="1"/>
  <c r="AH51" i="20"/>
  <c r="AD51" i="20" s="1"/>
  <c r="AS12" i="20"/>
  <c r="AH92" i="20"/>
  <c r="AD92" i="20" s="1"/>
  <c r="AH173" i="20"/>
  <c r="AD173" i="20" s="1"/>
  <c r="W12" i="20"/>
  <c r="AS11" i="20"/>
  <c r="AH50" i="20"/>
  <c r="AD50" i="20" s="1"/>
  <c r="AH132" i="20"/>
  <c r="AD132" i="20" s="1"/>
  <c r="AH91" i="20"/>
  <c r="AD91" i="20" s="1"/>
  <c r="AH172" i="20"/>
  <c r="AD172" i="20" s="1"/>
  <c r="W11" i="20"/>
  <c r="AY24" i="2"/>
  <c r="AS14" i="20"/>
  <c r="AH53" i="20"/>
  <c r="AD53" i="20" s="1"/>
  <c r="AH175" i="20"/>
  <c r="AD175" i="20" s="1"/>
  <c r="AH94" i="20"/>
  <c r="AD94" i="20" s="1"/>
  <c r="AH135" i="20"/>
  <c r="AD135" i="20" s="1"/>
  <c r="W14" i="20"/>
  <c r="F26" i="20"/>
  <c r="F65" i="20" s="1"/>
  <c r="E103" i="26" s="1"/>
  <c r="AS15" i="20"/>
  <c r="AH54" i="20"/>
  <c r="AD54" i="20" s="1"/>
  <c r="AH136" i="20"/>
  <c r="AD136" i="20" s="1"/>
  <c r="AH95" i="20"/>
  <c r="AD95" i="20" s="1"/>
  <c r="AH176" i="20"/>
  <c r="AD176" i="20" s="1"/>
  <c r="W15" i="20"/>
  <c r="AS23" i="20"/>
  <c r="AH62" i="20"/>
  <c r="AD62" i="20" s="1"/>
  <c r="AH144" i="20"/>
  <c r="AD144" i="20" s="1"/>
  <c r="AH103" i="20"/>
  <c r="AD103" i="20" s="1"/>
  <c r="AH184" i="20"/>
  <c r="AD184" i="20" s="1"/>
  <c r="W23" i="20"/>
  <c r="W10" i="20"/>
  <c r="AH90" i="20"/>
  <c r="AD90" i="20" s="1"/>
  <c r="AH49" i="20"/>
  <c r="AD49" i="20" s="1"/>
  <c r="AS10" i="20"/>
  <c r="AH171" i="20"/>
  <c r="AD171" i="20" s="1"/>
  <c r="AH131" i="20"/>
  <c r="AD131" i="20" s="1"/>
  <c r="AH97" i="20"/>
  <c r="AD97" i="20" s="1"/>
  <c r="AH178" i="20"/>
  <c r="AD178" i="20" s="1"/>
  <c r="AS17" i="20"/>
  <c r="AH56" i="20"/>
  <c r="AD56" i="20" s="1"/>
  <c r="AH138" i="20"/>
  <c r="AD138" i="20" s="1"/>
  <c r="W17" i="20"/>
  <c r="AH145" i="20"/>
  <c r="AD145" i="20" s="1"/>
  <c r="AH63" i="20"/>
  <c r="AD63" i="20" s="1"/>
  <c r="AS24" i="20"/>
  <c r="AH104" i="20"/>
  <c r="AD104" i="20" s="1"/>
  <c r="AH185" i="20"/>
  <c r="AD185" i="20" s="1"/>
  <c r="W24" i="20"/>
  <c r="AM23" i="21"/>
  <c r="CN30" i="16"/>
  <c r="AK28" i="2" s="1"/>
  <c r="AW28" i="2" s="1"/>
  <c r="AY28" i="2" s="1"/>
  <c r="AH102" i="20"/>
  <c r="AD102" i="20" s="1"/>
  <c r="AH143" i="20"/>
  <c r="AD143" i="20" s="1"/>
  <c r="AS22" i="20"/>
  <c r="AH61" i="20"/>
  <c r="AD61" i="20" s="1"/>
  <c r="AH183" i="20"/>
  <c r="AD183" i="20" s="1"/>
  <c r="W22" i="20"/>
  <c r="AY23" i="2"/>
  <c r="AY14" i="2"/>
  <c r="AS21" i="20"/>
  <c r="AH60" i="20"/>
  <c r="AD60" i="20" s="1"/>
  <c r="AH142" i="20"/>
  <c r="AD142" i="20" s="1"/>
  <c r="AH101" i="20"/>
  <c r="AD101" i="20" s="1"/>
  <c r="AH182" i="20"/>
  <c r="AD182" i="20" s="1"/>
  <c r="W21" i="20"/>
  <c r="AY17" i="2"/>
  <c r="M146" i="20"/>
  <c r="N146" i="20"/>
  <c r="CJ34" i="8"/>
  <c r="J32" i="2" s="1"/>
  <c r="D29" i="20"/>
  <c r="AB108" i="20"/>
  <c r="I28" i="20"/>
  <c r="C27" i="24"/>
  <c r="AB189" i="20"/>
  <c r="AB149" i="20"/>
  <c r="AU35" i="8"/>
  <c r="BA121" i="8" s="1"/>
  <c r="AO35" i="8"/>
  <c r="AP35" i="8" s="1"/>
  <c r="AJ36" i="8"/>
  <c r="AK36" i="8" s="1"/>
  <c r="BM36" i="8" s="1"/>
  <c r="F125" i="5"/>
  <c r="E126" i="5"/>
  <c r="AJ33" i="16"/>
  <c r="AK33" i="16" s="1"/>
  <c r="BM33" i="16" s="1"/>
  <c r="AU32" i="16"/>
  <c r="F51" i="28" l="1"/>
  <c r="F50" i="28"/>
  <c r="F59" i="28"/>
  <c r="F55" i="28"/>
  <c r="F54" i="28"/>
  <c r="F46" i="28"/>
  <c r="F57" i="28"/>
  <c r="F48" i="28"/>
  <c r="F58" i="28"/>
  <c r="F52" i="28"/>
  <c r="F49" i="28"/>
  <c r="F56" i="28"/>
  <c r="F47" i="28"/>
  <c r="F53" i="28"/>
  <c r="F45" i="28"/>
  <c r="F147" i="20"/>
  <c r="G103" i="26" s="1"/>
  <c r="G47" i="16"/>
  <c r="H46" i="16"/>
  <c r="O13" i="7"/>
  <c r="Q13" i="7" s="1"/>
  <c r="I12" i="7"/>
  <c r="I11" i="7" s="1"/>
  <c r="I10" i="7" s="1"/>
  <c r="I9" i="7" s="1"/>
  <c r="I8" i="7" s="1"/>
  <c r="F126" i="17"/>
  <c r="E127" i="17"/>
  <c r="F156" i="14"/>
  <c r="E157" i="14"/>
  <c r="O39" i="8"/>
  <c r="Q39" i="8" s="1"/>
  <c r="I40" i="8"/>
  <c r="I14" i="8"/>
  <c r="I13" i="8" s="1"/>
  <c r="I12" i="8" s="1"/>
  <c r="I11" i="8" s="1"/>
  <c r="I10" i="8" s="1"/>
  <c r="O15" i="8"/>
  <c r="Q15" i="8" s="1"/>
  <c r="I14" i="16"/>
  <c r="I13" i="16" s="1"/>
  <c r="I12" i="16" s="1"/>
  <c r="I11" i="16" s="1"/>
  <c r="I10" i="16" s="1"/>
  <c r="O15" i="16"/>
  <c r="Q15" i="16" s="1"/>
  <c r="BW33" i="16"/>
  <c r="BL33" i="16"/>
  <c r="BO33" i="16"/>
  <c r="BP33" i="16"/>
  <c r="BO36" i="8"/>
  <c r="BP36" i="8"/>
  <c r="BL36" i="8"/>
  <c r="BX35" i="8"/>
  <c r="BT35" i="8"/>
  <c r="M105" i="20"/>
  <c r="M186" i="20"/>
  <c r="N64" i="20"/>
  <c r="N105" i="20"/>
  <c r="G26" i="20"/>
  <c r="O26" i="20" s="1"/>
  <c r="F106" i="20"/>
  <c r="F103" i="26" s="1"/>
  <c r="N186" i="20"/>
  <c r="M64" i="20"/>
  <c r="F187" i="20"/>
  <c r="H103" i="26" s="1"/>
  <c r="AD19" i="20"/>
  <c r="AH19" i="20" s="1"/>
  <c r="DC433" i="1" s="1"/>
  <c r="AD16" i="20"/>
  <c r="AH16" i="20" s="1"/>
  <c r="S177" i="20" s="1"/>
  <c r="AD22" i="20"/>
  <c r="AH22" i="20" s="1"/>
  <c r="DC436" i="1" s="1"/>
  <c r="AH105" i="20"/>
  <c r="AD105" i="20" s="1"/>
  <c r="AH186" i="20"/>
  <c r="AD186" i="20" s="1"/>
  <c r="AH64" i="20"/>
  <c r="AD64" i="20" s="1"/>
  <c r="AH146" i="20"/>
  <c r="AD146" i="20" s="1"/>
  <c r="W25" i="20"/>
  <c r="X24" i="20"/>
  <c r="E23" i="24"/>
  <c r="AD24" i="20"/>
  <c r="AH24" i="20" s="1"/>
  <c r="DC438" i="1" s="1"/>
  <c r="X17" i="20"/>
  <c r="E16" i="24"/>
  <c r="AD17" i="20"/>
  <c r="AH17" i="20" s="1"/>
  <c r="DC431" i="1" s="1"/>
  <c r="AS25" i="20"/>
  <c r="E10" i="24"/>
  <c r="X11" i="20"/>
  <c r="AD11" i="20"/>
  <c r="AH11" i="20" s="1"/>
  <c r="DC425" i="1" s="1"/>
  <c r="E11" i="24"/>
  <c r="X12" i="20"/>
  <c r="AD12" i="20"/>
  <c r="AH12" i="20" s="1"/>
  <c r="DC426" i="1" s="1"/>
  <c r="E19" i="24"/>
  <c r="X20" i="20"/>
  <c r="AD20" i="20"/>
  <c r="AH20" i="20" s="1"/>
  <c r="DC434" i="1" s="1"/>
  <c r="X18" i="20"/>
  <c r="E17" i="24"/>
  <c r="AD18" i="20"/>
  <c r="AH18" i="20" s="1"/>
  <c r="DC432" i="1" s="1"/>
  <c r="X16" i="20"/>
  <c r="E15" i="24"/>
  <c r="E12" i="24"/>
  <c r="X13" i="20"/>
  <c r="AD13" i="20"/>
  <c r="AH13" i="20" s="1"/>
  <c r="DC427" i="1" s="1"/>
  <c r="E20" i="24"/>
  <c r="X21" i="20"/>
  <c r="AD21" i="20"/>
  <c r="AH21" i="20" s="1"/>
  <c r="DC435" i="1" s="1"/>
  <c r="X22" i="20"/>
  <c r="E21" i="24"/>
  <c r="AD10" i="20"/>
  <c r="AH10" i="20" s="1"/>
  <c r="DC424" i="1" s="1"/>
  <c r="X10" i="20"/>
  <c r="E9" i="24"/>
  <c r="J9" i="24" s="1"/>
  <c r="K9" i="24" s="1"/>
  <c r="E22" i="24"/>
  <c r="X23" i="20"/>
  <c r="AD23" i="20"/>
  <c r="AH23" i="20" s="1"/>
  <c r="DC437" i="1" s="1"/>
  <c r="E14" i="24"/>
  <c r="X15" i="20"/>
  <c r="AD15" i="20"/>
  <c r="AH15" i="20" s="1"/>
  <c r="DC429" i="1" s="1"/>
  <c r="BV31" i="16"/>
  <c r="CA31" i="16"/>
  <c r="CC31" i="16" s="1"/>
  <c r="E13" i="24"/>
  <c r="X14" i="20"/>
  <c r="AD14" i="20"/>
  <c r="AH14" i="20" s="1"/>
  <c r="DC428" i="1" s="1"/>
  <c r="E18" i="24"/>
  <c r="X19" i="20"/>
  <c r="G65" i="20"/>
  <c r="O65" i="20" s="1"/>
  <c r="U29" i="20"/>
  <c r="D64" i="28" s="1"/>
  <c r="D190" i="20"/>
  <c r="H24" i="26" s="1"/>
  <c r="D68" i="20"/>
  <c r="E24" i="26" s="1"/>
  <c r="D150" i="20"/>
  <c r="G24" i="26" s="1"/>
  <c r="D109" i="20"/>
  <c r="F24" i="26" s="1"/>
  <c r="AV32" i="16"/>
  <c r="AX32" i="16"/>
  <c r="BT32" i="16" s="1"/>
  <c r="AM33" i="16"/>
  <c r="AQ33" i="16"/>
  <c r="E127" i="5"/>
  <c r="F126" i="5"/>
  <c r="AM36" i="8"/>
  <c r="AQ36" i="8"/>
  <c r="AV35" i="8"/>
  <c r="AX35" i="8"/>
  <c r="BB121" i="8" s="1"/>
  <c r="F60" i="28" l="1"/>
  <c r="G147" i="20"/>
  <c r="G48" i="16"/>
  <c r="H48" i="16" s="1"/>
  <c r="H47" i="16"/>
  <c r="O40" i="8"/>
  <c r="Q40" i="8" s="1"/>
  <c r="I41" i="8"/>
  <c r="O41" i="8" s="1"/>
  <c r="Q41" i="8" s="1"/>
  <c r="E158" i="14"/>
  <c r="F157" i="14"/>
  <c r="F127" i="17"/>
  <c r="E128" i="17"/>
  <c r="G187" i="20"/>
  <c r="O187" i="20" s="1"/>
  <c r="M26" i="20"/>
  <c r="G106" i="20"/>
  <c r="O106" i="20" s="1"/>
  <c r="CO35" i="8"/>
  <c r="F32" i="21"/>
  <c r="E36" i="27" s="1"/>
  <c r="CQ35" i="16"/>
  <c r="CT35" i="16" s="1"/>
  <c r="BY35" i="8"/>
  <c r="BU35" i="8"/>
  <c r="Q30" i="20"/>
  <c r="DI35" i="15"/>
  <c r="DL35" i="15" s="1"/>
  <c r="BR36" i="8"/>
  <c r="BX36" i="8" s="1"/>
  <c r="AU26" i="20"/>
  <c r="N26" i="20"/>
  <c r="A26" i="20"/>
  <c r="K26" i="20"/>
  <c r="G54" i="28"/>
  <c r="D91" i="28" s="1"/>
  <c r="G50" i="28"/>
  <c r="D87" i="28" s="1"/>
  <c r="G48" i="28"/>
  <c r="D85" i="28" s="1"/>
  <c r="G53" i="28"/>
  <c r="F90" i="28" s="1"/>
  <c r="G55" i="28"/>
  <c r="F92" i="28" s="1"/>
  <c r="G46" i="28"/>
  <c r="F83" i="28" s="1"/>
  <c r="G59" i="28"/>
  <c r="D96" i="28" s="1"/>
  <c r="G49" i="28"/>
  <c r="F86" i="28" s="1"/>
  <c r="G58" i="28"/>
  <c r="F95" i="28" s="1"/>
  <c r="G57" i="28"/>
  <c r="F94" i="28" s="1"/>
  <c r="G56" i="28"/>
  <c r="F93" i="28" s="1"/>
  <c r="G51" i="28"/>
  <c r="F88" i="28" s="1"/>
  <c r="G47" i="28"/>
  <c r="F84" i="28" s="1"/>
  <c r="G52" i="28"/>
  <c r="F89" i="28" s="1"/>
  <c r="G45" i="28"/>
  <c r="F82" i="28" s="1"/>
  <c r="F22" i="28"/>
  <c r="CM79" i="16"/>
  <c r="S137" i="20"/>
  <c r="W137" i="20" s="1"/>
  <c r="DC430" i="1"/>
  <c r="W177" i="20"/>
  <c r="E135" i="24" s="1"/>
  <c r="AV140" i="22"/>
  <c r="S96" i="20"/>
  <c r="S55" i="20"/>
  <c r="AD25" i="20"/>
  <c r="AH25" i="20" s="1"/>
  <c r="DC439" i="1" s="1"/>
  <c r="F27" i="20"/>
  <c r="G27" i="20" s="1"/>
  <c r="O27" i="20" s="1"/>
  <c r="CA32" i="16"/>
  <c r="S180" i="20"/>
  <c r="S140" i="20"/>
  <c r="S99" i="20"/>
  <c r="S58" i="20"/>
  <c r="AO14" i="20"/>
  <c r="F13" i="24"/>
  <c r="E11" i="22"/>
  <c r="CR31" i="16"/>
  <c r="CU31" i="16" s="1"/>
  <c r="CM31" i="16"/>
  <c r="S176" i="20"/>
  <c r="S136" i="20"/>
  <c r="S95" i="20"/>
  <c r="S54" i="20"/>
  <c r="F22" i="24"/>
  <c r="E20" i="22"/>
  <c r="AO23" i="20"/>
  <c r="S171" i="20"/>
  <c r="S49" i="20"/>
  <c r="S131" i="20"/>
  <c r="S90" i="20"/>
  <c r="S101" i="20"/>
  <c r="S60" i="20"/>
  <c r="S182" i="20"/>
  <c r="S142" i="20"/>
  <c r="AO13" i="20"/>
  <c r="F12" i="24"/>
  <c r="E10" i="22"/>
  <c r="S98" i="20"/>
  <c r="S57" i="20"/>
  <c r="S179" i="20"/>
  <c r="S139" i="20"/>
  <c r="AO18" i="20"/>
  <c r="F17" i="24"/>
  <c r="E15" i="22"/>
  <c r="F19" i="24"/>
  <c r="E17" i="22"/>
  <c r="AO20" i="20"/>
  <c r="S133" i="20"/>
  <c r="S173" i="20"/>
  <c r="S51" i="20"/>
  <c r="S92" i="20"/>
  <c r="AO11" i="20"/>
  <c r="F10" i="24"/>
  <c r="E8" i="22"/>
  <c r="S104" i="20"/>
  <c r="S63" i="20"/>
  <c r="S185" i="20"/>
  <c r="S145" i="20"/>
  <c r="F23" i="24"/>
  <c r="E21" i="22"/>
  <c r="AO24" i="20"/>
  <c r="E16" i="22"/>
  <c r="AO19" i="20"/>
  <c r="F18" i="24"/>
  <c r="S94" i="20"/>
  <c r="S53" i="20"/>
  <c r="S175" i="20"/>
  <c r="S135" i="20"/>
  <c r="F14" i="24"/>
  <c r="E12" i="22"/>
  <c r="AO15" i="20"/>
  <c r="S103" i="20"/>
  <c r="S62" i="20"/>
  <c r="S184" i="20"/>
  <c r="S144" i="20"/>
  <c r="E7" i="22"/>
  <c r="AO10" i="20"/>
  <c r="AP10" i="20" s="1"/>
  <c r="F9" i="24"/>
  <c r="S102" i="20"/>
  <c r="S61" i="20"/>
  <c r="S183" i="20"/>
  <c r="S143" i="20"/>
  <c r="AO22" i="20"/>
  <c r="F21" i="24"/>
  <c r="E19" i="22"/>
  <c r="AO21" i="20"/>
  <c r="F20" i="24"/>
  <c r="E18" i="22"/>
  <c r="S174" i="20"/>
  <c r="S134" i="20"/>
  <c r="S93" i="20"/>
  <c r="S52" i="20"/>
  <c r="F15" i="24"/>
  <c r="E13" i="22"/>
  <c r="AO16" i="20"/>
  <c r="S100" i="20"/>
  <c r="S59" i="20"/>
  <c r="S181" i="20"/>
  <c r="S141" i="20"/>
  <c r="F11" i="24"/>
  <c r="E9" i="22"/>
  <c r="AO12" i="20"/>
  <c r="S91" i="20"/>
  <c r="S50" i="20"/>
  <c r="S172" i="20"/>
  <c r="S132" i="20"/>
  <c r="S178" i="20"/>
  <c r="S138" i="20"/>
  <c r="S97" i="20"/>
  <c r="S56" i="20"/>
  <c r="AO17" i="20"/>
  <c r="F16" i="24"/>
  <c r="E14" i="22"/>
  <c r="E24" i="24"/>
  <c r="X25" i="20"/>
  <c r="M147" i="20"/>
  <c r="N147" i="20"/>
  <c r="M65" i="20"/>
  <c r="N65" i="20"/>
  <c r="O147" i="20"/>
  <c r="AB150" i="20"/>
  <c r="I29" i="20"/>
  <c r="C28" i="24"/>
  <c r="CJ35" i="8"/>
  <c r="J33" i="2" s="1"/>
  <c r="D30" i="20"/>
  <c r="AB109" i="20"/>
  <c r="AB190" i="20"/>
  <c r="AJ37" i="8"/>
  <c r="AK37" i="8" s="1"/>
  <c r="BM37" i="8" s="1"/>
  <c r="AU36" i="8"/>
  <c r="BA122" i="8" s="1"/>
  <c r="E128" i="5"/>
  <c r="F127" i="5"/>
  <c r="AU33" i="16"/>
  <c r="AO33" i="16"/>
  <c r="AP33" i="16" s="1"/>
  <c r="AJ34" i="16"/>
  <c r="AK34" i="16" s="1"/>
  <c r="BM34" i="16" s="1"/>
  <c r="L179" i="14"/>
  <c r="L186" i="14" s="1"/>
  <c r="L193" i="14" s="1"/>
  <c r="L207" i="14" s="1"/>
  <c r="K181" i="14"/>
  <c r="L182" i="14"/>
  <c r="L189" i="14" s="1"/>
  <c r="L196" i="14" s="1"/>
  <c r="L210" i="14" s="1"/>
  <c r="L180" i="14"/>
  <c r="L187" i="14" s="1"/>
  <c r="L194" i="14" s="1"/>
  <c r="L208" i="14" s="1"/>
  <c r="J181" i="14"/>
  <c r="J178" i="14"/>
  <c r="J182" i="14"/>
  <c r="K179" i="14"/>
  <c r="K178" i="14"/>
  <c r="J180" i="14"/>
  <c r="J177" i="14"/>
  <c r="K180" i="14"/>
  <c r="K182" i="14"/>
  <c r="J179" i="14"/>
  <c r="L181" i="14"/>
  <c r="L188" i="14" s="1"/>
  <c r="L195" i="14" s="1"/>
  <c r="L209" i="14" s="1"/>
  <c r="K177" i="14"/>
  <c r="F66" i="20" l="1"/>
  <c r="E104" i="26" s="1"/>
  <c r="E129" i="17"/>
  <c r="F128" i="17"/>
  <c r="E159" i="14"/>
  <c r="F158" i="14"/>
  <c r="F107" i="20"/>
  <c r="F104" i="26" s="1"/>
  <c r="F188" i="20"/>
  <c r="H104" i="26" s="1"/>
  <c r="M187" i="20"/>
  <c r="F148" i="20"/>
  <c r="G104" i="26" s="1"/>
  <c r="N187" i="20"/>
  <c r="E88" i="28"/>
  <c r="M106" i="20"/>
  <c r="AP17" i="20"/>
  <c r="AP16" i="20"/>
  <c r="N106" i="20"/>
  <c r="E105" i="24"/>
  <c r="AF105" i="24" s="1"/>
  <c r="AP22" i="20"/>
  <c r="BW34" i="16"/>
  <c r="BP34" i="16"/>
  <c r="BL34" i="16"/>
  <c r="BO34" i="16"/>
  <c r="CO36" i="8"/>
  <c r="F33" i="21"/>
  <c r="E37" i="27" s="1"/>
  <c r="DI36" i="15"/>
  <c r="DL36" i="15" s="1"/>
  <c r="Q31" i="20"/>
  <c r="CQ36" i="16"/>
  <c r="CT36" i="16" s="1"/>
  <c r="D26" i="28"/>
  <c r="AQ30" i="20"/>
  <c r="AF110" i="20"/>
  <c r="AF151" i="20"/>
  <c r="AF191" i="20"/>
  <c r="BO37" i="8"/>
  <c r="BL37" i="8"/>
  <c r="BP37" i="8"/>
  <c r="F96" i="28"/>
  <c r="D92" i="28"/>
  <c r="E95" i="28"/>
  <c r="D82" i="28"/>
  <c r="E93" i="28"/>
  <c r="D95" i="28"/>
  <c r="E92" i="28"/>
  <c r="F85" i="28"/>
  <c r="F91" i="28"/>
  <c r="D84" i="28"/>
  <c r="E84" i="28"/>
  <c r="D93" i="28"/>
  <c r="E96" i="28"/>
  <c r="E85" i="28"/>
  <c r="E91" i="28"/>
  <c r="D89" i="28"/>
  <c r="D94" i="28"/>
  <c r="E86" i="28"/>
  <c r="D83" i="28"/>
  <c r="E90" i="28"/>
  <c r="E82" i="28"/>
  <c r="E89" i="28"/>
  <c r="D88" i="28"/>
  <c r="E94" i="28"/>
  <c r="D86" i="28"/>
  <c r="E83" i="28"/>
  <c r="D90" i="28"/>
  <c r="F87" i="28"/>
  <c r="E87" i="28"/>
  <c r="AV110" i="22"/>
  <c r="G60" i="28"/>
  <c r="D97" i="28" s="1"/>
  <c r="W56" i="20"/>
  <c r="E46" i="24" s="1"/>
  <c r="AV51" i="22"/>
  <c r="W138" i="20"/>
  <c r="AV111" i="22"/>
  <c r="W132" i="20"/>
  <c r="AV105" i="22"/>
  <c r="W50" i="20"/>
  <c r="E40" i="24" s="1"/>
  <c r="AV45" i="22"/>
  <c r="W181" i="20"/>
  <c r="AV144" i="22"/>
  <c r="W100" i="20"/>
  <c r="AV84" i="22"/>
  <c r="W52" i="20"/>
  <c r="AV47" i="22"/>
  <c r="W134" i="20"/>
  <c r="AV107" i="22"/>
  <c r="W143" i="20"/>
  <c r="AV116" i="22"/>
  <c r="W61" i="20"/>
  <c r="E51" i="24" s="1"/>
  <c r="AV56" i="22"/>
  <c r="W184" i="20"/>
  <c r="E142" i="24" s="1"/>
  <c r="AV147" i="22"/>
  <c r="W103" i="20"/>
  <c r="E82" i="24" s="1"/>
  <c r="AV87" i="22"/>
  <c r="W135" i="20"/>
  <c r="AV108" i="22"/>
  <c r="W53" i="20"/>
  <c r="AV48" i="22"/>
  <c r="W185" i="20"/>
  <c r="E143" i="24" s="1"/>
  <c r="AV148" i="22"/>
  <c r="W104" i="20"/>
  <c r="AV88" i="22"/>
  <c r="W92" i="20"/>
  <c r="E71" i="24" s="1"/>
  <c r="AV76" i="22"/>
  <c r="W173" i="20"/>
  <c r="E131" i="24" s="1"/>
  <c r="AV136" i="22"/>
  <c r="W139" i="20"/>
  <c r="AV112" i="22"/>
  <c r="W57" i="20"/>
  <c r="AV52" i="22"/>
  <c r="W182" i="20"/>
  <c r="AV145" i="22"/>
  <c r="W101" i="20"/>
  <c r="AV85" i="22"/>
  <c r="W131" i="20"/>
  <c r="AV104" i="22"/>
  <c r="W171" i="20"/>
  <c r="AV134" i="22"/>
  <c r="W54" i="20"/>
  <c r="E44" i="24" s="1"/>
  <c r="AV49" i="22"/>
  <c r="W136" i="20"/>
  <c r="AV109" i="22"/>
  <c r="W99" i="20"/>
  <c r="E78" i="24" s="1"/>
  <c r="AV83" i="22"/>
  <c r="W180" i="20"/>
  <c r="E138" i="24" s="1"/>
  <c r="AV143" i="22"/>
  <c r="W55" i="20"/>
  <c r="AV50" i="22"/>
  <c r="W97" i="20"/>
  <c r="AV81" i="22"/>
  <c r="W178" i="20"/>
  <c r="E136" i="24" s="1"/>
  <c r="AV141" i="22"/>
  <c r="W172" i="20"/>
  <c r="AV135" i="22"/>
  <c r="W91" i="20"/>
  <c r="E70" i="24" s="1"/>
  <c r="AV75" i="22"/>
  <c r="W141" i="20"/>
  <c r="E109" i="24" s="1"/>
  <c r="AV114" i="22"/>
  <c r="W59" i="20"/>
  <c r="AV54" i="22"/>
  <c r="W93" i="20"/>
  <c r="AV77" i="22"/>
  <c r="W174" i="20"/>
  <c r="AV137" i="22"/>
  <c r="W183" i="20"/>
  <c r="E141" i="24" s="1"/>
  <c r="AV146" i="22"/>
  <c r="W102" i="20"/>
  <c r="E81" i="24" s="1"/>
  <c r="AV86" i="22"/>
  <c r="W144" i="20"/>
  <c r="AV117" i="22"/>
  <c r="W62" i="20"/>
  <c r="AV57" i="22"/>
  <c r="W175" i="20"/>
  <c r="AV138" i="22"/>
  <c r="W94" i="20"/>
  <c r="E73" i="24" s="1"/>
  <c r="AV78" i="22"/>
  <c r="W145" i="20"/>
  <c r="AV118" i="22"/>
  <c r="W63" i="20"/>
  <c r="E53" i="24" s="1"/>
  <c r="AV58" i="22"/>
  <c r="W51" i="20"/>
  <c r="E41" i="24" s="1"/>
  <c r="AV46" i="22"/>
  <c r="W133" i="20"/>
  <c r="AV106" i="22"/>
  <c r="W179" i="20"/>
  <c r="E137" i="24" s="1"/>
  <c r="AV142" i="22"/>
  <c r="W98" i="20"/>
  <c r="E77" i="24" s="1"/>
  <c r="AV82" i="22"/>
  <c r="W142" i="20"/>
  <c r="AV115" i="22"/>
  <c r="W60" i="20"/>
  <c r="E50" i="24" s="1"/>
  <c r="AV55" i="22"/>
  <c r="W90" i="20"/>
  <c r="AV74" i="22"/>
  <c r="W49" i="20"/>
  <c r="AV44" i="22"/>
  <c r="W95" i="20"/>
  <c r="E74" i="24" s="1"/>
  <c r="AV79" i="22"/>
  <c r="W176" i="20"/>
  <c r="E134" i="24" s="1"/>
  <c r="AV139" i="22"/>
  <c r="W58" i="20"/>
  <c r="E48" i="24" s="1"/>
  <c r="AV53" i="22"/>
  <c r="W140" i="20"/>
  <c r="AV113" i="22"/>
  <c r="W96" i="20"/>
  <c r="AV80" i="22"/>
  <c r="CM32" i="16"/>
  <c r="CC32" i="16"/>
  <c r="AP12" i="20"/>
  <c r="AP21" i="20"/>
  <c r="S105" i="20"/>
  <c r="S64" i="20"/>
  <c r="S186" i="20"/>
  <c r="S146" i="20"/>
  <c r="AP11" i="20"/>
  <c r="AP18" i="20"/>
  <c r="AP23" i="20"/>
  <c r="AP14" i="20"/>
  <c r="CR32" i="16"/>
  <c r="CU32" i="16" s="1"/>
  <c r="E22" i="22"/>
  <c r="E38" i="22" s="1"/>
  <c r="AO25" i="20"/>
  <c r="AP25" i="20" s="1"/>
  <c r="F24" i="24"/>
  <c r="AP15" i="20"/>
  <c r="AP19" i="20"/>
  <c r="R135" i="24"/>
  <c r="J135" i="24"/>
  <c r="AF135" i="24"/>
  <c r="Y135" i="24"/>
  <c r="AP24" i="20"/>
  <c r="AP20" i="20"/>
  <c r="AP13" i="20"/>
  <c r="AM24" i="21"/>
  <c r="CN31" i="16"/>
  <c r="AK29" i="2" s="1"/>
  <c r="AW29" i="2" s="1"/>
  <c r="AY29" i="2" s="1"/>
  <c r="M27" i="20"/>
  <c r="N27" i="20"/>
  <c r="A27" i="20"/>
  <c r="AU27" i="20"/>
  <c r="K189" i="14"/>
  <c r="K196" i="14" s="1"/>
  <c r="K210" i="14" s="1"/>
  <c r="U30" i="20"/>
  <c r="D65" i="28" s="1"/>
  <c r="D110" i="20"/>
  <c r="F25" i="26" s="1"/>
  <c r="D69" i="20"/>
  <c r="E25" i="26" s="1"/>
  <c r="D151" i="20"/>
  <c r="G25" i="26" s="1"/>
  <c r="D191" i="20"/>
  <c r="H25" i="26" s="1"/>
  <c r="J186" i="14"/>
  <c r="J193" i="14" s="1"/>
  <c r="K187" i="14"/>
  <c r="K194" i="14" s="1"/>
  <c r="K208" i="14" s="1"/>
  <c r="J187" i="14"/>
  <c r="J194" i="14" s="1"/>
  <c r="K186" i="14"/>
  <c r="K193" i="14" s="1"/>
  <c r="K207" i="14" s="1"/>
  <c r="J185" i="14"/>
  <c r="J192" i="14" s="1"/>
  <c r="K188" i="14"/>
  <c r="K195" i="14" s="1"/>
  <c r="K209" i="14" s="1"/>
  <c r="AM34" i="16"/>
  <c r="AQ34" i="16"/>
  <c r="AV33" i="16"/>
  <c r="AX33" i="16"/>
  <c r="E129" i="5"/>
  <c r="F128" i="5"/>
  <c r="AM37" i="8"/>
  <c r="AQ37" i="8"/>
  <c r="K185" i="14"/>
  <c r="K192" i="14" s="1"/>
  <c r="K206" i="14" s="1"/>
  <c r="J189" i="14"/>
  <c r="J196" i="14" s="1"/>
  <c r="J188" i="14"/>
  <c r="J195" i="14" s="1"/>
  <c r="AV36" i="8"/>
  <c r="AX36" i="8"/>
  <c r="BB122" i="8" s="1"/>
  <c r="G66" i="20" l="1"/>
  <c r="O66" i="20" s="1"/>
  <c r="E130" i="17"/>
  <c r="F129" i="17"/>
  <c r="E160" i="14"/>
  <c r="F159" i="14"/>
  <c r="G148" i="20"/>
  <c r="O148" i="20" s="1"/>
  <c r="G188" i="20"/>
  <c r="O188" i="20" s="1"/>
  <c r="G107" i="20"/>
  <c r="O107" i="20" s="1"/>
  <c r="E107" i="24"/>
  <c r="J107" i="24" s="1"/>
  <c r="R105" i="24"/>
  <c r="E112" i="24"/>
  <c r="R112" i="24" s="1"/>
  <c r="E83" i="24"/>
  <c r="AF83" i="24" s="1"/>
  <c r="E72" i="24"/>
  <c r="Y72" i="24" s="1"/>
  <c r="E113" i="24"/>
  <c r="J113" i="24" s="1"/>
  <c r="E76" i="24"/>
  <c r="J76" i="24" s="1"/>
  <c r="K27" i="20"/>
  <c r="E43" i="24"/>
  <c r="AF43" i="24" s="1"/>
  <c r="E100" i="24"/>
  <c r="AF100" i="24" s="1"/>
  <c r="E101" i="24"/>
  <c r="AF101" i="24" s="1"/>
  <c r="J105" i="24"/>
  <c r="E79" i="24"/>
  <c r="J79" i="24" s="1"/>
  <c r="E104" i="24"/>
  <c r="J104" i="24" s="1"/>
  <c r="E133" i="24"/>
  <c r="R133" i="24" s="1"/>
  <c r="E49" i="24"/>
  <c r="R49" i="24" s="1"/>
  <c r="AL14" i="20"/>
  <c r="AL22" i="20"/>
  <c r="AL20" i="20"/>
  <c r="Y105" i="24"/>
  <c r="E99" i="24"/>
  <c r="J99" i="24" s="1"/>
  <c r="E42" i="24"/>
  <c r="Y42" i="24" s="1"/>
  <c r="E80" i="24"/>
  <c r="AF80" i="24" s="1"/>
  <c r="E110" i="24"/>
  <c r="Y110" i="24" s="1"/>
  <c r="AL18" i="20"/>
  <c r="E130" i="24"/>
  <c r="J130" i="24" s="1"/>
  <c r="E106" i="24"/>
  <c r="Y106" i="24" s="1"/>
  <c r="E102" i="24"/>
  <c r="Y102" i="24" s="1"/>
  <c r="AL19" i="20"/>
  <c r="AL13" i="20"/>
  <c r="E108" i="24"/>
  <c r="J108" i="24" s="1"/>
  <c r="AL23" i="20"/>
  <c r="E132" i="24"/>
  <c r="R132" i="24" s="1"/>
  <c r="AL21" i="20"/>
  <c r="E103" i="24"/>
  <c r="Y103" i="24" s="1"/>
  <c r="AL10" i="20"/>
  <c r="E52" i="24"/>
  <c r="Y52" i="24" s="1"/>
  <c r="AL24" i="20"/>
  <c r="AL12" i="20"/>
  <c r="E140" i="24"/>
  <c r="R140" i="24" s="1"/>
  <c r="E39" i="24"/>
  <c r="R39" i="24" s="1"/>
  <c r="AL15" i="20"/>
  <c r="E69" i="24"/>
  <c r="J69" i="24" s="1"/>
  <c r="AL17" i="20"/>
  <c r="E45" i="24"/>
  <c r="Y45" i="24" s="1"/>
  <c r="E139" i="24"/>
  <c r="AF139" i="24" s="1"/>
  <c r="E129" i="24"/>
  <c r="R129" i="24" s="1"/>
  <c r="AL11" i="20"/>
  <c r="E47" i="24"/>
  <c r="R47" i="24" s="1"/>
  <c r="E111" i="24"/>
  <c r="AF111" i="24" s="1"/>
  <c r="AL16" i="20"/>
  <c r="BR37" i="8"/>
  <c r="D27" i="28"/>
  <c r="AF152" i="20"/>
  <c r="AF111" i="20"/>
  <c r="AQ31" i="20"/>
  <c r="AF192" i="20"/>
  <c r="E97" i="28"/>
  <c r="F97" i="28"/>
  <c r="F23" i="28"/>
  <c r="CM80" i="16"/>
  <c r="W186" i="20"/>
  <c r="AV149" i="22"/>
  <c r="W105" i="20"/>
  <c r="AV89" i="22"/>
  <c r="W146" i="20"/>
  <c r="E114" i="24" s="1"/>
  <c r="AV119" i="22"/>
  <c r="W64" i="20"/>
  <c r="AV59" i="22"/>
  <c r="E75" i="24"/>
  <c r="F28" i="20"/>
  <c r="F67" i="20" s="1"/>
  <c r="E105" i="26" s="1"/>
  <c r="AH106" i="20"/>
  <c r="AD106" i="20" s="1"/>
  <c r="AH147" i="20"/>
  <c r="AD147" i="20" s="1"/>
  <c r="AS26" i="20"/>
  <c r="AH65" i="20"/>
  <c r="AD65" i="20" s="1"/>
  <c r="AH187" i="20"/>
  <c r="AD187" i="20" s="1"/>
  <c r="W26" i="20"/>
  <c r="R131" i="24"/>
  <c r="AF131" i="24"/>
  <c r="Y131" i="24"/>
  <c r="J131" i="24"/>
  <c r="J71" i="24"/>
  <c r="R71" i="24"/>
  <c r="AF71" i="24"/>
  <c r="Y71" i="24"/>
  <c r="AF143" i="24"/>
  <c r="Y143" i="24"/>
  <c r="R143" i="24"/>
  <c r="J143" i="24"/>
  <c r="Y73" i="24"/>
  <c r="AF73" i="24"/>
  <c r="R73" i="24"/>
  <c r="J73" i="24"/>
  <c r="Y81" i="24"/>
  <c r="AF81" i="24"/>
  <c r="R81" i="24"/>
  <c r="J81" i="24"/>
  <c r="R141" i="24"/>
  <c r="AF141" i="24"/>
  <c r="J141" i="24"/>
  <c r="Y141" i="24"/>
  <c r="R136" i="24"/>
  <c r="J136" i="24"/>
  <c r="AF136" i="24"/>
  <c r="Y136" i="24"/>
  <c r="R74" i="24"/>
  <c r="J74" i="24"/>
  <c r="Y74" i="24"/>
  <c r="AF74" i="24"/>
  <c r="Y50" i="24"/>
  <c r="AF50" i="24"/>
  <c r="R50" i="24"/>
  <c r="J50" i="24"/>
  <c r="R137" i="24"/>
  <c r="J137" i="24"/>
  <c r="AF137" i="24"/>
  <c r="Y137" i="24"/>
  <c r="AF41" i="24"/>
  <c r="R41" i="24"/>
  <c r="Y41" i="24"/>
  <c r="J41" i="24"/>
  <c r="R51" i="24"/>
  <c r="J51" i="24"/>
  <c r="Y51" i="24"/>
  <c r="AF51" i="24"/>
  <c r="Y40" i="24"/>
  <c r="AF40" i="24"/>
  <c r="R40" i="24"/>
  <c r="J40" i="24"/>
  <c r="R48" i="24"/>
  <c r="J48" i="24"/>
  <c r="Y48" i="24"/>
  <c r="AF48" i="24"/>
  <c r="Y44" i="24"/>
  <c r="AF44" i="24"/>
  <c r="R44" i="24"/>
  <c r="J44" i="24"/>
  <c r="AF109" i="24"/>
  <c r="Y109" i="24"/>
  <c r="R109" i="24"/>
  <c r="J109" i="24"/>
  <c r="R70" i="24"/>
  <c r="J70" i="24"/>
  <c r="Y70" i="24"/>
  <c r="AF70" i="24"/>
  <c r="AM25" i="21"/>
  <c r="CN32" i="16"/>
  <c r="AK30" i="2" s="1"/>
  <c r="AW30" i="2" s="1"/>
  <c r="AY30" i="2" s="1"/>
  <c r="AF138" i="24"/>
  <c r="Y138" i="24"/>
  <c r="R138" i="24"/>
  <c r="J138" i="24"/>
  <c r="Y78" i="24"/>
  <c r="AF78" i="24"/>
  <c r="R78" i="24"/>
  <c r="J78" i="24"/>
  <c r="AF134" i="24"/>
  <c r="Y134" i="24"/>
  <c r="R134" i="24"/>
  <c r="J134" i="24"/>
  <c r="R77" i="24"/>
  <c r="J77" i="24"/>
  <c r="Y77" i="24"/>
  <c r="AF77" i="24"/>
  <c r="R53" i="24"/>
  <c r="J53" i="24"/>
  <c r="AF53" i="24"/>
  <c r="Y53" i="24"/>
  <c r="Y82" i="24"/>
  <c r="AF82" i="24"/>
  <c r="R82" i="24"/>
  <c r="J82" i="24"/>
  <c r="R142" i="24"/>
  <c r="J142" i="24"/>
  <c r="AF142" i="24"/>
  <c r="Y142" i="24"/>
  <c r="Y46" i="24"/>
  <c r="AF46" i="24"/>
  <c r="R46" i="24"/>
  <c r="J46" i="24"/>
  <c r="CJ36" i="8"/>
  <c r="J34" i="2" s="1"/>
  <c r="D31" i="20"/>
  <c r="AB191" i="20"/>
  <c r="AB151" i="20"/>
  <c r="AB110" i="20"/>
  <c r="I30" i="20"/>
  <c r="C29" i="24"/>
  <c r="J210" i="14"/>
  <c r="Q196" i="14"/>
  <c r="Q210" i="14" s="1"/>
  <c r="T196" i="14"/>
  <c r="U196" i="14" s="1"/>
  <c r="J209" i="14"/>
  <c r="Q195" i="14"/>
  <c r="Q209" i="14" s="1"/>
  <c r="T195" i="14"/>
  <c r="U195" i="14" s="1"/>
  <c r="AJ38" i="8"/>
  <c r="AK38" i="8" s="1"/>
  <c r="BM38" i="8" s="1"/>
  <c r="AU37" i="8"/>
  <c r="BA123" i="8" s="1"/>
  <c r="AO37" i="8"/>
  <c r="AP37" i="8" s="1"/>
  <c r="F129" i="5"/>
  <c r="E130" i="5"/>
  <c r="AU34" i="16"/>
  <c r="AJ35" i="16"/>
  <c r="AK35" i="16" s="1"/>
  <c r="BM35" i="16" s="1"/>
  <c r="J206" i="14"/>
  <c r="Q192" i="14"/>
  <c r="Q206" i="14" s="1"/>
  <c r="T192" i="14"/>
  <c r="U192" i="14" s="1"/>
  <c r="J208" i="14"/>
  <c r="T194" i="14"/>
  <c r="U194" i="14" s="1"/>
  <c r="Q194" i="14"/>
  <c r="Q208" i="14" s="1"/>
  <c r="Q193" i="14"/>
  <c r="Q207" i="14" s="1"/>
  <c r="T193" i="14"/>
  <c r="U193" i="14" s="1"/>
  <c r="J207" i="14"/>
  <c r="F61" i="28" l="1"/>
  <c r="N148" i="20"/>
  <c r="M148" i="20"/>
  <c r="M66" i="20"/>
  <c r="N66" i="20"/>
  <c r="N188" i="20"/>
  <c r="E161" i="14"/>
  <c r="F160" i="14"/>
  <c r="F130" i="17"/>
  <c r="E131" i="17"/>
  <c r="Y107" i="24"/>
  <c r="M188" i="20"/>
  <c r="AF107" i="24"/>
  <c r="R107" i="24"/>
  <c r="Y83" i="24"/>
  <c r="N107" i="20"/>
  <c r="AF49" i="24"/>
  <c r="Y112" i="24"/>
  <c r="M107" i="20"/>
  <c r="R130" i="24"/>
  <c r="AF112" i="24"/>
  <c r="J83" i="24"/>
  <c r="R83" i="24"/>
  <c r="R99" i="24"/>
  <c r="Y133" i="24"/>
  <c r="AF76" i="24"/>
  <c r="J52" i="24"/>
  <c r="J72" i="24"/>
  <c r="G28" i="20"/>
  <c r="O28" i="20" s="1"/>
  <c r="J112" i="24"/>
  <c r="J42" i="24"/>
  <c r="F149" i="20"/>
  <c r="G105" i="26" s="1"/>
  <c r="R42" i="24"/>
  <c r="Y49" i="24"/>
  <c r="R72" i="24"/>
  <c r="Y99" i="24"/>
  <c r="R76" i="24"/>
  <c r="Y101" i="24"/>
  <c r="R113" i="24"/>
  <c r="J100" i="24"/>
  <c r="AF72" i="24"/>
  <c r="J111" i="24"/>
  <c r="R52" i="24"/>
  <c r="Y76" i="24"/>
  <c r="J101" i="24"/>
  <c r="AF108" i="24"/>
  <c r="R100" i="24"/>
  <c r="Y113" i="24"/>
  <c r="AF113" i="24"/>
  <c r="R104" i="24"/>
  <c r="R79" i="24"/>
  <c r="J106" i="24"/>
  <c r="Y100" i="24"/>
  <c r="AF42" i="24"/>
  <c r="J49" i="24"/>
  <c r="J132" i="24"/>
  <c r="F108" i="20"/>
  <c r="F105" i="26" s="1"/>
  <c r="Y43" i="24"/>
  <c r="AF39" i="24"/>
  <c r="J110" i="24"/>
  <c r="AF79" i="24"/>
  <c r="Y79" i="24"/>
  <c r="Y80" i="24"/>
  <c r="J80" i="24"/>
  <c r="J43" i="24"/>
  <c r="F189" i="20"/>
  <c r="H105" i="26" s="1"/>
  <c r="R43" i="24"/>
  <c r="AF99" i="24"/>
  <c r="AF102" i="24"/>
  <c r="AF133" i="24"/>
  <c r="R102" i="24"/>
  <c r="R101" i="24"/>
  <c r="J133" i="24"/>
  <c r="R108" i="24"/>
  <c r="R80" i="24"/>
  <c r="Y108" i="24"/>
  <c r="Y104" i="24"/>
  <c r="J102" i="24"/>
  <c r="AF103" i="24"/>
  <c r="R111" i="24"/>
  <c r="E144" i="24"/>
  <c r="AF144" i="24" s="1"/>
  <c r="AF110" i="24"/>
  <c r="J39" i="24"/>
  <c r="J45" i="24"/>
  <c r="R110" i="24"/>
  <c r="Y39" i="24"/>
  <c r="Y140" i="24"/>
  <c r="R45" i="24"/>
  <c r="J139" i="24"/>
  <c r="R139" i="24"/>
  <c r="AF104" i="24"/>
  <c r="AF45" i="24"/>
  <c r="AF106" i="24"/>
  <c r="AF132" i="24"/>
  <c r="R106" i="24"/>
  <c r="Y69" i="24"/>
  <c r="Y130" i="24"/>
  <c r="J129" i="24"/>
  <c r="Y132" i="24"/>
  <c r="AF130" i="24"/>
  <c r="AF52" i="24"/>
  <c r="J103" i="24"/>
  <c r="R103" i="24"/>
  <c r="J47" i="24"/>
  <c r="AF140" i="24"/>
  <c r="AF47" i="24"/>
  <c r="E54" i="24"/>
  <c r="AF54" i="24" s="1"/>
  <c r="Y47" i="24"/>
  <c r="J140" i="24"/>
  <c r="R69" i="24"/>
  <c r="Y129" i="24"/>
  <c r="Y139" i="24"/>
  <c r="AF129" i="24"/>
  <c r="AF69" i="24"/>
  <c r="Y111" i="24"/>
  <c r="E84" i="24"/>
  <c r="R84" i="24" s="1"/>
  <c r="AL25" i="20"/>
  <c r="BW35" i="16"/>
  <c r="BP35" i="16"/>
  <c r="BO35" i="16"/>
  <c r="BL35" i="16"/>
  <c r="BL38" i="8"/>
  <c r="BO38" i="8"/>
  <c r="BP38" i="8"/>
  <c r="BX37" i="8"/>
  <c r="BT37" i="8"/>
  <c r="R75" i="24"/>
  <c r="Y75" i="24"/>
  <c r="J75" i="24"/>
  <c r="AF75" i="24"/>
  <c r="AD26" i="20"/>
  <c r="AH26" i="20" s="1"/>
  <c r="DC440" i="1" s="1"/>
  <c r="J114" i="24"/>
  <c r="Y114" i="24"/>
  <c r="R114" i="24"/>
  <c r="AF114" i="24"/>
  <c r="X26" i="20"/>
  <c r="E25" i="24"/>
  <c r="AH107" i="20"/>
  <c r="AD107" i="20" s="1"/>
  <c r="AH188" i="20"/>
  <c r="AD188" i="20" s="1"/>
  <c r="AH66" i="20"/>
  <c r="AD66" i="20" s="1"/>
  <c r="AH148" i="20"/>
  <c r="AD148" i="20" s="1"/>
  <c r="AS27" i="20"/>
  <c r="W27" i="20"/>
  <c r="G67" i="20"/>
  <c r="O67" i="20" s="1"/>
  <c r="U31" i="20"/>
  <c r="D66" i="28" s="1"/>
  <c r="D192" i="20"/>
  <c r="H26" i="26" s="1"/>
  <c r="D70" i="20"/>
  <c r="E26" i="26" s="1"/>
  <c r="D152" i="20"/>
  <c r="G26" i="26" s="1"/>
  <c r="D111" i="20"/>
  <c r="F26" i="26" s="1"/>
  <c r="AM35" i="16"/>
  <c r="AQ35" i="16"/>
  <c r="E131" i="5"/>
  <c r="F130" i="5"/>
  <c r="AM38" i="8"/>
  <c r="AQ38" i="8"/>
  <c r="T186" i="14"/>
  <c r="AV34" i="16"/>
  <c r="AX34" i="16"/>
  <c r="AX37" i="8"/>
  <c r="AV37" i="8"/>
  <c r="F62" i="28" l="1"/>
  <c r="BB123" i="8"/>
  <c r="F131" i="17"/>
  <c r="E132" i="17"/>
  <c r="F161" i="14"/>
  <c r="E162" i="14"/>
  <c r="N28" i="20"/>
  <c r="M28" i="20"/>
  <c r="G149" i="20"/>
  <c r="O149" i="20" s="1"/>
  <c r="AU28" i="20"/>
  <c r="A28" i="20"/>
  <c r="R54" i="24"/>
  <c r="G189" i="20"/>
  <c r="O189" i="20" s="1"/>
  <c r="G108" i="20"/>
  <c r="O108" i="20" s="1"/>
  <c r="J54" i="24"/>
  <c r="R144" i="24"/>
  <c r="Y144" i="24"/>
  <c r="K28" i="20"/>
  <c r="J144" i="24"/>
  <c r="Y54" i="24"/>
  <c r="AF84" i="24"/>
  <c r="Y84" i="24"/>
  <c r="J84" i="24"/>
  <c r="BR38" i="8"/>
  <c r="BX38" i="8" s="1"/>
  <c r="CO38" i="8" s="1"/>
  <c r="CO37" i="8"/>
  <c r="F34" i="21"/>
  <c r="E38" i="27" s="1"/>
  <c r="CQ37" i="16"/>
  <c r="CT37" i="16" s="1"/>
  <c r="BY37" i="8"/>
  <c r="Q32" i="20"/>
  <c r="DI37" i="15"/>
  <c r="DL37" i="15" s="1"/>
  <c r="G61" i="28"/>
  <c r="D98" i="28" s="1"/>
  <c r="AD27" i="20"/>
  <c r="AH27" i="20" s="1"/>
  <c r="DC441" i="1" s="1"/>
  <c r="F29" i="20"/>
  <c r="F150" i="20" s="1"/>
  <c r="G106" i="26" s="1"/>
  <c r="S187" i="20"/>
  <c r="S147" i="20"/>
  <c r="S106" i="20"/>
  <c r="S65" i="20"/>
  <c r="AO26" i="20"/>
  <c r="AP26" i="20" s="1"/>
  <c r="F25" i="24"/>
  <c r="E23" i="22"/>
  <c r="X27" i="20"/>
  <c r="E26" i="24"/>
  <c r="M67" i="20"/>
  <c r="N67" i="20"/>
  <c r="CJ37" i="8"/>
  <c r="J35" i="2" s="1"/>
  <c r="D32" i="20"/>
  <c r="AB152" i="20"/>
  <c r="AB192" i="20"/>
  <c r="AB111" i="20"/>
  <c r="I31" i="20"/>
  <c r="C30" i="24"/>
  <c r="AJ39" i="8"/>
  <c r="AK39" i="8" s="1"/>
  <c r="BM39" i="8" s="1"/>
  <c r="AU38" i="8"/>
  <c r="BA124" i="8" s="1"/>
  <c r="E132" i="5"/>
  <c r="F131" i="5"/>
  <c r="AU35" i="16"/>
  <c r="AJ36" i="16"/>
  <c r="AK36" i="16" s="1"/>
  <c r="BM36" i="16" s="1"/>
  <c r="AO35" i="16"/>
  <c r="AP35" i="16" s="1"/>
  <c r="F162" i="14" l="1"/>
  <c r="E163" i="14"/>
  <c r="E133" i="17"/>
  <c r="F132" i="17"/>
  <c r="N149" i="20"/>
  <c r="M149" i="20"/>
  <c r="N189" i="20"/>
  <c r="M189" i="20"/>
  <c r="N108" i="20"/>
  <c r="M108" i="20"/>
  <c r="F98" i="28"/>
  <c r="F109" i="20"/>
  <c r="F106" i="26" s="1"/>
  <c r="F190" i="20"/>
  <c r="H106" i="26" s="1"/>
  <c r="BW36" i="16"/>
  <c r="BL36" i="16"/>
  <c r="BO36" i="16"/>
  <c r="BP36" i="16"/>
  <c r="CQ38" i="16"/>
  <c r="CT38" i="16" s="1"/>
  <c r="Q33" i="20"/>
  <c r="D29" i="28" s="1"/>
  <c r="DI38" i="15"/>
  <c r="DL38" i="15" s="1"/>
  <c r="F35" i="21"/>
  <c r="E39" i="27" s="1"/>
  <c r="BL39" i="8"/>
  <c r="BO39" i="8"/>
  <c r="BP39" i="8"/>
  <c r="D28" i="28"/>
  <c r="AF112" i="20"/>
  <c r="AQ32" i="20"/>
  <c r="AF193" i="20"/>
  <c r="AF153" i="20"/>
  <c r="E98" i="28"/>
  <c r="G29" i="20"/>
  <c r="O29" i="20" s="1"/>
  <c r="F68" i="20"/>
  <c r="E106" i="26" s="1"/>
  <c r="G62" i="28"/>
  <c r="D99" i="28" s="1"/>
  <c r="W65" i="20"/>
  <c r="AV60" i="22"/>
  <c r="W147" i="20"/>
  <c r="E115" i="24" s="1"/>
  <c r="AV120" i="22"/>
  <c r="W106" i="20"/>
  <c r="E85" i="24" s="1"/>
  <c r="AV90" i="22"/>
  <c r="W187" i="20"/>
  <c r="E145" i="24" s="1"/>
  <c r="AV150" i="22"/>
  <c r="S107" i="20"/>
  <c r="S66" i="20"/>
  <c r="S148" i="20"/>
  <c r="S188" i="20"/>
  <c r="AO27" i="20"/>
  <c r="AP27" i="20" s="1"/>
  <c r="F26" i="24"/>
  <c r="E24" i="22"/>
  <c r="G150" i="20"/>
  <c r="O150" i="20" s="1"/>
  <c r="U32" i="20"/>
  <c r="D67" i="28" s="1"/>
  <c r="D71" i="20"/>
  <c r="E27" i="26" s="1"/>
  <c r="D153" i="20"/>
  <c r="G27" i="26" s="1"/>
  <c r="D112" i="20"/>
  <c r="F27" i="26" s="1"/>
  <c r="D193" i="20"/>
  <c r="H27" i="26" s="1"/>
  <c r="AV35" i="16"/>
  <c r="AX35" i="16"/>
  <c r="E133" i="5"/>
  <c r="F132" i="5"/>
  <c r="AM39" i="8"/>
  <c r="AJ40" i="8" s="1"/>
  <c r="AK40" i="8" s="1"/>
  <c r="BM40" i="8" s="1"/>
  <c r="AQ39" i="8"/>
  <c r="AM36" i="16"/>
  <c r="AQ36" i="16"/>
  <c r="AX38" i="8"/>
  <c r="BB124" i="8" s="1"/>
  <c r="AV38" i="8"/>
  <c r="G109" i="20" l="1"/>
  <c r="O109" i="20" s="1"/>
  <c r="F133" i="17"/>
  <c r="E134" i="17"/>
  <c r="F163" i="14"/>
  <c r="E164" i="14"/>
  <c r="AF154" i="20"/>
  <c r="AF194" i="20"/>
  <c r="AF113" i="20"/>
  <c r="G68" i="20"/>
  <c r="O68" i="20" s="1"/>
  <c r="E55" i="24"/>
  <c r="R55" i="24" s="1"/>
  <c r="AQ33" i="20"/>
  <c r="A29" i="20"/>
  <c r="AL26" i="20"/>
  <c r="G190" i="20"/>
  <c r="O190" i="20" s="1"/>
  <c r="K29" i="20"/>
  <c r="BR39" i="8"/>
  <c r="BT39" i="8" s="1"/>
  <c r="BL40" i="8"/>
  <c r="BO40" i="8"/>
  <c r="BP40" i="8"/>
  <c r="N29" i="20"/>
  <c r="AU29" i="20"/>
  <c r="M29" i="20"/>
  <c r="E99" i="28"/>
  <c r="F99" i="28"/>
  <c r="W148" i="20"/>
  <c r="AV121" i="22"/>
  <c r="W107" i="20"/>
  <c r="AV91" i="22"/>
  <c r="W188" i="20"/>
  <c r="AV151" i="22"/>
  <c r="W66" i="20"/>
  <c r="AV61" i="22"/>
  <c r="AF145" i="24"/>
  <c r="Y145" i="24"/>
  <c r="R145" i="24"/>
  <c r="J145" i="24"/>
  <c r="Y85" i="24"/>
  <c r="AF85" i="24"/>
  <c r="R85" i="24"/>
  <c r="J85" i="24"/>
  <c r="F30" i="20"/>
  <c r="F69" i="20" s="1"/>
  <c r="E107" i="26" s="1"/>
  <c r="AF115" i="24"/>
  <c r="Y115" i="24"/>
  <c r="R115" i="24"/>
  <c r="J115" i="24"/>
  <c r="M150" i="20"/>
  <c r="N150" i="20"/>
  <c r="AM40" i="8"/>
  <c r="AJ41" i="8" s="1"/>
  <c r="AK41" i="8" s="1"/>
  <c r="BM41" i="8" s="1"/>
  <c r="AQ40" i="8"/>
  <c r="AB193" i="20"/>
  <c r="AB153" i="20"/>
  <c r="C31" i="24"/>
  <c r="CJ38" i="8"/>
  <c r="J36" i="2" s="1"/>
  <c r="D33" i="20"/>
  <c r="AB112" i="20"/>
  <c r="I32" i="20"/>
  <c r="AJ37" i="16"/>
  <c r="AK37" i="16" s="1"/>
  <c r="BM37" i="16" s="1"/>
  <c r="AU36" i="16"/>
  <c r="AU39" i="8"/>
  <c r="BA125" i="8" s="1"/>
  <c r="AO39" i="8"/>
  <c r="AP39" i="8" s="1"/>
  <c r="F133" i="5"/>
  <c r="E134" i="5"/>
  <c r="M109" i="20" l="1"/>
  <c r="N109" i="20"/>
  <c r="E165" i="14"/>
  <c r="F164" i="14"/>
  <c r="BX39" i="8"/>
  <c r="BY39" i="8" s="1"/>
  <c r="F134" i="17"/>
  <c r="E135" i="17"/>
  <c r="AF55" i="24"/>
  <c r="Y55" i="24"/>
  <c r="N68" i="20"/>
  <c r="M68" i="20"/>
  <c r="J55" i="24"/>
  <c r="F110" i="20"/>
  <c r="F107" i="26" s="1"/>
  <c r="AL27" i="20"/>
  <c r="N190" i="20"/>
  <c r="M190" i="20"/>
  <c r="BW37" i="16"/>
  <c r="BO37" i="16"/>
  <c r="BP37" i="16"/>
  <c r="BL37" i="16"/>
  <c r="BR40" i="8"/>
  <c r="BX40" i="8" s="1"/>
  <c r="DI40" i="15" s="1"/>
  <c r="BL41" i="8"/>
  <c r="BP41" i="8"/>
  <c r="BO41" i="8"/>
  <c r="E86" i="24"/>
  <c r="J86" i="24" s="1"/>
  <c r="G30" i="20"/>
  <c r="O30" i="20" s="1"/>
  <c r="E116" i="24"/>
  <c r="R116" i="24" s="1"/>
  <c r="AM41" i="8"/>
  <c r="AJ42" i="8" s="1"/>
  <c r="AK42" i="8" s="1"/>
  <c r="AQ42" i="8" s="1"/>
  <c r="AQ41" i="8"/>
  <c r="AQ50" i="8" s="1"/>
  <c r="F151" i="20"/>
  <c r="G107" i="26" s="1"/>
  <c r="F191" i="20"/>
  <c r="H107" i="26" s="1"/>
  <c r="E146" i="24"/>
  <c r="AF146" i="24" s="1"/>
  <c r="E56" i="24"/>
  <c r="Y56" i="24" s="1"/>
  <c r="G69" i="20"/>
  <c r="O69" i="20" s="1"/>
  <c r="U33" i="20"/>
  <c r="D68" i="28" s="1"/>
  <c r="D194" i="20"/>
  <c r="H28" i="26" s="1"/>
  <c r="D72" i="20"/>
  <c r="E28" i="26" s="1"/>
  <c r="D154" i="20"/>
  <c r="G28" i="26" s="1"/>
  <c r="D113" i="20"/>
  <c r="F28" i="26" s="1"/>
  <c r="AO40" i="8"/>
  <c r="AU40" i="8"/>
  <c r="BA126" i="8" s="1"/>
  <c r="E135" i="5"/>
  <c r="F134" i="5"/>
  <c r="AV39" i="8"/>
  <c r="AX39" i="8"/>
  <c r="BB125" i="8" s="1"/>
  <c r="AM37" i="16"/>
  <c r="AQ37" i="16"/>
  <c r="AV36" i="16"/>
  <c r="AX36" i="16"/>
  <c r="DI39" i="15" l="1"/>
  <c r="DL39" i="15" s="1"/>
  <c r="CQ39" i="16"/>
  <c r="CT39" i="16" s="1"/>
  <c r="F36" i="21"/>
  <c r="E40" i="27" s="1"/>
  <c r="Q34" i="20"/>
  <c r="BU39" i="8"/>
  <c r="CO39" i="8"/>
  <c r="AM42" i="8"/>
  <c r="AJ43" i="8" s="1"/>
  <c r="AK43" i="8" s="1"/>
  <c r="AQ43" i="8" s="1"/>
  <c r="BM42" i="8"/>
  <c r="E136" i="17"/>
  <c r="F135" i="17"/>
  <c r="E166" i="14"/>
  <c r="F165" i="14"/>
  <c r="G110" i="20"/>
  <c r="O110" i="20" s="1"/>
  <c r="Q35" i="20"/>
  <c r="AF115" i="20" s="1"/>
  <c r="BR41" i="8"/>
  <c r="BX41" i="8" s="1"/>
  <c r="F38" i="21" s="1"/>
  <c r="E42" i="27" s="1"/>
  <c r="R86" i="24"/>
  <c r="Y86" i="24"/>
  <c r="AU30" i="20"/>
  <c r="AF116" i="24"/>
  <c r="J116" i="24"/>
  <c r="AF56" i="24"/>
  <c r="K30" i="20"/>
  <c r="Y116" i="24"/>
  <c r="AF86" i="24"/>
  <c r="Y146" i="24"/>
  <c r="F37" i="21"/>
  <c r="E41" i="27" s="1"/>
  <c r="AF196" i="20"/>
  <c r="AQ35" i="20"/>
  <c r="CR39" i="15"/>
  <c r="D30" i="28"/>
  <c r="N30" i="20"/>
  <c r="A30" i="20"/>
  <c r="M30" i="20"/>
  <c r="R146" i="24"/>
  <c r="AU41" i="8"/>
  <c r="BA127" i="8" s="1"/>
  <c r="AO41" i="8"/>
  <c r="AP41" i="8" s="1"/>
  <c r="G191" i="20"/>
  <c r="O191" i="20" s="1"/>
  <c r="J56" i="24"/>
  <c r="G151" i="20"/>
  <c r="O151" i="20" s="1"/>
  <c r="R56" i="24"/>
  <c r="J146" i="24"/>
  <c r="F31" i="20"/>
  <c r="F152" i="20" s="1"/>
  <c r="G108" i="26" s="1"/>
  <c r="M69" i="20"/>
  <c r="N69" i="20"/>
  <c r="AV40" i="8"/>
  <c r="AX40" i="8"/>
  <c r="AB113" i="20"/>
  <c r="I33" i="20"/>
  <c r="C32" i="24"/>
  <c r="CJ39" i="8"/>
  <c r="J37" i="2" s="1"/>
  <c r="M37" i="2" s="1"/>
  <c r="D34" i="20"/>
  <c r="AB154" i="20"/>
  <c r="AB194" i="20"/>
  <c r="AU37" i="16"/>
  <c r="AO37" i="16"/>
  <c r="AP37" i="16" s="1"/>
  <c r="AJ38" i="16"/>
  <c r="AK38" i="16" s="1"/>
  <c r="BM38" i="16" s="1"/>
  <c r="E136" i="5"/>
  <c r="F135" i="5"/>
  <c r="D35" i="20" l="1"/>
  <c r="U35" i="20" s="1"/>
  <c r="D70" i="28" s="1"/>
  <c r="BB126" i="8"/>
  <c r="AF114" i="20"/>
  <c r="AF155" i="20"/>
  <c r="AQ34" i="20"/>
  <c r="AF195" i="20"/>
  <c r="AU42" i="8"/>
  <c r="E167" i="14"/>
  <c r="F167" i="14" s="1"/>
  <c r="F166" i="14"/>
  <c r="F136" i="17"/>
  <c r="E137" i="17"/>
  <c r="AM43" i="8"/>
  <c r="AO43" i="8" s="1"/>
  <c r="AP43" i="8" s="1"/>
  <c r="BM43" i="8"/>
  <c r="BO42" i="8"/>
  <c r="BP42" i="8"/>
  <c r="BL42" i="8"/>
  <c r="N110" i="20"/>
  <c r="M110" i="20"/>
  <c r="AF156" i="20"/>
  <c r="D31" i="28"/>
  <c r="BU41" i="8"/>
  <c r="Q36" i="20"/>
  <c r="BT41" i="8"/>
  <c r="CT39" i="15"/>
  <c r="R34" i="20" s="1"/>
  <c r="CU39" i="15"/>
  <c r="CM8" i="15" s="1"/>
  <c r="CQ4" i="15" s="1"/>
  <c r="BW38" i="16"/>
  <c r="BO38" i="16"/>
  <c r="BL38" i="16"/>
  <c r="BP38" i="16"/>
  <c r="DI41" i="15"/>
  <c r="BY41" i="8"/>
  <c r="N191" i="20"/>
  <c r="N151" i="20"/>
  <c r="M191" i="20"/>
  <c r="M151" i="20"/>
  <c r="AV41" i="8"/>
  <c r="AX41" i="8"/>
  <c r="BB127" i="8" s="1"/>
  <c r="G31" i="20"/>
  <c r="O31" i="20" s="1"/>
  <c r="F111" i="20"/>
  <c r="F108" i="26" s="1"/>
  <c r="F70" i="20"/>
  <c r="E108" i="26" s="1"/>
  <c r="F192" i="20"/>
  <c r="H108" i="26" s="1"/>
  <c r="G152" i="20"/>
  <c r="O152" i="20" s="1"/>
  <c r="U34" i="20"/>
  <c r="D69" i="28" s="1"/>
  <c r="D114" i="20"/>
  <c r="F29" i="26" s="1"/>
  <c r="D73" i="20"/>
  <c r="E29" i="26" s="1"/>
  <c r="D155" i="20"/>
  <c r="G29" i="26" s="1"/>
  <c r="D195" i="20"/>
  <c r="H29" i="26" s="1"/>
  <c r="AV37" i="16"/>
  <c r="AX37" i="16"/>
  <c r="E137" i="5"/>
  <c r="F136" i="5"/>
  <c r="AM38" i="16"/>
  <c r="AQ38" i="16"/>
  <c r="AX42" i="8" l="1"/>
  <c r="BA128" i="8"/>
  <c r="AQ36" i="20"/>
  <c r="D32" i="28"/>
  <c r="D156" i="20"/>
  <c r="G30" i="26" s="1"/>
  <c r="D115" i="20"/>
  <c r="F30" i="26" s="1"/>
  <c r="D74" i="20"/>
  <c r="E30" i="26" s="1"/>
  <c r="D196" i="20"/>
  <c r="H30" i="26" s="1"/>
  <c r="D37" i="20"/>
  <c r="D117" i="20" s="1"/>
  <c r="F32" i="26" s="1"/>
  <c r="BB128" i="8"/>
  <c r="AU43" i="8"/>
  <c r="BA129" i="8" s="1"/>
  <c r="AJ44" i="8"/>
  <c r="AV42" i="8"/>
  <c r="BR42" i="8"/>
  <c r="BO43" i="8"/>
  <c r="BP43" i="8"/>
  <c r="BL43" i="8"/>
  <c r="F137" i="17"/>
  <c r="E138" i="17"/>
  <c r="AF157" i="20"/>
  <c r="AF197" i="20"/>
  <c r="AF116" i="20"/>
  <c r="D36" i="20"/>
  <c r="D197" i="20" s="1"/>
  <c r="H31" i="26" s="1"/>
  <c r="AY56" i="8"/>
  <c r="N31" i="20"/>
  <c r="AG73" i="20"/>
  <c r="AC73" i="20" s="1"/>
  <c r="V34" i="20"/>
  <c r="AG114" i="20"/>
  <c r="AC114" i="20" s="1"/>
  <c r="E30" i="28"/>
  <c r="AG155" i="20"/>
  <c r="AC155" i="20" s="1"/>
  <c r="AR34" i="20"/>
  <c r="AG195" i="20"/>
  <c r="AC195" i="20" s="1"/>
  <c r="AU31" i="20"/>
  <c r="G111" i="20"/>
  <c r="O111" i="20" s="1"/>
  <c r="G70" i="20"/>
  <c r="O70" i="20" s="1"/>
  <c r="A31" i="20"/>
  <c r="M31" i="20"/>
  <c r="K31" i="20"/>
  <c r="G192" i="20"/>
  <c r="O192" i="20" s="1"/>
  <c r="F32" i="20"/>
  <c r="F112" i="20" s="1"/>
  <c r="F109" i="26" s="1"/>
  <c r="M152" i="20"/>
  <c r="N152" i="20"/>
  <c r="AB155" i="20"/>
  <c r="C33" i="24"/>
  <c r="AB195" i="20"/>
  <c r="I34" i="20"/>
  <c r="AB114" i="20"/>
  <c r="C34" i="24"/>
  <c r="AJ39" i="16"/>
  <c r="AU38" i="16"/>
  <c r="F137" i="5"/>
  <c r="E138" i="5"/>
  <c r="AB115" i="20" l="1"/>
  <c r="AB196" i="20"/>
  <c r="D158" i="20"/>
  <c r="G32" i="26" s="1"/>
  <c r="D76" i="20"/>
  <c r="E32" i="26" s="1"/>
  <c r="D198" i="20"/>
  <c r="H32" i="26" s="1"/>
  <c r="I35" i="20"/>
  <c r="AB156" i="20"/>
  <c r="Q37" i="20"/>
  <c r="F39" i="21"/>
  <c r="E43" i="27" s="1"/>
  <c r="I37" i="20"/>
  <c r="AK44" i="8"/>
  <c r="AQ44" i="8" s="1"/>
  <c r="AV43" i="8"/>
  <c r="AX43" i="8"/>
  <c r="F138" i="17"/>
  <c r="E139" i="17"/>
  <c r="BR43" i="8"/>
  <c r="D75" i="20"/>
  <c r="E31" i="26" s="1"/>
  <c r="U36" i="20"/>
  <c r="D71" i="28" s="1"/>
  <c r="D116" i="20"/>
  <c r="F31" i="26" s="1"/>
  <c r="D157" i="20"/>
  <c r="G31" i="26" s="1"/>
  <c r="AB197" i="20"/>
  <c r="E69" i="28"/>
  <c r="D33" i="24"/>
  <c r="AC34" i="20"/>
  <c r="AG34" i="20" s="1"/>
  <c r="M192" i="20"/>
  <c r="N111" i="20"/>
  <c r="M111" i="20"/>
  <c r="F71" i="20"/>
  <c r="E109" i="26" s="1"/>
  <c r="N70" i="20"/>
  <c r="N192" i="20"/>
  <c r="G32" i="20"/>
  <c r="O32" i="20" s="1"/>
  <c r="F193" i="20"/>
  <c r="H109" i="26" s="1"/>
  <c r="F153" i="20"/>
  <c r="G109" i="26" s="1"/>
  <c r="M70" i="20"/>
  <c r="G112" i="20"/>
  <c r="O112" i="20" s="1"/>
  <c r="E139" i="5"/>
  <c r="F138" i="5"/>
  <c r="AV38" i="16"/>
  <c r="AX38" i="16"/>
  <c r="AM44" i="8" l="1"/>
  <c r="AM51" i="8" s="1"/>
  <c r="AF158" i="20"/>
  <c r="AB158" i="20" s="1"/>
  <c r="AQ37" i="20"/>
  <c r="D33" i="28"/>
  <c r="D38" i="20"/>
  <c r="D199" i="20" s="1"/>
  <c r="H33" i="26" s="1"/>
  <c r="BB129" i="8"/>
  <c r="U37" i="20"/>
  <c r="D72" i="28" s="1"/>
  <c r="AF117" i="20"/>
  <c r="AB117" i="20" s="1"/>
  <c r="AF198" i="20"/>
  <c r="AB198" i="20" s="1"/>
  <c r="BT43" i="8"/>
  <c r="AJ45" i="8"/>
  <c r="AK45" i="8" s="1"/>
  <c r="BM45" i="8" s="1"/>
  <c r="AU44" i="8"/>
  <c r="BM44" i="8"/>
  <c r="F139" i="17"/>
  <c r="E140" i="17"/>
  <c r="AB116" i="20"/>
  <c r="G153" i="20"/>
  <c r="O153" i="20" s="1"/>
  <c r="I36" i="20"/>
  <c r="AB157" i="20"/>
  <c r="G71" i="20"/>
  <c r="O71" i="20" s="1"/>
  <c r="G193" i="20"/>
  <c r="O193" i="20" s="1"/>
  <c r="DC326" i="1"/>
  <c r="R114" i="20"/>
  <c r="R195" i="20"/>
  <c r="R155" i="20"/>
  <c r="R73" i="20"/>
  <c r="A32" i="20"/>
  <c r="AU32" i="20"/>
  <c r="N32" i="20"/>
  <c r="M32" i="20"/>
  <c r="K32" i="20"/>
  <c r="F33" i="20"/>
  <c r="F194" i="20" s="1"/>
  <c r="H110" i="26" s="1"/>
  <c r="M112" i="20"/>
  <c r="N112" i="20"/>
  <c r="E140" i="5"/>
  <c r="F139" i="5"/>
  <c r="D118" i="20" l="1"/>
  <c r="F33" i="26" s="1"/>
  <c r="D159" i="20"/>
  <c r="G33" i="26" s="1"/>
  <c r="D77" i="20"/>
  <c r="E33" i="26" s="1"/>
  <c r="AX44" i="8"/>
  <c r="BA130" i="8"/>
  <c r="Q38" i="20"/>
  <c r="F40" i="21"/>
  <c r="E44" i="27" s="1"/>
  <c r="AM45" i="8"/>
  <c r="AM52" i="8" s="1"/>
  <c r="AQ45" i="8"/>
  <c r="BP45" i="8"/>
  <c r="BL45" i="8"/>
  <c r="BO45" i="8"/>
  <c r="BO44" i="8"/>
  <c r="BP44" i="8"/>
  <c r="BL44" i="8"/>
  <c r="F140" i="17"/>
  <c r="E141" i="17"/>
  <c r="N153" i="20"/>
  <c r="M153" i="20"/>
  <c r="M71" i="20"/>
  <c r="N71" i="20"/>
  <c r="F154" i="20"/>
  <c r="G110" i="26" s="1"/>
  <c r="N193" i="20"/>
  <c r="M193" i="20"/>
  <c r="V155" i="20"/>
  <c r="D123" i="24" s="1"/>
  <c r="AH128" i="22"/>
  <c r="AH98" i="22"/>
  <c r="V114" i="20"/>
  <c r="D93" i="24" s="1"/>
  <c r="AH68" i="22"/>
  <c r="V73" i="20"/>
  <c r="V195" i="20"/>
  <c r="D153" i="24" s="1"/>
  <c r="AH158" i="22"/>
  <c r="F113" i="20"/>
  <c r="F110" i="26" s="1"/>
  <c r="G33" i="20"/>
  <c r="O33" i="20" s="1"/>
  <c r="F72" i="20"/>
  <c r="E110" i="26" s="1"/>
  <c r="G194" i="20"/>
  <c r="O194" i="20" s="1"/>
  <c r="E141" i="5"/>
  <c r="F140" i="5"/>
  <c r="I38" i="20" l="1"/>
  <c r="AQ38" i="20"/>
  <c r="D34" i="28"/>
  <c r="AL51" i="8"/>
  <c r="D39" i="20"/>
  <c r="BB130" i="8"/>
  <c r="AF118" i="20"/>
  <c r="AB118" i="20" s="1"/>
  <c r="AF199" i="20"/>
  <c r="AB199" i="20" s="1"/>
  <c r="AF159" i="20"/>
  <c r="AB159" i="20" s="1"/>
  <c r="U38" i="20"/>
  <c r="D73" i="28" s="1"/>
  <c r="AJ46" i="8"/>
  <c r="AK46" i="8" s="1"/>
  <c r="AO45" i="8"/>
  <c r="AP45" i="8" s="1"/>
  <c r="AU45" i="8"/>
  <c r="BR45" i="8"/>
  <c r="BR44" i="8"/>
  <c r="E142" i="17"/>
  <c r="F141" i="17"/>
  <c r="G154" i="20"/>
  <c r="O154" i="20" s="1"/>
  <c r="D63" i="24"/>
  <c r="AK34" i="20"/>
  <c r="X93" i="24"/>
  <c r="AE93" i="24"/>
  <c r="I93" i="24"/>
  <c r="Q93" i="24"/>
  <c r="AE153" i="24"/>
  <c r="Q153" i="24"/>
  <c r="X153" i="24"/>
  <c r="I153" i="24"/>
  <c r="I123" i="24"/>
  <c r="Q123" i="24"/>
  <c r="X123" i="24"/>
  <c r="AE123" i="24"/>
  <c r="M33" i="20"/>
  <c r="G113" i="20"/>
  <c r="O113" i="20" s="1"/>
  <c r="A33" i="20"/>
  <c r="K33" i="20"/>
  <c r="N33" i="20"/>
  <c r="AU33" i="20"/>
  <c r="G72" i="20"/>
  <c r="O72" i="20" s="1"/>
  <c r="M194" i="20"/>
  <c r="N194" i="20"/>
  <c r="F141" i="5"/>
  <c r="E142" i="5"/>
  <c r="F41" i="21" l="1"/>
  <c r="E45" i="27" s="1"/>
  <c r="Q39" i="20"/>
  <c r="AX45" i="8"/>
  <c r="BA131" i="8"/>
  <c r="G39" i="20"/>
  <c r="U39" i="20"/>
  <c r="D78" i="20"/>
  <c r="D200" i="20"/>
  <c r="D119" i="20"/>
  <c r="D160" i="20"/>
  <c r="BT45" i="8"/>
  <c r="AV45" i="8"/>
  <c r="AM46" i="8"/>
  <c r="AM53" i="8" s="1"/>
  <c r="AQ46" i="8"/>
  <c r="BM46" i="8"/>
  <c r="E143" i="17"/>
  <c r="F142" i="17"/>
  <c r="N154" i="20"/>
  <c r="M154" i="20"/>
  <c r="X63" i="24"/>
  <c r="AE63" i="24"/>
  <c r="Q63" i="24"/>
  <c r="I63" i="24"/>
  <c r="N113" i="20"/>
  <c r="M113" i="20"/>
  <c r="M72" i="20"/>
  <c r="N72" i="20"/>
  <c r="E143" i="5"/>
  <c r="F142" i="5"/>
  <c r="G200" i="20" l="1"/>
  <c r="H34" i="26"/>
  <c r="N39" i="20"/>
  <c r="AU39" i="20"/>
  <c r="O39" i="20"/>
  <c r="D74" i="28"/>
  <c r="X39" i="20"/>
  <c r="G119" i="20"/>
  <c r="M119" i="20" s="1"/>
  <c r="F34" i="26"/>
  <c r="G78" i="20"/>
  <c r="E34" i="26"/>
  <c r="I39" i="20"/>
  <c r="M39" i="20"/>
  <c r="AL52" i="8"/>
  <c r="D40" i="20"/>
  <c r="BB131" i="8"/>
  <c r="G34" i="26"/>
  <c r="G160" i="20"/>
  <c r="F42" i="21"/>
  <c r="E46" i="27" s="1"/>
  <c r="Q40" i="20"/>
  <c r="AQ39" i="20"/>
  <c r="D35" i="28"/>
  <c r="AF200" i="20"/>
  <c r="AB200" i="20" s="1"/>
  <c r="AF119" i="20"/>
  <c r="AB119" i="20" s="1"/>
  <c r="AF160" i="20"/>
  <c r="AB160" i="20" s="1"/>
  <c r="AJ47" i="8"/>
  <c r="AK47" i="8" s="1"/>
  <c r="AU46" i="8"/>
  <c r="BO46" i="8"/>
  <c r="BP46" i="8"/>
  <c r="BL46" i="8"/>
  <c r="F143" i="17"/>
  <c r="E144" i="17"/>
  <c r="E144" i="5"/>
  <c r="F143" i="5"/>
  <c r="N78" i="20" l="1"/>
  <c r="O78" i="20"/>
  <c r="M160" i="20"/>
  <c r="O160" i="20"/>
  <c r="N160" i="20"/>
  <c r="D36" i="28"/>
  <c r="AQ40" i="20"/>
  <c r="AF120" i="20"/>
  <c r="AF201" i="20"/>
  <c r="AB201" i="20" s="1"/>
  <c r="AF161" i="20"/>
  <c r="AB161" i="20" s="1"/>
  <c r="O119" i="20"/>
  <c r="N119" i="20"/>
  <c r="U40" i="20"/>
  <c r="G40" i="20"/>
  <c r="D161" i="20"/>
  <c r="D120" i="20"/>
  <c r="D201" i="20"/>
  <c r="D79" i="20"/>
  <c r="AO39" i="20"/>
  <c r="AP39" i="20" s="1"/>
  <c r="G74" i="28"/>
  <c r="M78" i="20"/>
  <c r="BA132" i="8"/>
  <c r="AX46" i="8"/>
  <c r="M200" i="20"/>
  <c r="O200" i="20"/>
  <c r="N200" i="20"/>
  <c r="BR46" i="8"/>
  <c r="AM47" i="8"/>
  <c r="AM54" i="8" s="1"/>
  <c r="AQ47" i="8"/>
  <c r="BM47" i="8"/>
  <c r="F144" i="17"/>
  <c r="E145" i="17"/>
  <c r="E145" i="5"/>
  <c r="F144" i="5"/>
  <c r="AB120" i="20" l="1"/>
  <c r="E111" i="28"/>
  <c r="F111" i="28"/>
  <c r="F35" i="26"/>
  <c r="G120" i="20"/>
  <c r="M120" i="20" s="1"/>
  <c r="A40" i="20"/>
  <c r="O40" i="20"/>
  <c r="AU40" i="20"/>
  <c r="N40" i="20"/>
  <c r="H35" i="26"/>
  <c r="G201" i="20"/>
  <c r="M201" i="20" s="1"/>
  <c r="M40" i="20"/>
  <c r="I40" i="20"/>
  <c r="E35" i="26"/>
  <c r="G79" i="20"/>
  <c r="M79" i="20" s="1"/>
  <c r="D111" i="28"/>
  <c r="D75" i="28"/>
  <c r="X40" i="20"/>
  <c r="F43" i="21"/>
  <c r="E47" i="27" s="1"/>
  <c r="Q41" i="20"/>
  <c r="G35" i="26"/>
  <c r="G161" i="20"/>
  <c r="BB132" i="8"/>
  <c r="D41" i="20"/>
  <c r="AL53" i="8"/>
  <c r="BO47" i="8"/>
  <c r="BL47" i="8"/>
  <c r="BP47" i="8"/>
  <c r="AJ48" i="8"/>
  <c r="AK48" i="8" s="1"/>
  <c r="AU47" i="8"/>
  <c r="AO47" i="8"/>
  <c r="AP47" i="8" s="1"/>
  <c r="AJ11" i="8" s="1"/>
  <c r="AV5" i="8" s="1"/>
  <c r="F145" i="17"/>
  <c r="E146" i="17"/>
  <c r="F145" i="5"/>
  <c r="E146" i="5"/>
  <c r="U41" i="20" l="1"/>
  <c r="G41" i="20"/>
  <c r="D80" i="20"/>
  <c r="D202" i="20"/>
  <c r="D162" i="20"/>
  <c r="D121" i="20"/>
  <c r="O120" i="20"/>
  <c r="N120" i="20"/>
  <c r="M161" i="20"/>
  <c r="O161" i="20"/>
  <c r="N161" i="20"/>
  <c r="O79" i="20"/>
  <c r="N79" i="20"/>
  <c r="BA133" i="8"/>
  <c r="AX47" i="8"/>
  <c r="AX50" i="8" s="1"/>
  <c r="AO40" i="20"/>
  <c r="AP40" i="20" s="1"/>
  <c r="G75" i="28"/>
  <c r="D37" i="28"/>
  <c r="AQ41" i="20"/>
  <c r="AF202" i="20"/>
  <c r="AF121" i="20"/>
  <c r="AF162" i="20"/>
  <c r="O201" i="20"/>
  <c r="N201" i="20"/>
  <c r="AV47" i="8"/>
  <c r="AM6" i="8"/>
  <c r="AL6" i="8"/>
  <c r="AM48" i="8"/>
  <c r="AQ48" i="8"/>
  <c r="BM48" i="8"/>
  <c r="BR47" i="8"/>
  <c r="F146" i="17"/>
  <c r="E147" i="17"/>
  <c r="E147" i="5"/>
  <c r="F146" i="5"/>
  <c r="M41" i="20" l="1"/>
  <c r="E36" i="26"/>
  <c r="I41" i="20"/>
  <c r="G80" i="20"/>
  <c r="E112" i="28"/>
  <c r="F112" i="28"/>
  <c r="H36" i="26"/>
  <c r="G202" i="20"/>
  <c r="AB202" i="20"/>
  <c r="N41" i="20"/>
  <c r="A41" i="20"/>
  <c r="O41" i="20"/>
  <c r="AU41" i="20"/>
  <c r="G36" i="26"/>
  <c r="G162" i="20"/>
  <c r="M162" i="20" s="1"/>
  <c r="D76" i="28"/>
  <c r="X41" i="20"/>
  <c r="AL54" i="8"/>
  <c r="BB133" i="8"/>
  <c r="D42" i="20"/>
  <c r="D112" i="28"/>
  <c r="AB162" i="20"/>
  <c r="AB121" i="20"/>
  <c r="F36" i="26"/>
  <c r="G121" i="20"/>
  <c r="AU48" i="8"/>
  <c r="AM55" i="8"/>
  <c r="BT47" i="8"/>
  <c r="BN8" i="8" s="1"/>
  <c r="BT5" i="8" s="1"/>
  <c r="BP48" i="8"/>
  <c r="BL48" i="8"/>
  <c r="BO48" i="8"/>
  <c r="E148" i="17"/>
  <c r="F147" i="17"/>
  <c r="E148" i="5"/>
  <c r="F147" i="5"/>
  <c r="M121" i="20" l="1"/>
  <c r="O121" i="20"/>
  <c r="N121" i="20"/>
  <c r="G42" i="20"/>
  <c r="D122" i="20"/>
  <c r="D203" i="20"/>
  <c r="D163" i="20"/>
  <c r="D81" i="20"/>
  <c r="AO41" i="20"/>
  <c r="AP41" i="20" s="1"/>
  <c r="G76" i="28"/>
  <c r="BA134" i="8"/>
  <c r="AX48" i="8"/>
  <c r="O162" i="20"/>
  <c r="N162" i="20"/>
  <c r="M80" i="20"/>
  <c r="O80" i="20"/>
  <c r="N80" i="20"/>
  <c r="M202" i="20"/>
  <c r="O202" i="20"/>
  <c r="N202" i="20"/>
  <c r="F44" i="21"/>
  <c r="E48" i="27" s="1"/>
  <c r="Q42" i="20"/>
  <c r="U42" i="20" s="1"/>
  <c r="BR48" i="8"/>
  <c r="F148" i="17"/>
  <c r="E149" i="17"/>
  <c r="E149" i="5"/>
  <c r="F148" i="5"/>
  <c r="M42" i="20" l="1"/>
  <c r="D77" i="28"/>
  <c r="X42" i="20"/>
  <c r="G37" i="26"/>
  <c r="G163" i="20"/>
  <c r="M163" i="20" s="1"/>
  <c r="I42" i="20"/>
  <c r="E37" i="26"/>
  <c r="G81" i="20"/>
  <c r="H37" i="26"/>
  <c r="G203" i="20"/>
  <c r="F45" i="21"/>
  <c r="E49" i="27" s="1"/>
  <c r="Q43" i="20"/>
  <c r="AQ42" i="20"/>
  <c r="D38" i="28"/>
  <c r="AF203" i="20"/>
  <c r="AB203" i="20" s="1"/>
  <c r="AF122" i="20"/>
  <c r="AB122" i="20" s="1"/>
  <c r="AF163" i="20"/>
  <c r="AB163" i="20" s="1"/>
  <c r="E113" i="28"/>
  <c r="F113" i="28"/>
  <c r="D113" i="28"/>
  <c r="F37" i="26"/>
  <c r="G122" i="20"/>
  <c r="N42" i="20"/>
  <c r="O42" i="20"/>
  <c r="A42" i="20"/>
  <c r="AU42" i="20"/>
  <c r="AL55" i="8"/>
  <c r="AO55" i="8" s="1"/>
  <c r="BB134" i="8"/>
  <c r="D43" i="20"/>
  <c r="F149" i="17"/>
  <c r="E150" i="17"/>
  <c r="F149" i="5"/>
  <c r="E150" i="5"/>
  <c r="M81" i="20" l="1"/>
  <c r="O81" i="20"/>
  <c r="N81" i="20"/>
  <c r="O163" i="20"/>
  <c r="N163" i="20"/>
  <c r="D39" i="28"/>
  <c r="AQ43" i="20"/>
  <c r="AF204" i="20"/>
  <c r="AF123" i="20"/>
  <c r="AB123" i="20" s="1"/>
  <c r="AF164" i="20"/>
  <c r="AB164" i="20" s="1"/>
  <c r="G43" i="20"/>
  <c r="U43" i="20"/>
  <c r="D164" i="20"/>
  <c r="D123" i="20"/>
  <c r="D204" i="20"/>
  <c r="D82" i="20"/>
  <c r="M122" i="20"/>
  <c r="O122" i="20"/>
  <c r="N122" i="20"/>
  <c r="M203" i="20"/>
  <c r="N203" i="20"/>
  <c r="O203" i="20"/>
  <c r="AO42" i="20"/>
  <c r="AP42" i="20" s="1"/>
  <c r="G77" i="28"/>
  <c r="D114" i="28" s="1"/>
  <c r="F150" i="17"/>
  <c r="E151" i="17"/>
  <c r="E151" i="5"/>
  <c r="F150" i="5"/>
  <c r="M43" i="20" l="1"/>
  <c r="AB204" i="20"/>
  <c r="H38" i="26"/>
  <c r="G204" i="20"/>
  <c r="G123" i="20"/>
  <c r="F38" i="26"/>
  <c r="E114" i="28"/>
  <c r="F114" i="28"/>
  <c r="G164" i="20"/>
  <c r="M164" i="20" s="1"/>
  <c r="G38" i="26"/>
  <c r="AU43" i="20"/>
  <c r="N43" i="20"/>
  <c r="O43" i="20"/>
  <c r="A43" i="20"/>
  <c r="E38" i="26"/>
  <c r="I43" i="20"/>
  <c r="G82" i="20"/>
  <c r="D78" i="28"/>
  <c r="X43" i="20"/>
  <c r="F151" i="17"/>
  <c r="E152" i="17"/>
  <c r="E152" i="5"/>
  <c r="F151" i="5"/>
  <c r="O123" i="20" l="1"/>
  <c r="N123" i="20"/>
  <c r="M204" i="20"/>
  <c r="O204" i="20"/>
  <c r="N204" i="20"/>
  <c r="M123" i="20"/>
  <c r="G78" i="28"/>
  <c r="D115" i="28" s="1"/>
  <c r="AO43" i="20"/>
  <c r="AP43" i="20" s="1"/>
  <c r="O82" i="20"/>
  <c r="N82" i="20"/>
  <c r="O164" i="20"/>
  <c r="N164" i="20"/>
  <c r="M82" i="20"/>
  <c r="F152" i="17"/>
  <c r="E153" i="17"/>
  <c r="E153" i="5"/>
  <c r="F152" i="5"/>
  <c r="E115" i="28" l="1"/>
  <c r="F115" i="28"/>
  <c r="F153" i="17"/>
  <c r="E154" i="17"/>
  <c r="F153" i="5"/>
  <c r="E154" i="5"/>
  <c r="F154" i="17" l="1"/>
  <c r="E155" i="17"/>
  <c r="E155" i="5"/>
  <c r="F154" i="5"/>
  <c r="E156" i="17" l="1"/>
  <c r="F155" i="17"/>
  <c r="E156" i="5"/>
  <c r="F155" i="5"/>
  <c r="F156" i="17" l="1"/>
  <c r="E157" i="17"/>
  <c r="E157" i="5"/>
  <c r="F156" i="5"/>
  <c r="F157" i="17" l="1"/>
  <c r="E158" i="17"/>
  <c r="F157" i="5"/>
  <c r="E158" i="5"/>
  <c r="F158" i="17" l="1"/>
  <c r="E159" i="17"/>
  <c r="E159" i="5"/>
  <c r="F158" i="5"/>
  <c r="F159" i="17" l="1"/>
  <c r="E160" i="17"/>
  <c r="E160" i="5"/>
  <c r="F159" i="5"/>
  <c r="F160" i="17" l="1"/>
  <c r="E161" i="17"/>
  <c r="E161" i="5"/>
  <c r="F160" i="5"/>
  <c r="F161" i="17" l="1"/>
  <c r="E162" i="17"/>
  <c r="F161" i="5"/>
  <c r="E162" i="5"/>
  <c r="E163" i="17" l="1"/>
  <c r="F162" i="17"/>
  <c r="E163" i="5"/>
  <c r="F162" i="5"/>
  <c r="E164" i="17" l="1"/>
  <c r="F163" i="17"/>
  <c r="E164" i="5"/>
  <c r="F163" i="5"/>
  <c r="F164" i="17" l="1"/>
  <c r="E165" i="17"/>
  <c r="E165" i="5"/>
  <c r="F164" i="5"/>
  <c r="F165" i="17" l="1"/>
  <c r="E166" i="17"/>
  <c r="F165" i="5"/>
  <c r="E166" i="5"/>
  <c r="E167" i="17" l="1"/>
  <c r="F167" i="17" s="1"/>
  <c r="F166" i="17"/>
  <c r="E167" i="5"/>
  <c r="F167" i="5" s="1"/>
  <c r="F166" i="5"/>
  <c r="P178" i="17" l="1"/>
  <c r="P185" i="17" s="1"/>
  <c r="P192" i="17" s="1"/>
  <c r="P206" i="17" s="1"/>
  <c r="O178" i="17"/>
  <c r="N177" i="17"/>
  <c r="N178" i="17"/>
  <c r="M178" i="17"/>
  <c r="M185" i="17" s="1"/>
  <c r="M192" i="17" s="1"/>
  <c r="M206" i="17" s="1"/>
  <c r="O179" i="17"/>
  <c r="O186" i="17" s="1"/>
  <c r="O193" i="17" s="1"/>
  <c r="O207" i="17" s="1"/>
  <c r="M177" i="17"/>
  <c r="M184" i="17" s="1"/>
  <c r="M191" i="17" s="1"/>
  <c r="M205" i="17" s="1"/>
  <c r="M179" i="17"/>
  <c r="M186" i="17" s="1"/>
  <c r="M193" i="17" s="1"/>
  <c r="M207" i="17" s="1"/>
  <c r="L177" i="17"/>
  <c r="L176" i="17"/>
  <c r="N179" i="17"/>
  <c r="N186" i="17" s="1"/>
  <c r="N193" i="17" s="1"/>
  <c r="N207" i="17" s="1"/>
  <c r="P179" i="17"/>
  <c r="P186" i="17" s="1"/>
  <c r="P193" i="17" s="1"/>
  <c r="P207" i="17" s="1"/>
  <c r="M176" i="17"/>
  <c r="P180" i="17"/>
  <c r="P187" i="17" s="1"/>
  <c r="P194" i="17" s="1"/>
  <c r="P208" i="17" s="1"/>
  <c r="N176" i="17"/>
  <c r="O176" i="17"/>
  <c r="O177" i="17"/>
  <c r="O184" i="17" s="1"/>
  <c r="O191" i="17" s="1"/>
  <c r="O205" i="17" s="1"/>
  <c r="N181" i="17"/>
  <c r="N188" i="17" s="1"/>
  <c r="N195" i="17" s="1"/>
  <c r="N209" i="17" s="1"/>
  <c r="O180" i="17"/>
  <c r="O187" i="17" s="1"/>
  <c r="O194" i="17" s="1"/>
  <c r="O208" i="17" s="1"/>
  <c r="N180" i="17"/>
  <c r="N187" i="17" s="1"/>
  <c r="N194" i="17" s="1"/>
  <c r="N208" i="17" s="1"/>
  <c r="M180" i="17"/>
  <c r="M187" i="17" s="1"/>
  <c r="M194" i="17" s="1"/>
  <c r="M208" i="17" s="1"/>
  <c r="P181" i="17"/>
  <c r="P188" i="17" s="1"/>
  <c r="P195" i="17" s="1"/>
  <c r="P209" i="17" s="1"/>
  <c r="M181" i="17"/>
  <c r="M188" i="17" s="1"/>
  <c r="M195" i="17" s="1"/>
  <c r="M209" i="17" s="1"/>
  <c r="O181" i="17"/>
  <c r="O188" i="17" s="1"/>
  <c r="O195" i="17" s="1"/>
  <c r="O209" i="17" s="1"/>
  <c r="K176" i="17"/>
  <c r="K177" i="17"/>
  <c r="K184" i="17" s="1"/>
  <c r="K191" i="17" s="1"/>
  <c r="K178" i="17"/>
  <c r="K185" i="17" s="1"/>
  <c r="K192" i="17" s="1"/>
  <c r="K179" i="17"/>
  <c r="K186" i="17" s="1"/>
  <c r="K193" i="17" s="1"/>
  <c r="N178" i="5"/>
  <c r="J178" i="5"/>
  <c r="K176" i="5"/>
  <c r="P178" i="5"/>
  <c r="P185" i="5" s="1"/>
  <c r="P192" i="5" s="1"/>
  <c r="P206" i="5" s="1"/>
  <c r="K178" i="5"/>
  <c r="K185" i="5" s="1"/>
  <c r="K192" i="5" s="1"/>
  <c r="K206" i="5" s="1"/>
  <c r="J177" i="5"/>
  <c r="L176" i="5"/>
  <c r="L178" i="5"/>
  <c r="O177" i="5"/>
  <c r="M178" i="5"/>
  <c r="L177" i="5"/>
  <c r="L179" i="5"/>
  <c r="O176" i="5"/>
  <c r="N176" i="5"/>
  <c r="J176" i="5"/>
  <c r="L180" i="5"/>
  <c r="K179" i="5"/>
  <c r="K186" i="5" s="1"/>
  <c r="K193" i="5" s="1"/>
  <c r="K207" i="5" s="1"/>
  <c r="K177" i="5"/>
  <c r="K184" i="5" s="1"/>
  <c r="K191" i="5" s="1"/>
  <c r="K205" i="5" s="1"/>
  <c r="N177" i="5"/>
  <c r="N184" i="5" s="1"/>
  <c r="N191" i="5" s="1"/>
  <c r="N205" i="5" s="1"/>
  <c r="N179" i="5"/>
  <c r="N186" i="5" s="1"/>
  <c r="N193" i="5" s="1"/>
  <c r="N207" i="5" s="1"/>
  <c r="M176" i="5"/>
  <c r="M177" i="5"/>
  <c r="M184" i="5" s="1"/>
  <c r="M191" i="5" s="1"/>
  <c r="M205" i="5" s="1"/>
  <c r="O180" i="5"/>
  <c r="O187" i="5" s="1"/>
  <c r="O194" i="5" s="1"/>
  <c r="O208" i="5" s="1"/>
  <c r="M180" i="5"/>
  <c r="M187" i="5" s="1"/>
  <c r="M194" i="5" s="1"/>
  <c r="M208" i="5" s="1"/>
  <c r="O178" i="5"/>
  <c r="O185" i="5" s="1"/>
  <c r="O192" i="5" s="1"/>
  <c r="O206" i="5" s="1"/>
  <c r="J180" i="5"/>
  <c r="J187" i="5" s="1"/>
  <c r="J194" i="5" s="1"/>
  <c r="P180" i="5"/>
  <c r="P187" i="5" s="1"/>
  <c r="P194" i="5" s="1"/>
  <c r="P208" i="5" s="1"/>
  <c r="J179" i="5"/>
  <c r="J186" i="5" s="1"/>
  <c r="J193" i="5" s="1"/>
  <c r="K181" i="5"/>
  <c r="K188" i="5" s="1"/>
  <c r="K195" i="5" s="1"/>
  <c r="K209" i="5" s="1"/>
  <c r="N181" i="5"/>
  <c r="N188" i="5" s="1"/>
  <c r="N195" i="5" s="1"/>
  <c r="N209" i="5" s="1"/>
  <c r="J181" i="5"/>
  <c r="J188" i="5" s="1"/>
  <c r="J195" i="5" s="1"/>
  <c r="O179" i="5"/>
  <c r="O186" i="5" s="1"/>
  <c r="O193" i="5" s="1"/>
  <c r="O207" i="5" s="1"/>
  <c r="M179" i="5"/>
  <c r="M186" i="5" s="1"/>
  <c r="M193" i="5" s="1"/>
  <c r="M207" i="5" s="1"/>
  <c r="N180" i="5"/>
  <c r="K180" i="5"/>
  <c r="K187" i="5" s="1"/>
  <c r="K194" i="5" s="1"/>
  <c r="K208" i="5" s="1"/>
  <c r="M181" i="5"/>
  <c r="M188" i="5" s="1"/>
  <c r="M195" i="5" s="1"/>
  <c r="M209" i="5" s="1"/>
  <c r="L181" i="5"/>
  <c r="P181" i="5"/>
  <c r="P188" i="5" s="1"/>
  <c r="P195" i="5" s="1"/>
  <c r="P209" i="5" s="1"/>
  <c r="O181" i="5"/>
  <c r="O188" i="5" s="1"/>
  <c r="O195" i="5" s="1"/>
  <c r="O209" i="5" s="1"/>
  <c r="L185" i="5" l="1"/>
  <c r="L192" i="5" s="1"/>
  <c r="L206" i="5" s="1"/>
  <c r="L184" i="17"/>
  <c r="L191" i="17" s="1"/>
  <c r="L205" i="17" s="1"/>
  <c r="L185" i="17"/>
  <c r="L192" i="17" s="1"/>
  <c r="L206" i="17" s="1"/>
  <c r="L186" i="17"/>
  <c r="L193" i="17" s="1"/>
  <c r="L207" i="17" s="1"/>
  <c r="L187" i="17"/>
  <c r="L194" i="17" s="1"/>
  <c r="L208" i="17" s="1"/>
  <c r="L188" i="17"/>
  <c r="L195" i="17" s="1"/>
  <c r="L209" i="17" s="1"/>
  <c r="L186" i="5"/>
  <c r="L193" i="5" s="1"/>
  <c r="L207" i="5" s="1"/>
  <c r="K207" i="17"/>
  <c r="T193" i="17"/>
  <c r="U193" i="17" s="1"/>
  <c r="Q193" i="17"/>
  <c r="Q207" i="17" s="1"/>
  <c r="N185" i="17"/>
  <c r="N192" i="17" s="1"/>
  <c r="N206" i="17" s="1"/>
  <c r="L184" i="5"/>
  <c r="L191" i="5" s="1"/>
  <c r="L205" i="5" s="1"/>
  <c r="K206" i="17"/>
  <c r="N184" i="17"/>
  <c r="N191" i="17" s="1"/>
  <c r="N205" i="17" s="1"/>
  <c r="L187" i="5"/>
  <c r="L194" i="5" s="1"/>
  <c r="L208" i="5" s="1"/>
  <c r="K205" i="17"/>
  <c r="Q191" i="17"/>
  <c r="Q205" i="17" s="1"/>
  <c r="T191" i="17"/>
  <c r="U191" i="17" s="1"/>
  <c r="O185" i="17"/>
  <c r="O192" i="17" s="1"/>
  <c r="O206" i="17" s="1"/>
  <c r="L188" i="5"/>
  <c r="L195" i="5" s="1"/>
  <c r="L209" i="5" s="1"/>
  <c r="N187" i="5"/>
  <c r="N194" i="5" s="1"/>
  <c r="N208" i="5" s="1"/>
  <c r="K188" i="17"/>
  <c r="K195" i="17" s="1"/>
  <c r="K187" i="17"/>
  <c r="K194" i="17" s="1"/>
  <c r="J207" i="5"/>
  <c r="J208" i="5"/>
  <c r="M185" i="5"/>
  <c r="M192" i="5" s="1"/>
  <c r="M206" i="5" s="1"/>
  <c r="J184" i="5"/>
  <c r="J191" i="5" s="1"/>
  <c r="J185" i="5"/>
  <c r="J192" i="5" s="1"/>
  <c r="J209" i="5"/>
  <c r="O184" i="5"/>
  <c r="O191" i="5" s="1"/>
  <c r="O205" i="5" s="1"/>
  <c r="N185" i="5"/>
  <c r="N192" i="5" s="1"/>
  <c r="N206" i="5" s="1"/>
  <c r="Q195" i="5" l="1"/>
  <c r="Q209" i="5" s="1"/>
  <c r="K209" i="17"/>
  <c r="T195" i="17"/>
  <c r="U195" i="17" s="1"/>
  <c r="Q195" i="17"/>
  <c r="Q209" i="17" s="1"/>
  <c r="Q194" i="5"/>
  <c r="Q208" i="5" s="1"/>
  <c r="Q193" i="5"/>
  <c r="Q207" i="5" s="1"/>
  <c r="Q192" i="17"/>
  <c r="Q206" i="17" s="1"/>
  <c r="T193" i="5"/>
  <c r="U193" i="5" s="1"/>
  <c r="T192" i="17"/>
  <c r="U192" i="17" s="1"/>
  <c r="T194" i="5"/>
  <c r="U194" i="5" s="1"/>
  <c r="T195" i="5"/>
  <c r="U195" i="5" s="1"/>
  <c r="K208" i="17"/>
  <c r="Q194" i="17"/>
  <c r="Q208" i="17" s="1"/>
  <c r="T194" i="17"/>
  <c r="U194" i="17" s="1"/>
  <c r="J205" i="5"/>
  <c r="Q191" i="5"/>
  <c r="Q205" i="5" s="1"/>
  <c r="T191" i="5"/>
  <c r="U191" i="5" s="1"/>
  <c r="J206" i="5"/>
  <c r="Q192" i="5"/>
  <c r="Q206" i="5" s="1"/>
  <c r="T192" i="5"/>
  <c r="U192" i="5" s="1"/>
  <c r="T185" i="17" l="1"/>
  <c r="T185" i="5"/>
  <c r="BR33" i="16"/>
  <c r="BS33" i="16" s="1"/>
  <c r="BT33" i="16" s="1"/>
  <c r="BS34" i="16" l="1"/>
  <c r="BT34" i="16" s="1"/>
  <c r="CA34" i="16" l="1"/>
  <c r="CC34" i="16" s="1"/>
  <c r="BS35" i="16"/>
  <c r="BT35" i="16" s="1"/>
  <c r="CA33" i="16"/>
  <c r="CC33" i="16" s="1"/>
  <c r="BV33" i="16"/>
  <c r="F24" i="28" l="1"/>
  <c r="CM81" i="16"/>
  <c r="F25" i="28"/>
  <c r="CM82" i="16"/>
  <c r="BS36" i="16"/>
  <c r="CR33" i="16"/>
  <c r="CU33" i="16" s="1"/>
  <c r="CM33" i="16"/>
  <c r="CR34" i="16"/>
  <c r="CU34" i="16" s="1"/>
  <c r="CM34" i="16"/>
  <c r="AM26" i="21" l="1"/>
  <c r="CN33" i="16"/>
  <c r="AK31" i="2" s="1"/>
  <c r="AW31" i="2" s="1"/>
  <c r="AY31" i="2" s="1"/>
  <c r="BV35" i="16"/>
  <c r="CA35" i="16"/>
  <c r="CC35" i="16" s="1"/>
  <c r="AM27" i="21"/>
  <c r="CN34" i="16"/>
  <c r="AK32" i="2" s="1"/>
  <c r="AW32" i="2" s="1"/>
  <c r="BT36" i="16"/>
  <c r="CA36" i="16" s="1"/>
  <c r="CC36" i="16" s="1"/>
  <c r="BS37" i="16"/>
  <c r="F27" i="28" l="1"/>
  <c r="CM84" i="16"/>
  <c r="F26" i="28"/>
  <c r="CM83" i="16"/>
  <c r="AY32" i="2"/>
  <c r="BT37" i="16"/>
  <c r="BS38" i="16"/>
  <c r="AH150" i="20"/>
  <c r="AD150" i="20" s="1"/>
  <c r="AH109" i="20"/>
  <c r="AD109" i="20" s="1"/>
  <c r="AH68" i="20"/>
  <c r="AD68" i="20" s="1"/>
  <c r="AS29" i="20"/>
  <c r="AH190" i="20"/>
  <c r="AD190" i="20" s="1"/>
  <c r="W29" i="20"/>
  <c r="CM36" i="16"/>
  <c r="CR36" i="16"/>
  <c r="CU36" i="16" s="1"/>
  <c r="CM35" i="16"/>
  <c r="CR35" i="16"/>
  <c r="CU35" i="16" s="1"/>
  <c r="AH108" i="20"/>
  <c r="AD108" i="20" s="1"/>
  <c r="AH189" i="20"/>
  <c r="AD189" i="20" s="1"/>
  <c r="AS28" i="20"/>
  <c r="AH149" i="20"/>
  <c r="AD149" i="20" s="1"/>
  <c r="AH67" i="20"/>
  <c r="AD67" i="20" s="1"/>
  <c r="W28" i="20"/>
  <c r="F63" i="28" l="1"/>
  <c r="F64" i="28"/>
  <c r="E27" i="24"/>
  <c r="X28" i="20"/>
  <c r="AD28" i="20"/>
  <c r="AH28" i="20" s="1"/>
  <c r="DC442" i="1" s="1"/>
  <c r="AM29" i="21"/>
  <c r="CN36" i="16"/>
  <c r="AK34" i="2" s="1"/>
  <c r="AW34" i="2" s="1"/>
  <c r="X29" i="20"/>
  <c r="E28" i="24"/>
  <c r="BT38" i="16"/>
  <c r="CA38" i="16" s="1"/>
  <c r="CC38" i="16" s="1"/>
  <c r="CN35" i="16"/>
  <c r="AK33" i="2" s="1"/>
  <c r="AW33" i="2" s="1"/>
  <c r="AY33" i="2" s="1"/>
  <c r="AM28" i="21"/>
  <c r="AD29" i="20"/>
  <c r="AH29" i="20" s="1"/>
  <c r="DC443" i="1" s="1"/>
  <c r="BV37" i="16"/>
  <c r="CA37" i="16"/>
  <c r="CC37" i="16" s="1"/>
  <c r="G64" i="28" l="1"/>
  <c r="F101" i="28" s="1"/>
  <c r="G63" i="28"/>
  <c r="F100" i="28" s="1"/>
  <c r="F28" i="28"/>
  <c r="CM85" i="16"/>
  <c r="F29" i="28"/>
  <c r="CM86" i="16"/>
  <c r="S68" i="20"/>
  <c r="S190" i="20"/>
  <c r="S150" i="20"/>
  <c r="S109" i="20"/>
  <c r="S189" i="20"/>
  <c r="S108" i="20"/>
  <c r="S149" i="20"/>
  <c r="S67" i="20"/>
  <c r="CR38" i="16"/>
  <c r="CU38" i="16" s="1"/>
  <c r="CM38" i="16"/>
  <c r="E26" i="22"/>
  <c r="AO29" i="20"/>
  <c r="AP29" i="20" s="1"/>
  <c r="F28" i="24"/>
  <c r="AY34" i="2"/>
  <c r="E25" i="22"/>
  <c r="AO28" i="20"/>
  <c r="AP28" i="20" s="1"/>
  <c r="F27" i="24"/>
  <c r="CR37" i="16"/>
  <c r="CU37" i="16" s="1"/>
  <c r="CM37" i="16"/>
  <c r="AH191" i="20"/>
  <c r="AD191" i="20" s="1"/>
  <c r="AH110" i="20"/>
  <c r="AD110" i="20" s="1"/>
  <c r="AH69" i="20"/>
  <c r="AD69" i="20" s="1"/>
  <c r="AS30" i="20"/>
  <c r="W30" i="20"/>
  <c r="AH151" i="20"/>
  <c r="AD151" i="20" s="1"/>
  <c r="AS31" i="20"/>
  <c r="AH111" i="20"/>
  <c r="AD111" i="20" s="1"/>
  <c r="AH192" i="20"/>
  <c r="AD192" i="20" s="1"/>
  <c r="AH70" i="20"/>
  <c r="AD70" i="20" s="1"/>
  <c r="AH152" i="20"/>
  <c r="AD152" i="20" s="1"/>
  <c r="W31" i="20"/>
  <c r="F65" i="28" l="1"/>
  <c r="F66" i="28"/>
  <c r="D101" i="28"/>
  <c r="D100" i="28"/>
  <c r="E100" i="28"/>
  <c r="E101" i="28"/>
  <c r="W67" i="20"/>
  <c r="AV62" i="22"/>
  <c r="W108" i="20"/>
  <c r="E87" i="24" s="1"/>
  <c r="AV92" i="22"/>
  <c r="W109" i="20"/>
  <c r="E88" i="24" s="1"/>
  <c r="AV93" i="22"/>
  <c r="W190" i="20"/>
  <c r="E148" i="24" s="1"/>
  <c r="AV153" i="22"/>
  <c r="W149" i="20"/>
  <c r="E117" i="24" s="1"/>
  <c r="AV122" i="22"/>
  <c r="W189" i="20"/>
  <c r="E147" i="24" s="1"/>
  <c r="AV152" i="22"/>
  <c r="W150" i="20"/>
  <c r="E118" i="24" s="1"/>
  <c r="AV123" i="22"/>
  <c r="W68" i="20"/>
  <c r="E58" i="24" s="1"/>
  <c r="AV63" i="22"/>
  <c r="F31" i="28"/>
  <c r="AD31" i="20"/>
  <c r="AH31" i="20" s="1"/>
  <c r="DC445" i="1" s="1"/>
  <c r="E30" i="24"/>
  <c r="X31" i="20"/>
  <c r="AM33" i="21"/>
  <c r="E29" i="24"/>
  <c r="X30" i="20"/>
  <c r="AD30" i="20"/>
  <c r="AH30" i="20" s="1"/>
  <c r="DC444" i="1" s="1"/>
  <c r="CN37" i="16"/>
  <c r="AK35" i="2" s="1"/>
  <c r="AW35" i="2" s="1"/>
  <c r="AY35" i="2" s="1"/>
  <c r="AM30" i="21"/>
  <c r="AM31" i="21"/>
  <c r="CN38" i="16"/>
  <c r="AK36" i="2" s="1"/>
  <c r="AW36" i="2" s="1"/>
  <c r="AL28" i="20" l="1"/>
  <c r="AL29" i="20"/>
  <c r="E57" i="24"/>
  <c r="Y57" i="24" s="1"/>
  <c r="G65" i="28"/>
  <c r="D102" i="28" s="1"/>
  <c r="G66" i="28"/>
  <c r="F103" i="28" s="1"/>
  <c r="F30" i="28"/>
  <c r="AY36" i="2"/>
  <c r="S151" i="20"/>
  <c r="S69" i="20"/>
  <c r="S191" i="20"/>
  <c r="S110" i="20"/>
  <c r="AF58" i="24"/>
  <c r="J58" i="24"/>
  <c r="R58" i="24"/>
  <c r="Y58" i="24"/>
  <c r="Y118" i="24"/>
  <c r="R118" i="24"/>
  <c r="AF118" i="24"/>
  <c r="J118" i="24"/>
  <c r="J147" i="24"/>
  <c r="AF147" i="24"/>
  <c r="Y147" i="24"/>
  <c r="R147" i="24"/>
  <c r="AF117" i="24"/>
  <c r="Y117" i="24"/>
  <c r="R117" i="24"/>
  <c r="J117" i="24"/>
  <c r="AH194" i="20"/>
  <c r="AD194" i="20" s="1"/>
  <c r="AS33" i="20"/>
  <c r="AH154" i="20"/>
  <c r="AD154" i="20" s="1"/>
  <c r="AH72" i="20"/>
  <c r="AD72" i="20" s="1"/>
  <c r="AH113" i="20"/>
  <c r="AD113" i="20" s="1"/>
  <c r="W33" i="20"/>
  <c r="AS32" i="20"/>
  <c r="AH112" i="20"/>
  <c r="AD112" i="20" s="1"/>
  <c r="AH71" i="20"/>
  <c r="AD71" i="20" s="1"/>
  <c r="AH193" i="20"/>
  <c r="AD193" i="20" s="1"/>
  <c r="W32" i="20"/>
  <c r="AH153" i="20"/>
  <c r="AD153" i="20" s="1"/>
  <c r="E27" i="22"/>
  <c r="F29" i="24"/>
  <c r="AO30" i="20"/>
  <c r="AP30" i="20" s="1"/>
  <c r="AS35" i="20"/>
  <c r="AH156" i="20"/>
  <c r="AH196" i="20"/>
  <c r="AH115" i="20"/>
  <c r="AH74" i="20"/>
  <c r="J148" i="24"/>
  <c r="Y148" i="24"/>
  <c r="AF148" i="24"/>
  <c r="R148" i="24"/>
  <c r="R88" i="24"/>
  <c r="Y88" i="24"/>
  <c r="J88" i="24"/>
  <c r="AF88" i="24"/>
  <c r="J87" i="24"/>
  <c r="Y87" i="24"/>
  <c r="R87" i="24"/>
  <c r="AF87" i="24"/>
  <c r="E28" i="22"/>
  <c r="AO31" i="20"/>
  <c r="AP31" i="20" s="1"/>
  <c r="F30" i="24"/>
  <c r="S70" i="20"/>
  <c r="S111" i="20"/>
  <c r="S192" i="20"/>
  <c r="S152" i="20"/>
  <c r="F68" i="28" l="1"/>
  <c r="F67" i="28"/>
  <c r="R57" i="24"/>
  <c r="J57" i="24"/>
  <c r="AF57" i="24"/>
  <c r="E103" i="28"/>
  <c r="D103" i="28"/>
  <c r="E102" i="28"/>
  <c r="F102" i="28"/>
  <c r="W192" i="20"/>
  <c r="AV155" i="22"/>
  <c r="W152" i="20"/>
  <c r="E120" i="24" s="1"/>
  <c r="AV125" i="22"/>
  <c r="W111" i="20"/>
  <c r="E90" i="24" s="1"/>
  <c r="AV95" i="22"/>
  <c r="W110" i="20"/>
  <c r="AV94" i="22"/>
  <c r="W69" i="20"/>
  <c r="AV64" i="22"/>
  <c r="W70" i="20"/>
  <c r="E60" i="24" s="1"/>
  <c r="AV65" i="22"/>
  <c r="W191" i="20"/>
  <c r="AV154" i="22"/>
  <c r="W151" i="20"/>
  <c r="AV124" i="22"/>
  <c r="E32" i="24"/>
  <c r="X33" i="20"/>
  <c r="AD33" i="20"/>
  <c r="AH33" i="20" s="1"/>
  <c r="DC447" i="1" s="1"/>
  <c r="AM32" i="21"/>
  <c r="E31" i="24"/>
  <c r="X32" i="20"/>
  <c r="AD32" i="20"/>
  <c r="AH32" i="20" s="1"/>
  <c r="DC446" i="1" s="1"/>
  <c r="E119" i="24" l="1"/>
  <c r="R119" i="24" s="1"/>
  <c r="AL30" i="20"/>
  <c r="E149" i="24"/>
  <c r="J149" i="24" s="1"/>
  <c r="E59" i="24"/>
  <c r="R59" i="24" s="1"/>
  <c r="E89" i="24"/>
  <c r="AF89" i="24" s="1"/>
  <c r="E150" i="24"/>
  <c r="J150" i="24" s="1"/>
  <c r="AL31" i="20"/>
  <c r="G67" i="28"/>
  <c r="D104" i="28" s="1"/>
  <c r="G68" i="28"/>
  <c r="F105" i="28" s="1"/>
  <c r="S154" i="20"/>
  <c r="S113" i="20"/>
  <c r="S194" i="20"/>
  <c r="S72" i="20"/>
  <c r="F31" i="24"/>
  <c r="AO32" i="20"/>
  <c r="AP32" i="20" s="1"/>
  <c r="E29" i="22"/>
  <c r="AS34" i="20"/>
  <c r="AH155" i="20"/>
  <c r="AH73" i="20"/>
  <c r="AH114" i="20"/>
  <c r="AH195" i="20"/>
  <c r="E30" i="22"/>
  <c r="AO33" i="20"/>
  <c r="AP33" i="20" s="1"/>
  <c r="F32" i="24"/>
  <c r="J120" i="24"/>
  <c r="R120" i="24"/>
  <c r="Y120" i="24"/>
  <c r="AF120" i="24"/>
  <c r="S153" i="20"/>
  <c r="S193" i="20"/>
  <c r="S71" i="20"/>
  <c r="S112" i="20"/>
  <c r="Y90" i="24"/>
  <c r="AF90" i="24"/>
  <c r="R90" i="24"/>
  <c r="J90" i="24"/>
  <c r="Y60" i="24"/>
  <c r="J60" i="24"/>
  <c r="R60" i="24"/>
  <c r="AF60" i="24"/>
  <c r="AF119" i="24" l="1"/>
  <c r="J119" i="24"/>
  <c r="AF149" i="24"/>
  <c r="Y119" i="24"/>
  <c r="AF59" i="24"/>
  <c r="J59" i="24"/>
  <c r="Y59" i="24"/>
  <c r="R149" i="24"/>
  <c r="Y149" i="24"/>
  <c r="J89" i="24"/>
  <c r="R89" i="24"/>
  <c r="Y89" i="24"/>
  <c r="Y150" i="24"/>
  <c r="AF150" i="24"/>
  <c r="R150" i="24"/>
  <c r="F104" i="28"/>
  <c r="E104" i="28"/>
  <c r="D105" i="28"/>
  <c r="E105" i="28"/>
  <c r="W112" i="20"/>
  <c r="E91" i="24" s="1"/>
  <c r="AV96" i="22"/>
  <c r="W193" i="20"/>
  <c r="E151" i="24" s="1"/>
  <c r="AV156" i="22"/>
  <c r="W72" i="20"/>
  <c r="AV67" i="22"/>
  <c r="W113" i="20"/>
  <c r="AV97" i="22"/>
  <c r="W71" i="20"/>
  <c r="AV66" i="22"/>
  <c r="W153" i="20"/>
  <c r="AV126" i="22"/>
  <c r="W194" i="20"/>
  <c r="E152" i="24" s="1"/>
  <c r="AV157" i="22"/>
  <c r="W154" i="20"/>
  <c r="AV127" i="22"/>
  <c r="E92" i="24" l="1"/>
  <c r="AF92" i="24" s="1"/>
  <c r="AL33" i="20"/>
  <c r="E122" i="24"/>
  <c r="Y122" i="24" s="1"/>
  <c r="E121" i="24"/>
  <c r="J121" i="24" s="1"/>
  <c r="E62" i="24"/>
  <c r="J62" i="24" s="1"/>
  <c r="AL32" i="20"/>
  <c r="E61" i="24"/>
  <c r="Y61" i="24" s="1"/>
  <c r="Y151" i="24"/>
  <c r="AF151" i="24"/>
  <c r="J151" i="24"/>
  <c r="R151" i="24"/>
  <c r="AF91" i="24"/>
  <c r="Y91" i="24"/>
  <c r="R91" i="24"/>
  <c r="J91" i="24"/>
  <c r="Y152" i="24"/>
  <c r="J152" i="24"/>
  <c r="AF152" i="24"/>
  <c r="R152" i="24"/>
  <c r="Y62" i="24" l="1"/>
  <c r="R62" i="24"/>
  <c r="Y92" i="24"/>
  <c r="J92" i="24"/>
  <c r="R92" i="24"/>
  <c r="R121" i="24"/>
  <c r="R122" i="24"/>
  <c r="J122" i="24"/>
  <c r="AF121" i="24"/>
  <c r="AF122" i="24"/>
  <c r="Y121" i="24"/>
  <c r="AF61" i="24"/>
  <c r="AF62" i="24"/>
  <c r="R61" i="24"/>
  <c r="J61" i="24"/>
  <c r="AG38" i="25" l="1"/>
  <c r="AF38" i="25"/>
  <c r="AD38" i="25"/>
  <c r="AI38" i="25"/>
  <c r="AH38" i="25"/>
  <c r="AB38" i="25"/>
  <c r="Y11" i="25" s="1"/>
  <c r="T11" i="25"/>
  <c r="X11" i="25" s="1"/>
  <c r="BF39" i="16"/>
  <c r="BF53" i="16" s="1"/>
  <c r="E39" i="16"/>
  <c r="AL40" i="16" l="1"/>
  <c r="AI40" i="16" s="1"/>
  <c r="E54" i="16"/>
  <c r="F39" i="16"/>
  <c r="AL39" i="16"/>
  <c r="BJ39" i="16"/>
  <c r="BG39" i="16"/>
  <c r="BQ39" i="16" s="1"/>
  <c r="W11" i="25"/>
  <c r="AI39" i="16" l="1"/>
  <c r="AK39" i="16" s="1"/>
  <c r="BJ40" i="16"/>
  <c r="BJ41" i="16" s="1"/>
  <c r="CE87" i="16"/>
  <c r="BQ40" i="16"/>
  <c r="BQ41" i="16" s="1"/>
  <c r="BR41" i="16" s="1"/>
  <c r="BR39" i="16"/>
  <c r="BS39" i="16" s="1"/>
  <c r="BH39" i="16"/>
  <c r="H39" i="16"/>
  <c r="F54" i="16"/>
  <c r="BM39" i="16" l="1"/>
  <c r="AQ39" i="16"/>
  <c r="AM39" i="16"/>
  <c r="AO39" i="16" s="1"/>
  <c r="BH53" i="16"/>
  <c r="BG53" i="16" s="1"/>
  <c r="BG55" i="16" s="1"/>
  <c r="BI39" i="16"/>
  <c r="BR40" i="16"/>
  <c r="BS40" i="16" s="1"/>
  <c r="BS41" i="16" s="1"/>
  <c r="CE88" i="16"/>
  <c r="H54" i="16"/>
  <c r="I39" i="16"/>
  <c r="AP39" i="16" l="1"/>
  <c r="AU39" i="16"/>
  <c r="AJ40" i="16"/>
  <c r="BO39" i="16"/>
  <c r="BW39" i="16"/>
  <c r="BL39" i="16"/>
  <c r="BP39" i="16"/>
  <c r="O39" i="16"/>
  <c r="Q39" i="16" s="1"/>
  <c r="I40" i="16"/>
  <c r="I41" i="16" s="1"/>
  <c r="BK39" i="16"/>
  <c r="BI40" i="16"/>
  <c r="O41" i="16" l="1"/>
  <c r="Q41" i="16" s="1"/>
  <c r="I42" i="16"/>
  <c r="I43" i="16" s="1"/>
  <c r="I44" i="16" s="1"/>
  <c r="I45" i="16" s="1"/>
  <c r="I46" i="16" s="1"/>
  <c r="I47" i="16" s="1"/>
  <c r="I48" i="16" s="1"/>
  <c r="BK40" i="16"/>
  <c r="BI41" i="16"/>
  <c r="BK41" i="16" s="1"/>
  <c r="AV39" i="16"/>
  <c r="AX39" i="16"/>
  <c r="AK40" i="16"/>
  <c r="AM40" i="16" s="1"/>
  <c r="AJ41" i="16" l="1"/>
  <c r="AU40" i="16"/>
  <c r="BT39" i="16"/>
  <c r="F34" i="20"/>
  <c r="CN39" i="16"/>
  <c r="AK37" i="2" s="1"/>
  <c r="AW37" i="2" s="1"/>
  <c r="BM40" i="16"/>
  <c r="AQ40" i="16"/>
  <c r="BO40" i="16" l="1"/>
  <c r="BW40" i="16"/>
  <c r="BL40" i="16"/>
  <c r="BP40" i="16"/>
  <c r="G34" i="20"/>
  <c r="F195" i="20"/>
  <c r="F155" i="20"/>
  <c r="W34" i="20"/>
  <c r="F73" i="20"/>
  <c r="F114" i="20"/>
  <c r="BV39" i="16"/>
  <c r="BN8" i="16" s="1"/>
  <c r="BQ1" i="16" s="1"/>
  <c r="CA39" i="16"/>
  <c r="AX40" i="16"/>
  <c r="F35" i="20" s="1"/>
  <c r="W35" i="20" s="1"/>
  <c r="AV40" i="16"/>
  <c r="AW39" i="2"/>
  <c r="AY37" i="2"/>
  <c r="AK41" i="16"/>
  <c r="AQ41" i="16" l="1"/>
  <c r="BM41" i="16"/>
  <c r="F74" i="20"/>
  <c r="E112" i="26" s="1"/>
  <c r="F115" i="20"/>
  <c r="G115" i="20" s="1"/>
  <c r="O115" i="20" s="1"/>
  <c r="G35" i="20"/>
  <c r="O35" i="20" s="1"/>
  <c r="F156" i="20"/>
  <c r="G156" i="20" s="1"/>
  <c r="O156" i="20" s="1"/>
  <c r="F196" i="20"/>
  <c r="AD196" i="20" s="1"/>
  <c r="AM41" i="16"/>
  <c r="CR39" i="16"/>
  <c r="CU39" i="16" s="1"/>
  <c r="CC39" i="16"/>
  <c r="CM87" i="16" s="1"/>
  <c r="CM39" i="16"/>
  <c r="F111" i="26"/>
  <c r="AD114" i="20"/>
  <c r="G114" i="20"/>
  <c r="X34" i="20"/>
  <c r="F69" i="28"/>
  <c r="E33" i="24"/>
  <c r="H111" i="26"/>
  <c r="AD195" i="20"/>
  <c r="G195" i="20"/>
  <c r="E111" i="26"/>
  <c r="G73" i="20"/>
  <c r="K34" i="20"/>
  <c r="AD73" i="20"/>
  <c r="G111" i="26"/>
  <c r="AD155" i="20"/>
  <c r="G155" i="20"/>
  <c r="O34" i="20"/>
  <c r="N34" i="20"/>
  <c r="M34" i="20"/>
  <c r="A34" i="20"/>
  <c r="AU34" i="20"/>
  <c r="BT40" i="16"/>
  <c r="CA40" i="16" s="1"/>
  <c r="CC40" i="16" s="1"/>
  <c r="E34" i="24"/>
  <c r="F70" i="28"/>
  <c r="X35" i="20"/>
  <c r="AJ42" i="16" l="1"/>
  <c r="AK42" i="16" s="1"/>
  <c r="AO41" i="16"/>
  <c r="G74" i="20"/>
  <c r="M74" i="20" s="1"/>
  <c r="BL41" i="16"/>
  <c r="BO41" i="16"/>
  <c r="BP41" i="16"/>
  <c r="N35" i="20"/>
  <c r="AD115" i="20"/>
  <c r="M35" i="20"/>
  <c r="H112" i="26"/>
  <c r="AD156" i="20"/>
  <c r="F112" i="26"/>
  <c r="A35" i="20"/>
  <c r="AU35" i="20"/>
  <c r="G196" i="20"/>
  <c r="O196" i="20" s="1"/>
  <c r="AD74" i="20"/>
  <c r="G112" i="26"/>
  <c r="K35" i="20"/>
  <c r="CC41" i="16"/>
  <c r="CM88" i="16"/>
  <c r="O155" i="20"/>
  <c r="N155" i="20"/>
  <c r="M155" i="20"/>
  <c r="F33" i="24"/>
  <c r="E31" i="22"/>
  <c r="E34" i="22" s="1"/>
  <c r="F36" i="22" s="1"/>
  <c r="G69" i="28"/>
  <c r="AO34" i="20"/>
  <c r="AP34" i="20" s="1"/>
  <c r="AD34" i="20"/>
  <c r="AH34" i="20" s="1"/>
  <c r="O73" i="20"/>
  <c r="N73" i="20"/>
  <c r="M73" i="20"/>
  <c r="O195" i="20"/>
  <c r="M195" i="20"/>
  <c r="N195" i="20"/>
  <c r="O114" i="20"/>
  <c r="M114" i="20"/>
  <c r="N114" i="20"/>
  <c r="AU41" i="16"/>
  <c r="AP41" i="16"/>
  <c r="E32" i="22"/>
  <c r="G70" i="28"/>
  <c r="F107" i="28" s="1"/>
  <c r="AO35" i="20"/>
  <c r="AP35" i="20" s="1"/>
  <c r="F34" i="24"/>
  <c r="N156" i="20"/>
  <c r="M156" i="20"/>
  <c r="M115" i="20"/>
  <c r="N115" i="20"/>
  <c r="AM42" i="16" l="1"/>
  <c r="AQ42" i="16"/>
  <c r="O74" i="20"/>
  <c r="N74" i="20"/>
  <c r="M196" i="20"/>
  <c r="AD35" i="20"/>
  <c r="AH35" i="20" s="1"/>
  <c r="S74" i="20" s="1"/>
  <c r="N196" i="20"/>
  <c r="AV41" i="16"/>
  <c r="AX41" i="16"/>
  <c r="F36" i="20" s="1"/>
  <c r="DC448" i="1"/>
  <c r="S195" i="20"/>
  <c r="S73" i="20"/>
  <c r="S114" i="20"/>
  <c r="S155" i="20"/>
  <c r="F106" i="28"/>
  <c r="E106" i="28"/>
  <c r="D106" i="28"/>
  <c r="E107" i="28"/>
  <c r="D107" i="28"/>
  <c r="AJ43" i="16" l="1"/>
  <c r="AK43" i="16" s="1"/>
  <c r="AU42" i="16"/>
  <c r="BT41" i="16"/>
  <c r="CA41" i="16" s="1"/>
  <c r="DC449" i="1"/>
  <c r="S156" i="20"/>
  <c r="AV129" i="22" s="1"/>
  <c r="S115" i="20"/>
  <c r="AV99" i="22" s="1"/>
  <c r="S196" i="20"/>
  <c r="W196" i="20" s="1"/>
  <c r="W36" i="20"/>
  <c r="F157" i="20"/>
  <c r="F197" i="20"/>
  <c r="AV98" i="22"/>
  <c r="W114" i="20"/>
  <c r="AV158" i="22"/>
  <c r="W195" i="20"/>
  <c r="G36" i="20"/>
  <c r="F75" i="20"/>
  <c r="F116" i="20"/>
  <c r="AV128" i="22"/>
  <c r="W155" i="20"/>
  <c r="AV68" i="22"/>
  <c r="W73" i="20"/>
  <c r="AV69" i="22"/>
  <c r="W74" i="20"/>
  <c r="X36" i="20" l="1"/>
  <c r="F71" i="28"/>
  <c r="O36" i="20"/>
  <c r="AU36" i="20"/>
  <c r="AV42" i="16"/>
  <c r="AX42" i="16"/>
  <c r="F37" i="20" s="1"/>
  <c r="AM43" i="16"/>
  <c r="AQ43" i="16"/>
  <c r="W115" i="20"/>
  <c r="W156" i="20"/>
  <c r="AV159" i="22"/>
  <c r="K36" i="20"/>
  <c r="AD197" i="20"/>
  <c r="G197" i="20"/>
  <c r="O197" i="20" s="1"/>
  <c r="A36" i="20"/>
  <c r="N36" i="20"/>
  <c r="M36" i="20"/>
  <c r="AD157" i="20"/>
  <c r="G157" i="20"/>
  <c r="G75" i="20"/>
  <c r="O75" i="20" s="1"/>
  <c r="AD75" i="20"/>
  <c r="E153" i="24"/>
  <c r="E93" i="24"/>
  <c r="E63" i="24"/>
  <c r="AL34" i="20"/>
  <c r="E123" i="24"/>
  <c r="AD116" i="20"/>
  <c r="G116" i="20"/>
  <c r="O116" i="20" s="1"/>
  <c r="E64" i="24"/>
  <c r="E154" i="24"/>
  <c r="G71" i="28" l="1"/>
  <c r="AO36" i="20"/>
  <c r="AP36" i="20" s="1"/>
  <c r="E108" i="28"/>
  <c r="F108" i="28"/>
  <c r="D108" i="28"/>
  <c r="AU43" i="16"/>
  <c r="AJ44" i="16"/>
  <c r="AO43" i="16"/>
  <c r="AP43" i="16" s="1"/>
  <c r="F117" i="20"/>
  <c r="F198" i="20"/>
  <c r="F158" i="20"/>
  <c r="W37" i="20"/>
  <c r="G37" i="20"/>
  <c r="AU37" i="20" s="1"/>
  <c r="F76" i="20"/>
  <c r="E94" i="24"/>
  <c r="AF94" i="24" s="1"/>
  <c r="AL35" i="20"/>
  <c r="E124" i="24"/>
  <c r="J124" i="24" s="1"/>
  <c r="AD36" i="20"/>
  <c r="AH36" i="20" s="1"/>
  <c r="O157" i="20"/>
  <c r="N157" i="20"/>
  <c r="M157" i="20"/>
  <c r="N197" i="20"/>
  <c r="M197" i="20"/>
  <c r="N116" i="20"/>
  <c r="M116" i="20"/>
  <c r="J63" i="24"/>
  <c r="AF63" i="24"/>
  <c r="Y63" i="24"/>
  <c r="R63" i="24"/>
  <c r="M75" i="20"/>
  <c r="N75" i="20"/>
  <c r="R123" i="24"/>
  <c r="Y123" i="24"/>
  <c r="AF123" i="24"/>
  <c r="J123" i="24"/>
  <c r="AF93" i="24"/>
  <c r="Y93" i="24"/>
  <c r="R93" i="24"/>
  <c r="J93" i="24"/>
  <c r="J153" i="24"/>
  <c r="AF153" i="24"/>
  <c r="Y153" i="24"/>
  <c r="R153" i="24"/>
  <c r="AF154" i="24"/>
  <c r="R154" i="24"/>
  <c r="J154" i="24"/>
  <c r="Y154" i="24"/>
  <c r="Y64" i="24"/>
  <c r="R64" i="24"/>
  <c r="J64" i="24"/>
  <c r="AF64" i="24"/>
  <c r="X37" i="20" l="1"/>
  <c r="F72" i="28"/>
  <c r="G72" i="28"/>
  <c r="AO37" i="20"/>
  <c r="AP37" i="20" s="1"/>
  <c r="A37" i="20"/>
  <c r="AD158" i="20"/>
  <c r="G158" i="20"/>
  <c r="O37" i="20"/>
  <c r="M37" i="20"/>
  <c r="N37" i="20"/>
  <c r="AD198" i="20"/>
  <c r="G198" i="20"/>
  <c r="AD76" i="20"/>
  <c r="K37" i="20"/>
  <c r="G76" i="20"/>
  <c r="G117" i="20"/>
  <c r="AD117" i="20"/>
  <c r="AK44" i="16"/>
  <c r="AQ44" i="16" s="1"/>
  <c r="AV43" i="16"/>
  <c r="AX43" i="16"/>
  <c r="F38" i="20" s="1"/>
  <c r="Y124" i="24"/>
  <c r="AF124" i="24"/>
  <c r="R124" i="24"/>
  <c r="R94" i="24"/>
  <c r="Y94" i="24"/>
  <c r="J94" i="24"/>
  <c r="S157" i="20"/>
  <c r="W157" i="20" s="1"/>
  <c r="S197" i="20"/>
  <c r="W197" i="20" s="1"/>
  <c r="S75" i="20"/>
  <c r="W75" i="20" s="1"/>
  <c r="S116" i="20"/>
  <c r="W116" i="20" s="1"/>
  <c r="E109" i="28" l="1"/>
  <c r="F109" i="28"/>
  <c r="D109" i="28"/>
  <c r="M117" i="20"/>
  <c r="N117" i="20"/>
  <c r="O117" i="20"/>
  <c r="O76" i="20"/>
  <c r="N76" i="20"/>
  <c r="M76" i="20"/>
  <c r="O198" i="20"/>
  <c r="M198" i="20"/>
  <c r="N198" i="20"/>
  <c r="F118" i="20"/>
  <c r="F77" i="20"/>
  <c r="W38" i="20"/>
  <c r="G38" i="20"/>
  <c r="F199" i="20"/>
  <c r="F159" i="20"/>
  <c r="AM44" i="16"/>
  <c r="N158" i="20"/>
  <c r="M158" i="20"/>
  <c r="AD37" i="20"/>
  <c r="AH37" i="20" s="1"/>
  <c r="O158" i="20"/>
  <c r="AL36" i="20"/>
  <c r="X38" i="20" l="1"/>
  <c r="F73" i="28"/>
  <c r="AU38" i="20"/>
  <c r="A39" i="20"/>
  <c r="A38" i="20"/>
  <c r="AO38" i="20"/>
  <c r="AP38" i="20" s="1"/>
  <c r="G73" i="28"/>
  <c r="G118" i="20"/>
  <c r="O118" i="20" s="1"/>
  <c r="AD118" i="20"/>
  <c r="S76" i="20"/>
  <c r="W76" i="20" s="1"/>
  <c r="S117" i="20"/>
  <c r="W117" i="20" s="1"/>
  <c r="S198" i="20"/>
  <c r="W198" i="20" s="1"/>
  <c r="S158" i="20"/>
  <c r="W158" i="20" s="1"/>
  <c r="G199" i="20"/>
  <c r="AD199" i="20"/>
  <c r="AD77" i="20"/>
  <c r="K38" i="20"/>
  <c r="G77" i="20"/>
  <c r="AJ45" i="16"/>
  <c r="AK45" i="16" s="1"/>
  <c r="AU44" i="16"/>
  <c r="G159" i="20"/>
  <c r="AD159" i="20"/>
  <c r="O38" i="20"/>
  <c r="M38" i="20"/>
  <c r="N38" i="20"/>
  <c r="E110" i="28" l="1"/>
  <c r="F110" i="28"/>
  <c r="D110" i="28"/>
  <c r="AD38" i="20"/>
  <c r="AH38" i="20" s="1"/>
  <c r="S118" i="20" s="1"/>
  <c r="W118" i="20" s="1"/>
  <c r="O77" i="20"/>
  <c r="M77" i="20"/>
  <c r="N77" i="20"/>
  <c r="AL37" i="20"/>
  <c r="O159" i="20"/>
  <c r="M159" i="20"/>
  <c r="N159" i="20"/>
  <c r="AV44" i="16"/>
  <c r="AX44" i="16"/>
  <c r="O199" i="20"/>
  <c r="N199" i="20"/>
  <c r="M199" i="20"/>
  <c r="AM45" i="16"/>
  <c r="AQ45" i="16"/>
  <c r="M118" i="20"/>
  <c r="N118" i="20"/>
  <c r="S159" i="20" l="1"/>
  <c r="W159" i="20" s="1"/>
  <c r="S77" i="20"/>
  <c r="W77" i="20" s="1"/>
  <c r="S199" i="20"/>
  <c r="W199" i="20" s="1"/>
  <c r="AJ46" i="16"/>
  <c r="AK46" i="16" s="1"/>
  <c r="AU45" i="16"/>
  <c r="AO45" i="16"/>
  <c r="AP45" i="16" s="1"/>
  <c r="AL38" i="20" l="1"/>
  <c r="AM46" i="16"/>
  <c r="AQ46" i="16"/>
  <c r="AV45" i="16"/>
  <c r="AX45" i="16"/>
  <c r="AJ47" i="16" l="1"/>
  <c r="AK47" i="16" s="1"/>
  <c r="AU46" i="16"/>
  <c r="AV46" i="16" l="1"/>
  <c r="AX46" i="16"/>
  <c r="AM47" i="16"/>
  <c r="AQ47" i="16"/>
  <c r="AJ48" i="16" l="1"/>
  <c r="AK48" i="16" s="1"/>
  <c r="AO47" i="16"/>
  <c r="AP47" i="16" s="1"/>
  <c r="AJ11" i="16" s="1"/>
  <c r="AU47" i="16"/>
  <c r="AV47" i="16" l="1"/>
  <c r="AX47" i="16"/>
  <c r="AM48" i="16"/>
  <c r="AU48" i="16" s="1"/>
  <c r="AQ48" i="16"/>
  <c r="AV48" i="16" l="1"/>
  <c r="AX48" i="16"/>
  <c r="AJ82" i="20" l="1"/>
  <c r="AF82" i="20" s="1"/>
  <c r="AB82" i="20" s="1"/>
  <c r="AB43" i="20" s="1"/>
  <c r="AF43" i="20" s="1"/>
  <c r="AJ81" i="20"/>
  <c r="AF81" i="20" s="1"/>
  <c r="AB81" i="20" s="1"/>
  <c r="AB42" i="20" s="1"/>
  <c r="AF42" i="20" s="1"/>
  <c r="AJ80" i="20"/>
  <c r="AF80" i="20" s="1"/>
  <c r="AB80" i="20" s="1"/>
  <c r="AB41" i="20" s="1"/>
  <c r="AF41" i="20" s="1"/>
  <c r="AJ79" i="20"/>
  <c r="AF79" i="20" s="1"/>
  <c r="AB79" i="20" s="1"/>
  <c r="AB40" i="20" s="1"/>
  <c r="AF40" i="20" s="1"/>
  <c r="AJ78" i="20"/>
  <c r="AF78" i="20" s="1"/>
  <c r="AB78" i="20" s="1"/>
  <c r="AB39" i="20" s="1"/>
  <c r="AF39" i="20" s="1"/>
  <c r="AJ77" i="20"/>
  <c r="AF77" i="20" s="1"/>
  <c r="AB77" i="20" s="1"/>
  <c r="AB38" i="20" s="1"/>
  <c r="AF38" i="20" s="1"/>
  <c r="AJ76" i="20"/>
  <c r="AF76" i="20" s="1"/>
  <c r="AB76" i="20" s="1"/>
  <c r="AB37" i="20" s="1"/>
  <c r="AF37" i="20" s="1"/>
  <c r="AJ75" i="20"/>
  <c r="AF75" i="20" s="1"/>
  <c r="AB75" i="20" s="1"/>
  <c r="AB36" i="20" s="1"/>
  <c r="AF36" i="20" s="1"/>
  <c r="AJ74" i="20"/>
  <c r="AF74" i="20" s="1"/>
  <c r="AB74" i="20" s="1"/>
  <c r="AB35" i="20" s="1"/>
  <c r="AF35" i="20" s="1"/>
  <c r="AJ73" i="20"/>
  <c r="AF73" i="20" s="1"/>
  <c r="AB73" i="20" s="1"/>
  <c r="AB34" i="20" s="1"/>
  <c r="AF34" i="20" s="1"/>
  <c r="AJ72" i="20"/>
  <c r="AF72" i="20" s="1"/>
  <c r="AB72" i="20" s="1"/>
  <c r="AB33" i="20" s="1"/>
  <c r="AF33" i="20" s="1"/>
  <c r="AJ71" i="20"/>
  <c r="AF71" i="20" s="1"/>
  <c r="AB71" i="20" s="1"/>
  <c r="AB32" i="20" s="1"/>
  <c r="AF32" i="20" s="1"/>
  <c r="AJ70" i="20"/>
  <c r="AF70" i="20"/>
  <c r="AB70" i="20" s="1"/>
  <c r="AB31" i="20" s="1"/>
  <c r="AF31" i="20" s="1"/>
  <c r="AJ69" i="20"/>
  <c r="AF69" i="20" s="1"/>
  <c r="AB69" i="20" s="1"/>
  <c r="AB30" i="20" s="1"/>
  <c r="AF30" i="20" s="1"/>
  <c r="AJ68" i="20"/>
  <c r="AF68" i="20" s="1"/>
  <c r="AB68" i="20" s="1"/>
  <c r="AB29" i="20" s="1"/>
  <c r="AF29" i="20" s="1"/>
  <c r="AJ67" i="20"/>
  <c r="AF67" i="20" s="1"/>
  <c r="AB67" i="20" s="1"/>
  <c r="AB28" i="20" s="1"/>
  <c r="AF28" i="20" s="1"/>
  <c r="AJ66" i="20"/>
  <c r="AF66" i="20" s="1"/>
  <c r="AB66" i="20" s="1"/>
  <c r="AB27" i="20" s="1"/>
  <c r="AF27" i="20" s="1"/>
  <c r="AJ65" i="20"/>
  <c r="AF65" i="20" s="1"/>
  <c r="AB65" i="20" s="1"/>
  <c r="AB26" i="20" s="1"/>
  <c r="AF26" i="20" s="1"/>
  <c r="AJ64" i="20"/>
  <c r="AF64" i="20"/>
  <c r="AB64" i="20" s="1"/>
  <c r="AB25" i="20" s="1"/>
  <c r="AF25" i="20" s="1"/>
  <c r="AJ63" i="20"/>
  <c r="AF63" i="20" s="1"/>
  <c r="AB63" i="20" s="1"/>
  <c r="AB24" i="20" s="1"/>
  <c r="AF24" i="20" s="1"/>
  <c r="CI201" i="1"/>
  <c r="CI200" i="1"/>
  <c r="CI199" i="1"/>
  <c r="CI198" i="1"/>
  <c r="CI197" i="1"/>
  <c r="CI196" i="1"/>
  <c r="CI195" i="1"/>
  <c r="CI194" i="1"/>
  <c r="CI193" i="1"/>
  <c r="CI192" i="1"/>
  <c r="CI191" i="1"/>
  <c r="CI190" i="1"/>
  <c r="CI189" i="1"/>
  <c r="CI188" i="1"/>
  <c r="AJ49" i="20" s="1"/>
  <c r="AF49" i="20" s="1"/>
  <c r="AB49" i="20" s="1"/>
  <c r="AB10" i="20" s="1"/>
  <c r="AF10" i="20" s="1"/>
  <c r="AJ50" i="20" l="1"/>
  <c r="AF50" i="20" s="1"/>
  <c r="AB50" i="20" s="1"/>
  <c r="AB11" i="20" s="1"/>
  <c r="AF11" i="20" s="1"/>
  <c r="Q91" i="20" s="1"/>
  <c r="CG189" i="1"/>
  <c r="AJ55" i="20"/>
  <c r="AF55" i="20" s="1"/>
  <c r="AB55" i="20" s="1"/>
  <c r="AB16" i="20" s="1"/>
  <c r="AF16" i="20" s="1"/>
  <c r="Q177" i="20" s="1"/>
  <c r="CG194" i="1"/>
  <c r="AJ52" i="20"/>
  <c r="AF52" i="20" s="1"/>
  <c r="AB52" i="20" s="1"/>
  <c r="AB13" i="20" s="1"/>
  <c r="AF13" i="20" s="1"/>
  <c r="Q52" i="20" s="1"/>
  <c r="CG191" i="1"/>
  <c r="AJ57" i="20"/>
  <c r="AF57" i="20" s="1"/>
  <c r="AB57" i="20" s="1"/>
  <c r="AB18" i="20" s="1"/>
  <c r="AF18" i="20" s="1"/>
  <c r="Q57" i="20" s="1"/>
  <c r="CG196" i="1"/>
  <c r="AJ53" i="20"/>
  <c r="AF53" i="20" s="1"/>
  <c r="AB53" i="20" s="1"/>
  <c r="AB14" i="20" s="1"/>
  <c r="AF14" i="20" s="1"/>
  <c r="Q135" i="20" s="1"/>
  <c r="CG192" i="1"/>
  <c r="AJ58" i="20"/>
  <c r="AF58" i="20" s="1"/>
  <c r="AB58" i="20" s="1"/>
  <c r="AB19" i="20" s="1"/>
  <c r="AF19" i="20" s="1"/>
  <c r="Q99" i="20" s="1"/>
  <c r="CG197" i="1"/>
  <c r="AJ61" i="20"/>
  <c r="AF61" i="20" s="1"/>
  <c r="AB61" i="20" s="1"/>
  <c r="AB22" i="20" s="1"/>
  <c r="AF22" i="20" s="1"/>
  <c r="Q143" i="20" s="1"/>
  <c r="CG200" i="1"/>
  <c r="AJ51" i="20"/>
  <c r="AF51" i="20" s="1"/>
  <c r="AB51" i="20" s="1"/>
  <c r="AB12" i="20" s="1"/>
  <c r="AF12" i="20" s="1"/>
  <c r="Q173" i="20" s="1"/>
  <c r="CG190" i="1"/>
  <c r="AJ54" i="20"/>
  <c r="AF54" i="20" s="1"/>
  <c r="AB54" i="20" s="1"/>
  <c r="AB15" i="20" s="1"/>
  <c r="AF15" i="20" s="1"/>
  <c r="Q54" i="20" s="1"/>
  <c r="CG193" i="1"/>
  <c r="AJ59" i="20"/>
  <c r="AF59" i="20" s="1"/>
  <c r="AB59" i="20" s="1"/>
  <c r="AB20" i="20" s="1"/>
  <c r="AF20" i="20" s="1"/>
  <c r="Q141" i="20" s="1"/>
  <c r="CG198" i="1"/>
  <c r="AJ62" i="20"/>
  <c r="AF62" i="20" s="1"/>
  <c r="AB62" i="20" s="1"/>
  <c r="AB23" i="20" s="1"/>
  <c r="AF23" i="20" s="1"/>
  <c r="Q144" i="20" s="1"/>
  <c r="CG201" i="1"/>
  <c r="CG202" i="1"/>
  <c r="AJ56" i="20"/>
  <c r="AF56" i="20" s="1"/>
  <c r="AB56" i="20" s="1"/>
  <c r="AB17" i="20" s="1"/>
  <c r="AF17" i="20" s="1"/>
  <c r="Q178" i="20" s="1"/>
  <c r="U178" i="20" s="1"/>
  <c r="CG195" i="1"/>
  <c r="AJ60" i="20"/>
  <c r="AF60" i="20" s="1"/>
  <c r="AB60" i="20" s="1"/>
  <c r="AB21" i="20" s="1"/>
  <c r="AF21" i="20" s="1"/>
  <c r="Q101" i="20" s="1"/>
  <c r="CG199" i="1"/>
  <c r="Q96" i="20"/>
  <c r="Q55" i="20"/>
  <c r="Q49" i="20"/>
  <c r="Q131" i="20"/>
  <c r="Q171" i="20"/>
  <c r="Q90" i="20"/>
  <c r="Q51" i="20"/>
  <c r="Q186" i="20"/>
  <c r="Q64" i="20"/>
  <c r="Q105" i="20"/>
  <c r="Q146" i="20"/>
  <c r="Q104" i="20"/>
  <c r="Q185" i="20"/>
  <c r="Q145" i="20"/>
  <c r="Q63" i="20"/>
  <c r="Q188" i="20"/>
  <c r="Q66" i="20"/>
  <c r="Q148" i="20"/>
  <c r="Q107" i="20"/>
  <c r="Q108" i="20"/>
  <c r="Q149" i="20"/>
  <c r="Q189" i="20"/>
  <c r="Q67" i="20"/>
  <c r="Q150" i="20"/>
  <c r="Q190" i="20"/>
  <c r="Q68" i="20"/>
  <c r="Q109" i="20"/>
  <c r="Q187" i="20"/>
  <c r="Q106" i="20"/>
  <c r="Q147" i="20"/>
  <c r="Q65" i="20"/>
  <c r="Q142" i="20"/>
  <c r="Q182" i="20"/>
  <c r="Q69" i="20"/>
  <c r="Q191" i="20"/>
  <c r="Q110" i="20"/>
  <c r="Q151" i="20"/>
  <c r="Q70" i="20"/>
  <c r="Q152" i="20"/>
  <c r="Q192" i="20"/>
  <c r="Q111" i="20"/>
  <c r="Q71" i="20"/>
  <c r="Q193" i="20"/>
  <c r="Q112" i="20"/>
  <c r="Q153" i="20"/>
  <c r="Q78" i="20"/>
  <c r="U78" i="20" s="1"/>
  <c r="Q119" i="20"/>
  <c r="U119" i="20" s="1"/>
  <c r="X119" i="20" s="1"/>
  <c r="E148" i="28" s="1"/>
  <c r="Q200" i="20"/>
  <c r="U200" i="20" s="1"/>
  <c r="X200" i="20" s="1"/>
  <c r="G148" i="28" s="1"/>
  <c r="Q160" i="20"/>
  <c r="U160" i="20" s="1"/>
  <c r="X160" i="20" s="1"/>
  <c r="F148" i="28" s="1"/>
  <c r="Q161" i="20"/>
  <c r="U161" i="20" s="1"/>
  <c r="X161" i="20" s="1"/>
  <c r="F149" i="28" s="1"/>
  <c r="Q201" i="20"/>
  <c r="U201" i="20" s="1"/>
  <c r="X201" i="20" s="1"/>
  <c r="G149" i="28" s="1"/>
  <c r="Q120" i="20"/>
  <c r="U120" i="20" s="1"/>
  <c r="X120" i="20" s="1"/>
  <c r="E149" i="28" s="1"/>
  <c r="Q79" i="20"/>
  <c r="U79" i="20" s="1"/>
  <c r="Q162" i="20"/>
  <c r="U162" i="20" s="1"/>
  <c r="X162" i="20" s="1"/>
  <c r="F150" i="28" s="1"/>
  <c r="Q121" i="20"/>
  <c r="U121" i="20" s="1"/>
  <c r="X121" i="20" s="1"/>
  <c r="E150" i="28" s="1"/>
  <c r="Q80" i="20"/>
  <c r="U80" i="20" s="1"/>
  <c r="Q202" i="20"/>
  <c r="U202" i="20" s="1"/>
  <c r="X202" i="20" s="1"/>
  <c r="G150" i="28" s="1"/>
  <c r="Q122" i="20"/>
  <c r="U122" i="20" s="1"/>
  <c r="X122" i="20" s="1"/>
  <c r="E151" i="28" s="1"/>
  <c r="Q81" i="20"/>
  <c r="U81" i="20" s="1"/>
  <c r="Q203" i="20"/>
  <c r="U203" i="20" s="1"/>
  <c r="X203" i="20" s="1"/>
  <c r="G151" i="28" s="1"/>
  <c r="Q163" i="20"/>
  <c r="U163" i="20" s="1"/>
  <c r="X163" i="20" s="1"/>
  <c r="F151" i="28" s="1"/>
  <c r="Q113" i="20"/>
  <c r="Q194" i="20"/>
  <c r="Q72" i="20"/>
  <c r="Q154" i="20"/>
  <c r="Q82" i="20"/>
  <c r="U82" i="20" s="1"/>
  <c r="Q204" i="20"/>
  <c r="U204" i="20" s="1"/>
  <c r="X204" i="20" s="1"/>
  <c r="G152" i="28" s="1"/>
  <c r="Q123" i="20"/>
  <c r="U123" i="20" s="1"/>
  <c r="X123" i="20" s="1"/>
  <c r="E152" i="28" s="1"/>
  <c r="Q164" i="20"/>
  <c r="U164" i="20" s="1"/>
  <c r="X164" i="20" s="1"/>
  <c r="F152" i="28" s="1"/>
  <c r="Q155" i="20"/>
  <c r="Q73" i="20"/>
  <c r="Q195" i="20"/>
  <c r="Q114" i="20"/>
  <c r="Q115" i="20"/>
  <c r="Q196" i="20"/>
  <c r="Q74" i="20"/>
  <c r="Q156" i="20"/>
  <c r="Q157" i="20"/>
  <c r="U157" i="20" s="1"/>
  <c r="X157" i="20" s="1"/>
  <c r="F145" i="28" s="1"/>
  <c r="Q75" i="20"/>
  <c r="U75" i="20" s="1"/>
  <c r="Q197" i="20"/>
  <c r="U197" i="20" s="1"/>
  <c r="X197" i="20" s="1"/>
  <c r="G145" i="28" s="1"/>
  <c r="Q116" i="20"/>
  <c r="U116" i="20" s="1"/>
  <c r="X116" i="20" s="1"/>
  <c r="E145" i="28" s="1"/>
  <c r="Q198" i="20"/>
  <c r="U198" i="20" s="1"/>
  <c r="X198" i="20" s="1"/>
  <c r="G146" i="28" s="1"/>
  <c r="Q76" i="20"/>
  <c r="U76" i="20" s="1"/>
  <c r="Q158" i="20"/>
  <c r="U158" i="20" s="1"/>
  <c r="X158" i="20" s="1"/>
  <c r="F146" i="28" s="1"/>
  <c r="Q117" i="20"/>
  <c r="U117" i="20" s="1"/>
  <c r="X117" i="20" s="1"/>
  <c r="E146" i="28" s="1"/>
  <c r="Q118" i="20"/>
  <c r="U118" i="20" s="1"/>
  <c r="X118" i="20" s="1"/>
  <c r="E147" i="28" s="1"/>
  <c r="Q159" i="20"/>
  <c r="U159" i="20" s="1"/>
  <c r="X159" i="20" s="1"/>
  <c r="F147" i="28" s="1"/>
  <c r="Q77" i="20"/>
  <c r="U77" i="20" s="1"/>
  <c r="Q199" i="20"/>
  <c r="U199" i="20" s="1"/>
  <c r="X199" i="20" s="1"/>
  <c r="G147" i="28" s="1"/>
  <c r="Q137" i="20" l="1"/>
  <c r="Q60" i="20"/>
  <c r="Q132" i="20"/>
  <c r="Q50" i="20"/>
  <c r="Q102" i="20"/>
  <c r="Q183" i="20"/>
  <c r="Q134" i="20"/>
  <c r="Q172" i="20"/>
  <c r="Q61" i="20"/>
  <c r="U61" i="20" s="1"/>
  <c r="Q93" i="20"/>
  <c r="T77" i="22" s="1"/>
  <c r="Q174" i="20"/>
  <c r="T137" i="22" s="1"/>
  <c r="Q179" i="20"/>
  <c r="T142" i="22" s="1"/>
  <c r="Q136" i="20"/>
  <c r="U136" i="20" s="1"/>
  <c r="Q133" i="20"/>
  <c r="U133" i="20" s="1"/>
  <c r="Q95" i="20"/>
  <c r="Q103" i="20"/>
  <c r="U103" i="20" s="1"/>
  <c r="Q184" i="20"/>
  <c r="U184" i="20" s="1"/>
  <c r="Q176" i="20"/>
  <c r="U176" i="20" s="1"/>
  <c r="Q92" i="20"/>
  <c r="U92" i="20" s="1"/>
  <c r="Q139" i="20"/>
  <c r="U139" i="20" s="1"/>
  <c r="Q100" i="20"/>
  <c r="T84" i="22" s="1"/>
  <c r="Q181" i="20"/>
  <c r="U181" i="20" s="1"/>
  <c r="Q98" i="20"/>
  <c r="U98" i="20" s="1"/>
  <c r="Q59" i="20"/>
  <c r="T54" i="22" s="1"/>
  <c r="Q56" i="20"/>
  <c r="T51" i="22" s="1"/>
  <c r="Q94" i="20"/>
  <c r="U94" i="20" s="1"/>
  <c r="Q62" i="20"/>
  <c r="T57" i="22" s="1"/>
  <c r="Q138" i="20"/>
  <c r="U138" i="20" s="1"/>
  <c r="Q53" i="20"/>
  <c r="T48" i="22" s="1"/>
  <c r="T141" i="22"/>
  <c r="Q175" i="20"/>
  <c r="U175" i="20" s="1"/>
  <c r="Q140" i="20"/>
  <c r="U140" i="20" s="1"/>
  <c r="Q97" i="20"/>
  <c r="U97" i="20" s="1"/>
  <c r="Q58" i="20"/>
  <c r="T53" i="22" s="1"/>
  <c r="Q180" i="20"/>
  <c r="U180" i="20" s="1"/>
  <c r="T158" i="22"/>
  <c r="U195" i="20"/>
  <c r="U191" i="20"/>
  <c r="T154" i="22"/>
  <c r="U106" i="20"/>
  <c r="T90" i="22"/>
  <c r="U149" i="20"/>
  <c r="T122" i="22"/>
  <c r="U90" i="20"/>
  <c r="T74" i="22"/>
  <c r="U187" i="20"/>
  <c r="T150" i="22"/>
  <c r="T83" i="22"/>
  <c r="U99" i="20"/>
  <c r="T47" i="22"/>
  <c r="U52" i="20"/>
  <c r="U171" i="20"/>
  <c r="T134" i="22"/>
  <c r="T68" i="22"/>
  <c r="U73" i="20"/>
  <c r="T128" i="22"/>
  <c r="U155" i="20"/>
  <c r="U109" i="20"/>
  <c r="T93" i="22"/>
  <c r="U144" i="20"/>
  <c r="T117" i="22"/>
  <c r="U63" i="20"/>
  <c r="T58" i="22"/>
  <c r="U131" i="20"/>
  <c r="T104" i="22"/>
  <c r="U153" i="20"/>
  <c r="T126" i="22"/>
  <c r="U68" i="20"/>
  <c r="T63" i="22"/>
  <c r="U145" i="20"/>
  <c r="T118" i="22"/>
  <c r="U51" i="20"/>
  <c r="T46" i="22"/>
  <c r="T44" i="22"/>
  <c r="U49" i="20"/>
  <c r="X80" i="20"/>
  <c r="D150" i="28" s="1"/>
  <c r="AJ41" i="20"/>
  <c r="U112" i="20"/>
  <c r="T96" i="22"/>
  <c r="U101" i="20"/>
  <c r="T85" i="22"/>
  <c r="U190" i="20"/>
  <c r="T153" i="22"/>
  <c r="T147" i="22"/>
  <c r="T148" i="22"/>
  <c r="U185" i="20"/>
  <c r="T50" i="22"/>
  <c r="U55" i="20"/>
  <c r="U193" i="20"/>
  <c r="T156" i="22"/>
  <c r="T115" i="22"/>
  <c r="U142" i="20"/>
  <c r="U150" i="20"/>
  <c r="T123" i="22"/>
  <c r="U62" i="20"/>
  <c r="T88" i="22"/>
  <c r="U104" i="20"/>
  <c r="U173" i="20"/>
  <c r="T136" i="22"/>
  <c r="T80" i="22"/>
  <c r="U96" i="20"/>
  <c r="AJ39" i="20"/>
  <c r="X78" i="20"/>
  <c r="D148" i="28" s="1"/>
  <c r="U71" i="20"/>
  <c r="T66" i="22"/>
  <c r="U57" i="20"/>
  <c r="T52" i="22"/>
  <c r="U107" i="20"/>
  <c r="T91" i="22"/>
  <c r="U146" i="20"/>
  <c r="T119" i="22"/>
  <c r="U91" i="20"/>
  <c r="T75" i="22"/>
  <c r="T110" i="22"/>
  <c r="U137" i="20"/>
  <c r="AJ42" i="20"/>
  <c r="X81" i="20"/>
  <c r="D151" i="28" s="1"/>
  <c r="T116" i="22"/>
  <c r="U143" i="20"/>
  <c r="T86" i="22"/>
  <c r="U102" i="20"/>
  <c r="T145" i="22"/>
  <c r="U182" i="20"/>
  <c r="X82" i="20"/>
  <c r="D152" i="28" s="1"/>
  <c r="AJ43" i="20"/>
  <c r="U156" i="20"/>
  <c r="T129" i="22"/>
  <c r="U154" i="20"/>
  <c r="T127" i="22"/>
  <c r="X79" i="20"/>
  <c r="D149" i="28" s="1"/>
  <c r="AJ40" i="20"/>
  <c r="U111" i="20"/>
  <c r="T95" i="22"/>
  <c r="T79" i="22"/>
  <c r="U95" i="20"/>
  <c r="U148" i="20"/>
  <c r="T121" i="22"/>
  <c r="T89" i="22"/>
  <c r="U105" i="20"/>
  <c r="U172" i="20"/>
  <c r="T135" i="22"/>
  <c r="U177" i="20"/>
  <c r="T140" i="22"/>
  <c r="U60" i="20"/>
  <c r="T55" i="22"/>
  <c r="AJ38" i="20"/>
  <c r="X77" i="20"/>
  <c r="D147" i="28" s="1"/>
  <c r="U74" i="20"/>
  <c r="T69" i="22"/>
  <c r="U72" i="20"/>
  <c r="T67" i="22"/>
  <c r="U192" i="20"/>
  <c r="T155" i="22"/>
  <c r="U66" i="20"/>
  <c r="T61" i="22"/>
  <c r="T59" i="22"/>
  <c r="U64" i="20"/>
  <c r="U132" i="20"/>
  <c r="T105" i="22"/>
  <c r="T159" i="22"/>
  <c r="U196" i="20"/>
  <c r="T157" i="22"/>
  <c r="U194" i="20"/>
  <c r="U152" i="20"/>
  <c r="T125" i="22"/>
  <c r="T111" i="22"/>
  <c r="T114" i="22"/>
  <c r="U141" i="20"/>
  <c r="U54" i="20"/>
  <c r="T49" i="22"/>
  <c r="U188" i="20"/>
  <c r="T151" i="22"/>
  <c r="T149" i="22"/>
  <c r="U186" i="20"/>
  <c r="U50" i="20"/>
  <c r="T45" i="22"/>
  <c r="U53" i="20"/>
  <c r="U108" i="20"/>
  <c r="T92" i="22"/>
  <c r="X75" i="20"/>
  <c r="D145" i="28" s="1"/>
  <c r="AJ36" i="20"/>
  <c r="T99" i="22"/>
  <c r="U115" i="20"/>
  <c r="T97" i="22"/>
  <c r="U113" i="20"/>
  <c r="T65" i="22"/>
  <c r="U70" i="20"/>
  <c r="U151" i="20"/>
  <c r="T124" i="22"/>
  <c r="T60" i="22"/>
  <c r="U65" i="20"/>
  <c r="U67" i="20"/>
  <c r="T62" i="22"/>
  <c r="T107" i="22"/>
  <c r="U134" i="20"/>
  <c r="X76" i="20"/>
  <c r="D146" i="28" s="1"/>
  <c r="AJ37" i="20"/>
  <c r="U69" i="20"/>
  <c r="T64" i="22"/>
  <c r="T98" i="22"/>
  <c r="U114" i="20"/>
  <c r="U183" i="20"/>
  <c r="T146" i="22"/>
  <c r="U110" i="20"/>
  <c r="T94" i="22"/>
  <c r="U147" i="20"/>
  <c r="T120" i="22"/>
  <c r="U189" i="20"/>
  <c r="T152" i="22"/>
  <c r="X178" i="20"/>
  <c r="C136" i="24"/>
  <c r="T108" i="22"/>
  <c r="U135" i="20"/>
  <c r="T56" i="22" l="1"/>
  <c r="U56" i="20"/>
  <c r="U179" i="20"/>
  <c r="T82" i="22"/>
  <c r="T109" i="22"/>
  <c r="U93" i="20"/>
  <c r="U174" i="20"/>
  <c r="C132" i="24" s="1"/>
  <c r="T106" i="22"/>
  <c r="T78" i="22"/>
  <c r="T87" i="22"/>
  <c r="T139" i="22"/>
  <c r="T113" i="22"/>
  <c r="U100" i="20"/>
  <c r="T76" i="22"/>
  <c r="U59" i="20"/>
  <c r="T112" i="22"/>
  <c r="T144" i="22"/>
  <c r="T138" i="22"/>
  <c r="U58" i="20"/>
  <c r="AJ19" i="20" s="1"/>
  <c r="T143" i="22"/>
  <c r="T81" i="22"/>
  <c r="X132" i="20"/>
  <c r="C100" i="24"/>
  <c r="X192" i="20"/>
  <c r="C150" i="24"/>
  <c r="H152" i="28"/>
  <c r="C70" i="24"/>
  <c r="X91" i="20"/>
  <c r="C61" i="24"/>
  <c r="AJ32" i="20"/>
  <c r="X71" i="20"/>
  <c r="C52" i="24"/>
  <c r="AJ23" i="20"/>
  <c r="X62" i="20"/>
  <c r="C107" i="24"/>
  <c r="X139" i="20"/>
  <c r="X190" i="20"/>
  <c r="C148" i="24"/>
  <c r="C99" i="24"/>
  <c r="X131" i="20"/>
  <c r="C140" i="24"/>
  <c r="X182" i="20"/>
  <c r="AJ12" i="20"/>
  <c r="C41" i="24"/>
  <c r="X51" i="20"/>
  <c r="X67" i="20"/>
  <c r="C57" i="24"/>
  <c r="AJ28" i="20"/>
  <c r="H148" i="28"/>
  <c r="X101" i="20"/>
  <c r="C80" i="24"/>
  <c r="X133" i="20"/>
  <c r="C101" i="24"/>
  <c r="X58" i="20"/>
  <c r="X180" i="20"/>
  <c r="C138" i="24"/>
  <c r="X196" i="20"/>
  <c r="C154" i="24"/>
  <c r="C90" i="24"/>
  <c r="X111" i="20"/>
  <c r="C81" i="24"/>
  <c r="X102" i="20"/>
  <c r="C118" i="24"/>
  <c r="X150" i="20"/>
  <c r="C45" i="24"/>
  <c r="X55" i="20"/>
  <c r="AJ16" i="20"/>
  <c r="C137" i="24"/>
  <c r="X179" i="20"/>
  <c r="X145" i="20"/>
  <c r="C113" i="24"/>
  <c r="X171" i="20"/>
  <c r="C129" i="24"/>
  <c r="C144" i="24"/>
  <c r="X186" i="20"/>
  <c r="C114" i="24"/>
  <c r="X146" i="20"/>
  <c r="X135" i="20"/>
  <c r="C103" i="24"/>
  <c r="H145" i="28"/>
  <c r="X66" i="20"/>
  <c r="C56" i="24"/>
  <c r="AJ27" i="20"/>
  <c r="C84" i="24"/>
  <c r="X105" i="20"/>
  <c r="C86" i="24"/>
  <c r="X107" i="20"/>
  <c r="C51" i="24"/>
  <c r="X61" i="20"/>
  <c r="AJ22" i="20"/>
  <c r="C110" i="24"/>
  <c r="X142" i="20"/>
  <c r="X63" i="20"/>
  <c r="AJ24" i="20"/>
  <c r="C53" i="24"/>
  <c r="X52" i="20"/>
  <c r="C42" i="24"/>
  <c r="X177" i="20"/>
  <c r="C135" i="24"/>
  <c r="C130" i="24"/>
  <c r="X172" i="20"/>
  <c r="X54" i="20"/>
  <c r="C44" i="24"/>
  <c r="AJ15" i="20"/>
  <c r="C134" i="24"/>
  <c r="X176" i="20"/>
  <c r="X74" i="20"/>
  <c r="AJ35" i="20"/>
  <c r="C64" i="24"/>
  <c r="H149" i="28"/>
  <c r="F188" i="28" s="1"/>
  <c r="X143" i="20"/>
  <c r="C111" i="24"/>
  <c r="C82" i="24"/>
  <c r="X103" i="20"/>
  <c r="C117" i="24"/>
  <c r="X149" i="20"/>
  <c r="C94" i="24"/>
  <c r="X115" i="20"/>
  <c r="X151" i="20"/>
  <c r="C119" i="24"/>
  <c r="H147" i="28"/>
  <c r="F186" i="28" s="1"/>
  <c r="C104" i="24"/>
  <c r="X136" i="20"/>
  <c r="C75" i="24"/>
  <c r="X96" i="20"/>
  <c r="C71" i="24"/>
  <c r="X92" i="20"/>
  <c r="X112" i="20"/>
  <c r="C91" i="24"/>
  <c r="C112" i="24"/>
  <c r="X144" i="20"/>
  <c r="X99" i="20"/>
  <c r="C78" i="24"/>
  <c r="C152" i="24"/>
  <c r="X194" i="20"/>
  <c r="C146" i="24"/>
  <c r="X188" i="20"/>
  <c r="H146" i="28"/>
  <c r="X70" i="20"/>
  <c r="C60" i="24"/>
  <c r="AJ31" i="20"/>
  <c r="C116" i="24"/>
  <c r="X148" i="20"/>
  <c r="C122" i="24"/>
  <c r="X154" i="20"/>
  <c r="H151" i="28"/>
  <c r="C77" i="24"/>
  <c r="X98" i="20"/>
  <c r="C143" i="24"/>
  <c r="X185" i="20"/>
  <c r="X68" i="20"/>
  <c r="C58" i="24"/>
  <c r="AJ29" i="20"/>
  <c r="C85" i="24"/>
  <c r="X106" i="20"/>
  <c r="AJ33" i="20"/>
  <c r="X72" i="20"/>
  <c r="C62" i="24"/>
  <c r="C72" i="24"/>
  <c r="X93" i="20"/>
  <c r="C106" i="24"/>
  <c r="X138" i="20"/>
  <c r="C79" i="24"/>
  <c r="X100" i="20"/>
  <c r="C74" i="24"/>
  <c r="X95" i="20"/>
  <c r="C49" i="24"/>
  <c r="X59" i="20"/>
  <c r="H150" i="28"/>
  <c r="X109" i="20"/>
  <c r="C88" i="24"/>
  <c r="C147" i="24"/>
  <c r="X189" i="20"/>
  <c r="X65" i="20"/>
  <c r="C55" i="24"/>
  <c r="AJ26" i="20"/>
  <c r="C59" i="24"/>
  <c r="X69" i="20"/>
  <c r="AJ30" i="20"/>
  <c r="X110" i="20"/>
  <c r="C89" i="24"/>
  <c r="G126" i="28"/>
  <c r="E146" i="22"/>
  <c r="F136" i="24"/>
  <c r="X108" i="20"/>
  <c r="C87" i="24"/>
  <c r="C102" i="24"/>
  <c r="X134" i="20"/>
  <c r="C43" i="24"/>
  <c r="X53" i="20"/>
  <c r="AJ14" i="20"/>
  <c r="C124" i="24"/>
  <c r="X156" i="20"/>
  <c r="X137" i="20"/>
  <c r="C105" i="24"/>
  <c r="C131" i="24"/>
  <c r="X173" i="20"/>
  <c r="X193" i="20"/>
  <c r="C151" i="24"/>
  <c r="C121" i="24"/>
  <c r="X153" i="20"/>
  <c r="C123" i="24"/>
  <c r="X155" i="20"/>
  <c r="X187" i="20"/>
  <c r="C145" i="24"/>
  <c r="X191" i="20"/>
  <c r="C149" i="24"/>
  <c r="C54" i="24"/>
  <c r="AJ25" i="20"/>
  <c r="X64" i="20"/>
  <c r="X141" i="20"/>
  <c r="C109" i="24"/>
  <c r="X183" i="20"/>
  <c r="C141" i="24"/>
  <c r="X175" i="20"/>
  <c r="C133" i="24"/>
  <c r="X114" i="20"/>
  <c r="C93" i="24"/>
  <c r="C92" i="24"/>
  <c r="X113" i="20"/>
  <c r="C73" i="24"/>
  <c r="X94" i="20"/>
  <c r="C76" i="24"/>
  <c r="X97" i="20"/>
  <c r="X60" i="20"/>
  <c r="AJ21" i="20"/>
  <c r="C50" i="24"/>
  <c r="AJ18" i="20"/>
  <c r="C47" i="24"/>
  <c r="X57" i="20"/>
  <c r="C83" i="24"/>
  <c r="X104" i="20"/>
  <c r="X184" i="20"/>
  <c r="C142" i="24"/>
  <c r="C39" i="24"/>
  <c r="X49" i="20"/>
  <c r="AJ10" i="20"/>
  <c r="C153" i="24"/>
  <c r="X195" i="20"/>
  <c r="X56" i="20"/>
  <c r="C46" i="24"/>
  <c r="AJ17" i="20"/>
  <c r="C115" i="24"/>
  <c r="X147" i="20"/>
  <c r="W136" i="24"/>
  <c r="Z136" i="24" s="1"/>
  <c r="AD136" i="24"/>
  <c r="AG136" i="24" s="1"/>
  <c r="H136" i="24"/>
  <c r="K136" i="24" s="1"/>
  <c r="P136" i="24"/>
  <c r="S136" i="24" s="1"/>
  <c r="C108" i="24"/>
  <c r="X140" i="20"/>
  <c r="X50" i="20"/>
  <c r="C40" i="24"/>
  <c r="AJ11" i="20"/>
  <c r="C120" i="24"/>
  <c r="X152" i="20"/>
  <c r="X181" i="20"/>
  <c r="C139" i="24"/>
  <c r="X73" i="20"/>
  <c r="AJ34" i="20"/>
  <c r="C63" i="24"/>
  <c r="C69" i="24"/>
  <c r="X90" i="20"/>
  <c r="C48" i="24" l="1"/>
  <c r="X174" i="20"/>
  <c r="AJ13" i="20"/>
  <c r="AJ20" i="20"/>
  <c r="H102" i="24"/>
  <c r="K102" i="24" s="1"/>
  <c r="AD102" i="24"/>
  <c r="AG102" i="24" s="1"/>
  <c r="P102" i="24"/>
  <c r="S102" i="24" s="1"/>
  <c r="W102" i="24"/>
  <c r="Z102" i="24" s="1"/>
  <c r="AD55" i="24"/>
  <c r="AG55" i="24" s="1"/>
  <c r="W55" i="24"/>
  <c r="Z55" i="24" s="1"/>
  <c r="P55" i="24"/>
  <c r="S55" i="24" s="1"/>
  <c r="H55" i="24"/>
  <c r="K55" i="24" s="1"/>
  <c r="P74" i="24"/>
  <c r="S74" i="24" s="1"/>
  <c r="AD74" i="24"/>
  <c r="AG74" i="24" s="1"/>
  <c r="W74" i="24"/>
  <c r="Z74" i="24" s="1"/>
  <c r="H74" i="24"/>
  <c r="K74" i="24" s="1"/>
  <c r="H116" i="24"/>
  <c r="K116" i="24" s="1"/>
  <c r="W116" i="24"/>
  <c r="Z116" i="24" s="1"/>
  <c r="P116" i="24"/>
  <c r="S116" i="24" s="1"/>
  <c r="AD116" i="24"/>
  <c r="AG116" i="24" s="1"/>
  <c r="F132" i="28"/>
  <c r="E121" i="22"/>
  <c r="F112" i="24"/>
  <c r="AD119" i="24"/>
  <c r="AG119" i="24" s="1"/>
  <c r="W119" i="24"/>
  <c r="Z119" i="24" s="1"/>
  <c r="H119" i="24"/>
  <c r="K119" i="24" s="1"/>
  <c r="P119" i="24"/>
  <c r="S119" i="24" s="1"/>
  <c r="W64" i="24"/>
  <c r="Z64" i="24" s="1"/>
  <c r="AD64" i="24"/>
  <c r="AG64" i="24" s="1"/>
  <c r="P64" i="24"/>
  <c r="S64" i="24" s="1"/>
  <c r="H64" i="24"/>
  <c r="K64" i="24" s="1"/>
  <c r="W42" i="24"/>
  <c r="Z42" i="24" s="1"/>
  <c r="AD42" i="24"/>
  <c r="AG42" i="24" s="1"/>
  <c r="H42" i="24"/>
  <c r="K42" i="24" s="1"/>
  <c r="P42" i="24"/>
  <c r="S42" i="24" s="1"/>
  <c r="W86" i="24"/>
  <c r="Z86" i="24" s="1"/>
  <c r="AD86" i="24"/>
  <c r="AG86" i="24" s="1"/>
  <c r="H86" i="24"/>
  <c r="K86" i="24" s="1"/>
  <c r="P86" i="24"/>
  <c r="S86" i="24" s="1"/>
  <c r="G134" i="28"/>
  <c r="F144" i="24"/>
  <c r="E154" i="22"/>
  <c r="H118" i="24"/>
  <c r="K118" i="24" s="1"/>
  <c r="P118" i="24"/>
  <c r="S118" i="24" s="1"/>
  <c r="AD118" i="24"/>
  <c r="AG118" i="24" s="1"/>
  <c r="W118" i="24"/>
  <c r="Z118" i="24" s="1"/>
  <c r="H101" i="24"/>
  <c r="K101" i="24" s="1"/>
  <c r="W101" i="24"/>
  <c r="Z101" i="24" s="1"/>
  <c r="AD101" i="24"/>
  <c r="AG101" i="24" s="1"/>
  <c r="P101" i="24"/>
  <c r="S101" i="24" s="1"/>
  <c r="G130" i="28"/>
  <c r="F140" i="24"/>
  <c r="E150" i="22"/>
  <c r="W52" i="24"/>
  <c r="Z52" i="24" s="1"/>
  <c r="P52" i="24"/>
  <c r="S52" i="24" s="1"/>
  <c r="H52" i="24"/>
  <c r="K52" i="24" s="1"/>
  <c r="AD52" i="24"/>
  <c r="AG52" i="24" s="1"/>
  <c r="P87" i="24"/>
  <c r="S87" i="24" s="1"/>
  <c r="AD87" i="24"/>
  <c r="AG87" i="24" s="1"/>
  <c r="H87" i="24"/>
  <c r="K87" i="24" s="1"/>
  <c r="W87" i="24"/>
  <c r="Z87" i="24" s="1"/>
  <c r="P112" i="24"/>
  <c r="S112" i="24" s="1"/>
  <c r="AD112" i="24"/>
  <c r="AG112" i="24" s="1"/>
  <c r="H112" i="24"/>
  <c r="K112" i="24" s="1"/>
  <c r="W112" i="24"/>
  <c r="Z112" i="24" s="1"/>
  <c r="E128" i="22"/>
  <c r="F139" i="28"/>
  <c r="F119" i="24"/>
  <c r="E134" i="28"/>
  <c r="F84" i="24"/>
  <c r="E91" i="22"/>
  <c r="H144" i="24"/>
  <c r="K144" i="24" s="1"/>
  <c r="W144" i="24"/>
  <c r="Z144" i="24" s="1"/>
  <c r="P144" i="24"/>
  <c r="S144" i="24" s="1"/>
  <c r="AD144" i="24"/>
  <c r="AG144" i="24" s="1"/>
  <c r="E131" i="28"/>
  <c r="F81" i="24"/>
  <c r="E88" i="22"/>
  <c r="F121" i="28"/>
  <c r="E110" i="22"/>
  <c r="F101" i="24"/>
  <c r="W140" i="24"/>
  <c r="Z140" i="24" s="1"/>
  <c r="P140" i="24"/>
  <c r="S140" i="24" s="1"/>
  <c r="AD140" i="24"/>
  <c r="AG140" i="24" s="1"/>
  <c r="H140" i="24"/>
  <c r="K140" i="24" s="1"/>
  <c r="F61" i="24"/>
  <c r="E66" i="22"/>
  <c r="D141" i="28"/>
  <c r="F58" i="24"/>
  <c r="E63" i="22"/>
  <c r="D138" i="28"/>
  <c r="H60" i="24"/>
  <c r="K60" i="24" s="1"/>
  <c r="P60" i="24"/>
  <c r="S60" i="24" s="1"/>
  <c r="W60" i="24"/>
  <c r="Z60" i="24" s="1"/>
  <c r="AD60" i="24"/>
  <c r="AG60" i="24" s="1"/>
  <c r="H91" i="24"/>
  <c r="K91" i="24" s="1"/>
  <c r="AD91" i="24"/>
  <c r="AG91" i="24" s="1"/>
  <c r="P91" i="24"/>
  <c r="S91" i="24" s="1"/>
  <c r="W91" i="24"/>
  <c r="Z91" i="24" s="1"/>
  <c r="E144" i="28"/>
  <c r="E101" i="22"/>
  <c r="F94" i="24"/>
  <c r="E69" i="22"/>
  <c r="F64" i="24"/>
  <c r="D144" i="28"/>
  <c r="F42" i="24"/>
  <c r="E47" i="22"/>
  <c r="D122" i="28"/>
  <c r="W84" i="24"/>
  <c r="Z84" i="24" s="1"/>
  <c r="P84" i="24"/>
  <c r="S84" i="24" s="1"/>
  <c r="AD84" i="24"/>
  <c r="AG84" i="24" s="1"/>
  <c r="H84" i="24"/>
  <c r="K84" i="24" s="1"/>
  <c r="H129" i="24"/>
  <c r="K129" i="24" s="1"/>
  <c r="W129" i="24"/>
  <c r="Z129" i="24" s="1"/>
  <c r="P129" i="24"/>
  <c r="S129" i="24" s="1"/>
  <c r="AD129" i="24"/>
  <c r="AG129" i="24" s="1"/>
  <c r="AD81" i="24"/>
  <c r="AG81" i="24" s="1"/>
  <c r="P81" i="24"/>
  <c r="S81" i="24" s="1"/>
  <c r="H81" i="24"/>
  <c r="K81" i="24" s="1"/>
  <c r="W81" i="24"/>
  <c r="Z81" i="24" s="1"/>
  <c r="W80" i="24"/>
  <c r="Z80" i="24" s="1"/>
  <c r="P80" i="24"/>
  <c r="S80" i="24" s="1"/>
  <c r="H80" i="24"/>
  <c r="K80" i="24" s="1"/>
  <c r="AD80" i="24"/>
  <c r="AG80" i="24" s="1"/>
  <c r="G122" i="28"/>
  <c r="F132" i="24"/>
  <c r="E142" i="22"/>
  <c r="P58" i="24"/>
  <c r="S58" i="24" s="1"/>
  <c r="AD58" i="24"/>
  <c r="AG58" i="24" s="1"/>
  <c r="H58" i="24"/>
  <c r="K58" i="24" s="1"/>
  <c r="W58" i="24"/>
  <c r="Z58" i="24" s="1"/>
  <c r="F126" i="28"/>
  <c r="F106" i="24"/>
  <c r="E115" i="22"/>
  <c r="G133" i="28"/>
  <c r="E153" i="22"/>
  <c r="F143" i="24"/>
  <c r="E65" i="22"/>
  <c r="F60" i="24"/>
  <c r="D140" i="28"/>
  <c r="E98" i="22"/>
  <c r="F91" i="24"/>
  <c r="E141" i="28"/>
  <c r="H94" i="24"/>
  <c r="K94" i="24" s="1"/>
  <c r="W94" i="24"/>
  <c r="Z94" i="24" s="1"/>
  <c r="AD94" i="24"/>
  <c r="AG94" i="24" s="1"/>
  <c r="P94" i="24"/>
  <c r="S94" i="24" s="1"/>
  <c r="G124" i="28"/>
  <c r="F134" i="24"/>
  <c r="E144" i="22"/>
  <c r="H53" i="24"/>
  <c r="K53" i="24" s="1"/>
  <c r="W53" i="24"/>
  <c r="Z53" i="24" s="1"/>
  <c r="AD53" i="24"/>
  <c r="AG53" i="24" s="1"/>
  <c r="P53" i="24"/>
  <c r="S53" i="24" s="1"/>
  <c r="F129" i="24"/>
  <c r="E139" i="22"/>
  <c r="G119" i="28"/>
  <c r="E97" i="22"/>
  <c r="E140" i="28"/>
  <c r="F90" i="24"/>
  <c r="F80" i="24"/>
  <c r="E130" i="28"/>
  <c r="E87" i="22"/>
  <c r="H132" i="24"/>
  <c r="K132" i="24" s="1"/>
  <c r="AD132" i="24"/>
  <c r="AG132" i="24" s="1"/>
  <c r="P132" i="24"/>
  <c r="S132" i="24" s="1"/>
  <c r="W132" i="24"/>
  <c r="Z132" i="24" s="1"/>
  <c r="P61" i="24"/>
  <c r="S61" i="24" s="1"/>
  <c r="W61" i="24"/>
  <c r="Z61" i="24" s="1"/>
  <c r="AD61" i="24"/>
  <c r="AG61" i="24" s="1"/>
  <c r="H61" i="24"/>
  <c r="K61" i="24" s="1"/>
  <c r="H151" i="24"/>
  <c r="K151" i="24" s="1"/>
  <c r="W151" i="24"/>
  <c r="Z151" i="24" s="1"/>
  <c r="P151" i="24"/>
  <c r="S151" i="24" s="1"/>
  <c r="AD151" i="24"/>
  <c r="AG151" i="24" s="1"/>
  <c r="P142" i="24"/>
  <c r="S142" i="24" s="1"/>
  <c r="AD142" i="24"/>
  <c r="AG142" i="24" s="1"/>
  <c r="W142" i="24"/>
  <c r="Z142" i="24" s="1"/>
  <c r="H142" i="24"/>
  <c r="K142" i="24" s="1"/>
  <c r="F87" i="24"/>
  <c r="E137" i="28"/>
  <c r="E94" i="22"/>
  <c r="AD131" i="24"/>
  <c r="AG131" i="24" s="1"/>
  <c r="W131" i="24"/>
  <c r="Z131" i="24" s="1"/>
  <c r="P131" i="24"/>
  <c r="S131" i="24" s="1"/>
  <c r="H131" i="24"/>
  <c r="K131" i="24" s="1"/>
  <c r="P92" i="24"/>
  <c r="S92" i="24" s="1"/>
  <c r="W92" i="24"/>
  <c r="Z92" i="24" s="1"/>
  <c r="H92" i="24"/>
  <c r="K92" i="24" s="1"/>
  <c r="AD92" i="24"/>
  <c r="AG92" i="24" s="1"/>
  <c r="H105" i="24"/>
  <c r="K105" i="24" s="1"/>
  <c r="AD105" i="24"/>
  <c r="AG105" i="24" s="1"/>
  <c r="W105" i="24"/>
  <c r="Z105" i="24" s="1"/>
  <c r="P105" i="24"/>
  <c r="S105" i="24" s="1"/>
  <c r="AD88" i="24"/>
  <c r="AG88" i="24" s="1"/>
  <c r="H88" i="24"/>
  <c r="K88" i="24" s="1"/>
  <c r="W88" i="24"/>
  <c r="Z88" i="24" s="1"/>
  <c r="P88" i="24"/>
  <c r="S88" i="24" s="1"/>
  <c r="W106" i="24"/>
  <c r="Z106" i="24" s="1"/>
  <c r="H106" i="24"/>
  <c r="K106" i="24" s="1"/>
  <c r="P106" i="24"/>
  <c r="S106" i="24" s="1"/>
  <c r="AD106" i="24"/>
  <c r="AG106" i="24" s="1"/>
  <c r="P143" i="24"/>
  <c r="S143" i="24" s="1"/>
  <c r="W143" i="24"/>
  <c r="Z143" i="24" s="1"/>
  <c r="AD143" i="24"/>
  <c r="AG143" i="24" s="1"/>
  <c r="H143" i="24"/>
  <c r="K143" i="24" s="1"/>
  <c r="D185" i="28"/>
  <c r="G185" i="28"/>
  <c r="E185" i="28"/>
  <c r="E121" i="28"/>
  <c r="E78" i="22"/>
  <c r="F71" i="24"/>
  <c r="F137" i="28"/>
  <c r="F117" i="24"/>
  <c r="E126" i="22"/>
  <c r="W134" i="24"/>
  <c r="Z134" i="24" s="1"/>
  <c r="H134" i="24"/>
  <c r="K134" i="24" s="1"/>
  <c r="AD134" i="24"/>
  <c r="AG134" i="24" s="1"/>
  <c r="P134" i="24"/>
  <c r="S134" i="24" s="1"/>
  <c r="H56" i="24"/>
  <c r="K56" i="24" s="1"/>
  <c r="P56" i="24"/>
  <c r="S56" i="24" s="1"/>
  <c r="AD56" i="24"/>
  <c r="AG56" i="24" s="1"/>
  <c r="W56" i="24"/>
  <c r="Z56" i="24" s="1"/>
  <c r="AD113" i="24"/>
  <c r="AG113" i="24" s="1"/>
  <c r="P113" i="24"/>
  <c r="S113" i="24" s="1"/>
  <c r="H113" i="24"/>
  <c r="K113" i="24" s="1"/>
  <c r="W113" i="24"/>
  <c r="Z113" i="24" s="1"/>
  <c r="AD90" i="24"/>
  <c r="AG90" i="24" s="1"/>
  <c r="P90" i="24"/>
  <c r="S90" i="24" s="1"/>
  <c r="H90" i="24"/>
  <c r="K90" i="24" s="1"/>
  <c r="W90" i="24"/>
  <c r="Z90" i="24" s="1"/>
  <c r="E187" i="28"/>
  <c r="D187" i="28"/>
  <c r="G187" i="28"/>
  <c r="F119" i="28"/>
  <c r="E108" i="22"/>
  <c r="F99" i="24"/>
  <c r="E77" i="22"/>
  <c r="E120" i="28"/>
  <c r="F70" i="24"/>
  <c r="P76" i="24"/>
  <c r="S76" i="24" s="1"/>
  <c r="AD76" i="24"/>
  <c r="AG76" i="24" s="1"/>
  <c r="W76" i="24"/>
  <c r="Z76" i="24" s="1"/>
  <c r="H76" i="24"/>
  <c r="K76" i="24" s="1"/>
  <c r="F151" i="24"/>
  <c r="G141" i="28"/>
  <c r="E161" i="22"/>
  <c r="D127" i="28"/>
  <c r="F47" i="24"/>
  <c r="E52" i="22"/>
  <c r="AD93" i="24"/>
  <c r="AG93" i="24" s="1"/>
  <c r="H93" i="24"/>
  <c r="K93" i="24" s="1"/>
  <c r="W93" i="24"/>
  <c r="Z93" i="24" s="1"/>
  <c r="P93" i="24"/>
  <c r="S93" i="24" s="1"/>
  <c r="E159" i="22"/>
  <c r="F149" i="24"/>
  <c r="G139" i="28"/>
  <c r="F125" i="28"/>
  <c r="E114" i="22"/>
  <c r="F105" i="24"/>
  <c r="E138" i="28"/>
  <c r="E95" i="22"/>
  <c r="F88" i="24"/>
  <c r="E122" i="28"/>
  <c r="F72" i="24"/>
  <c r="E79" i="22"/>
  <c r="E127" i="28"/>
  <c r="E84" i="22"/>
  <c r="F77" i="24"/>
  <c r="F185" i="28"/>
  <c r="P71" i="24"/>
  <c r="S71" i="24" s="1"/>
  <c r="H71" i="24"/>
  <c r="K71" i="24" s="1"/>
  <c r="AD71" i="24"/>
  <c r="AG71" i="24" s="1"/>
  <c r="W71" i="24"/>
  <c r="Z71" i="24" s="1"/>
  <c r="H117" i="24"/>
  <c r="K117" i="24" s="1"/>
  <c r="W117" i="24"/>
  <c r="Z117" i="24" s="1"/>
  <c r="AD117" i="24"/>
  <c r="AG117" i="24" s="1"/>
  <c r="P117" i="24"/>
  <c r="S117" i="24" s="1"/>
  <c r="D133" i="28"/>
  <c r="F53" i="24"/>
  <c r="E58" i="22"/>
  <c r="F56" i="24"/>
  <c r="E61" i="22"/>
  <c r="D136" i="28"/>
  <c r="F133" i="28"/>
  <c r="E122" i="22"/>
  <c r="F113" i="24"/>
  <c r="H154" i="24"/>
  <c r="K154" i="24" s="1"/>
  <c r="W154" i="24"/>
  <c r="Z154" i="24" s="1"/>
  <c r="AD154" i="24"/>
  <c r="AG154" i="24" s="1"/>
  <c r="P154" i="24"/>
  <c r="S154" i="24" s="1"/>
  <c r="F187" i="28"/>
  <c r="W99" i="24"/>
  <c r="Z99" i="24" s="1"/>
  <c r="AD99" i="24"/>
  <c r="AG99" i="24" s="1"/>
  <c r="P99" i="24"/>
  <c r="S99" i="24" s="1"/>
  <c r="H99" i="24"/>
  <c r="K99" i="24" s="1"/>
  <c r="AD70" i="24"/>
  <c r="AG70" i="24" s="1"/>
  <c r="P70" i="24"/>
  <c r="S70" i="24" s="1"/>
  <c r="W70" i="24"/>
  <c r="Z70" i="24" s="1"/>
  <c r="H70" i="24"/>
  <c r="K70" i="24" s="1"/>
  <c r="E129" i="28"/>
  <c r="E86" i="22"/>
  <c r="F79" i="24"/>
  <c r="G132" i="28"/>
  <c r="E152" i="22"/>
  <c r="F142" i="24"/>
  <c r="E133" i="28"/>
  <c r="F83" i="24"/>
  <c r="E90" i="22"/>
  <c r="E133" i="22"/>
  <c r="F124" i="24"/>
  <c r="F144" i="28"/>
  <c r="E189" i="28"/>
  <c r="G189" i="28"/>
  <c r="D189" i="28"/>
  <c r="AD72" i="24"/>
  <c r="AG72" i="24" s="1"/>
  <c r="W72" i="24"/>
  <c r="Z72" i="24" s="1"/>
  <c r="P72" i="24"/>
  <c r="S72" i="24" s="1"/>
  <c r="H72" i="24"/>
  <c r="K72" i="24" s="1"/>
  <c r="W77" i="24"/>
  <c r="Z77" i="24" s="1"/>
  <c r="AD77" i="24"/>
  <c r="AG77" i="24" s="1"/>
  <c r="H77" i="24"/>
  <c r="K77" i="24" s="1"/>
  <c r="P77" i="24"/>
  <c r="S77" i="24" s="1"/>
  <c r="G136" i="28"/>
  <c r="F146" i="24"/>
  <c r="E156" i="22"/>
  <c r="F75" i="24"/>
  <c r="E82" i="22"/>
  <c r="E125" i="28"/>
  <c r="E132" i="28"/>
  <c r="F82" i="24"/>
  <c r="E89" i="22"/>
  <c r="AD44" i="24"/>
  <c r="AG44" i="24" s="1"/>
  <c r="W44" i="24"/>
  <c r="Z44" i="24" s="1"/>
  <c r="H44" i="24"/>
  <c r="K44" i="24" s="1"/>
  <c r="P44" i="24"/>
  <c r="S44" i="24" s="1"/>
  <c r="F130" i="28"/>
  <c r="E119" i="22"/>
  <c r="F110" i="24"/>
  <c r="D184" i="28"/>
  <c r="G184" i="28"/>
  <c r="E184" i="28"/>
  <c r="G127" i="28"/>
  <c r="E147" i="22"/>
  <c r="F137" i="24"/>
  <c r="F154" i="24"/>
  <c r="G144" i="28"/>
  <c r="E164" i="22"/>
  <c r="AD148" i="24"/>
  <c r="AG148" i="24" s="1"/>
  <c r="W148" i="24"/>
  <c r="Z148" i="24" s="1"/>
  <c r="P148" i="24"/>
  <c r="S148" i="24" s="1"/>
  <c r="H148" i="24"/>
  <c r="K148" i="24" s="1"/>
  <c r="E191" i="28"/>
  <c r="D191" i="28"/>
  <c r="G191" i="28"/>
  <c r="P73" i="24"/>
  <c r="S73" i="24" s="1"/>
  <c r="AD73" i="24"/>
  <c r="AG73" i="24" s="1"/>
  <c r="W73" i="24"/>
  <c r="Z73" i="24" s="1"/>
  <c r="H73" i="24"/>
  <c r="K73" i="24" s="1"/>
  <c r="W54" i="24"/>
  <c r="Z54" i="24" s="1"/>
  <c r="H54" i="24"/>
  <c r="K54" i="24" s="1"/>
  <c r="P54" i="24"/>
  <c r="S54" i="24" s="1"/>
  <c r="AD54" i="24"/>
  <c r="AG54" i="24" s="1"/>
  <c r="W83" i="24"/>
  <c r="Z83" i="24" s="1"/>
  <c r="P83" i="24"/>
  <c r="S83" i="24" s="1"/>
  <c r="H83" i="24"/>
  <c r="K83" i="24" s="1"/>
  <c r="AD83" i="24"/>
  <c r="AG83" i="24" s="1"/>
  <c r="W133" i="24"/>
  <c r="Z133" i="24" s="1"/>
  <c r="AD133" i="24"/>
  <c r="AG133" i="24" s="1"/>
  <c r="H133" i="24"/>
  <c r="K133" i="24" s="1"/>
  <c r="P133" i="24"/>
  <c r="S133" i="24" s="1"/>
  <c r="E155" i="22"/>
  <c r="F145" i="24"/>
  <c r="G135" i="28"/>
  <c r="AD124" i="24"/>
  <c r="AG124" i="24" s="1"/>
  <c r="W124" i="24"/>
  <c r="Z124" i="24" s="1"/>
  <c r="H124" i="24"/>
  <c r="K124" i="24" s="1"/>
  <c r="P124" i="24"/>
  <c r="S124" i="24" s="1"/>
  <c r="F89" i="24"/>
  <c r="E139" i="28"/>
  <c r="E96" i="22"/>
  <c r="F189" i="28"/>
  <c r="W62" i="24"/>
  <c r="Z62" i="24" s="1"/>
  <c r="P62" i="24"/>
  <c r="S62" i="24" s="1"/>
  <c r="AD62" i="24"/>
  <c r="AG62" i="24" s="1"/>
  <c r="H62" i="24"/>
  <c r="K62" i="24" s="1"/>
  <c r="E190" i="28"/>
  <c r="D190" i="28"/>
  <c r="G190" i="28"/>
  <c r="W146" i="24"/>
  <c r="Z146" i="24" s="1"/>
  <c r="AD146" i="24"/>
  <c r="AG146" i="24" s="1"/>
  <c r="P146" i="24"/>
  <c r="S146" i="24" s="1"/>
  <c r="H146" i="24"/>
  <c r="K146" i="24" s="1"/>
  <c r="H75" i="24"/>
  <c r="K75" i="24" s="1"/>
  <c r="AD75" i="24"/>
  <c r="AG75" i="24" s="1"/>
  <c r="W75" i="24"/>
  <c r="Z75" i="24" s="1"/>
  <c r="P75" i="24"/>
  <c r="S75" i="24" s="1"/>
  <c r="P82" i="24"/>
  <c r="S82" i="24" s="1"/>
  <c r="AD82" i="24"/>
  <c r="AG82" i="24" s="1"/>
  <c r="W82" i="24"/>
  <c r="Z82" i="24" s="1"/>
  <c r="H82" i="24"/>
  <c r="K82" i="24" s="1"/>
  <c r="E49" i="22"/>
  <c r="F44" i="24"/>
  <c r="D124" i="28"/>
  <c r="P110" i="24"/>
  <c r="S110" i="24" s="1"/>
  <c r="AD110" i="24"/>
  <c r="AG110" i="24" s="1"/>
  <c r="H110" i="24"/>
  <c r="K110" i="24" s="1"/>
  <c r="W110" i="24"/>
  <c r="Z110" i="24" s="1"/>
  <c r="F184" i="28"/>
  <c r="AD137" i="24"/>
  <c r="AG137" i="24" s="1"/>
  <c r="P137" i="24"/>
  <c r="S137" i="24" s="1"/>
  <c r="W137" i="24"/>
  <c r="Z137" i="24" s="1"/>
  <c r="H137" i="24"/>
  <c r="K137" i="24" s="1"/>
  <c r="AD138" i="24"/>
  <c r="AG138" i="24" s="1"/>
  <c r="W138" i="24"/>
  <c r="Z138" i="24" s="1"/>
  <c r="P138" i="24"/>
  <c r="S138" i="24" s="1"/>
  <c r="H138" i="24"/>
  <c r="K138" i="24" s="1"/>
  <c r="P57" i="24"/>
  <c r="S57" i="24" s="1"/>
  <c r="H57" i="24"/>
  <c r="K57" i="24" s="1"/>
  <c r="W57" i="24"/>
  <c r="Z57" i="24" s="1"/>
  <c r="AD57" i="24"/>
  <c r="AG57" i="24" s="1"/>
  <c r="E158" i="22"/>
  <c r="G138" i="28"/>
  <c r="F148" i="24"/>
  <c r="F191" i="28"/>
  <c r="E60" i="22"/>
  <c r="F55" i="24"/>
  <c r="D135" i="28"/>
  <c r="P139" i="24"/>
  <c r="S139" i="24" s="1"/>
  <c r="W139" i="24"/>
  <c r="Z139" i="24" s="1"/>
  <c r="H139" i="24"/>
  <c r="K139" i="24" s="1"/>
  <c r="AD139" i="24"/>
  <c r="AG139" i="24" s="1"/>
  <c r="W147" i="24"/>
  <c r="Z147" i="24" s="1"/>
  <c r="P147" i="24"/>
  <c r="S147" i="24" s="1"/>
  <c r="AD147" i="24"/>
  <c r="AG147" i="24" s="1"/>
  <c r="H147" i="24"/>
  <c r="K147" i="24" s="1"/>
  <c r="W47" i="24"/>
  <c r="Z47" i="24" s="1"/>
  <c r="H47" i="24"/>
  <c r="K47" i="24" s="1"/>
  <c r="AD47" i="24"/>
  <c r="AG47" i="24" s="1"/>
  <c r="P47" i="24"/>
  <c r="S47" i="24" s="1"/>
  <c r="H50" i="24"/>
  <c r="K50" i="24" s="1"/>
  <c r="W50" i="24"/>
  <c r="Z50" i="24" s="1"/>
  <c r="P50" i="24"/>
  <c r="S50" i="24" s="1"/>
  <c r="AD50" i="24"/>
  <c r="AG50" i="24" s="1"/>
  <c r="G123" i="28"/>
  <c r="E143" i="22"/>
  <c r="F133" i="24"/>
  <c r="BA32" i="20"/>
  <c r="F143" i="28"/>
  <c r="E132" i="22"/>
  <c r="F123" i="24"/>
  <c r="D142" i="28"/>
  <c r="F62" i="24"/>
  <c r="E67" i="22"/>
  <c r="F190" i="28"/>
  <c r="F152" i="24"/>
  <c r="G142" i="28"/>
  <c r="E162" i="22"/>
  <c r="F104" i="24"/>
  <c r="E113" i="22"/>
  <c r="F124" i="28"/>
  <c r="AD111" i="24"/>
  <c r="AG111" i="24" s="1"/>
  <c r="W111" i="24"/>
  <c r="Z111" i="24" s="1"/>
  <c r="P111" i="24"/>
  <c r="S111" i="24" s="1"/>
  <c r="H111" i="24"/>
  <c r="K111" i="24" s="1"/>
  <c r="E140" i="22"/>
  <c r="G120" i="28"/>
  <c r="F130" i="24"/>
  <c r="P103" i="24"/>
  <c r="S103" i="24" s="1"/>
  <c r="AD103" i="24"/>
  <c r="AG103" i="24" s="1"/>
  <c r="H103" i="24"/>
  <c r="K103" i="24" s="1"/>
  <c r="W103" i="24"/>
  <c r="Z103" i="24" s="1"/>
  <c r="G128" i="28"/>
  <c r="E148" i="22"/>
  <c r="F138" i="24"/>
  <c r="D137" i="28"/>
  <c r="E62" i="22"/>
  <c r="F57" i="24"/>
  <c r="F127" i="28"/>
  <c r="F107" i="24"/>
  <c r="E116" i="22"/>
  <c r="AD150" i="24"/>
  <c r="AG150" i="24" s="1"/>
  <c r="W150" i="24"/>
  <c r="Z150" i="24" s="1"/>
  <c r="P150" i="24"/>
  <c r="S150" i="24" s="1"/>
  <c r="H150" i="24"/>
  <c r="K150" i="24" s="1"/>
  <c r="E157" i="22"/>
  <c r="G137" i="28"/>
  <c r="F147" i="24"/>
  <c r="E124" i="22"/>
  <c r="F135" i="28"/>
  <c r="F115" i="24"/>
  <c r="H115" i="24"/>
  <c r="K115" i="24" s="1"/>
  <c r="W115" i="24"/>
  <c r="Z115" i="24" s="1"/>
  <c r="P115" i="24"/>
  <c r="S115" i="24" s="1"/>
  <c r="AD115" i="24"/>
  <c r="AG115" i="24" s="1"/>
  <c r="AD120" i="24"/>
  <c r="AG120" i="24" s="1"/>
  <c r="H120" i="24"/>
  <c r="K120" i="24" s="1"/>
  <c r="W120" i="24"/>
  <c r="Z120" i="24" s="1"/>
  <c r="P120" i="24"/>
  <c r="S120" i="24" s="1"/>
  <c r="E143" i="28"/>
  <c r="E100" i="22"/>
  <c r="AZ32" i="20"/>
  <c r="F93" i="24"/>
  <c r="E51" i="22"/>
  <c r="F46" i="24"/>
  <c r="D126" i="28"/>
  <c r="E117" i="22"/>
  <c r="F108" i="24"/>
  <c r="F128" i="28"/>
  <c r="P153" i="24"/>
  <c r="S153" i="24" s="1"/>
  <c r="AD153" i="24"/>
  <c r="AG153" i="24" s="1"/>
  <c r="W153" i="24"/>
  <c r="Z153" i="24" s="1"/>
  <c r="H153" i="24"/>
  <c r="K153" i="24" s="1"/>
  <c r="P141" i="24"/>
  <c r="S141" i="24" s="1"/>
  <c r="H141" i="24"/>
  <c r="K141" i="24" s="1"/>
  <c r="W141" i="24"/>
  <c r="Z141" i="24" s="1"/>
  <c r="AD141" i="24"/>
  <c r="AG141" i="24" s="1"/>
  <c r="W123" i="24"/>
  <c r="Z123" i="24" s="1"/>
  <c r="AD123" i="24"/>
  <c r="AG123" i="24" s="1"/>
  <c r="H123" i="24"/>
  <c r="K123" i="24" s="1"/>
  <c r="P123" i="24"/>
  <c r="S123" i="24" s="1"/>
  <c r="F43" i="24"/>
  <c r="E48" i="22"/>
  <c r="D123" i="28"/>
  <c r="F59" i="24"/>
  <c r="E64" i="22"/>
  <c r="D139" i="28"/>
  <c r="F49" i="24"/>
  <c r="E54" i="22"/>
  <c r="D129" i="28"/>
  <c r="F122" i="24"/>
  <c r="E131" i="22"/>
  <c r="F142" i="28"/>
  <c r="W152" i="24"/>
  <c r="Z152" i="24" s="1"/>
  <c r="P152" i="24"/>
  <c r="S152" i="24" s="1"/>
  <c r="AD152" i="24"/>
  <c r="AG152" i="24" s="1"/>
  <c r="H152" i="24"/>
  <c r="K152" i="24" s="1"/>
  <c r="W104" i="24"/>
  <c r="Z104" i="24" s="1"/>
  <c r="H104" i="24"/>
  <c r="K104" i="24" s="1"/>
  <c r="P104" i="24"/>
  <c r="S104" i="24" s="1"/>
  <c r="AD104" i="24"/>
  <c r="AG104" i="24" s="1"/>
  <c r="F131" i="28"/>
  <c r="F111" i="24"/>
  <c r="E120" i="22"/>
  <c r="P130" i="24"/>
  <c r="S130" i="24" s="1"/>
  <c r="W130" i="24"/>
  <c r="Z130" i="24" s="1"/>
  <c r="H130" i="24"/>
  <c r="K130" i="24" s="1"/>
  <c r="AD130" i="24"/>
  <c r="AG130" i="24" s="1"/>
  <c r="D131" i="28"/>
  <c r="F51" i="24"/>
  <c r="E56" i="22"/>
  <c r="F123" i="28"/>
  <c r="E112" i="22"/>
  <c r="F103" i="24"/>
  <c r="E50" i="22"/>
  <c r="D125" i="28"/>
  <c r="F45" i="24"/>
  <c r="D121" i="28"/>
  <c r="F41" i="24"/>
  <c r="E46" i="22"/>
  <c r="P107" i="24"/>
  <c r="S107" i="24" s="1"/>
  <c r="W107" i="24"/>
  <c r="Z107" i="24" s="1"/>
  <c r="AD107" i="24"/>
  <c r="AG107" i="24" s="1"/>
  <c r="H107" i="24"/>
  <c r="K107" i="24" s="1"/>
  <c r="G140" i="28"/>
  <c r="F150" i="24"/>
  <c r="E160" i="22"/>
  <c r="F129" i="28"/>
  <c r="E118" i="22"/>
  <c r="F109" i="24"/>
  <c r="E123" i="28"/>
  <c r="E80" i="22"/>
  <c r="F73" i="24"/>
  <c r="P79" i="24"/>
  <c r="S79" i="24" s="1"/>
  <c r="H79" i="24"/>
  <c r="K79" i="24" s="1"/>
  <c r="AD79" i="24"/>
  <c r="AG79" i="24" s="1"/>
  <c r="W79" i="24"/>
  <c r="Z79" i="24" s="1"/>
  <c r="F139" i="24"/>
  <c r="G129" i="28"/>
  <c r="E149" i="22"/>
  <c r="E129" i="22"/>
  <c r="F120" i="24"/>
  <c r="F140" i="28"/>
  <c r="P89" i="24"/>
  <c r="S89" i="24" s="1"/>
  <c r="H89" i="24"/>
  <c r="K89" i="24" s="1"/>
  <c r="W89" i="24"/>
  <c r="Z89" i="24" s="1"/>
  <c r="AD89" i="24"/>
  <c r="AG89" i="24" s="1"/>
  <c r="F40" i="24"/>
  <c r="D120" i="28"/>
  <c r="E45" i="22"/>
  <c r="F50" i="24"/>
  <c r="E55" i="22"/>
  <c r="D130" i="28"/>
  <c r="G131" i="28"/>
  <c r="F141" i="24"/>
  <c r="E151" i="22"/>
  <c r="F121" i="24"/>
  <c r="E130" i="22"/>
  <c r="F141" i="28"/>
  <c r="W43" i="24"/>
  <c r="Z43" i="24" s="1"/>
  <c r="P43" i="24"/>
  <c r="S43" i="24" s="1"/>
  <c r="H43" i="24"/>
  <c r="K43" i="24" s="1"/>
  <c r="AD43" i="24"/>
  <c r="AG43" i="24" s="1"/>
  <c r="W59" i="24"/>
  <c r="Z59" i="24" s="1"/>
  <c r="P59" i="24"/>
  <c r="S59" i="24" s="1"/>
  <c r="AD59" i="24"/>
  <c r="AG59" i="24" s="1"/>
  <c r="H59" i="24"/>
  <c r="K59" i="24" s="1"/>
  <c r="H49" i="24"/>
  <c r="K49" i="24" s="1"/>
  <c r="W49" i="24"/>
  <c r="Z49" i="24" s="1"/>
  <c r="AD49" i="24"/>
  <c r="AG49" i="24" s="1"/>
  <c r="P49" i="24"/>
  <c r="S49" i="24" s="1"/>
  <c r="F85" i="24"/>
  <c r="E135" i="28"/>
  <c r="E92" i="22"/>
  <c r="P122" i="24"/>
  <c r="S122" i="24" s="1"/>
  <c r="W122" i="24"/>
  <c r="Z122" i="24" s="1"/>
  <c r="AD122" i="24"/>
  <c r="AG122" i="24" s="1"/>
  <c r="H122" i="24"/>
  <c r="K122" i="24" s="1"/>
  <c r="W78" i="24"/>
  <c r="Z78" i="24" s="1"/>
  <c r="P78" i="24"/>
  <c r="S78" i="24" s="1"/>
  <c r="AD78" i="24"/>
  <c r="AG78" i="24" s="1"/>
  <c r="H78" i="24"/>
  <c r="K78" i="24" s="1"/>
  <c r="D188" i="28"/>
  <c r="E188" i="28"/>
  <c r="G188" i="28"/>
  <c r="P135" i="24"/>
  <c r="S135" i="24" s="1"/>
  <c r="W135" i="24"/>
  <c r="Z135" i="24" s="1"/>
  <c r="H135" i="24"/>
  <c r="K135" i="24" s="1"/>
  <c r="AD135" i="24"/>
  <c r="AG135" i="24" s="1"/>
  <c r="W51" i="24"/>
  <c r="Z51" i="24" s="1"/>
  <c r="P51" i="24"/>
  <c r="S51" i="24" s="1"/>
  <c r="H51" i="24"/>
  <c r="K51" i="24" s="1"/>
  <c r="AD51" i="24"/>
  <c r="AG51" i="24" s="1"/>
  <c r="E123" i="22"/>
  <c r="F134" i="28"/>
  <c r="F114" i="24"/>
  <c r="AD45" i="24"/>
  <c r="AG45" i="24" s="1"/>
  <c r="W45" i="24"/>
  <c r="Z45" i="24" s="1"/>
  <c r="P45" i="24"/>
  <c r="S45" i="24" s="1"/>
  <c r="H45" i="24"/>
  <c r="K45" i="24" s="1"/>
  <c r="D128" i="28"/>
  <c r="E53" i="22"/>
  <c r="F48" i="24"/>
  <c r="AD41" i="24"/>
  <c r="AG41" i="24" s="1"/>
  <c r="P41" i="24"/>
  <c r="S41" i="24" s="1"/>
  <c r="W41" i="24"/>
  <c r="Z41" i="24" s="1"/>
  <c r="H41" i="24"/>
  <c r="K41" i="24" s="1"/>
  <c r="E57" i="22"/>
  <c r="D132" i="28"/>
  <c r="F52" i="24"/>
  <c r="P100" i="24"/>
  <c r="S100" i="24" s="1"/>
  <c r="W100" i="24"/>
  <c r="Z100" i="24" s="1"/>
  <c r="AD100" i="24"/>
  <c r="AG100" i="24" s="1"/>
  <c r="H100" i="24"/>
  <c r="K100" i="24" s="1"/>
  <c r="W39" i="24"/>
  <c r="Z39" i="24" s="1"/>
  <c r="AD39" i="24"/>
  <c r="AG39" i="24" s="1"/>
  <c r="H39" i="24"/>
  <c r="K39" i="24" s="1"/>
  <c r="P39" i="24"/>
  <c r="S39" i="24" s="1"/>
  <c r="AY32" i="20"/>
  <c r="E68" i="22"/>
  <c r="F63" i="24"/>
  <c r="D143" i="28"/>
  <c r="F54" i="24"/>
  <c r="D134" i="28"/>
  <c r="E59" i="22"/>
  <c r="G121" i="28"/>
  <c r="E141" i="22"/>
  <c r="F131" i="24"/>
  <c r="F92" i="24"/>
  <c r="E142" i="28"/>
  <c r="E99" i="22"/>
  <c r="W149" i="24"/>
  <c r="Z149" i="24" s="1"/>
  <c r="P149" i="24"/>
  <c r="S149" i="24" s="1"/>
  <c r="AD149" i="24"/>
  <c r="AG149" i="24" s="1"/>
  <c r="H149" i="24"/>
  <c r="K149" i="24" s="1"/>
  <c r="P46" i="24"/>
  <c r="S46" i="24" s="1"/>
  <c r="AD46" i="24"/>
  <c r="AG46" i="24" s="1"/>
  <c r="H46" i="24"/>
  <c r="K46" i="24" s="1"/>
  <c r="W46" i="24"/>
  <c r="Z46" i="24" s="1"/>
  <c r="AD145" i="24"/>
  <c r="AG145" i="24" s="1"/>
  <c r="P145" i="24"/>
  <c r="S145" i="24" s="1"/>
  <c r="H145" i="24"/>
  <c r="K145" i="24" s="1"/>
  <c r="W145" i="24"/>
  <c r="Z145" i="24" s="1"/>
  <c r="P40" i="24"/>
  <c r="S40" i="24" s="1"/>
  <c r="W40" i="24"/>
  <c r="Z40" i="24" s="1"/>
  <c r="AD40" i="24"/>
  <c r="AG40" i="24" s="1"/>
  <c r="H40" i="24"/>
  <c r="K40" i="24" s="1"/>
  <c r="F153" i="24"/>
  <c r="E163" i="22"/>
  <c r="G143" i="28"/>
  <c r="BB32" i="20"/>
  <c r="E119" i="28"/>
  <c r="F69" i="24"/>
  <c r="E76" i="22"/>
  <c r="AD69" i="24"/>
  <c r="AG69" i="24" s="1"/>
  <c r="W69" i="24"/>
  <c r="Z69" i="24" s="1"/>
  <c r="H69" i="24"/>
  <c r="K69" i="24" s="1"/>
  <c r="P69" i="24"/>
  <c r="S69" i="24" s="1"/>
  <c r="P108" i="24"/>
  <c r="S108" i="24" s="1"/>
  <c r="AD108" i="24"/>
  <c r="AG108" i="24" s="1"/>
  <c r="H108" i="24"/>
  <c r="K108" i="24" s="1"/>
  <c r="W108" i="24"/>
  <c r="Z108" i="24" s="1"/>
  <c r="AD63" i="24"/>
  <c r="AG63" i="24" s="1"/>
  <c r="H63" i="24"/>
  <c r="K63" i="24" s="1"/>
  <c r="W63" i="24"/>
  <c r="Z63" i="24" s="1"/>
  <c r="P63" i="24"/>
  <c r="S63" i="24" s="1"/>
  <c r="E44" i="22"/>
  <c r="F39" i="24"/>
  <c r="D119" i="28"/>
  <c r="E126" i="28"/>
  <c r="E83" i="22"/>
  <c r="F76" i="24"/>
  <c r="W109" i="24"/>
  <c r="Z109" i="24" s="1"/>
  <c r="P109" i="24"/>
  <c r="S109" i="24" s="1"/>
  <c r="H109" i="24"/>
  <c r="K109" i="24" s="1"/>
  <c r="AD109" i="24"/>
  <c r="AG109" i="24" s="1"/>
  <c r="W121" i="24"/>
  <c r="Z121" i="24" s="1"/>
  <c r="AD121" i="24"/>
  <c r="AG121" i="24" s="1"/>
  <c r="H121" i="24"/>
  <c r="K121" i="24" s="1"/>
  <c r="P121" i="24"/>
  <c r="S121" i="24" s="1"/>
  <c r="F122" i="28"/>
  <c r="F102" i="24"/>
  <c r="E111" i="22"/>
  <c r="E124" i="28"/>
  <c r="F74" i="24"/>
  <c r="E81" i="22"/>
  <c r="P85" i="24"/>
  <c r="S85" i="24" s="1"/>
  <c r="AD85" i="24"/>
  <c r="AG85" i="24" s="1"/>
  <c r="W85" i="24"/>
  <c r="Z85" i="24" s="1"/>
  <c r="H85" i="24"/>
  <c r="K85" i="24" s="1"/>
  <c r="E125" i="22"/>
  <c r="F116" i="24"/>
  <c r="F136" i="28"/>
  <c r="E85" i="22"/>
  <c r="F78" i="24"/>
  <c r="E128" i="28"/>
  <c r="G186" i="28"/>
  <c r="E186" i="28"/>
  <c r="D186" i="28"/>
  <c r="G125" i="28"/>
  <c r="E145" i="22"/>
  <c r="F135" i="24"/>
  <c r="F86" i="24"/>
  <c r="E93" i="22"/>
  <c r="E136" i="28"/>
  <c r="AD114" i="24"/>
  <c r="AG114" i="24" s="1"/>
  <c r="W114" i="24"/>
  <c r="Z114" i="24" s="1"/>
  <c r="H114" i="24"/>
  <c r="K114" i="24" s="1"/>
  <c r="P114" i="24"/>
  <c r="S114" i="24" s="1"/>
  <c r="F138" i="28"/>
  <c r="E127" i="22"/>
  <c r="F118" i="24"/>
  <c r="AD48" i="24"/>
  <c r="AG48" i="24" s="1"/>
  <c r="P48" i="24"/>
  <c r="S48" i="24" s="1"/>
  <c r="W48" i="24"/>
  <c r="Z48" i="24" s="1"/>
  <c r="H48" i="24"/>
  <c r="K48" i="24" s="1"/>
  <c r="F120" i="28"/>
  <c r="F100" i="24"/>
  <c r="E109" i="22"/>
  <c r="H139" i="28" l="1"/>
  <c r="F178" i="28" s="1"/>
  <c r="H122" i="28"/>
  <c r="F161" i="28" s="1"/>
  <c r="AH67" i="24"/>
  <c r="AH73" i="24" s="1"/>
  <c r="AI73" i="24" s="1"/>
  <c r="L67" i="24"/>
  <c r="L86" i="24" s="1"/>
  <c r="M86" i="24" s="1"/>
  <c r="AA67" i="24"/>
  <c r="AA72" i="24" s="1"/>
  <c r="AB72" i="24" s="1"/>
  <c r="T67" i="24"/>
  <c r="T91" i="24" s="1"/>
  <c r="U91" i="24" s="1"/>
  <c r="H131" i="28"/>
  <c r="G170" i="28" s="1"/>
  <c r="L127" i="24"/>
  <c r="L136" i="24" s="1"/>
  <c r="M136" i="24" s="1"/>
  <c r="AH127" i="24"/>
  <c r="AH136" i="24" s="1"/>
  <c r="AI136" i="24" s="1"/>
  <c r="T127" i="24"/>
  <c r="T136" i="24" s="1"/>
  <c r="U136" i="24" s="1"/>
  <c r="AA127" i="24"/>
  <c r="AA136" i="24" s="1"/>
  <c r="AB136" i="24" s="1"/>
  <c r="H123" i="28"/>
  <c r="F162" i="28" s="1"/>
  <c r="H137" i="28"/>
  <c r="E176" i="28" s="1"/>
  <c r="H142" i="28"/>
  <c r="G181" i="28" s="1"/>
  <c r="H135" i="28"/>
  <c r="G174" i="28" s="1"/>
  <c r="H124" i="28"/>
  <c r="F163" i="28" s="1"/>
  <c r="E178" i="28"/>
  <c r="H136" i="28"/>
  <c r="G175" i="28" s="1"/>
  <c r="T97" i="24"/>
  <c r="T99" i="24" s="1"/>
  <c r="U99" i="24" s="1"/>
  <c r="AH97" i="24"/>
  <c r="AH107" i="24" s="1"/>
  <c r="AI107" i="24" s="1"/>
  <c r="AA97" i="24"/>
  <c r="AA105" i="24" s="1"/>
  <c r="AB105" i="24" s="1"/>
  <c r="L97" i="24"/>
  <c r="L121" i="24" s="1"/>
  <c r="M121" i="24" s="1"/>
  <c r="AH81" i="24"/>
  <c r="AI81" i="24" s="1"/>
  <c r="H144" i="28"/>
  <c r="G183" i="28" s="1"/>
  <c r="H121" i="28"/>
  <c r="G160" i="28" s="1"/>
  <c r="H127" i="28"/>
  <c r="F166" i="28" s="1"/>
  <c r="H140" i="28"/>
  <c r="G179" i="28" s="1"/>
  <c r="H128" i="28"/>
  <c r="E167" i="28" s="1"/>
  <c r="H130" i="28"/>
  <c r="F169" i="28" s="1"/>
  <c r="H138" i="28"/>
  <c r="F177" i="28" s="1"/>
  <c r="H134" i="28"/>
  <c r="E173" i="28" s="1"/>
  <c r="H125" i="28"/>
  <c r="D164" i="28" s="1"/>
  <c r="D178" i="28"/>
  <c r="BC32" i="20"/>
  <c r="BC33" i="20" s="1"/>
  <c r="G178" i="28"/>
  <c r="H119" i="28"/>
  <c r="G158" i="28" s="1"/>
  <c r="H143" i="28"/>
  <c r="G182" i="28" s="1"/>
  <c r="H129" i="28"/>
  <c r="E168" i="28" s="1"/>
  <c r="H126" i="28"/>
  <c r="G165" i="28" s="1"/>
  <c r="AH82" i="24"/>
  <c r="AI82" i="24" s="1"/>
  <c r="H133" i="28"/>
  <c r="F172" i="28" s="1"/>
  <c r="L76" i="24"/>
  <c r="M76" i="24" s="1"/>
  <c r="L88" i="24"/>
  <c r="M88" i="24" s="1"/>
  <c r="AH80" i="24"/>
  <c r="AI80" i="24" s="1"/>
  <c r="L84" i="24"/>
  <c r="M84" i="24" s="1"/>
  <c r="AA37" i="24"/>
  <c r="AA50" i="24" s="1"/>
  <c r="AB50" i="24" s="1"/>
  <c r="L37" i="24"/>
  <c r="L53" i="24" s="1"/>
  <c r="M53" i="24" s="1"/>
  <c r="N53" i="24" s="1"/>
  <c r="AH37" i="24"/>
  <c r="AH58" i="24" s="1"/>
  <c r="AI58" i="24" s="1"/>
  <c r="T37" i="24"/>
  <c r="T44" i="24" s="1"/>
  <c r="U44" i="24" s="1"/>
  <c r="H132" i="28"/>
  <c r="G171" i="28" s="1"/>
  <c r="H120" i="28"/>
  <c r="E159" i="28" s="1"/>
  <c r="AA76" i="24"/>
  <c r="AB76" i="24" s="1"/>
  <c r="AA90" i="24"/>
  <c r="AB90" i="24" s="1"/>
  <c r="AH88" i="24"/>
  <c r="AI88" i="24" s="1"/>
  <c r="L80" i="24"/>
  <c r="M80" i="24" s="1"/>
  <c r="AH84" i="24"/>
  <c r="AI84" i="24" s="1"/>
  <c r="H141" i="28"/>
  <c r="G180" i="28" s="1"/>
  <c r="L74" i="24"/>
  <c r="M74" i="24" s="1"/>
  <c r="L69" i="24" l="1"/>
  <c r="M69" i="24" s="1"/>
  <c r="AH83" i="24"/>
  <c r="AI83" i="24" s="1"/>
  <c r="G161" i="28"/>
  <c r="L72" i="24"/>
  <c r="M72" i="24" s="1"/>
  <c r="D161" i="28"/>
  <c r="AA88" i="24"/>
  <c r="AB88" i="24" s="1"/>
  <c r="AH72" i="24"/>
  <c r="AI72" i="24" s="1"/>
  <c r="T94" i="24"/>
  <c r="U94" i="24" s="1"/>
  <c r="AA83" i="24"/>
  <c r="AB83" i="24" s="1"/>
  <c r="T82" i="24"/>
  <c r="U82" i="24" s="1"/>
  <c r="AA79" i="24"/>
  <c r="AB79" i="24" s="1"/>
  <c r="AA82" i="24"/>
  <c r="AB82" i="24" s="1"/>
  <c r="E162" i="28"/>
  <c r="L112" i="24"/>
  <c r="M112" i="24" s="1"/>
  <c r="L103" i="24"/>
  <c r="M103" i="24" s="1"/>
  <c r="AH92" i="24"/>
  <c r="AI92" i="24" s="1"/>
  <c r="F170" i="28"/>
  <c r="AA91" i="24"/>
  <c r="AB91" i="24" s="1"/>
  <c r="E170" i="28"/>
  <c r="AA108" i="24"/>
  <c r="AB108" i="24" s="1"/>
  <c r="E174" i="28"/>
  <c r="T108" i="24"/>
  <c r="U108" i="24" s="1"/>
  <c r="T88" i="24"/>
  <c r="U88" i="24" s="1"/>
  <c r="E166" i="28"/>
  <c r="T131" i="24"/>
  <c r="U131" i="24" s="1"/>
  <c r="AA151" i="24"/>
  <c r="AB151" i="24" s="1"/>
  <c r="E179" i="28"/>
  <c r="AH146" i="24"/>
  <c r="AI146" i="24" s="1"/>
  <c r="AA122" i="24"/>
  <c r="AB122" i="24" s="1"/>
  <c r="AH103" i="24"/>
  <c r="AI103" i="24" s="1"/>
  <c r="AH150" i="24"/>
  <c r="AI150" i="24" s="1"/>
  <c r="T121" i="24"/>
  <c r="U121" i="24" s="1"/>
  <c r="AH99" i="24"/>
  <c r="AI99" i="24" s="1"/>
  <c r="AH102" i="24"/>
  <c r="AI102" i="24" s="1"/>
  <c r="AA115" i="24"/>
  <c r="AB115" i="24" s="1"/>
  <c r="T100" i="24"/>
  <c r="U100" i="24" s="1"/>
  <c r="D181" i="28"/>
  <c r="L92" i="24"/>
  <c r="M92" i="24" s="1"/>
  <c r="AH100" i="24"/>
  <c r="AI100" i="24" s="1"/>
  <c r="AH120" i="24"/>
  <c r="AI120" i="24" s="1"/>
  <c r="AH147" i="24"/>
  <c r="AI147" i="24" s="1"/>
  <c r="AH104" i="24"/>
  <c r="AI104" i="24" s="1"/>
  <c r="L149" i="24"/>
  <c r="M149" i="24" s="1"/>
  <c r="T114" i="24"/>
  <c r="U114" i="24" s="1"/>
  <c r="T124" i="24"/>
  <c r="U124" i="24" s="1"/>
  <c r="AA138" i="24"/>
  <c r="AB138" i="24" s="1"/>
  <c r="G173" i="28"/>
  <c r="AA150" i="24"/>
  <c r="AB150" i="24" s="1"/>
  <c r="AA129" i="24"/>
  <c r="AB129" i="24" s="1"/>
  <c r="T130" i="24"/>
  <c r="U130" i="24" s="1"/>
  <c r="E175" i="28"/>
  <c r="AH154" i="24"/>
  <c r="AI154" i="24" s="1"/>
  <c r="G163" i="28"/>
  <c r="AA148" i="24"/>
  <c r="AB148" i="24" s="1"/>
  <c r="T149" i="24"/>
  <c r="U149" i="24" s="1"/>
  <c r="L151" i="24"/>
  <c r="M151" i="24" s="1"/>
  <c r="E160" i="28"/>
  <c r="AA78" i="24"/>
  <c r="AB78" i="24" s="1"/>
  <c r="AA131" i="24"/>
  <c r="AB131" i="24" s="1"/>
  <c r="AA137" i="24"/>
  <c r="AB137" i="24" s="1"/>
  <c r="D163" i="28"/>
  <c r="L61" i="24"/>
  <c r="M61" i="24" s="1"/>
  <c r="N61" i="24" s="1"/>
  <c r="T115" i="24"/>
  <c r="U115" i="24" s="1"/>
  <c r="AH137" i="24"/>
  <c r="AI137" i="24" s="1"/>
  <c r="T122" i="24"/>
  <c r="U122" i="24" s="1"/>
  <c r="AA85" i="24"/>
  <c r="AB85" i="24" s="1"/>
  <c r="T117" i="24"/>
  <c r="U117" i="24" s="1"/>
  <c r="T147" i="24"/>
  <c r="U147" i="24" s="1"/>
  <c r="T45" i="24"/>
  <c r="U45" i="24" s="1"/>
  <c r="AH85" i="24"/>
  <c r="AI85" i="24" s="1"/>
  <c r="L135" i="24"/>
  <c r="M135" i="24" s="1"/>
  <c r="L130" i="24"/>
  <c r="M130" i="24" s="1"/>
  <c r="T145" i="24"/>
  <c r="U145" i="24" s="1"/>
  <c r="T135" i="24"/>
  <c r="U135" i="24" s="1"/>
  <c r="L148" i="24"/>
  <c r="M148" i="24" s="1"/>
  <c r="E163" i="28"/>
  <c r="D160" i="28"/>
  <c r="T134" i="24"/>
  <c r="U134" i="24" s="1"/>
  <c r="AH141" i="24"/>
  <c r="AI141" i="24" s="1"/>
  <c r="T154" i="24"/>
  <c r="U154" i="24" s="1"/>
  <c r="AH149" i="24"/>
  <c r="AI149" i="24" s="1"/>
  <c r="T129" i="24"/>
  <c r="U129" i="24" s="1"/>
  <c r="T148" i="24"/>
  <c r="U148" i="24" s="1"/>
  <c r="T151" i="24"/>
  <c r="U151" i="24" s="1"/>
  <c r="AH151" i="24"/>
  <c r="AI151" i="24" s="1"/>
  <c r="T150" i="24"/>
  <c r="U150" i="24" s="1"/>
  <c r="L131" i="24"/>
  <c r="M131" i="24" s="1"/>
  <c r="AA106" i="24"/>
  <c r="AB106" i="24" s="1"/>
  <c r="AH131" i="24"/>
  <c r="AI131" i="24" s="1"/>
  <c r="T137" i="24"/>
  <c r="U137" i="24" s="1"/>
  <c r="AA77" i="24"/>
  <c r="AB77" i="24" s="1"/>
  <c r="L114" i="24"/>
  <c r="M114" i="24" s="1"/>
  <c r="AA124" i="24"/>
  <c r="AB124" i="24" s="1"/>
  <c r="AA100" i="24"/>
  <c r="AB100" i="24" s="1"/>
  <c r="AH138" i="24"/>
  <c r="AI138" i="24" s="1"/>
  <c r="AA116" i="24"/>
  <c r="AB116" i="24" s="1"/>
  <c r="AH114" i="24"/>
  <c r="AI114" i="24" s="1"/>
  <c r="AH111" i="24"/>
  <c r="AI111" i="24" s="1"/>
  <c r="D173" i="28"/>
  <c r="L99" i="24"/>
  <c r="M99" i="24" s="1"/>
  <c r="AH106" i="24"/>
  <c r="AI106" i="24" s="1"/>
  <c r="T64" i="24"/>
  <c r="U64" i="24" s="1"/>
  <c r="AA114" i="24"/>
  <c r="AB114" i="24" s="1"/>
  <c r="L120" i="24"/>
  <c r="M120" i="24" s="1"/>
  <c r="AH118" i="24"/>
  <c r="AI118" i="24" s="1"/>
  <c r="L113" i="24"/>
  <c r="M113" i="24" s="1"/>
  <c r="AA123" i="24"/>
  <c r="AB123" i="24" s="1"/>
  <c r="L129" i="24"/>
  <c r="M129" i="24" s="1"/>
  <c r="L147" i="24"/>
  <c r="M147" i="24" s="1"/>
  <c r="AA121" i="24"/>
  <c r="AB121" i="24" s="1"/>
  <c r="AA99" i="24"/>
  <c r="AB99" i="24" s="1"/>
  <c r="AA102" i="24"/>
  <c r="AB102" i="24" s="1"/>
  <c r="T123" i="24"/>
  <c r="U123" i="24" s="1"/>
  <c r="AH129" i="24"/>
  <c r="AI129" i="24" s="1"/>
  <c r="AH132" i="24"/>
  <c r="AI132" i="24" s="1"/>
  <c r="F168" i="28"/>
  <c r="AA103" i="24"/>
  <c r="AB103" i="24" s="1"/>
  <c r="L124" i="24"/>
  <c r="M124" i="24" s="1"/>
  <c r="AH116" i="24"/>
  <c r="AI116" i="24" s="1"/>
  <c r="AH142" i="24"/>
  <c r="AI142" i="24" s="1"/>
  <c r="T43" i="24"/>
  <c r="U43" i="24" s="1"/>
  <c r="L102" i="24"/>
  <c r="M102" i="24" s="1"/>
  <c r="T102" i="24"/>
  <c r="U102" i="24" s="1"/>
  <c r="L137" i="24"/>
  <c r="M137" i="24" s="1"/>
  <c r="T118" i="24"/>
  <c r="U118" i="24" s="1"/>
  <c r="L132" i="24"/>
  <c r="M132" i="24" s="1"/>
  <c r="AH119" i="24"/>
  <c r="AI119" i="24" s="1"/>
  <c r="L62" i="24"/>
  <c r="M62" i="24" s="1"/>
  <c r="N62" i="24" s="1"/>
  <c r="L116" i="24"/>
  <c r="M116" i="24" s="1"/>
  <c r="D170" i="28"/>
  <c r="AH115" i="24"/>
  <c r="AI115" i="24" s="1"/>
  <c r="T116" i="24"/>
  <c r="U116" i="24" s="1"/>
  <c r="AH113" i="24"/>
  <c r="AI113" i="24" s="1"/>
  <c r="T106" i="24"/>
  <c r="U106" i="24" s="1"/>
  <c r="AH105" i="24"/>
  <c r="AI105" i="24" s="1"/>
  <c r="T54" i="24"/>
  <c r="U54" i="24" s="1"/>
  <c r="AA112" i="24"/>
  <c r="AB112" i="24" s="1"/>
  <c r="AH124" i="24"/>
  <c r="AI124" i="24" s="1"/>
  <c r="AH123" i="24"/>
  <c r="AI123" i="24" s="1"/>
  <c r="L118" i="24"/>
  <c r="M118" i="24" s="1"/>
  <c r="L150" i="24"/>
  <c r="M150" i="24" s="1"/>
  <c r="AH122" i="24"/>
  <c r="AI122" i="24" s="1"/>
  <c r="T113" i="24"/>
  <c r="U113" i="24" s="1"/>
  <c r="F176" i="28"/>
  <c r="F165" i="28"/>
  <c r="F175" i="28"/>
  <c r="T78" i="24"/>
  <c r="U78" i="24" s="1"/>
  <c r="T73" i="24"/>
  <c r="U73" i="24" s="1"/>
  <c r="D168" i="28"/>
  <c r="AA152" i="24"/>
  <c r="AB152" i="24" s="1"/>
  <c r="D177" i="28"/>
  <c r="T92" i="24"/>
  <c r="U92" i="24" s="1"/>
  <c r="AA130" i="24"/>
  <c r="AB130" i="24" s="1"/>
  <c r="AH71" i="24"/>
  <c r="AI71" i="24" s="1"/>
  <c r="G177" i="28"/>
  <c r="AH70" i="24"/>
  <c r="AI70" i="24" s="1"/>
  <c r="AH93" i="24"/>
  <c r="AI93" i="24" s="1"/>
  <c r="AH90" i="24"/>
  <c r="AI90" i="24" s="1"/>
  <c r="T56" i="24"/>
  <c r="U56" i="24" s="1"/>
  <c r="E164" i="28"/>
  <c r="AH135" i="24"/>
  <c r="AI135" i="24" s="1"/>
  <c r="T142" i="24"/>
  <c r="U142" i="24" s="1"/>
  <c r="L122" i="24"/>
  <c r="M122" i="24" s="1"/>
  <c r="AH77" i="24"/>
  <c r="AI77" i="24" s="1"/>
  <c r="L153" i="24"/>
  <c r="M153" i="24" s="1"/>
  <c r="AH75" i="24"/>
  <c r="AI75" i="24" s="1"/>
  <c r="G168" i="28"/>
  <c r="T83" i="24"/>
  <c r="U83" i="24" s="1"/>
  <c r="F173" i="28"/>
  <c r="T72" i="24"/>
  <c r="U72" i="24" s="1"/>
  <c r="AA92" i="24"/>
  <c r="AB92" i="24" s="1"/>
  <c r="L145" i="24"/>
  <c r="M145" i="24" s="1"/>
  <c r="T111" i="24"/>
  <c r="U111" i="24" s="1"/>
  <c r="L146" i="24"/>
  <c r="M146" i="24" s="1"/>
  <c r="L152" i="24"/>
  <c r="M152" i="24" s="1"/>
  <c r="T101" i="24"/>
  <c r="U101" i="24" s="1"/>
  <c r="D175" i="28"/>
  <c r="L83" i="24"/>
  <c r="M83" i="24" s="1"/>
  <c r="L106" i="24"/>
  <c r="M106" i="24" s="1"/>
  <c r="L85" i="24"/>
  <c r="M85" i="24" s="1"/>
  <c r="AH91" i="24"/>
  <c r="AI91" i="24" s="1"/>
  <c r="T69" i="24"/>
  <c r="U69" i="24" s="1"/>
  <c r="AA135" i="24"/>
  <c r="AB135" i="24" s="1"/>
  <c r="L82" i="24"/>
  <c r="M82" i="24" s="1"/>
  <c r="L108" i="24"/>
  <c r="M108" i="24" s="1"/>
  <c r="T87" i="24"/>
  <c r="U87" i="24" s="1"/>
  <c r="L71" i="24"/>
  <c r="M71" i="24" s="1"/>
  <c r="T89" i="24"/>
  <c r="U89" i="24" s="1"/>
  <c r="T52" i="24"/>
  <c r="U52" i="24" s="1"/>
  <c r="F167" i="28"/>
  <c r="T112" i="24"/>
  <c r="U112" i="24" s="1"/>
  <c r="AA52" i="24"/>
  <c r="AB52" i="24" s="1"/>
  <c r="D176" i="28"/>
  <c r="AA145" i="24"/>
  <c r="AB145" i="24" s="1"/>
  <c r="T39" i="24"/>
  <c r="U39" i="24" s="1"/>
  <c r="T55" i="24"/>
  <c r="U55" i="24" s="1"/>
  <c r="T110" i="24"/>
  <c r="U110" i="24" s="1"/>
  <c r="L134" i="24"/>
  <c r="M134" i="24" s="1"/>
  <c r="E169" i="28"/>
  <c r="T42" i="24"/>
  <c r="U42" i="24" s="1"/>
  <c r="L138" i="24"/>
  <c r="M138" i="24" s="1"/>
  <c r="E161" i="28"/>
  <c r="AA64" i="24"/>
  <c r="AB64" i="24" s="1"/>
  <c r="T47" i="24"/>
  <c r="U47" i="24" s="1"/>
  <c r="L101" i="24"/>
  <c r="M101" i="24" s="1"/>
  <c r="T139" i="24"/>
  <c r="U139" i="24" s="1"/>
  <c r="AA71" i="24"/>
  <c r="AB71" i="24" s="1"/>
  <c r="AA119" i="24"/>
  <c r="AB119" i="24" s="1"/>
  <c r="AA118" i="24"/>
  <c r="AB118" i="24" s="1"/>
  <c r="F181" i="28"/>
  <c r="AH87" i="24"/>
  <c r="AI87" i="24" s="1"/>
  <c r="T70" i="24"/>
  <c r="U70" i="24" s="1"/>
  <c r="AH86" i="24"/>
  <c r="AI86" i="24" s="1"/>
  <c r="AH89" i="24"/>
  <c r="AI89" i="24" s="1"/>
  <c r="F164" i="28"/>
  <c r="G166" i="28"/>
  <c r="AA142" i="24"/>
  <c r="AB142" i="24" s="1"/>
  <c r="AH130" i="24"/>
  <c r="AI130" i="24" s="1"/>
  <c r="L77" i="24"/>
  <c r="M77" i="24" s="1"/>
  <c r="AH101" i="24"/>
  <c r="AI101" i="24" s="1"/>
  <c r="AH94" i="24"/>
  <c r="AI94" i="24" s="1"/>
  <c r="E183" i="28"/>
  <c r="F182" i="28"/>
  <c r="F179" i="28"/>
  <c r="E172" i="28"/>
  <c r="AH53" i="24"/>
  <c r="AI53" i="24" s="1"/>
  <c r="F174" i="28"/>
  <c r="AA58" i="24"/>
  <c r="AB58" i="24" s="1"/>
  <c r="L39" i="24"/>
  <c r="M39" i="24" s="1"/>
  <c r="N39" i="24" s="1"/>
  <c r="T61" i="24"/>
  <c r="U61" i="24" s="1"/>
  <c r="T133" i="24"/>
  <c r="U133" i="24" s="1"/>
  <c r="AA104" i="24"/>
  <c r="AB104" i="24" s="1"/>
  <c r="AH143" i="24"/>
  <c r="AI143" i="24" s="1"/>
  <c r="AA54" i="24"/>
  <c r="AB54" i="24" s="1"/>
  <c r="L79" i="24"/>
  <c r="M79" i="24" s="1"/>
  <c r="T84" i="24"/>
  <c r="U84" i="24" s="1"/>
  <c r="AA141" i="24"/>
  <c r="AB141" i="24" s="1"/>
  <c r="AH64" i="24"/>
  <c r="AI64" i="24" s="1"/>
  <c r="L47" i="24"/>
  <c r="M47" i="24" s="1"/>
  <c r="N47" i="24" s="1"/>
  <c r="AH48" i="24"/>
  <c r="AI48" i="24" s="1"/>
  <c r="E180" i="28"/>
  <c r="AA62" i="24"/>
  <c r="AB62" i="24" s="1"/>
  <c r="T62" i="24"/>
  <c r="U62" i="24" s="1"/>
  <c r="T80" i="24"/>
  <c r="U80" i="24" s="1"/>
  <c r="D169" i="28"/>
  <c r="AH43" i="24"/>
  <c r="AI43" i="24" s="1"/>
  <c r="AH55" i="24"/>
  <c r="AI55" i="24" s="1"/>
  <c r="AA53" i="24"/>
  <c r="AB53" i="24" s="1"/>
  <c r="AA55" i="24"/>
  <c r="AB55" i="24" s="1"/>
  <c r="L49" i="24"/>
  <c r="M49" i="24" s="1"/>
  <c r="N49" i="24" s="1"/>
  <c r="AA48" i="24"/>
  <c r="AB48" i="24" s="1"/>
  <c r="AA143" i="24"/>
  <c r="AB143" i="24" s="1"/>
  <c r="AA107" i="24"/>
  <c r="AB107" i="24" s="1"/>
  <c r="T144" i="24"/>
  <c r="U144" i="24" s="1"/>
  <c r="T90" i="24"/>
  <c r="U90" i="24" s="1"/>
  <c r="AA75" i="24"/>
  <c r="AB75" i="24" s="1"/>
  <c r="D180" i="28"/>
  <c r="AH148" i="24"/>
  <c r="AI148" i="24" s="1"/>
  <c r="T104" i="24"/>
  <c r="U104" i="24" s="1"/>
  <c r="AH40" i="24"/>
  <c r="AI40" i="24" s="1"/>
  <c r="AA59" i="24"/>
  <c r="AB59" i="24" s="1"/>
  <c r="AA56" i="24"/>
  <c r="AB56" i="24" s="1"/>
  <c r="D171" i="28"/>
  <c r="L42" i="24"/>
  <c r="M42" i="24" s="1"/>
  <c r="N42" i="24" s="1"/>
  <c r="D179" i="28"/>
  <c r="L55" i="24"/>
  <c r="M55" i="24" s="1"/>
  <c r="N55" i="24" s="1"/>
  <c r="AA87" i="24"/>
  <c r="AB87" i="24" s="1"/>
  <c r="AA134" i="24"/>
  <c r="AB134" i="24" s="1"/>
  <c r="L110" i="24"/>
  <c r="M110" i="24" s="1"/>
  <c r="T79" i="24"/>
  <c r="U79" i="24" s="1"/>
  <c r="T76" i="24"/>
  <c r="U76" i="24" s="1"/>
  <c r="AA110" i="24"/>
  <c r="AB110" i="24" s="1"/>
  <c r="T49" i="24"/>
  <c r="U49" i="24" s="1"/>
  <c r="AH61" i="24"/>
  <c r="AI61" i="24" s="1"/>
  <c r="L54" i="24"/>
  <c r="M54" i="24" s="1"/>
  <c r="N54" i="24" s="1"/>
  <c r="D162" i="28"/>
  <c r="AA42" i="24"/>
  <c r="AB42" i="24" s="1"/>
  <c r="D158" i="28"/>
  <c r="D167" i="28"/>
  <c r="AH42" i="24"/>
  <c r="AI42" i="24" s="1"/>
  <c r="F160" i="28"/>
  <c r="L59" i="24"/>
  <c r="M59" i="24" s="1"/>
  <c r="N59" i="24" s="1"/>
  <c r="E177" i="28"/>
  <c r="L50" i="24"/>
  <c r="M50" i="24" s="1"/>
  <c r="N50" i="24" s="1"/>
  <c r="L51" i="24"/>
  <c r="M51" i="24" s="1"/>
  <c r="N51" i="24" s="1"/>
  <c r="AA44" i="24"/>
  <c r="AB44" i="24" s="1"/>
  <c r="AA144" i="24"/>
  <c r="AB144" i="24" s="1"/>
  <c r="L57" i="24"/>
  <c r="M57" i="24" s="1"/>
  <c r="N57" i="24" s="1"/>
  <c r="AA89" i="24"/>
  <c r="AB89" i="24" s="1"/>
  <c r="AA93" i="24"/>
  <c r="AB93" i="24" s="1"/>
  <c r="AA57" i="24"/>
  <c r="AB57" i="24" s="1"/>
  <c r="AH69" i="24"/>
  <c r="AI69" i="24" s="1"/>
  <c r="T105" i="24"/>
  <c r="U105" i="24" s="1"/>
  <c r="AH62" i="24"/>
  <c r="AI62" i="24" s="1"/>
  <c r="L107" i="24"/>
  <c r="M107" i="24" s="1"/>
  <c r="AH54" i="24"/>
  <c r="AI54" i="24" s="1"/>
  <c r="F158" i="28"/>
  <c r="AY33" i="20"/>
  <c r="AA47" i="24"/>
  <c r="AB47" i="24" s="1"/>
  <c r="AH46" i="24"/>
  <c r="AI46" i="24" s="1"/>
  <c r="T140" i="24"/>
  <c r="U140" i="24" s="1"/>
  <c r="AH41" i="24"/>
  <c r="AI41" i="24" s="1"/>
  <c r="AA86" i="24"/>
  <c r="AB86" i="24" s="1"/>
  <c r="AA73" i="24"/>
  <c r="AB73" i="24" s="1"/>
  <c r="L140" i="24"/>
  <c r="M140" i="24" s="1"/>
  <c r="L93" i="24"/>
  <c r="M93" i="24" s="1"/>
  <c r="L139" i="24"/>
  <c r="M139" i="24" s="1"/>
  <c r="AH49" i="24"/>
  <c r="AI49" i="24" s="1"/>
  <c r="AA84" i="24"/>
  <c r="AB84" i="24" s="1"/>
  <c r="AH139" i="24"/>
  <c r="AI139" i="24" s="1"/>
  <c r="AA74" i="24"/>
  <c r="AB74" i="24" s="1"/>
  <c r="L143" i="24"/>
  <c r="M143" i="24" s="1"/>
  <c r="T75" i="24"/>
  <c r="U75" i="24" s="1"/>
  <c r="AH79" i="24"/>
  <c r="AI79" i="24" s="1"/>
  <c r="D182" i="28"/>
  <c r="L45" i="24"/>
  <c r="M45" i="24" s="1"/>
  <c r="N45" i="24" s="1"/>
  <c r="L52" i="24"/>
  <c r="M52" i="24" s="1"/>
  <c r="N52" i="24" s="1"/>
  <c r="AH52" i="24"/>
  <c r="AI52" i="24" s="1"/>
  <c r="AH59" i="24"/>
  <c r="AI59" i="24" s="1"/>
  <c r="AA140" i="24"/>
  <c r="AB140" i="24" s="1"/>
  <c r="AA133" i="24"/>
  <c r="AB133" i="24" s="1"/>
  <c r="T51" i="24"/>
  <c r="U51" i="24" s="1"/>
  <c r="AA60" i="24"/>
  <c r="AB60" i="24" s="1"/>
  <c r="D172" i="28"/>
  <c r="L111" i="24"/>
  <c r="M111" i="24" s="1"/>
  <c r="AH39" i="24"/>
  <c r="AI39" i="24" s="1"/>
  <c r="AA101" i="24"/>
  <c r="AB101" i="24" s="1"/>
  <c r="AA132" i="24"/>
  <c r="AB132" i="24" s="1"/>
  <c r="L133" i="24"/>
  <c r="M133" i="24" s="1"/>
  <c r="T107" i="24"/>
  <c r="U107" i="24" s="1"/>
  <c r="AA63" i="24"/>
  <c r="AB63" i="24" s="1"/>
  <c r="L91" i="24"/>
  <c r="M91" i="24" s="1"/>
  <c r="L117" i="24"/>
  <c r="M117" i="24" s="1"/>
  <c r="T50" i="24"/>
  <c r="U50" i="24" s="1"/>
  <c r="L78" i="24"/>
  <c r="M78" i="24" s="1"/>
  <c r="AA80" i="24"/>
  <c r="AB80" i="24" s="1"/>
  <c r="AA117" i="24"/>
  <c r="AB117" i="24" s="1"/>
  <c r="AH50" i="24"/>
  <c r="AI50" i="24" s="1"/>
  <c r="T119" i="24"/>
  <c r="U119" i="24" s="1"/>
  <c r="AH134" i="24"/>
  <c r="AI134" i="24" s="1"/>
  <c r="AH57" i="24"/>
  <c r="AI57" i="24" s="1"/>
  <c r="L48" i="24"/>
  <c r="M48" i="24" s="1"/>
  <c r="N48" i="24" s="1"/>
  <c r="F171" i="28"/>
  <c r="D159" i="28"/>
  <c r="BA33" i="20"/>
  <c r="AH56" i="24"/>
  <c r="AI56" i="24" s="1"/>
  <c r="T60" i="24"/>
  <c r="U60" i="24" s="1"/>
  <c r="E182" i="28"/>
  <c r="AH145" i="24"/>
  <c r="AI145" i="24" s="1"/>
  <c r="L87" i="24"/>
  <c r="M87" i="24" s="1"/>
  <c r="L142" i="24"/>
  <c r="M142" i="24" s="1"/>
  <c r="L75" i="24"/>
  <c r="M75" i="24" s="1"/>
  <c r="L89" i="24"/>
  <c r="M89" i="24" s="1"/>
  <c r="AH109" i="24"/>
  <c r="AI109" i="24" s="1"/>
  <c r="AA70" i="24"/>
  <c r="AB70" i="24" s="1"/>
  <c r="G159" i="28"/>
  <c r="AA41" i="24"/>
  <c r="AB41" i="24" s="1"/>
  <c r="AA94" i="24"/>
  <c r="AB94" i="24" s="1"/>
  <c r="L154" i="24"/>
  <c r="M154" i="24" s="1"/>
  <c r="L141" i="24"/>
  <c r="M141" i="24" s="1"/>
  <c r="T86" i="24"/>
  <c r="U86" i="24" s="1"/>
  <c r="L90" i="24"/>
  <c r="M90" i="24" s="1"/>
  <c r="AA147" i="24"/>
  <c r="AB147" i="24" s="1"/>
  <c r="AA43" i="24"/>
  <c r="AB43" i="24" s="1"/>
  <c r="F180" i="28"/>
  <c r="L43" i="24"/>
  <c r="M43" i="24" s="1"/>
  <c r="N43" i="24" s="1"/>
  <c r="L64" i="24"/>
  <c r="M64" i="24" s="1"/>
  <c r="N64" i="24" s="1"/>
  <c r="G167" i="28"/>
  <c r="E171" i="28"/>
  <c r="L60" i="24"/>
  <c r="M60" i="24" s="1"/>
  <c r="N60" i="24" s="1"/>
  <c r="AH47" i="24"/>
  <c r="AI47" i="24" s="1"/>
  <c r="AA51" i="24"/>
  <c r="AB51" i="24" s="1"/>
  <c r="T146" i="24"/>
  <c r="U146" i="24" s="1"/>
  <c r="G176" i="28"/>
  <c r="AA39" i="24"/>
  <c r="AB39" i="24" s="1"/>
  <c r="T81" i="24"/>
  <c r="U81" i="24" s="1"/>
  <c r="AA153" i="24"/>
  <c r="AB153" i="24" s="1"/>
  <c r="E158" i="28"/>
  <c r="L144" i="24"/>
  <c r="M144" i="24" s="1"/>
  <c r="L105" i="24"/>
  <c r="M105" i="24" s="1"/>
  <c r="AH110" i="24"/>
  <c r="AI110" i="24" s="1"/>
  <c r="AA49" i="24"/>
  <c r="AB49" i="24" s="1"/>
  <c r="G164" i="28"/>
  <c r="T77" i="24"/>
  <c r="U77" i="24" s="1"/>
  <c r="D166" i="28"/>
  <c r="AH121" i="24"/>
  <c r="AI121" i="24" s="1"/>
  <c r="L70" i="24"/>
  <c r="M70" i="24" s="1"/>
  <c r="G169" i="28"/>
  <c r="AH76" i="24"/>
  <c r="AI76" i="24" s="1"/>
  <c r="G162" i="28"/>
  <c r="AA149" i="24"/>
  <c r="AB149" i="24" s="1"/>
  <c r="F159" i="28"/>
  <c r="AA40" i="24"/>
  <c r="AB40" i="24" s="1"/>
  <c r="AH63" i="24"/>
  <c r="AI63" i="24" s="1"/>
  <c r="L40" i="24"/>
  <c r="M40" i="24" s="1"/>
  <c r="N40" i="24" s="1"/>
  <c r="AA111" i="24"/>
  <c r="AB111" i="24" s="1"/>
  <c r="L100" i="24"/>
  <c r="M100" i="24" s="1"/>
  <c r="F183" i="28"/>
  <c r="T120" i="24"/>
  <c r="U120" i="24" s="1"/>
  <c r="AA46" i="24"/>
  <c r="AB46" i="24" s="1"/>
  <c r="L58" i="24"/>
  <c r="M58" i="24" s="1"/>
  <c r="N58" i="24" s="1"/>
  <c r="AH44" i="24"/>
  <c r="AI44" i="24" s="1"/>
  <c r="L63" i="24"/>
  <c r="M63" i="24" s="1"/>
  <c r="N63" i="24" s="1"/>
  <c r="AH140" i="24"/>
  <c r="AI140" i="24" s="1"/>
  <c r="T143" i="24"/>
  <c r="U143" i="24" s="1"/>
  <c r="T57" i="24"/>
  <c r="U57" i="24" s="1"/>
  <c r="AH78" i="24"/>
  <c r="AI78" i="24" s="1"/>
  <c r="E181" i="28"/>
  <c r="AA81" i="24"/>
  <c r="AB81" i="24" s="1"/>
  <c r="L44" i="24"/>
  <c r="M44" i="24" s="1"/>
  <c r="N44" i="24" s="1"/>
  <c r="D174" i="28"/>
  <c r="AH74" i="24"/>
  <c r="AI74" i="24" s="1"/>
  <c r="AA61" i="24"/>
  <c r="AB61" i="24" s="1"/>
  <c r="D183" i="28"/>
  <c r="AH112" i="24"/>
  <c r="AI112" i="24" s="1"/>
  <c r="T93" i="24"/>
  <c r="U93" i="24" s="1"/>
  <c r="T40" i="24"/>
  <c r="U40" i="24" s="1"/>
  <c r="G172" i="28"/>
  <c r="T46" i="24"/>
  <c r="U46" i="24" s="1"/>
  <c r="T71" i="24"/>
  <c r="U71" i="24" s="1"/>
  <c r="AA120" i="24"/>
  <c r="AB120" i="24" s="1"/>
  <c r="L46" i="24"/>
  <c r="M46" i="24" s="1"/>
  <c r="N46" i="24" s="1"/>
  <c r="AH153" i="24"/>
  <c r="AI153" i="24" s="1"/>
  <c r="BB33" i="20"/>
  <c r="T53" i="24"/>
  <c r="U53" i="24" s="1"/>
  <c r="L109" i="24"/>
  <c r="M109" i="24" s="1"/>
  <c r="AH60" i="24"/>
  <c r="AI60" i="24" s="1"/>
  <c r="AA113" i="24"/>
  <c r="AB113" i="24" s="1"/>
  <c r="AA139" i="24"/>
  <c r="AB139" i="24" s="1"/>
  <c r="AH51" i="24"/>
  <c r="AI51" i="24" s="1"/>
  <c r="T48" i="24"/>
  <c r="U48" i="24" s="1"/>
  <c r="D165" i="28"/>
  <c r="AZ33" i="20"/>
  <c r="L119" i="24"/>
  <c r="M119" i="24" s="1"/>
  <c r="L104" i="24"/>
  <c r="M104" i="24" s="1"/>
  <c r="AH144" i="24"/>
  <c r="AI144" i="24" s="1"/>
  <c r="AH117" i="24"/>
  <c r="AI117" i="24" s="1"/>
  <c r="T103" i="24"/>
  <c r="U103" i="24" s="1"/>
  <c r="AA69" i="24"/>
  <c r="AB69" i="24" s="1"/>
  <c r="AH45" i="24"/>
  <c r="AI45" i="24" s="1"/>
  <c r="L41" i="24"/>
  <c r="M41" i="24" s="1"/>
  <c r="N41" i="24" s="1"/>
  <c r="L56" i="24"/>
  <c r="M56" i="24" s="1"/>
  <c r="N56" i="24" s="1"/>
  <c r="AA45" i="24"/>
  <c r="AB45" i="24" s="1"/>
  <c r="E165" i="28"/>
  <c r="L123" i="24"/>
  <c r="M123" i="24" s="1"/>
  <c r="AH108" i="24"/>
  <c r="AI108" i="24" s="1"/>
  <c r="AA146" i="24"/>
  <c r="AB146" i="24" s="1"/>
  <c r="T59" i="24"/>
  <c r="U59" i="24" s="1"/>
  <c r="T109" i="24"/>
  <c r="U109" i="24" s="1"/>
  <c r="T58" i="24"/>
  <c r="U58" i="24" s="1"/>
  <c r="T153" i="24"/>
  <c r="U153" i="24" s="1"/>
  <c r="AA109" i="24"/>
  <c r="AB109" i="24" s="1"/>
  <c r="T138" i="24"/>
  <c r="U138" i="24" s="1"/>
  <c r="T152" i="24"/>
  <c r="U152" i="24" s="1"/>
  <c r="T63" i="24"/>
  <c r="U63" i="24" s="1"/>
  <c r="T132" i="24"/>
  <c r="U132" i="24" s="1"/>
  <c r="AH133" i="24"/>
  <c r="AI133" i="24" s="1"/>
  <c r="AH152" i="24"/>
  <c r="AI152" i="24" s="1"/>
  <c r="T85" i="24"/>
  <c r="U85" i="24" s="1"/>
  <c r="L81" i="24"/>
  <c r="M81" i="24" s="1"/>
  <c r="T41" i="24"/>
  <c r="U41" i="24" s="1"/>
  <c r="T74" i="24"/>
  <c r="U74" i="24" s="1"/>
  <c r="L94" i="24"/>
  <c r="M94" i="24" s="1"/>
  <c r="L73" i="24"/>
  <c r="M73" i="24" s="1"/>
  <c r="T141" i="24"/>
  <c r="U141" i="24" s="1"/>
  <c r="AA154" i="24"/>
  <c r="AB154" i="24" s="1"/>
  <c r="L115" i="24"/>
  <c r="M115"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H33" authorId="0" shapeId="0" xr:uid="{00000000-0006-0000-0000-000001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K33" authorId="0" shapeId="0" xr:uid="{00000000-0006-0000-0000-000002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T33" authorId="0" shapeId="0" xr:uid="{00000000-0006-0000-0000-000003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W33" authorId="0" shapeId="0" xr:uid="{00000000-0006-0000-0000-000004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AF33" authorId="0" shapeId="0" xr:uid="{00000000-0006-0000-0000-000005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AI33" authorId="0" shapeId="0" xr:uid="{00000000-0006-0000-0000-000006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AR33" authorId="0" shapeId="0" xr:uid="{00000000-0006-0000-0000-000007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AU33" authorId="0" shapeId="0" xr:uid="{00000000-0006-0000-0000-000008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BD33" authorId="0" shapeId="0" xr:uid="{00000000-0006-0000-0000-000009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BG33" authorId="0" shapeId="0" xr:uid="{00000000-0006-0000-0000-00000A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BP33" authorId="0" shapeId="0" xr:uid="{00000000-0006-0000-0000-00000B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BS33" authorId="0" shapeId="0" xr:uid="{00000000-0006-0000-0000-00000C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CB33" authorId="0" shapeId="0" xr:uid="{00000000-0006-0000-0000-00000D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CC33" authorId="0" shapeId="0" xr:uid="{00000000-0006-0000-0000-00000E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CE33" authorId="0" shapeId="0" xr:uid="{00000000-0006-0000-0000-00000F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CQ33" authorId="0" shapeId="0" xr:uid="{00000000-0006-0000-0000-000010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DB33" authorId="0" shapeId="0" xr:uid="{00000000-0006-0000-0000-000011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DM33" authorId="0" shapeId="0" xr:uid="{00000000-0006-0000-0000-000012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DX33" authorId="0" shapeId="0" xr:uid="{00000000-0006-0000-0000-000013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EI33" authorId="0" shapeId="0" xr:uid="{00000000-0006-0000-0000-000014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ET33" authorId="0" shapeId="0" xr:uid="{00000000-0006-0000-0000-000015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 ref="FH33" authorId="0" shapeId="0" xr:uid="{00000000-0006-0000-0000-000016000000}">
      <text>
        <r>
          <rPr>
            <b/>
            <sz val="8"/>
            <color indexed="81"/>
            <rFont val="Tahoma"/>
            <family val="2"/>
          </rPr>
          <t>Belzer, David B:</t>
        </r>
        <r>
          <rPr>
            <sz val="8"/>
            <color indexed="81"/>
            <rFont val="Tahoma"/>
            <family val="2"/>
          </rPr>
          <t xml:space="preserve">
Starting value for average unit size in 1985, average for houses built through 1979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 Belzer</author>
  </authors>
  <commentList>
    <comment ref="M18" authorId="0" shapeId="0" xr:uid="{00000000-0006-0000-0500-000001000000}">
      <text>
        <r>
          <rPr>
            <b/>
            <sz val="8"/>
            <color indexed="81"/>
            <rFont val="Tahoma"/>
            <family val="2"/>
          </rPr>
          <t>D. Belzer:</t>
        </r>
        <r>
          <rPr>
            <sz val="8"/>
            <color indexed="81"/>
            <rFont val="Tahoma"/>
            <family val="2"/>
          </rPr>
          <t xml:space="preserve">
Adjusted down 0.1 million from published to make total equal 107.0 million instead of 107.2 million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Staff</author>
  </authors>
  <commentList>
    <comment ref="H2" authorId="0" shapeId="0" xr:uid="{00000000-0006-0000-0900-000001000000}">
      <text>
        <r>
          <rPr>
            <b/>
            <sz val="8"/>
            <color indexed="81"/>
            <rFont val="Tahoma"/>
            <family val="2"/>
          </rPr>
          <t>Staff:</t>
        </r>
        <r>
          <rPr>
            <sz val="8"/>
            <color indexed="81"/>
            <rFont val="Tahoma"/>
            <family val="2"/>
          </rPr>
          <t xml:space="preserve">
These parameters yield a curve very similar to that estimated from the 1979-1983 surveys using Maximum Likelihood Estimation.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Staff</author>
  </authors>
  <commentList>
    <comment ref="H2" authorId="0" shapeId="0" xr:uid="{00000000-0006-0000-0A00-000001000000}">
      <text>
        <r>
          <rPr>
            <b/>
            <sz val="8"/>
            <color indexed="81"/>
            <rFont val="Tahoma"/>
            <family val="2"/>
          </rPr>
          <t>Staff:</t>
        </r>
        <r>
          <rPr>
            <sz val="8"/>
            <color indexed="81"/>
            <rFont val="Tahoma"/>
            <family val="2"/>
          </rPr>
          <t xml:space="preserve">
These parameters yield a curve very similar to that estimated from the 1979-1983 surveys using Maximum Likelihood Estimation.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Staff</author>
  </authors>
  <commentList>
    <comment ref="H2" authorId="0" shapeId="0" xr:uid="{00000000-0006-0000-0B00-000001000000}">
      <text>
        <r>
          <rPr>
            <b/>
            <sz val="8"/>
            <color indexed="81"/>
            <rFont val="Tahoma"/>
            <family val="2"/>
          </rPr>
          <t>Staff:</t>
        </r>
        <r>
          <rPr>
            <sz val="8"/>
            <color indexed="81"/>
            <rFont val="Tahoma"/>
            <family val="2"/>
          </rPr>
          <t xml:space="preserve">
These parameters yield a curve very similar to that estimated from the 1979-1983 surveys using Maximum Likelihood Estimation.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J45" authorId="0" shapeId="0" xr:uid="{AE2C5887-665C-4E15-9F04-928847C63636}">
      <text>
        <r>
          <rPr>
            <b/>
            <sz val="9"/>
            <color indexed="81"/>
            <rFont val="Tahoma"/>
            <family val="2"/>
          </rPr>
          <t>D. Belzer:</t>
        </r>
        <r>
          <rPr>
            <sz val="9"/>
            <color indexed="81"/>
            <rFont val="Tahoma"/>
            <family val="2"/>
          </rPr>
          <t xml:space="preserve">
from pivot table AHS_2015_extract.xlsx
</t>
        </r>
      </text>
    </comment>
    <comment ref="X45" authorId="0" shapeId="0" xr:uid="{89818BC5-306F-4763-BC68-E01E8826A7C9}">
      <text>
        <r>
          <rPr>
            <b/>
            <sz val="9"/>
            <color indexed="81"/>
            <rFont val="Tahoma"/>
            <family val="2"/>
          </rPr>
          <t>D. Belzer:</t>
        </r>
        <r>
          <rPr>
            <sz val="9"/>
            <color indexed="81"/>
            <rFont val="Tahoma"/>
            <family val="2"/>
          </rPr>
          <t xml:space="preserve">
from pivot table AHS_2015_extract.xlsx
</t>
        </r>
      </text>
    </comment>
    <comment ref="J47" authorId="0" shapeId="0" xr:uid="{9CD8EB99-7964-4498-9AC4-22073C9AD0C7}">
      <text>
        <r>
          <rPr>
            <b/>
            <sz val="9"/>
            <color indexed="81"/>
            <rFont val="Tahoma"/>
            <family val="2"/>
          </rPr>
          <t>D. Belzer:</t>
        </r>
        <r>
          <rPr>
            <sz val="9"/>
            <color indexed="81"/>
            <rFont val="Tahoma"/>
            <family val="2"/>
          </rPr>
          <t xml:space="preserve">
from pivot table AHS_2017_extract.xlsx
</t>
        </r>
      </text>
    </comment>
    <comment ref="X47" authorId="0" shapeId="0" xr:uid="{3782C96C-60F9-441B-842C-1A7F23CFF417}">
      <text>
        <r>
          <rPr>
            <b/>
            <sz val="9"/>
            <color indexed="81"/>
            <rFont val="Tahoma"/>
            <family val="2"/>
          </rPr>
          <t>D. Belzer:</t>
        </r>
        <r>
          <rPr>
            <sz val="9"/>
            <color indexed="81"/>
            <rFont val="Tahoma"/>
            <family val="2"/>
          </rPr>
          <t xml:space="preserve">
from pivot table AHS_2017_extract.xlsx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David</author>
    <author>Belzer, David B</author>
  </authors>
  <commentList>
    <comment ref="AI13" authorId="0" shapeId="0" xr:uid="{F76E8A12-5AF9-43D1-8C4E-89844C43820F}">
      <text>
        <r>
          <rPr>
            <b/>
            <sz val="9"/>
            <color indexed="81"/>
            <rFont val="Tahoma"/>
            <family val="2"/>
          </rPr>
          <t>David:</t>
        </r>
        <r>
          <rPr>
            <sz val="9"/>
            <color indexed="81"/>
            <rFont val="Tahoma"/>
            <family val="2"/>
          </rPr>
          <t xml:space="preserve">
Make retirements a function of new additions.</t>
        </r>
      </text>
    </comment>
    <comment ref="X41" authorId="1" shapeId="0" xr:uid="{00000000-0006-0000-0E00-000001000000}">
      <text>
        <r>
          <rPr>
            <b/>
            <sz val="8"/>
            <color indexed="81"/>
            <rFont val="Tahoma"/>
            <family val="2"/>
          </rPr>
          <t>Belzer, David B:</t>
        </r>
        <r>
          <rPr>
            <sz val="8"/>
            <color indexed="81"/>
            <rFont val="Tahoma"/>
            <family val="2"/>
          </rPr>
          <t xml:space="preserve">
from Table c-01-AH, downloaded from HUD website</t>
        </r>
      </text>
    </comment>
    <comment ref="J45" authorId="0" shapeId="0" xr:uid="{5ED42A76-8AF3-4B35-B482-0C3EBA344524}">
      <text>
        <r>
          <rPr>
            <b/>
            <sz val="9"/>
            <color indexed="81"/>
            <rFont val="Tahoma"/>
            <family val="2"/>
          </rPr>
          <t>David:</t>
        </r>
        <r>
          <rPr>
            <sz val="9"/>
            <color indexed="81"/>
            <rFont val="Tahoma"/>
            <family val="2"/>
          </rPr>
          <t xml:space="preserve">
From AHS_2015_extract.xlsx</t>
        </r>
      </text>
    </comment>
    <comment ref="X45" authorId="0" shapeId="0" xr:uid="{BEA01EBA-2A4D-4125-A87E-D50960E05BD5}">
      <text>
        <r>
          <rPr>
            <b/>
            <sz val="9"/>
            <color indexed="81"/>
            <rFont val="Tahoma"/>
            <family val="2"/>
          </rPr>
          <t>D. Belzer 
From AHS_2015_extract</t>
        </r>
        <r>
          <rPr>
            <sz val="9"/>
            <color indexed="81"/>
            <rFont val="Tahoma"/>
            <family val="2"/>
          </rPr>
          <t xml:space="preserve">
</t>
        </r>
      </text>
    </comment>
    <comment ref="J47" authorId="0" shapeId="0" xr:uid="{F27C3626-C0C7-4D24-B326-DDA58C3938EC}">
      <text>
        <r>
          <rPr>
            <b/>
            <sz val="9"/>
            <color indexed="81"/>
            <rFont val="Tahoma"/>
            <family val="2"/>
          </rPr>
          <t>David:</t>
        </r>
        <r>
          <rPr>
            <sz val="9"/>
            <color indexed="81"/>
            <rFont val="Tahoma"/>
            <family val="2"/>
          </rPr>
          <t xml:space="preserve">
From AHS_2017_extract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W52" authorId="0" shapeId="0" xr:uid="{2E7C64EE-E55B-4EFA-B91E-6BE17AA16969}">
      <text>
        <r>
          <rPr>
            <b/>
            <sz val="9"/>
            <color indexed="81"/>
            <rFont val="Tahoma"/>
            <family val="2"/>
          </rPr>
          <t>David:</t>
        </r>
        <r>
          <rPr>
            <sz val="9"/>
            <color indexed="81"/>
            <rFont val="Tahoma"/>
            <family val="2"/>
          </rPr>
          <t xml:space="preserve">
This change is used to update the average national size for years after 2011</t>
        </r>
      </text>
    </comment>
  </commentList>
</comments>
</file>

<file path=xl/sharedStrings.xml><?xml version="1.0" encoding="utf-8"?>
<sst xmlns="http://schemas.openxmlformats.org/spreadsheetml/2006/main" count="8390" uniqueCount="811">
  <si>
    <t>&lt;1940</t>
  </si>
  <si>
    <t>1940-49</t>
  </si>
  <si>
    <t>1950-59</t>
  </si>
  <si>
    <t>1960-1969</t>
  </si>
  <si>
    <t>1970-1979</t>
  </si>
  <si>
    <t>1980-1989</t>
  </si>
  <si>
    <t>1990-1999</t>
  </si>
  <si>
    <t>2000 &amp; later</t>
  </si>
  <si>
    <t>Average Size</t>
  </si>
  <si>
    <t xml:space="preserve"> SF,MH</t>
  </si>
  <si>
    <t xml:space="preserve"> SF-detach</t>
  </si>
  <si>
    <t xml:space="preserve"> SF-attach</t>
  </si>
  <si>
    <t xml:space="preserve"> Multi-Fam</t>
  </si>
  <si>
    <t xml:space="preserve"> Man. Home</t>
  </si>
  <si>
    <t xml:space="preserve">   All Units</t>
  </si>
  <si>
    <t xml:space="preserve">Number of Units </t>
  </si>
  <si>
    <t>Number of Observations (with size information)</t>
  </si>
  <si>
    <t>Total Square Feet (billions)</t>
  </si>
  <si>
    <t>National</t>
  </si>
  <si>
    <t>All Vintages</t>
  </si>
  <si>
    <t>Northeast</t>
  </si>
  <si>
    <t>Midwest</t>
  </si>
  <si>
    <t>South</t>
  </si>
  <si>
    <t>West</t>
  </si>
  <si>
    <t>Occupied Units</t>
  </si>
  <si>
    <t xml:space="preserve"> (Wgt90Geo)</t>
  </si>
  <si>
    <t xml:space="preserve"> </t>
  </si>
  <si>
    <t>Single Family</t>
  </si>
  <si>
    <t>thru 1989</t>
  </si>
  <si>
    <t>Actual</t>
  </si>
  <si>
    <t>Predicted</t>
  </si>
  <si>
    <t>thru 1979</t>
  </si>
  <si>
    <t>Multi-Family</t>
  </si>
  <si>
    <t>Manufactured Homes</t>
  </si>
  <si>
    <t>Adjust 2005 and later for 1970-79 vintage'</t>
  </si>
  <si>
    <t>decay rate</t>
  </si>
  <si>
    <t>With PWT</t>
  </si>
  <si>
    <t>PWT</t>
  </si>
  <si>
    <t>U.S.</t>
  </si>
  <si>
    <t>2009/1997</t>
  </si>
  <si>
    <t>thru 1999</t>
  </si>
  <si>
    <t xml:space="preserve">Actual </t>
  </si>
  <si>
    <t xml:space="preserve">Stock </t>
  </si>
  <si>
    <t>Stock</t>
  </si>
  <si>
    <t>Bldg/Model --&gt;</t>
  </si>
  <si>
    <t>Logistic Curve Parameters</t>
  </si>
  <si>
    <t xml:space="preserve">  Total (1)</t>
  </si>
  <si>
    <t xml:space="preserve"> Merc/Serv(2)</t>
  </si>
  <si>
    <t xml:space="preserve"> Education (3)</t>
  </si>
  <si>
    <t xml:space="preserve"> M.L. Est (4)</t>
  </si>
  <si>
    <t>User Test</t>
  </si>
  <si>
    <t>Gamma</t>
  </si>
  <si>
    <t>Lifetime</t>
  </si>
  <si>
    <t>Dodge Additions Bridged to CBECS Building Definitions, Million Sq. Ft. (after 1920)</t>
  </si>
  <si>
    <t xml:space="preserve">  Age</t>
  </si>
  <si>
    <t>Remaining</t>
  </si>
  <si>
    <t xml:space="preserve"> Inflate_Fac</t>
  </si>
  <si>
    <t xml:space="preserve">  Year </t>
  </si>
  <si>
    <t xml:space="preserve">  Office</t>
  </si>
  <si>
    <t xml:space="preserve">  Retail</t>
  </si>
  <si>
    <t>Food Sale</t>
  </si>
  <si>
    <t>Food Serv</t>
  </si>
  <si>
    <t>Warehouse</t>
  </si>
  <si>
    <t xml:space="preserve"> Hotel</t>
  </si>
  <si>
    <t>Education</t>
  </si>
  <si>
    <t xml:space="preserve"> Health</t>
  </si>
  <si>
    <t>Pub. Assem</t>
  </si>
  <si>
    <t>Religious</t>
  </si>
  <si>
    <t xml:space="preserve">  Misc</t>
  </si>
  <si>
    <t xml:space="preserve"> Vacant</t>
  </si>
  <si>
    <t>Choose</t>
  </si>
  <si>
    <t>Bldg/Model</t>
  </si>
  <si>
    <t xml:space="preserve">   Year</t>
  </si>
  <si>
    <t/>
  </si>
  <si>
    <t>% Surviving</t>
  </si>
  <si>
    <t>Ave Yr --&gt;</t>
  </si>
  <si>
    <t>Parameters</t>
  </si>
  <si>
    <t>Alpha</t>
  </si>
  <si>
    <t>Beta</t>
  </si>
  <si>
    <t xml:space="preserve"> Diff</t>
  </si>
  <si>
    <t>SSRD</t>
  </si>
  <si>
    <t>Scalar</t>
  </si>
  <si>
    <t>Data Section for Estimating Survival Curve</t>
  </si>
  <si>
    <t>fr. Regression</t>
  </si>
  <si>
    <t>Retirements</t>
  </si>
  <si>
    <t>New Privately Owned Housing Units Completed</t>
  </si>
  <si>
    <t>Annual Data</t>
  </si>
  <si>
    <t>(Components may not add to total because of rounding.  Number of housing units in thousands.)</t>
  </si>
  <si>
    <t>In structures with--</t>
  </si>
  <si>
    <t>Region</t>
  </si>
  <si>
    <t>Year</t>
  </si>
  <si>
    <t>Total</t>
  </si>
  <si>
    <t>1 unit</t>
  </si>
  <si>
    <t>2 to 4</t>
  </si>
  <si>
    <t>5 units</t>
  </si>
  <si>
    <t>units</t>
  </si>
  <si>
    <t>or more</t>
  </si>
  <si>
    <t>(NA)</t>
  </si>
  <si>
    <t>NA Not available.</t>
  </si>
  <si>
    <t xml:space="preserve">Note: Single-family estimates prior to 1999 include an upward adjustment of 3.3 percent made to account for </t>
  </si>
  <si>
    <t>structures completed in permit-issuing areas without permit authorization.</t>
  </si>
  <si>
    <t xml:space="preserve">New </t>
  </si>
  <si>
    <t>Net Chg.</t>
  </si>
  <si>
    <t>Benchmark</t>
  </si>
  <si>
    <t>2000-2009</t>
  </si>
  <si>
    <t>Calculated</t>
  </si>
  <si>
    <t>Published</t>
  </si>
  <si>
    <t>Households</t>
  </si>
  <si>
    <t xml:space="preserve">For rent </t>
  </si>
  <si>
    <t>or sale</t>
  </si>
  <si>
    <t>SF</t>
  </si>
  <si>
    <t>Total Stk</t>
  </si>
  <si>
    <t>Pub+Vac</t>
  </si>
  <si>
    <t>Diff</t>
  </si>
  <si>
    <r>
      <t>Median and Average Square Feet of Floor Area in New Single-Family Houses Completed by Location</t>
    </r>
    <r>
      <rPr>
        <b/>
        <vertAlign val="superscript"/>
        <sz val="12"/>
        <rFont val="Arial"/>
        <family val="2"/>
      </rPr>
      <t>1</t>
    </r>
  </si>
  <si>
    <t>(Medians and averages computed from unrounded figures)</t>
  </si>
  <si>
    <t>Median square feet</t>
  </si>
  <si>
    <t>Average square feet</t>
  </si>
  <si>
    <t xml:space="preserve">               Region</t>
  </si>
  <si>
    <t>United</t>
  </si>
  <si>
    <t>Inside</t>
  </si>
  <si>
    <t>Outside</t>
  </si>
  <si>
    <t>North-</t>
  </si>
  <si>
    <t>States</t>
  </si>
  <si>
    <t>MSAs</t>
  </si>
  <si>
    <t>east</t>
  </si>
  <si>
    <t>RSE</t>
  </si>
  <si>
    <t>A  Represents an RSE that is greater than or equal to 100 or could not be computed.</t>
  </si>
  <si>
    <t>NA  Not available.  RSE  Relative Standard Error.</t>
  </si>
  <si>
    <t>S  Withheld because estimate did not meet publication standards on the basis of response rate,</t>
  </si>
  <si>
    <t>associated standard error, or a consistency review.</t>
  </si>
  <si>
    <r>
      <t>1</t>
    </r>
    <r>
      <rPr>
        <sz val="10"/>
        <rFont val="Arial"/>
        <family val="2"/>
      </rPr>
      <t>Includes houses built for rent (not shown separately).</t>
    </r>
  </si>
  <si>
    <t>Diff^</t>
  </si>
  <si>
    <t>ratio</t>
  </si>
  <si>
    <t>Total FS</t>
  </si>
  <si>
    <t>Pred-Occ</t>
  </si>
  <si>
    <t>Energy Information Administration</t>
  </si>
  <si>
    <t>Page Last Revised: July 2009</t>
  </si>
  <si>
    <t>Table 4.  Total Square Feet of US Housing Units by Census Region and Type of Housing Unit, 1980-2005</t>
  </si>
  <si>
    <t xml:space="preserve"> (Billions of Square Feet)</t>
  </si>
  <si>
    <t>Type of Housing Unit</t>
  </si>
  <si>
    <t>and Census Region</t>
  </si>
  <si>
    <t>U.S. Total</t>
  </si>
  <si>
    <t>Mobile Home</t>
  </si>
  <si>
    <t>Single-Family Detached</t>
  </si>
  <si>
    <t>Single-Family Attached</t>
  </si>
  <si>
    <t>Apartments in Buildings with  2 to 4 Units</t>
  </si>
  <si>
    <t>Apartments in Buildings with  5 or More Units</t>
  </si>
  <si>
    <t>Total Northeast</t>
  </si>
  <si>
    <t>Total Midwest</t>
  </si>
  <si>
    <t>Total South</t>
  </si>
  <si>
    <t>Total West</t>
  </si>
  <si>
    <t xml:space="preserve">Note: In the 1997 RECS the floor area of the housing unit was not measured. The heated floorspace was estimated using regression analysis.  </t>
  </si>
  <si>
    <t>Except for 1997, estimates include all the floor area of the housing unit that was enclosed from the weather.</t>
  </si>
  <si>
    <t>Sources: Energy Information Administration, Residential Energy Consumption Surveys 1980, 1981, 1982, 1984, 1987, 1990, 1993, 1997, 2001, 2005.</t>
  </si>
  <si>
    <t>AHS_based</t>
  </si>
  <si>
    <t>RECS</t>
  </si>
  <si>
    <t>Table 2.  Number of U.S. Housing Units by Census Region and Type of Housing Unit, 1978-2005 (Millions of Households)</t>
  </si>
  <si>
    <t>(Millions of Households)</t>
  </si>
  <si>
    <t>Sources: Energy Information Administration, Residential Energy Consumption Surveys, 1978, 1979, 1980, 1981, 1982, 1984, 1987, 1990, 1993, 1997, 2001, and 2005.</t>
  </si>
  <si>
    <t>Table HC9.1  Household Demographics of U.S. Homes, By Housing Unit Type, 2009</t>
  </si>
  <si>
    <t xml:space="preserve">                         Million Housing Units, Preliminary</t>
  </si>
  <si>
    <t>Housing Unit Type</t>
  </si>
  <si>
    <t>Single-Family Units</t>
  </si>
  <si>
    <t>Apartments in 
Buildings With</t>
  </si>
  <si>
    <r>
      <t>Total
U.S.</t>
    </r>
    <r>
      <rPr>
        <vertAlign val="superscript"/>
        <sz val="10"/>
        <rFont val="Arial"/>
        <family val="2"/>
      </rPr>
      <t>1</t>
    </r>
    <r>
      <rPr>
        <b/>
        <sz val="8"/>
        <rFont val="Arial"/>
        <family val="2"/>
      </rPr>
      <t xml:space="preserve"> (millions)</t>
    </r>
  </si>
  <si>
    <t xml:space="preserve">
Detached</t>
  </si>
  <si>
    <t xml:space="preserve">
Attached</t>
  </si>
  <si>
    <t xml:space="preserve">
2 to 4 Units</t>
  </si>
  <si>
    <t>5 or 
More Units</t>
  </si>
  <si>
    <t>Mobile Homes</t>
  </si>
  <si>
    <t>Household Demographics</t>
  </si>
  <si>
    <t>Total Homes</t>
  </si>
  <si>
    <t>Number of Household Members</t>
  </si>
  <si>
    <t>1 Person</t>
  </si>
  <si>
    <t>2 Persons</t>
  </si>
  <si>
    <t>3 Persons</t>
  </si>
  <si>
    <t>4 Persons</t>
  </si>
  <si>
    <t>5 Persons</t>
  </si>
  <si>
    <t>6 or More Persons</t>
  </si>
  <si>
    <t>2009 Annual Household Income</t>
  </si>
  <si>
    <t>Less than $20,000</t>
  </si>
  <si>
    <t>$20,000 to $39,999</t>
  </si>
  <si>
    <t>$40,000 to $59,000</t>
  </si>
  <si>
    <t>$60,000 to $79,999</t>
  </si>
  <si>
    <t>$80,000 to $99,999</t>
  </si>
  <si>
    <t>$100,000 to $119,999</t>
  </si>
  <si>
    <t>Q</t>
  </si>
  <si>
    <t>$120,000 or More</t>
  </si>
  <si>
    <r>
      <t>Income Relative to Poverty Line</t>
    </r>
    <r>
      <rPr>
        <vertAlign val="superscript"/>
        <sz val="10"/>
        <rFont val="Arial"/>
        <family val="2"/>
      </rPr>
      <t>2</t>
    </r>
  </si>
  <si>
    <t>Below 100 Percent</t>
  </si>
  <si>
    <t>100 to 150 Percent</t>
  </si>
  <si>
    <t>Above 150 Percent</t>
  </si>
  <si>
    <r>
      <t>Ownership of Housing Unit</t>
    </r>
    <r>
      <rPr>
        <vertAlign val="superscript"/>
        <sz val="10"/>
        <rFont val="Arial"/>
        <family val="2"/>
      </rPr>
      <t>3</t>
    </r>
  </si>
  <si>
    <t>Owned</t>
  </si>
  <si>
    <t>Rented</t>
  </si>
  <si>
    <t>Payment Method for Energy Bills</t>
  </si>
  <si>
    <t>All Paid by Household</t>
  </si>
  <si>
    <t>Some Paid, Some in Rent</t>
  </si>
  <si>
    <t>All Included in Rent</t>
  </si>
  <si>
    <t>Other Method</t>
  </si>
  <si>
    <t>Received Housing Assistance</t>
  </si>
  <si>
    <t>Yes, Housing Unit in Public Housing Authority</t>
  </si>
  <si>
    <t>Yes, Received Rental Assistance</t>
  </si>
  <si>
    <t>No</t>
  </si>
  <si>
    <t>Received Food Assistance</t>
  </si>
  <si>
    <t>Yes</t>
  </si>
  <si>
    <t>Children Under Age 5 in Household</t>
  </si>
  <si>
    <t>Children Age 5 to 16 in Household</t>
  </si>
  <si>
    <t>Persons Age 17 to 64 in Household</t>
  </si>
  <si>
    <t>Persons Age 65 or Older in Household</t>
  </si>
  <si>
    <r>
      <t>Householder Characteristics</t>
    </r>
    <r>
      <rPr>
        <vertAlign val="superscript"/>
        <sz val="10"/>
        <rFont val="Arial"/>
        <family val="2"/>
      </rPr>
      <t>4</t>
    </r>
  </si>
  <si>
    <t>Age of Householder</t>
  </si>
  <si>
    <t>Under 25 Years</t>
  </si>
  <si>
    <t>25 to 34 Years</t>
  </si>
  <si>
    <t>35 to 44 Years</t>
  </si>
  <si>
    <t>45 to 54 Years</t>
  </si>
  <si>
    <t>55 to 64 Years</t>
  </si>
  <si>
    <t>65 to 74 Years</t>
  </si>
  <si>
    <t>75 Years or More</t>
  </si>
  <si>
    <t>Ethnicity of Householder</t>
  </si>
  <si>
    <t>Hispanic or Latino</t>
  </si>
  <si>
    <t>Not Hispanic or Latino</t>
  </si>
  <si>
    <r>
      <t>Race of Householder</t>
    </r>
    <r>
      <rPr>
        <vertAlign val="superscript"/>
        <sz val="10"/>
        <rFont val="Arial"/>
        <family val="2"/>
      </rPr>
      <t>5</t>
    </r>
  </si>
  <si>
    <t>White</t>
  </si>
  <si>
    <t>Hispanic</t>
  </si>
  <si>
    <t>Non-Hispanic</t>
  </si>
  <si>
    <t>Black or African American</t>
  </si>
  <si>
    <t>Asian</t>
  </si>
  <si>
    <t>American Indian or Alaska Native</t>
  </si>
  <si>
    <t>Native Hawaiian or Other Pacific Islander</t>
  </si>
  <si>
    <t>Other</t>
  </si>
  <si>
    <t>More Than One Race</t>
  </si>
  <si>
    <t>At Home Behavior</t>
  </si>
  <si>
    <t>Home Used for Business</t>
  </si>
  <si>
    <t>Someone Home All Day</t>
  </si>
  <si>
    <t>Telework Days Per Month by All</t>
  </si>
  <si>
    <t>Household Members</t>
  </si>
  <si>
    <t>0</t>
  </si>
  <si>
    <t>1 to 5</t>
  </si>
  <si>
    <t>6 to 10</t>
  </si>
  <si>
    <t>More than 10</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</si>
  <si>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To determine the number of households below the poverty line, the annual household income and number of household members were compared to the 2009 Poverty Guidelines for families published by the U.S. Department of Health and Human Services.
     </t>
    </r>
    <r>
      <rPr>
        <vertAlign val="superscript"/>
        <sz val="10"/>
        <rFont val="Arial"/>
        <family val="2"/>
      </rPr>
      <t>3</t>
    </r>
    <r>
      <rPr>
        <sz val="8"/>
        <rFont val="Arial"/>
        <family val="2"/>
      </rPr>
      <t xml:space="preserve">Rented includes households that occupy their primary housing unit without payment of rent.
     </t>
    </r>
    <r>
      <rPr>
        <vertAlign val="superscript"/>
        <sz val="10"/>
        <rFont val="Arial"/>
        <family val="2"/>
      </rPr>
      <t>4</t>
    </r>
    <r>
      <rPr>
        <sz val="8"/>
        <rFont val="Arial"/>
        <family val="2"/>
      </rPr>
      <t xml:space="preserve">A householder is a person in whose name the home is owned or rented.
     </t>
    </r>
    <r>
      <rPr>
        <vertAlign val="superscript"/>
        <sz val="10"/>
        <rFont val="Arial"/>
        <family val="2"/>
      </rPr>
      <t>5</t>
    </r>
    <r>
      <rPr>
        <sz val="8"/>
        <rFont val="Arial"/>
        <family val="2"/>
      </rPr>
      <t>Respondents were permitted to select more than one racial category to describe the householder. These householders are only included as More Than One Race.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Energy Information Administration, Office of Energy Consumption and Efficiency Statistics, Forms EIA-457 A and C of the 2009 Residential Energy Consumption Survey.</t>
    </r>
  </si>
  <si>
    <t>Oth Vac</t>
  </si>
  <si>
    <t>Pub Total</t>
  </si>
  <si>
    <t>total Vacant</t>
  </si>
  <si>
    <t>dep rate</t>
  </si>
  <si>
    <t>Occupied</t>
  </si>
  <si>
    <t>Saved model</t>
  </si>
  <si>
    <t>Total SF</t>
  </si>
  <si>
    <t xml:space="preserve"> ave size</t>
  </si>
  <si>
    <t>AHS</t>
  </si>
  <si>
    <t>AHS/CNH</t>
  </si>
  <si>
    <t>=cf8 in cell fv5</t>
  </si>
  <si>
    <t>Single Fam</t>
  </si>
  <si>
    <t>\</t>
  </si>
  <si>
    <t>Calc MF</t>
  </si>
  <si>
    <t>All</t>
  </si>
  <si>
    <t>Expon decay</t>
  </si>
  <si>
    <t>Multi-family</t>
  </si>
  <si>
    <t xml:space="preserve">SF </t>
  </si>
  <si>
    <t>MF</t>
  </si>
  <si>
    <t>MF-total</t>
  </si>
  <si>
    <t>&gt;=5</t>
  </si>
  <si>
    <t>2-4</t>
  </si>
  <si>
    <t>Predicted_2</t>
  </si>
  <si>
    <t>Man. Home</t>
  </si>
  <si>
    <t>wgt = 0</t>
  </si>
  <si>
    <t>Pred Retire.</t>
  </si>
  <si>
    <t>Placements of New Manufactured Homes by Region and Size of Home</t>
  </si>
  <si>
    <t>(Thousands of Units)</t>
  </si>
  <si>
    <t>United States</t>
  </si>
  <si>
    <r>
      <t>Total</t>
    </r>
    <r>
      <rPr>
        <b/>
        <vertAlign val="superscript"/>
        <sz val="11"/>
        <rFont val="Arial"/>
        <family val="2"/>
      </rPr>
      <t>(1)</t>
    </r>
  </si>
  <si>
    <t xml:space="preserve">Single </t>
  </si>
  <si>
    <t>Double</t>
  </si>
  <si>
    <t>Monthly Data: Not Seasonally Adjusted</t>
  </si>
  <si>
    <t xml:space="preserve">January  </t>
  </si>
  <si>
    <t>( S )</t>
  </si>
  <si>
    <t xml:space="preserve">February </t>
  </si>
  <si>
    <t xml:space="preserve">March      </t>
  </si>
  <si>
    <t xml:space="preserve">April   </t>
  </si>
  <si>
    <t xml:space="preserve">May      </t>
  </si>
  <si>
    <t>June</t>
  </si>
  <si>
    <t>July</t>
  </si>
  <si>
    <t>August</t>
  </si>
  <si>
    <t xml:space="preserve">September </t>
  </si>
  <si>
    <t xml:space="preserve">October </t>
  </si>
  <si>
    <t xml:space="preserve">November  </t>
  </si>
  <si>
    <t xml:space="preserve">December </t>
  </si>
  <si>
    <t>January</t>
  </si>
  <si>
    <t>February</t>
  </si>
  <si>
    <t>March</t>
  </si>
  <si>
    <t>April</t>
  </si>
  <si>
    <t>May</t>
  </si>
  <si>
    <t>September</t>
  </si>
  <si>
    <t>October</t>
  </si>
  <si>
    <t>November</t>
  </si>
  <si>
    <t>December</t>
  </si>
  <si>
    <t xml:space="preserve">January </t>
  </si>
  <si>
    <t xml:space="preserve">March </t>
  </si>
  <si>
    <t xml:space="preserve">May </t>
  </si>
  <si>
    <t>June ( r )</t>
  </si>
  <si>
    <t>July ( r )</t>
  </si>
  <si>
    <t>August ( p )</t>
  </si>
  <si>
    <t>Monthly Data: Seasonally Adjusted Annual Rate</t>
  </si>
  <si>
    <t>(X)</t>
  </si>
  <si>
    <t xml:space="preserve">February   </t>
  </si>
  <si>
    <t xml:space="preserve">April      </t>
  </si>
  <si>
    <t xml:space="preserve">May  </t>
  </si>
  <si>
    <t xml:space="preserve">June </t>
  </si>
  <si>
    <t xml:space="preserve">August  </t>
  </si>
  <si>
    <t xml:space="preserve">September  </t>
  </si>
  <si>
    <t xml:space="preserve">November </t>
  </si>
  <si>
    <t>(S)</t>
  </si>
  <si>
    <t xml:space="preserve">(1)  Includes manufactured homes with more than two sections.      </t>
  </si>
  <si>
    <t>( p )  Preliminary</t>
  </si>
  <si>
    <t>( r )  Revised</t>
  </si>
  <si>
    <t>(S)  Suppressed to avoid disclosing data for individual dealers; data are included in higher level estimates.</t>
  </si>
  <si>
    <t>(X)  Not applicable</t>
  </si>
  <si>
    <t>Note: Components may not add to totals because of rounding.</t>
  </si>
  <si>
    <r>
      <t>Source:</t>
    </r>
    <r>
      <rPr>
        <sz val="11"/>
        <rFont val="Arial"/>
        <family val="2"/>
      </rPr>
      <t xml:space="preserve">  These data are produced by the U.S. Commerce Department's Census Bureau from a  survey sponsored by the U.S. Department of</t>
    </r>
  </si>
  <si>
    <t xml:space="preserve">                    Housing and Urban Development.</t>
  </si>
  <si>
    <t>All Stock</t>
  </si>
  <si>
    <t>Ann. % x 1000</t>
  </si>
  <si>
    <t>Current Indicators</t>
  </si>
  <si>
    <t>2009/2005</t>
  </si>
  <si>
    <t>Ratio</t>
  </si>
  <si>
    <t>All vintages</t>
  </si>
  <si>
    <t>NE</t>
  </si>
  <si>
    <t>MW</t>
  </si>
  <si>
    <t>S</t>
  </si>
  <si>
    <t>W</t>
  </si>
  <si>
    <t xml:space="preserve">Predicted </t>
  </si>
  <si>
    <t>SF, MH</t>
  </si>
  <si>
    <t>SF-detach</t>
  </si>
  <si>
    <t>SF-attach</t>
  </si>
  <si>
    <t>Multi-Fam</t>
  </si>
  <si>
    <t>Man Home</t>
  </si>
  <si>
    <t>All Units</t>
  </si>
  <si>
    <t>SF -total</t>
  </si>
  <si>
    <t xml:space="preserve">  National</t>
  </si>
  <si>
    <t xml:space="preserve">   NE</t>
  </si>
  <si>
    <t xml:space="preserve">   MW</t>
  </si>
  <si>
    <t xml:space="preserve">   S</t>
  </si>
  <si>
    <t xml:space="preserve">   W</t>
  </si>
  <si>
    <t>Pub. National</t>
  </si>
  <si>
    <t xml:space="preserve">Ratio </t>
  </si>
  <si>
    <t xml:space="preserve">Scaled to published national </t>
  </si>
  <si>
    <t>from AHS_1987_summary.xlsm</t>
  </si>
  <si>
    <t>from AHS_1985_summary.xlsm</t>
  </si>
  <si>
    <t># of HH</t>
  </si>
  <si>
    <t xml:space="preserve"> Shr Sum</t>
  </si>
  <si>
    <t>Model parameters</t>
  </si>
  <si>
    <t>for stock</t>
  </si>
  <si>
    <t>Regional Shares of Units</t>
  </si>
  <si>
    <t>Number of MF</t>
  </si>
  <si>
    <t xml:space="preserve">    SF</t>
  </si>
  <si>
    <t xml:space="preserve">   MF</t>
  </si>
  <si>
    <t xml:space="preserve">   MH</t>
  </si>
  <si>
    <t>Unit Size</t>
  </si>
  <si>
    <t>MH</t>
  </si>
  <si>
    <t>US. Total - Initial Sum of Regions</t>
  </si>
  <si>
    <t>Shares by type</t>
  </si>
  <si>
    <t xml:space="preserve">  Total</t>
  </si>
  <si>
    <t>Regional Estimates</t>
  </si>
  <si>
    <t>Ratios to National Average Size</t>
  </si>
  <si>
    <t xml:space="preserve">  RECS</t>
  </si>
  <si>
    <t xml:space="preserve">  AHS</t>
  </si>
  <si>
    <t xml:space="preserve"> Predicted</t>
  </si>
  <si>
    <t>Manufactured Home</t>
  </si>
  <si>
    <t>Billion Square Feet</t>
  </si>
  <si>
    <t xml:space="preserve">  AHS-based</t>
  </si>
  <si>
    <t xml:space="preserve">  RECS-based</t>
  </si>
  <si>
    <t xml:space="preserve"> NE</t>
  </si>
  <si>
    <t xml:space="preserve"> MW</t>
  </si>
  <si>
    <t xml:space="preserve">  S</t>
  </si>
  <si>
    <t xml:space="preserve"> # of units</t>
  </si>
  <si>
    <t>Residential Data Derived from Residential Energy Consumption Surveys</t>
  </si>
  <si>
    <t xml:space="preserve">  (Data in this worksheet are taken from EIA website that contains various spreadsheets with historical RECS data, see source notes below)</t>
  </si>
  <si>
    <t>Number of Housing Units (Millions)</t>
  </si>
  <si>
    <t xml:space="preserve"> Rgn. Sum</t>
  </si>
  <si>
    <t xml:space="preserve"> National</t>
  </si>
  <si>
    <t>Single Family - Detached</t>
  </si>
  <si>
    <t>Single Family - Attached</t>
  </si>
  <si>
    <t>Mobile</t>
  </si>
  <si>
    <t>Multi-Family - 2-4</t>
  </si>
  <si>
    <t>Multi-Family &gt;4</t>
  </si>
  <si>
    <t xml:space="preserve"> U.S. Total</t>
  </si>
  <si>
    <r>
      <t>Source</t>
    </r>
    <r>
      <rPr>
        <sz val="10"/>
        <rFont val="Arial"/>
        <family val="2"/>
      </rPr>
      <t>:  http://www.eia.doe.gov/emeu/efficiency/data_tables.htm, spreadsheet recs_2.xls</t>
    </r>
  </si>
  <si>
    <t>Total Square Feet (Billions)</t>
  </si>
  <si>
    <r>
      <t>1978</t>
    </r>
    <r>
      <rPr>
        <b/>
        <vertAlign val="superscript"/>
        <sz val="10"/>
        <rFont val="Arial"/>
        <family val="2"/>
      </rPr>
      <t>(1)</t>
    </r>
  </si>
  <si>
    <r>
      <t>1979</t>
    </r>
    <r>
      <rPr>
        <b/>
        <vertAlign val="superscript"/>
        <sz val="10"/>
        <rFont val="Arial"/>
        <family val="2"/>
      </rPr>
      <t>(1)</t>
    </r>
  </si>
  <si>
    <r>
      <t>1997</t>
    </r>
    <r>
      <rPr>
        <b/>
        <vertAlign val="superscript"/>
        <sz val="10"/>
        <rFont val="Arial"/>
        <family val="2"/>
      </rPr>
      <t>(2)</t>
    </r>
  </si>
  <si>
    <t>Source:  http://www.eia.doe.gov/emeu/efficiency/data_tables.htm, spreadsheet recs_2.xls</t>
  </si>
  <si>
    <t>Notes:  (1) Data for 1978 and 1979 not available, values based upon unit sizes from 1980, see next table below.</t>
  </si>
  <si>
    <t xml:space="preserve">            (2) Data for 1997 based upon multiplying unit size times number of units, see next table below</t>
  </si>
  <si>
    <t>Square Feet Per Unit</t>
  </si>
  <si>
    <t>Site Energy Consumption (Trillion Btu)</t>
  </si>
  <si>
    <t>Rgn Sum</t>
  </si>
  <si>
    <t>Primary Energy Consumption (Trillion Btu)</t>
  </si>
  <si>
    <t>Source:  http://ww.eia.doe.gov/emeu/efficiency/spreeadsheets/recs_1c.xls</t>
  </si>
  <si>
    <t>Electricity Consumption (Trillion Btu)</t>
  </si>
  <si>
    <t xml:space="preserve">Conversion  </t>
  </si>
  <si>
    <t xml:space="preserve">  Factor</t>
  </si>
  <si>
    <t>Adj Factor</t>
  </si>
  <si>
    <t>Fuel Consumption (Trillion Btu)</t>
  </si>
  <si>
    <t>Energy Use per Sq. Ft.</t>
  </si>
  <si>
    <t>Site Energy per Household</t>
  </si>
  <si>
    <t>Electricity</t>
  </si>
  <si>
    <t>Fuel Consumption</t>
  </si>
  <si>
    <t xml:space="preserve">West </t>
  </si>
  <si>
    <t>Intensities</t>
  </si>
  <si>
    <t>Normalize</t>
  </si>
  <si>
    <t>Adjusted</t>
  </si>
  <si>
    <t>Floorspace</t>
  </si>
  <si>
    <t>Primary (Fuels)</t>
  </si>
  <si>
    <t xml:space="preserve"> Current Indicators -2011</t>
  </si>
  <si>
    <t>SF Occupied</t>
  </si>
  <si>
    <t xml:space="preserve">    Model Parameters</t>
  </si>
  <si>
    <t xml:space="preserve">    Use solver</t>
  </si>
  <si>
    <t xml:space="preserve"> New Units</t>
  </si>
  <si>
    <t>Model 2</t>
  </si>
  <si>
    <t>Fraction of retirements:</t>
  </si>
  <si>
    <t>Constant adjustment</t>
  </si>
  <si>
    <t xml:space="preserve">implied </t>
  </si>
  <si>
    <t>retirement rate</t>
  </si>
  <si>
    <t>Results for Model 1</t>
  </si>
  <si>
    <t>Occupied housing units</t>
  </si>
  <si>
    <t>Total vacancy</t>
  </si>
  <si>
    <t>rate</t>
  </si>
  <si>
    <t>Estimated</t>
  </si>
  <si>
    <t>Model for average housing unit size</t>
  </si>
  <si>
    <t xml:space="preserve"> parameter for average increase in existing stock </t>
  </si>
  <si>
    <t>stock</t>
  </si>
  <si>
    <t>total sq ft</t>
  </si>
  <si>
    <t>size</t>
  </si>
  <si>
    <t>CNH average</t>
  </si>
  <si>
    <t>size of pre-1985 stock</t>
  </si>
  <si>
    <t>post-1984</t>
  </si>
  <si>
    <t>ave size</t>
  </si>
  <si>
    <t>post-84 units</t>
  </si>
  <si>
    <t xml:space="preserve"> Ave size </t>
  </si>
  <si>
    <t>Note:  Set to 1 to better match with RECS data</t>
  </si>
  <si>
    <t xml:space="preserve">          See worksheet compare_FS</t>
  </si>
  <si>
    <t xml:space="preserve"> Single Family</t>
  </si>
  <si>
    <t>Man. Homes</t>
  </si>
  <si>
    <t>Average Size, Square Feet</t>
  </si>
  <si>
    <t>Calculated Shares by Housing Type</t>
  </si>
  <si>
    <t>Year-to-year</t>
  </si>
  <si>
    <t>% change</t>
  </si>
  <si>
    <t>Sum of Regions - Initial Estimates</t>
  </si>
  <si>
    <t>*</t>
  </si>
  <si>
    <t>Average size, all housing units</t>
  </si>
  <si>
    <t xml:space="preserve">Final Results - Total Floor Space </t>
  </si>
  <si>
    <t>Number of Occupied Units (thousands)  - Based upon model to interpolate/smooth AHS estimates</t>
  </si>
  <si>
    <t>Calibration Procedure - scale regional estimates to match national estimate of total floor space</t>
  </si>
  <si>
    <t>Average Size (initial estimate)</t>
  </si>
  <si>
    <t xml:space="preserve">Scale Factor (used to match </t>
  </si>
  <si>
    <t>sum of regional floorspace to national)</t>
  </si>
  <si>
    <t>Final Check to ensure regional</t>
  </si>
  <si>
    <t>estimates sum to national total</t>
  </si>
  <si>
    <t>All units</t>
  </si>
  <si>
    <t xml:space="preserve">     SF</t>
  </si>
  <si>
    <t xml:space="preserve">    MF</t>
  </si>
  <si>
    <t xml:space="preserve">    MH</t>
  </si>
  <si>
    <t>Sq.Ft.-all</t>
  </si>
  <si>
    <t>Index, 1985 = 1</t>
  </si>
  <si>
    <t>Average size (after calibration</t>
  </si>
  <si>
    <t>Total floor space (after calibration to</t>
  </si>
  <si>
    <t>to total national floor space by type)</t>
  </si>
  <si>
    <t xml:space="preserve"> to total national floor space)</t>
  </si>
  <si>
    <t>Total Square Feet (initial estimates)</t>
  </si>
  <si>
    <t xml:space="preserve">National </t>
  </si>
  <si>
    <t>Develop Regional and National Estimates of Residential Floor Space</t>
  </si>
  <si>
    <t>Calculated Shares by Region</t>
  </si>
  <si>
    <t xml:space="preserve">     MH</t>
  </si>
  <si>
    <t xml:space="preserve">   Total</t>
  </si>
  <si>
    <t>Actual Floor Space, billion sq. ft.</t>
  </si>
  <si>
    <t xml:space="preserve"> Normalized to SF</t>
  </si>
  <si>
    <t>Intensities (Btu/sf)</t>
  </si>
  <si>
    <t>wgted sum</t>
  </si>
  <si>
    <t xml:space="preserve">  Structure</t>
  </si>
  <si>
    <t xml:space="preserve">    Index</t>
  </si>
  <si>
    <t>Fuels</t>
  </si>
  <si>
    <t xml:space="preserve">Delivered </t>
  </si>
  <si>
    <t>Source   (Constant Electricity Factor = 3.2)</t>
  </si>
  <si>
    <t>This worksheet computes the weighted floor space values that are used to impute structural change from the mix of housing unit types</t>
  </si>
  <si>
    <t>Intensity weights</t>
  </si>
  <si>
    <t xml:space="preserve"> AHS Year</t>
  </si>
  <si>
    <t>Surv. Param.</t>
  </si>
  <si>
    <t>Calibration</t>
  </si>
  <si>
    <t xml:space="preserve"> Objective function ----&gt;</t>
  </si>
  <si>
    <t xml:space="preserve"> Fixed value </t>
  </si>
  <si>
    <t>Objective func.</t>
  </si>
  <si>
    <t>Annual Data from placnsa_all.xls</t>
  </si>
  <si>
    <t>US</t>
  </si>
  <si>
    <r>
      <t>Total</t>
    </r>
    <r>
      <rPr>
        <b/>
        <vertAlign val="superscript"/>
        <sz val="11"/>
        <rFont val="Times New Roman"/>
        <family val="1"/>
      </rPr>
      <t>(1)</t>
    </r>
  </si>
  <si>
    <t>Reported</t>
  </si>
  <si>
    <t>Single-Family</t>
  </si>
  <si>
    <t>Manufactured homes</t>
  </si>
  <si>
    <t>Size Calc1</t>
  </si>
  <si>
    <t>Size Calc2</t>
  </si>
  <si>
    <t>CNH_Size</t>
  </si>
  <si>
    <t>AHS_Ave</t>
  </si>
  <si>
    <t>AHS_Med</t>
  </si>
  <si>
    <t>AHS-A</t>
  </si>
  <si>
    <t>AHS-B</t>
  </si>
  <si>
    <t>Data from particular area of bi-annual spreadsheets.   Calc_FlrSpace! BI28:BP33</t>
  </si>
  <si>
    <t>Incorrect</t>
  </si>
  <si>
    <t>Ave Size</t>
  </si>
  <si>
    <t xml:space="preserve">pre-1985 </t>
  </si>
  <si>
    <t>for pre-1985</t>
  </si>
  <si>
    <t>for post-1985</t>
  </si>
  <si>
    <t>Inc</t>
  </si>
  <si>
    <t>Revised Model - March 23, 2012</t>
  </si>
  <si>
    <t>Judgmental adjustment</t>
  </si>
  <si>
    <t>Post-85 shr</t>
  </si>
  <si>
    <t>SF- CNH</t>
  </si>
  <si>
    <t>MH - Census Survey</t>
  </si>
  <si>
    <t>Average Size from last 3 surveys</t>
  </si>
  <si>
    <t>Decade estimates</t>
  </si>
  <si>
    <t xml:space="preserve">Estimate </t>
  </si>
  <si>
    <t>Incremental</t>
  </si>
  <si>
    <t>&lt; --- adjust for vacancy</t>
  </si>
  <si>
    <t>Pre-1985 - Stock</t>
  </si>
  <si>
    <t>Post-1985 - New</t>
  </si>
  <si>
    <t>Predicted_Alt</t>
  </si>
  <si>
    <t xml:space="preserve"> Final</t>
  </si>
  <si>
    <t xml:space="preserve"> Limits </t>
  </si>
  <si>
    <t>Stk increase</t>
  </si>
  <si>
    <t>floor space</t>
  </si>
  <si>
    <t>Post-85</t>
  </si>
  <si>
    <t xml:space="preserve">Pre-1985 </t>
  </si>
  <si>
    <t xml:space="preserve">share </t>
  </si>
  <si>
    <t>Pre-1985</t>
  </si>
  <si>
    <t>Number of units</t>
  </si>
  <si>
    <t>SF-Detach</t>
  </si>
  <si>
    <t>SF-Attach</t>
  </si>
  <si>
    <t>MF-small</t>
  </si>
  <si>
    <t>MF-large</t>
  </si>
  <si>
    <t>National Calibration Factor</t>
  </si>
  <si>
    <t>AHS  average</t>
  </si>
  <si>
    <t>RECS - National MH</t>
  </si>
  <si>
    <t>AHS-Based</t>
  </si>
  <si>
    <t xml:space="preserve"> RECS</t>
  </si>
  <si>
    <t>Adj. Factor</t>
  </si>
  <si>
    <t>Regional Shares</t>
  </si>
  <si>
    <t xml:space="preserve">National average size of stock </t>
  </si>
  <si>
    <t>Single-family</t>
  </si>
  <si>
    <t>Total Square footage</t>
  </si>
  <si>
    <t>MF size</t>
  </si>
  <si>
    <t>Check with published table</t>
  </si>
  <si>
    <t>Double Share</t>
  </si>
  <si>
    <t>RECS-Based</t>
  </si>
  <si>
    <t>Data from Commercial-related file:  Historical_floorspace_date</t>
  </si>
  <si>
    <t>Note:  Data in this table originally from Historical_floorspace_date.xls</t>
  </si>
  <si>
    <t>2009/1999</t>
  </si>
  <si>
    <t>2011/1999</t>
  </si>
  <si>
    <t>Regression thru 2009 data</t>
  </si>
  <si>
    <t>Regression thru 2009</t>
  </si>
  <si>
    <t xml:space="preserve">Fraction </t>
  </si>
  <si>
    <t>of Stock</t>
  </si>
  <si>
    <t xml:space="preserve">From </t>
  </si>
  <si>
    <t>http://www.census.gov/construction/nrc/historical_data/</t>
  </si>
  <si>
    <t>Changes between AHS years</t>
  </si>
  <si>
    <t>2005 to 2007</t>
  </si>
  <si>
    <t>2009 to 2011</t>
  </si>
  <si>
    <t>2007 to 2009</t>
  </si>
  <si>
    <t>2-yr chg.</t>
  </si>
  <si>
    <t>http://www.census.gov/construction/chars/completed.html</t>
  </si>
  <si>
    <t>predicted</t>
  </si>
  <si>
    <t>actual</t>
  </si>
  <si>
    <t>Additions</t>
  </si>
  <si>
    <t>Placements of New Manufactured Homes by Region and Size of Home: 1980 - 2012</t>
  </si>
  <si>
    <t>Not Seasonally Adjusted</t>
  </si>
  <si>
    <r>
      <t>Total</t>
    </r>
    <r>
      <rPr>
        <b/>
        <vertAlign val="superscript"/>
        <sz val="11"/>
        <rFont val="Times New Roman"/>
        <family val="1"/>
      </rPr>
      <t>1</t>
    </r>
  </si>
  <si>
    <r>
      <t>2012</t>
    </r>
    <r>
      <rPr>
        <b/>
        <vertAlign val="superscript"/>
        <sz val="12"/>
        <rFont val="Times New Roman"/>
        <family val="1"/>
      </rPr>
      <t>r</t>
    </r>
  </si>
  <si>
    <r>
      <t>2011</t>
    </r>
    <r>
      <rPr>
        <b/>
        <vertAlign val="superscript"/>
        <sz val="12"/>
        <rFont val="Times New Roman"/>
        <family val="1"/>
      </rPr>
      <t>r</t>
    </r>
  </si>
  <si>
    <r>
      <t>2010</t>
    </r>
    <r>
      <rPr>
        <b/>
        <vertAlign val="superscript"/>
        <sz val="12"/>
        <rFont val="Times New Roman"/>
        <family val="1"/>
      </rPr>
      <t>r</t>
    </r>
  </si>
  <si>
    <r>
      <t>2009</t>
    </r>
    <r>
      <rPr>
        <b/>
        <vertAlign val="superscript"/>
        <sz val="12"/>
        <rFont val="Times New Roman"/>
        <family val="1"/>
      </rPr>
      <t>r</t>
    </r>
  </si>
  <si>
    <t xml:space="preserve">Total </t>
  </si>
  <si>
    <t>NA</t>
  </si>
  <si>
    <r>
      <rPr>
        <vertAlign val="superscript"/>
        <sz val="10"/>
        <rFont val="Times New Roman"/>
        <family val="1"/>
      </rPr>
      <t>1</t>
    </r>
    <r>
      <rPr>
        <sz val="10"/>
        <rFont val="Times New Roman"/>
        <family val="1"/>
      </rPr>
      <t xml:space="preserve">  Includes manufactured homes with more than two sections.      </t>
    </r>
  </si>
  <si>
    <r>
      <rPr>
        <vertAlign val="superscript"/>
        <sz val="10"/>
        <rFont val="Times New Roman"/>
        <family val="1"/>
      </rPr>
      <t>r</t>
    </r>
    <r>
      <rPr>
        <sz val="10"/>
        <rFont val="Times New Roman"/>
        <family val="1"/>
      </rPr>
      <t xml:space="preserve">  Revised</t>
    </r>
  </si>
  <si>
    <t>S  Suppressed to avoid disclosing data for individual dealers; data are included in higher level estimates.</t>
  </si>
  <si>
    <r>
      <t>Source:</t>
    </r>
    <r>
      <rPr>
        <sz val="10"/>
        <rFont val="Times New Roman"/>
        <family val="1"/>
      </rPr>
      <t xml:space="preserve">  These data are produced by the U.S. Commerce Department's Census Bureau from a survey sponsored by the U.S. Department of Housing and Urban Development.</t>
    </r>
  </si>
  <si>
    <t xml:space="preserve">                </t>
  </si>
  <si>
    <t>Number of MH</t>
  </si>
  <si>
    <t>saved model</t>
  </si>
  <si>
    <t>Elasticity</t>
  </si>
  <si>
    <t>of retirements</t>
  </si>
  <si>
    <t>All Occupied</t>
  </si>
  <si>
    <t>Occ. HU</t>
  </si>
  <si>
    <t>Change</t>
  </si>
  <si>
    <t>2009-2007</t>
  </si>
  <si>
    <t>2011-2009</t>
  </si>
  <si>
    <t>Occupied units</t>
  </si>
  <si>
    <t>Ave 2005-2009</t>
  </si>
  <si>
    <t>2010-2011 Adjustment Factor</t>
  </si>
  <si>
    <t xml:space="preserve">  SF</t>
  </si>
  <si>
    <t xml:space="preserve"> MF, &gt; 4</t>
  </si>
  <si>
    <t xml:space="preserve">   see ---&gt;</t>
  </si>
  <si>
    <t xml:space="preserve">Report Tables </t>
  </si>
  <si>
    <t>Pub Total-Pub Occupied? Is that supposed to represent the vacancy?</t>
  </si>
  <si>
    <t xml:space="preserve">Values in this column come from AHS Table C-01-AH, American Housing Survey
General Housing Data—All Housing Units (1, detatched + 1, attached)
</t>
  </si>
  <si>
    <t>*this is the Total housing units - Manufactured home from AHS Table C-01-AH then - single family</t>
  </si>
  <si>
    <t>*this column is the total occupied - occupied MH - occupied single family from C-01-AH</t>
  </si>
  <si>
    <t>*table C-01-AH from AHS Manufactured/mobile home or trailer Total units</t>
  </si>
  <si>
    <t>*Occupied MH from C-01-AH</t>
  </si>
  <si>
    <t>Updated 9/13/2016</t>
  </si>
  <si>
    <t>https://www.census.gov/data/tables/time-series/econ/mhs/historical-annual-placements.html</t>
  </si>
  <si>
    <r>
      <t>Median and Average Square Feet of Floor Area in New Single-Family Houses Completed</t>
    </r>
    <r>
      <rPr>
        <b/>
        <vertAlign val="superscript"/>
        <sz val="12"/>
        <rFont val="Arial"/>
        <family val="2"/>
      </rPr>
      <t>1</t>
    </r>
  </si>
  <si>
    <t>AVE/MED</t>
  </si>
  <si>
    <t>Footnotes:</t>
  </si>
  <si>
    <t xml:space="preserve">  RSE - Relative Standard Error (percent)</t>
  </si>
  <si>
    <t xml:space="preserve">  NA - Not available</t>
  </si>
  <si>
    <t xml:space="preserve">  A - Represents an RSE that is greater or equal to 100 percent or could not be computed</t>
  </si>
  <si>
    <t xml:space="preserve">  Z - Less than 500 units or less than 0.5 percent</t>
  </si>
  <si>
    <t xml:space="preserve">  S - Withheld because estimate did not meet publication standards on the basis of response rate</t>
  </si>
  <si>
    <t xml:space="preserve">        or a consistency review</t>
  </si>
  <si>
    <t>Note:  Prior to 1999, estimates of square feet are rounded to the nearest 5.</t>
  </si>
  <si>
    <t>Previous Values</t>
  </si>
  <si>
    <t>Obj. Func (ap15:ap41)</t>
  </si>
  <si>
    <t xml:space="preserve">Total Pred </t>
  </si>
  <si>
    <t>Occ Pred</t>
  </si>
  <si>
    <t>obj:  ap15:ap41</t>
  </si>
  <si>
    <t>U.S. Census Bureau</t>
  </si>
  <si>
    <t>Source: Manufactured Housing Survey (Current)</t>
  </si>
  <si>
    <t>Total Homes: U.S. Total</t>
  </si>
  <si>
    <t>Not Seasonally Adjusted Sold and Placed for Residential Use (2014-Present) [Thousands of Units]</t>
  </si>
  <si>
    <t>Period: 2014 to 2018</t>
  </si>
  <si>
    <t>Data Extracted on: January 12, 2020 (8:43 pm)</t>
  </si>
  <si>
    <t>Period</t>
  </si>
  <si>
    <t>Value</t>
  </si>
  <si>
    <t>Jan-2014</t>
  </si>
  <si>
    <t>Feb-2014</t>
  </si>
  <si>
    <t>Mar-2014</t>
  </si>
  <si>
    <t>Apr-2014</t>
  </si>
  <si>
    <t>May-2014</t>
  </si>
  <si>
    <t>Jun-2014</t>
  </si>
  <si>
    <t>Jul-2014</t>
  </si>
  <si>
    <t>Aug-2014</t>
  </si>
  <si>
    <t>Sep-2014</t>
  </si>
  <si>
    <t>Oct-2014</t>
  </si>
  <si>
    <t>Nov-2014</t>
  </si>
  <si>
    <t>Dec-2014</t>
  </si>
  <si>
    <t>Jan-2015</t>
  </si>
  <si>
    <t>Feb-2015</t>
  </si>
  <si>
    <t>Mar-2015</t>
  </si>
  <si>
    <t>Apr-2015</t>
  </si>
  <si>
    <t>May-2015</t>
  </si>
  <si>
    <t>Jun-2015</t>
  </si>
  <si>
    <t>Jul-2015</t>
  </si>
  <si>
    <t>Aug-2015</t>
  </si>
  <si>
    <t>Sep-2015</t>
  </si>
  <si>
    <t>Oct-2015</t>
  </si>
  <si>
    <t>Nov-2015</t>
  </si>
  <si>
    <t>Dec-2015</t>
  </si>
  <si>
    <t>Jan-2016</t>
  </si>
  <si>
    <t>Feb-2016</t>
  </si>
  <si>
    <t>Mar-2016</t>
  </si>
  <si>
    <t>Apr-2016</t>
  </si>
  <si>
    <t>May-2016</t>
  </si>
  <si>
    <t>Jun-2016</t>
  </si>
  <si>
    <t>Jul-2016</t>
  </si>
  <si>
    <t>Aug-2016</t>
  </si>
  <si>
    <t>Sep-2016</t>
  </si>
  <si>
    <t>Oct-2016</t>
  </si>
  <si>
    <t>Nov-2016</t>
  </si>
  <si>
    <t>Dec-2016</t>
  </si>
  <si>
    <t>Jan-2017</t>
  </si>
  <si>
    <t>Feb-2017</t>
  </si>
  <si>
    <t>Mar-2017</t>
  </si>
  <si>
    <t>Apr-2017</t>
  </si>
  <si>
    <t>May-2017</t>
  </si>
  <si>
    <t>Jun-2017</t>
  </si>
  <si>
    <t>Jul-2017</t>
  </si>
  <si>
    <t>Aug-2017</t>
  </si>
  <si>
    <t>Sep-2017</t>
  </si>
  <si>
    <t>Oct-2017</t>
  </si>
  <si>
    <t>Nov-2017</t>
  </si>
  <si>
    <t>Dec-2017</t>
  </si>
  <si>
    <t>Jan-2018</t>
  </si>
  <si>
    <t>Feb-2018</t>
  </si>
  <si>
    <t>Mar-2018</t>
  </si>
  <si>
    <t>Apr-2018</t>
  </si>
  <si>
    <t>May-2018</t>
  </si>
  <si>
    <t>Jun-2018</t>
  </si>
  <si>
    <t>Jul-2018</t>
  </si>
  <si>
    <t>Aug-2018</t>
  </si>
  <si>
    <t>Sep-2018</t>
  </si>
  <si>
    <t>Oct-2018</t>
  </si>
  <si>
    <t>Nov-2018</t>
  </si>
  <si>
    <t>Dec-2018</t>
  </si>
  <si>
    <t>Singles: U.S. Total</t>
  </si>
  <si>
    <t>Data Extracted on: January 12, 2020 (10:29 pm)</t>
  </si>
  <si>
    <t>Not Seasonally Adjusted Total Shipments [Thousands of Units]</t>
  </si>
  <si>
    <t>Period: 2014 to 2017</t>
  </si>
  <si>
    <t>Data Extracted on: January 12, 2020 (8:38 pm)</t>
  </si>
  <si>
    <t xml:space="preserve">from </t>
  </si>
  <si>
    <t>Partial Update - from revised public file - downloaded 1/13/2020</t>
  </si>
  <si>
    <t>Moble H.</t>
  </si>
  <si>
    <t>SF-detached</t>
  </si>
  <si>
    <t>SF-attached</t>
  </si>
  <si>
    <t>2-yr chg</t>
  </si>
  <si>
    <t>Saved Model  1/13/2020</t>
  </si>
  <si>
    <t>2020 Parameters</t>
  </si>
  <si>
    <t>pre-85</t>
  </si>
  <si>
    <t>2017/2011</t>
  </si>
  <si>
    <t>Existing Stock</t>
  </si>
  <si>
    <t>New Units</t>
  </si>
  <si>
    <t>Model 1  -  Not Used (employs unadjusted retirements)</t>
  </si>
  <si>
    <t xml:space="preserve">Existing </t>
  </si>
  <si>
    <t>Total Units</t>
  </si>
  <si>
    <t xml:space="preserve"> (NOT USED)</t>
  </si>
  <si>
    <t xml:space="preserve">  Total </t>
  </si>
  <si>
    <t>Calculated by taking predicted values of the total number of units and adjusting for total vacancy rate</t>
  </si>
  <si>
    <t>2007-17</t>
  </si>
  <si>
    <t>Diff^2</t>
  </si>
  <si>
    <t xml:space="preserve">Total Square Footage </t>
  </si>
  <si>
    <t>Ave Sq. Ft. per unit</t>
  </si>
  <si>
    <t>2009-2015</t>
  </si>
  <si>
    <t>Average (2009:2013)</t>
  </si>
  <si>
    <t>Annual Increment based on RECS 2009 to RECS 2015</t>
  </si>
  <si>
    <t xml:space="preserve">revised </t>
  </si>
  <si>
    <t>Single Family (average of detached and attached)</t>
  </si>
  <si>
    <t>Check with sum of regional values</t>
  </si>
  <si>
    <t>Single Family - Detached and attach, average size</t>
  </si>
  <si>
    <t>U.S</t>
  </si>
  <si>
    <t>for backcast</t>
  </si>
  <si>
    <t>2014-2017 adjustment Factor</t>
  </si>
  <si>
    <t>Note: Regression model for Midwest not updated past 2011</t>
  </si>
  <si>
    <t>2014-2017 Adjustment Factor</t>
  </si>
  <si>
    <t>Average size for multi-family, 2011</t>
  </si>
  <si>
    <t>Regression ignores data past 2009</t>
  </si>
  <si>
    <t>1999 - 2009</t>
  </si>
  <si>
    <t>Increments</t>
  </si>
  <si>
    <t>Average Size for Manufactured Homes</t>
  </si>
  <si>
    <t xml:space="preserve">  U.S. </t>
  </si>
  <si>
    <t>(see AHS_tables)</t>
  </si>
  <si>
    <t xml:space="preserve">Average </t>
  </si>
  <si>
    <t>Size for MF</t>
  </si>
  <si>
    <t>Preliminary Model  - February 2012</t>
  </si>
  <si>
    <t>Predicted-II</t>
  </si>
  <si>
    <t>Size (AHS)</t>
  </si>
  <si>
    <t>Vintage data not updated - Only values in column FI</t>
  </si>
  <si>
    <t>Vintage data not updated - Only values in column FW</t>
  </si>
  <si>
    <t>2009-2015 change from REC</t>
  </si>
  <si>
    <t xml:space="preserve">Assume smaller change - 5 sq. ft. per year </t>
  </si>
  <si>
    <t>Calculate and Project Ratios of Regional Size to National Size</t>
  </si>
  <si>
    <t xml:space="preserve"> (1997 Not Used)</t>
  </si>
  <si>
    <t>Average Size by Vintage (NOT USED)</t>
  </si>
  <si>
    <t>Regression estimates</t>
  </si>
  <si>
    <t xml:space="preserve">  NE/Nat'l Ratio</t>
  </si>
  <si>
    <t>Number of SF housing units (millions)</t>
  </si>
  <si>
    <t xml:space="preserve">  MW/Nat'l Ratio</t>
  </si>
  <si>
    <t xml:space="preserve">  S/Nat'l Ratio</t>
  </si>
  <si>
    <t xml:space="preserve">  W/Nat'l Ratio</t>
  </si>
  <si>
    <t>Increment</t>
  </si>
  <si>
    <t xml:space="preserve"> Ratio</t>
  </si>
  <si>
    <t>Average Size by vintage - NOT USED</t>
  </si>
  <si>
    <t>Trend Regression - MidWest</t>
  </si>
  <si>
    <t>Trend Regression - SF</t>
  </si>
  <si>
    <t>Trend Regression - South</t>
  </si>
  <si>
    <t>Trend Regression - West</t>
  </si>
  <si>
    <t>Ratios</t>
  </si>
  <si>
    <t>Size</t>
  </si>
  <si>
    <t>US. Total - Initial National Estimates of Housing Units</t>
  </si>
  <si>
    <t xml:space="preserve">Regional Estimates of Housing Units </t>
  </si>
  <si>
    <t>Note: Cells highlighted in light blue contain values derived in other worksheets</t>
  </si>
  <si>
    <t>1939-1984</t>
  </si>
  <si>
    <t>1939-1979</t>
  </si>
  <si>
    <t>1939-1974</t>
  </si>
  <si>
    <t>1939-1969</t>
  </si>
  <si>
    <t>Combine 1984 and 1987</t>
  </si>
  <si>
    <t>1939-1990</t>
  </si>
  <si>
    <t>1939-1987</t>
  </si>
  <si>
    <t>Sum</t>
  </si>
  <si>
    <t>1987 to 1990</t>
  </si>
  <si>
    <t>1985 to 1987</t>
  </si>
  <si>
    <t>1980 to 1984</t>
  </si>
  <si>
    <t>1970 to 1979</t>
  </si>
  <si>
    <t xml:space="preserve">1960 to 1969 </t>
  </si>
  <si>
    <t>1950 to 1959</t>
  </si>
  <si>
    <t>1940 to 1949</t>
  </si>
  <si>
    <t>1939 or before</t>
  </si>
  <si>
    <t>SF/Unit</t>
  </si>
  <si>
    <t xml:space="preserve"> # units</t>
  </si>
  <si>
    <t>Total Heated</t>
  </si>
  <si>
    <t xml:space="preserve"> Million</t>
  </si>
  <si>
    <t>Million</t>
  </si>
  <si>
    <t>Table 20</t>
  </si>
  <si>
    <t>Table 18</t>
  </si>
  <si>
    <t xml:space="preserve">Sum </t>
  </si>
  <si>
    <t>Man Homes</t>
  </si>
  <si>
    <t>1990 RECS</t>
  </si>
  <si>
    <t>1985 and after</t>
  </si>
  <si>
    <t>1975 to 1979</t>
  </si>
  <si>
    <t>1970 to 1974</t>
  </si>
  <si>
    <t>SF units</t>
  </si>
  <si>
    <t>1987 RECS</t>
  </si>
  <si>
    <t>1980 and after</t>
  </si>
  <si>
    <t>1975-1979</t>
  </si>
  <si>
    <t>1965 to 1969</t>
  </si>
  <si>
    <t xml:space="preserve">1960 to 1964 </t>
  </si>
  <si>
    <t>Total Heated SF</t>
  </si>
  <si>
    <t>RECS_Years</t>
  </si>
  <si>
    <t>Annual</t>
  </si>
  <si>
    <t>Pre-1980 ratios based upon vintage data</t>
  </si>
  <si>
    <t>ManH Size</t>
  </si>
  <si>
    <t>1984 RECS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</si>
</sst>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0.0"/>
    <numFmt numFmtId="165" formatCode="0.000000000000"/>
    <numFmt numFmtId="166" formatCode="#,##0.000"/>
    <numFmt numFmtId="167" formatCode="0.00000"/>
    <numFmt numFmtId="168" formatCode="0.000"/>
    <numFmt numFmtId="169" formatCode="#,##0.0"/>
    <numFmt numFmtId="170" formatCode="_(* #,##0.0_);_(* \(#,##0.0\);_(* &quot;-&quot;??_);_(@_)"/>
    <numFmt numFmtId="171" formatCode="0.0_)"/>
    <numFmt numFmtId="172" formatCode="0.00_)"/>
    <numFmt numFmtId="173" formatCode="0_)"/>
    <numFmt numFmtId="174" formatCode="@*."/>
    <numFmt numFmtId="175" formatCode="0.0%"/>
    <numFmt numFmtId="176" formatCode="#,##0_)"/>
    <numFmt numFmtId="177" formatCode="0.0000"/>
    <numFmt numFmtId="178" formatCode="[=0]&quot;(Z) &quot;;[&gt;99]&quot;(A) &quot;;#\ ;&quot;(A) &quot;"/>
    <numFmt numFmtId="179" formatCode="0.000000"/>
  </numFmts>
  <fonts count="67" x14ac:knownFonts="1">
    <font>
      <sz val="10"/>
      <color theme="1"/>
      <name val="Arial"/>
      <family val="2"/>
    </font>
    <font>
      <b/>
      <i/>
      <sz val="10"/>
      <name val="Arial"/>
      <family val="2"/>
    </font>
    <font>
      <i/>
      <sz val="10"/>
      <name val="Arial"/>
      <family val="2"/>
    </font>
    <font>
      <b/>
      <sz val="8"/>
      <color indexed="81"/>
      <name val="Tahoma"/>
      <family val="2"/>
    </font>
    <font>
      <sz val="8"/>
      <color indexed="81"/>
      <name val="Tahoma"/>
      <family val="2"/>
    </font>
    <font>
      <sz val="10"/>
      <name val="Arial"/>
      <family val="2"/>
    </font>
    <font>
      <b/>
      <sz val="12"/>
      <name val="Arial"/>
      <family val="2"/>
    </font>
    <font>
      <b/>
      <sz val="10"/>
      <name val="Arial"/>
      <family val="2"/>
    </font>
    <font>
      <sz val="10"/>
      <name val="Arial"/>
      <family val="2"/>
    </font>
    <font>
      <b/>
      <vertAlign val="superscript"/>
      <sz val="12"/>
      <name val="Arial"/>
      <family val="2"/>
    </font>
    <font>
      <b/>
      <sz val="12"/>
      <name val="Arial"/>
      <family val="2"/>
    </font>
    <font>
      <vertAlign val="superscript"/>
      <sz val="10"/>
      <name val="Arial"/>
      <family val="2"/>
    </font>
    <font>
      <vertAlign val="superscript"/>
      <sz val="10"/>
      <name val="Arial"/>
      <family val="2"/>
    </font>
    <font>
      <sz val="8"/>
      <name val="Arial"/>
      <family val="2"/>
    </font>
    <font>
      <b/>
      <sz val="8"/>
      <name val="Arial"/>
      <family val="2"/>
    </font>
    <font>
      <sz val="8"/>
      <name val="Arial"/>
      <family val="2"/>
    </font>
    <font>
      <sz val="10"/>
      <name val="Times New Roman"/>
      <family val="1"/>
    </font>
    <font>
      <sz val="10"/>
      <name val="Arial"/>
      <family val="2"/>
    </font>
    <font>
      <b/>
      <sz val="14"/>
      <name val="Arial Narrow"/>
      <family val="2"/>
    </font>
    <font>
      <b/>
      <sz val="16"/>
      <name val="Arial"/>
      <family val="2"/>
    </font>
    <font>
      <b/>
      <sz val="12"/>
      <name val="Arial Narrow"/>
      <family val="2"/>
    </font>
    <font>
      <sz val="12"/>
      <name val="Arial"/>
      <family val="2"/>
    </font>
    <font>
      <sz val="11"/>
      <name val="Arial"/>
      <family val="2"/>
    </font>
    <font>
      <b/>
      <sz val="11"/>
      <name val="Arial"/>
      <family val="2"/>
    </font>
    <font>
      <b/>
      <vertAlign val="superscript"/>
      <sz val="11"/>
      <name val="Arial"/>
      <family val="2"/>
    </font>
    <font>
      <sz val="11"/>
      <name val="Arial"/>
      <family val="2"/>
    </font>
    <font>
      <sz val="11"/>
      <name val="Arial Narrow"/>
      <family val="2"/>
    </font>
    <font>
      <sz val="10"/>
      <name val="Arial Narrow"/>
      <family val="2"/>
    </font>
    <font>
      <sz val="12"/>
      <name val="Arial"/>
      <family val="2"/>
    </font>
    <font>
      <sz val="12"/>
      <name val="Arial Narrow"/>
      <family val="2"/>
    </font>
    <font>
      <sz val="12"/>
      <name val="Book Antiqua"/>
      <family val="1"/>
    </font>
    <font>
      <sz val="10"/>
      <name val="MS Sans Serif"/>
      <family val="2"/>
    </font>
    <font>
      <sz val="13"/>
      <name val="Book Antiqua"/>
      <family val="1"/>
    </font>
    <font>
      <sz val="10"/>
      <color theme="1"/>
      <name val="Arial"/>
      <family val="2"/>
    </font>
    <font>
      <b/>
      <sz val="10"/>
      <color theme="1"/>
      <name val="Arial"/>
      <family val="2"/>
    </font>
    <font>
      <b/>
      <sz val="12"/>
      <color theme="1"/>
      <name val="Arial"/>
      <family val="2"/>
    </font>
    <font>
      <sz val="14"/>
      <color theme="1"/>
      <name val="Arial"/>
      <family val="2"/>
    </font>
    <font>
      <b/>
      <sz val="14"/>
      <color theme="1"/>
      <name val="Arial"/>
      <family val="2"/>
    </font>
    <font>
      <b/>
      <vertAlign val="superscript"/>
      <sz val="10"/>
      <name val="Arial"/>
      <family val="2"/>
    </font>
    <font>
      <sz val="9"/>
      <name val="Helv"/>
    </font>
    <font>
      <b/>
      <sz val="16"/>
      <color theme="1"/>
      <name val="Arial"/>
      <family val="2"/>
    </font>
    <font>
      <sz val="11"/>
      <color theme="1"/>
      <name val="Arial"/>
      <family val="2"/>
    </font>
    <font>
      <b/>
      <sz val="11"/>
      <name val="Times New Roman"/>
      <family val="1"/>
    </font>
    <font>
      <b/>
      <vertAlign val="superscript"/>
      <sz val="11"/>
      <name val="Times New Roman"/>
      <family val="1"/>
    </font>
    <font>
      <b/>
      <i/>
      <sz val="10"/>
      <color theme="1"/>
      <name val="Arial"/>
      <family val="2"/>
    </font>
    <font>
      <b/>
      <sz val="16"/>
      <name val="Times New Roman"/>
      <family val="1"/>
    </font>
    <font>
      <b/>
      <sz val="14"/>
      <name val="Times New Roman"/>
      <family val="1"/>
    </font>
    <font>
      <b/>
      <sz val="12"/>
      <name val="Times New Roman"/>
      <family val="1"/>
    </font>
    <font>
      <sz val="11"/>
      <name val="Times New Roman"/>
      <family val="1"/>
    </font>
    <font>
      <sz val="12"/>
      <name val="Times New Roman"/>
      <family val="1"/>
    </font>
    <font>
      <b/>
      <vertAlign val="superscript"/>
      <sz val="12"/>
      <name val="Times New Roman"/>
      <family val="1"/>
    </font>
    <font>
      <b/>
      <sz val="12"/>
      <name val="Book Antiqua"/>
      <family val="1"/>
    </font>
    <font>
      <b/>
      <sz val="10"/>
      <name val="Times New Roman"/>
      <family val="1"/>
    </font>
    <font>
      <vertAlign val="superscript"/>
      <sz val="10"/>
      <name val="Times New Roman"/>
      <family val="1"/>
    </font>
    <font>
      <sz val="10"/>
      <color rgb="FF7030A0"/>
      <name val="Arial"/>
      <family val="2"/>
    </font>
    <font>
      <u/>
      <sz val="10"/>
      <color theme="10"/>
      <name val="Arial"/>
      <family val="2"/>
    </font>
    <font>
      <sz val="11"/>
      <color theme="1"/>
      <name val="Calibri"/>
      <family val="2"/>
      <scheme val="minor"/>
    </font>
    <font>
      <u/>
      <sz val="11"/>
      <color theme="10"/>
      <name val="Calibri"/>
      <family val="2"/>
      <scheme val="minor"/>
    </font>
    <font>
      <sz val="9"/>
      <color indexed="81"/>
      <name val="Tahoma"/>
      <family val="2"/>
    </font>
    <font>
      <b/>
      <sz val="9"/>
      <color indexed="81"/>
      <name val="Tahoma"/>
      <family val="2"/>
    </font>
    <font>
      <sz val="11"/>
      <color indexed="8"/>
      <name val="Calibri"/>
      <family val="2"/>
    </font>
    <font>
      <b/>
      <sz val="13"/>
      <color indexed="10"/>
      <name val="Arial"/>
      <family val="2"/>
    </font>
    <font>
      <b/>
      <sz val="9"/>
      <color indexed="12"/>
      <name val="Arial"/>
      <family val="2"/>
    </font>
    <font>
      <b/>
      <sz val="10"/>
      <color indexed="12"/>
      <name val="Arial"/>
      <family val="2"/>
    </font>
    <font>
      <sz val="10"/>
      <color indexed="12"/>
      <name val="Arial"/>
      <family val="2"/>
    </font>
    <font>
      <sz val="14"/>
      <color rgb="FFFF0000"/>
      <name val="Arial"/>
      <family val="2"/>
    </font>
    <font>
      <b/>
      <sz val="18"/>
      <color theme="1"/>
      <name val="Arial"/>
      <family val="2"/>
    </font>
  </fonts>
  <fills count="33">
    <fill>
      <patternFill patternType="none"/>
    </fill>
    <fill>
      <patternFill patternType="gray125"/>
    </fill>
    <fill>
      <patternFill patternType="solid">
        <fgColor indexed="50"/>
        <bgColor indexed="64"/>
      </patternFill>
    </fill>
    <fill>
      <patternFill patternType="solid">
        <fgColor indexed="43"/>
        <bgColor indexed="64"/>
      </patternFill>
    </fill>
    <fill>
      <patternFill patternType="solid">
        <fgColor indexed="45"/>
        <bgColor indexed="64"/>
      </patternFill>
    </fill>
    <fill>
      <patternFill patternType="solid">
        <fgColor indexed="41"/>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rgb="FF7030A0"/>
        <bgColor indexed="64"/>
      </patternFill>
    </fill>
    <fill>
      <patternFill patternType="solid">
        <fgColor theme="9"/>
        <bgColor indexed="64"/>
      </patternFill>
    </fill>
    <fill>
      <patternFill patternType="solid">
        <fgColor indexed="10"/>
        <bgColor indexed="64"/>
      </patternFill>
    </fill>
    <fill>
      <patternFill patternType="solid">
        <fgColor indexed="40"/>
        <bgColor indexed="64"/>
      </patternFill>
    </fill>
    <fill>
      <patternFill patternType="solid">
        <fgColor indexed="13"/>
        <bgColor indexed="64"/>
      </patternFill>
    </fill>
    <fill>
      <patternFill patternType="solid">
        <fgColor indexed="47"/>
        <bgColor indexed="64"/>
      </patternFill>
    </fill>
    <fill>
      <patternFill patternType="solid">
        <fgColor indexed="51"/>
        <bgColor indexed="64"/>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indexed="11"/>
        <bgColor indexed="8"/>
      </patternFill>
    </fill>
    <fill>
      <patternFill patternType="solid">
        <fgColor indexed="13"/>
        <bgColor indexed="8"/>
      </patternFill>
    </fill>
    <fill>
      <patternFill patternType="solid">
        <fgColor theme="4" tint="0.59999389629810485"/>
        <bgColor indexed="64"/>
      </patternFill>
    </fill>
    <fill>
      <patternFill patternType="solid">
        <fgColor theme="3" tint="0.79998168889431442"/>
        <bgColor indexed="64"/>
      </patternFill>
    </fill>
    <fill>
      <patternFill patternType="solid">
        <fgColor theme="6"/>
        <bgColor indexed="64"/>
      </patternFill>
    </fill>
    <fill>
      <patternFill patternType="solid">
        <fgColor theme="9" tint="0.39997558519241921"/>
        <bgColor indexed="64"/>
      </patternFill>
    </fill>
    <fill>
      <patternFill patternType="solid">
        <fgColor theme="7"/>
        <bgColor indexed="64"/>
      </patternFill>
    </fill>
  </fills>
  <borders count="36">
    <border>
      <left/>
      <right/>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diagonal/>
    </border>
    <border>
      <left style="thin">
        <color indexed="64"/>
      </left>
      <right/>
      <top/>
      <bottom/>
      <diagonal/>
    </border>
    <border>
      <left style="medium">
        <color indexed="64"/>
      </left>
      <right style="thin">
        <color indexed="64"/>
      </right>
      <top/>
      <bottom style="medium">
        <color indexed="64"/>
      </bottom>
      <diagonal/>
    </border>
    <border>
      <left/>
      <right/>
      <top/>
      <bottom style="thick">
        <color indexed="6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bottom style="thin">
        <color indexed="64"/>
      </bottom>
      <diagonal/>
    </border>
    <border>
      <left/>
      <right style="thin">
        <color indexed="64"/>
      </right>
      <top style="medium">
        <color indexed="64"/>
      </top>
      <bottom/>
      <diagonal/>
    </border>
    <border>
      <left/>
      <right/>
      <top/>
      <bottom style="thin">
        <color indexed="22"/>
      </bottom>
      <diagonal/>
    </border>
    <border>
      <left style="medium">
        <color indexed="64"/>
      </left>
      <right style="thin">
        <color indexed="64"/>
      </right>
      <top/>
      <bottom style="thin">
        <color indexed="64"/>
      </bottom>
      <diagonal/>
    </border>
    <border>
      <left/>
      <right/>
      <top style="thin">
        <color indexed="8"/>
      </top>
      <bottom/>
      <diagonal/>
    </border>
  </borders>
  <cellStyleXfs count="31">
    <xf numFmtId="0" fontId="0" fillId="0" borderId="0"/>
    <xf numFmtId="43" fontId="8" fillId="0" borderId="0" applyFont="0" applyFill="0" applyBorder="0" applyAlignment="0" applyProtection="0"/>
    <xf numFmtId="43" fontId="17" fillId="0" borderId="0" applyFont="0" applyFill="0" applyBorder="0" applyAlignment="0" applyProtection="0"/>
    <xf numFmtId="0" fontId="5" fillId="0" borderId="0"/>
    <xf numFmtId="0" fontId="8" fillId="0" borderId="0"/>
    <xf numFmtId="172" fontId="13" fillId="0" borderId="0"/>
    <xf numFmtId="0" fontId="17" fillId="0" borderId="0"/>
    <xf numFmtId="0" fontId="31" fillId="0" borderId="0"/>
    <xf numFmtId="0" fontId="17" fillId="0" borderId="0"/>
    <xf numFmtId="9" fontId="17" fillId="0" borderId="0" applyFont="0" applyFill="0" applyBorder="0" applyAlignment="0" applyProtection="0"/>
    <xf numFmtId="9" fontId="33" fillId="0" borderId="0" applyFont="0" applyFill="0" applyBorder="0" applyAlignment="0" applyProtection="0"/>
    <xf numFmtId="176" fontId="39" fillId="0" borderId="33">
      <alignment horizontal="right" vertical="center"/>
    </xf>
    <xf numFmtId="43" fontId="5" fillId="0" borderId="0" applyFont="0" applyFill="0" applyBorder="0" applyAlignment="0" applyProtection="0"/>
    <xf numFmtId="9" fontId="5" fillId="0" borderId="0" applyFont="0" applyFill="0" applyBorder="0" applyAlignment="0" applyProtection="0"/>
    <xf numFmtId="0" fontId="5" fillId="0" borderId="0"/>
    <xf numFmtId="0" fontId="55" fillId="0" borderId="0" applyNumberFormat="0" applyFill="0" applyBorder="0" applyAlignment="0" applyProtection="0"/>
    <xf numFmtId="0" fontId="56" fillId="0" borderId="0"/>
    <xf numFmtId="43" fontId="56" fillId="0" borderId="0" applyFont="0" applyFill="0" applyBorder="0" applyAlignment="0" applyProtection="0"/>
    <xf numFmtId="43" fontId="5" fillId="0" borderId="0" applyFont="0" applyFill="0" applyBorder="0" applyAlignment="0" applyProtection="0"/>
    <xf numFmtId="0" fontId="57" fillId="0" borderId="0" applyNumberFormat="0" applyFill="0" applyBorder="0" applyAlignment="0" applyProtection="0"/>
    <xf numFmtId="0" fontId="31" fillId="0" borderId="0"/>
    <xf numFmtId="0" fontId="5" fillId="0" borderId="0"/>
    <xf numFmtId="0" fontId="5" fillId="0" borderId="0"/>
    <xf numFmtId="0" fontId="5" fillId="0" borderId="0"/>
    <xf numFmtId="0" fontId="31" fillId="0" borderId="0"/>
    <xf numFmtId="0" fontId="5" fillId="0" borderId="0"/>
    <xf numFmtId="0" fontId="5" fillId="0" borderId="0"/>
    <xf numFmtId="0" fontId="5" fillId="0" borderId="0"/>
    <xf numFmtId="43" fontId="31" fillId="0" borderId="0" applyFont="0" applyFill="0" applyBorder="0" applyAlignment="0" applyProtection="0"/>
    <xf numFmtId="178" fontId="5" fillId="0" borderId="34" applyBorder="0">
      <alignment horizontal="right"/>
    </xf>
    <xf numFmtId="0" fontId="60" fillId="0" borderId="0" applyFill="0" applyProtection="0"/>
  </cellStyleXfs>
  <cellXfs count="497">
    <xf numFmtId="0" fontId="0" fillId="0" borderId="0" xfId="0"/>
    <xf numFmtId="0" fontId="34" fillId="0" borderId="0" xfId="0" applyFont="1"/>
    <xf numFmtId="3" fontId="0" fillId="0" borderId="0" xfId="0" applyNumberFormat="1"/>
    <xf numFmtId="164" fontId="0" fillId="6" borderId="0" xfId="0" applyNumberFormat="1" applyFill="1"/>
    <xf numFmtId="165" fontId="0" fillId="0" borderId="0" xfId="0" applyNumberFormat="1"/>
    <xf numFmtId="164" fontId="0" fillId="0" borderId="0" xfId="0" applyNumberFormat="1"/>
    <xf numFmtId="0" fontId="35" fillId="0" borderId="0" xfId="0" applyFont="1"/>
    <xf numFmtId="4" fontId="0" fillId="0" borderId="0" xfId="0" applyNumberFormat="1"/>
    <xf numFmtId="0" fontId="36" fillId="0" borderId="0" xfId="0" applyFont="1"/>
    <xf numFmtId="3" fontId="0" fillId="7" borderId="0" xfId="0" applyNumberFormat="1" applyFill="1"/>
    <xf numFmtId="3" fontId="0" fillId="0" borderId="0" xfId="0" applyNumberFormat="1" applyFill="1"/>
    <xf numFmtId="1" fontId="0" fillId="0" borderId="0" xfId="0" applyNumberFormat="1"/>
    <xf numFmtId="166" fontId="0" fillId="0" borderId="0" xfId="0" applyNumberFormat="1"/>
    <xf numFmtId="0" fontId="0" fillId="6" borderId="0" xfId="0" applyFill="1"/>
    <xf numFmtId="1" fontId="0" fillId="0" borderId="0" xfId="0" quotePrefix="1" applyNumberFormat="1"/>
    <xf numFmtId="0" fontId="0" fillId="0" borderId="0" xfId="0" applyFill="1"/>
    <xf numFmtId="0" fontId="0" fillId="0" borderId="1" xfId="0" applyBorder="1"/>
    <xf numFmtId="0" fontId="0" fillId="0" borderId="1" xfId="0" applyBorder="1" applyAlignment="1">
      <alignment horizontal="center"/>
    </xf>
    <xf numFmtId="0" fontId="1" fillId="0" borderId="0" xfId="0" applyFont="1"/>
    <xf numFmtId="0" fontId="2" fillId="0" borderId="0" xfId="0" applyFont="1"/>
    <xf numFmtId="0" fontId="0" fillId="2" borderId="0" xfId="0" applyFill="1"/>
    <xf numFmtId="0" fontId="0" fillId="3" borderId="0" xfId="0" applyFill="1"/>
    <xf numFmtId="167" fontId="0" fillId="4" borderId="0" xfId="0" applyNumberFormat="1" applyFill="1"/>
    <xf numFmtId="168" fontId="0" fillId="0" borderId="0" xfId="0" applyNumberFormat="1"/>
    <xf numFmtId="2" fontId="0" fillId="0" borderId="0" xfId="0" applyNumberFormat="1"/>
    <xf numFmtId="167" fontId="0" fillId="7" borderId="0" xfId="0" applyNumberFormat="1" applyFill="1"/>
    <xf numFmtId="2" fontId="0" fillId="0" borderId="0" xfId="0" quotePrefix="1" applyNumberFormat="1"/>
    <xf numFmtId="0" fontId="0" fillId="7" borderId="0" xfId="0" applyFill="1"/>
    <xf numFmtId="2" fontId="0" fillId="7" borderId="0" xfId="0" applyNumberFormat="1" applyFill="1"/>
    <xf numFmtId="2" fontId="0" fillId="0" borderId="0" xfId="0" applyNumberFormat="1" applyFill="1"/>
    <xf numFmtId="0" fontId="6" fillId="0" borderId="0" xfId="3" applyFont="1" applyAlignment="1">
      <alignment horizontal="centerContinuous"/>
    </xf>
    <xf numFmtId="0" fontId="5" fillId="0" borderId="0" xfId="3" applyAlignment="1">
      <alignment horizontal="centerContinuous"/>
    </xf>
    <xf numFmtId="0" fontId="5" fillId="0" borderId="0" xfId="3"/>
    <xf numFmtId="0" fontId="7" fillId="0" borderId="0" xfId="3" applyFont="1" applyAlignment="1">
      <alignment horizontal="centerContinuous"/>
    </xf>
    <xf numFmtId="0" fontId="5" fillId="0" borderId="2" xfId="3" applyBorder="1"/>
    <xf numFmtId="0" fontId="5" fillId="0" borderId="3" xfId="3" applyBorder="1"/>
    <xf numFmtId="0" fontId="5" fillId="0" borderId="4" xfId="3" applyBorder="1" applyAlignment="1">
      <alignment horizontal="centerContinuous"/>
    </xf>
    <xf numFmtId="0" fontId="5" fillId="0" borderId="5" xfId="3" applyBorder="1" applyAlignment="1">
      <alignment horizontal="centerContinuous"/>
    </xf>
    <xf numFmtId="0" fontId="5" fillId="0" borderId="6" xfId="3" applyBorder="1" applyAlignment="1">
      <alignment horizontal="center"/>
    </xf>
    <xf numFmtId="0" fontId="5" fillId="0" borderId="7" xfId="3" applyBorder="1" applyAlignment="1">
      <alignment horizontal="center"/>
    </xf>
    <xf numFmtId="0" fontId="5" fillId="0" borderId="8" xfId="3" applyBorder="1" applyAlignment="1">
      <alignment horizontal="centerContinuous"/>
    </xf>
    <xf numFmtId="0" fontId="5" fillId="0" borderId="9" xfId="3" applyBorder="1" applyAlignment="1">
      <alignment horizontal="centerContinuous"/>
    </xf>
    <xf numFmtId="0" fontId="5" fillId="0" borderId="10" xfId="3" applyBorder="1"/>
    <xf numFmtId="0" fontId="5" fillId="0" borderId="9" xfId="3" applyBorder="1" applyAlignment="1">
      <alignment horizontal="center"/>
    </xf>
    <xf numFmtId="0" fontId="5" fillId="0" borderId="0" xfId="3" applyNumberFormat="1" applyAlignment="1">
      <alignment horizontal="right"/>
    </xf>
    <xf numFmtId="169" fontId="5" fillId="0" borderId="0" xfId="3" applyNumberFormat="1" applyAlignment="1">
      <alignment horizontal="right"/>
    </xf>
    <xf numFmtId="17" fontId="5" fillId="0" borderId="0" xfId="3" applyNumberFormat="1" applyAlignment="1">
      <alignment horizontal="right"/>
    </xf>
    <xf numFmtId="169" fontId="5" fillId="0" borderId="0" xfId="3" applyNumberFormat="1"/>
    <xf numFmtId="49" fontId="5" fillId="0" borderId="0" xfId="3" applyNumberFormat="1" applyAlignment="1">
      <alignment horizontal="left"/>
    </xf>
    <xf numFmtId="0" fontId="5" fillId="0" borderId="0" xfId="3" applyNumberFormat="1" applyFont="1" applyAlignment="1">
      <alignment horizontal="left"/>
    </xf>
    <xf numFmtId="0" fontId="0" fillId="0" borderId="0" xfId="0" quotePrefix="1"/>
    <xf numFmtId="0" fontId="8" fillId="0" borderId="0" xfId="4"/>
    <xf numFmtId="0" fontId="8" fillId="0" borderId="1" xfId="4" applyFont="1" applyBorder="1" applyAlignment="1">
      <alignment horizontal="right"/>
    </xf>
    <xf numFmtId="0" fontId="8" fillId="0" borderId="0" xfId="4" applyFont="1"/>
    <xf numFmtId="0" fontId="8" fillId="0" borderId="11" xfId="4" applyFont="1" applyBorder="1" applyAlignment="1">
      <alignment horizontal="left"/>
    </xf>
    <xf numFmtId="0" fontId="8" fillId="0" borderId="12" xfId="4" applyFont="1" applyBorder="1" applyAlignment="1">
      <alignment horizontal="left"/>
    </xf>
    <xf numFmtId="0" fontId="8" fillId="0" borderId="3" xfId="4" applyFont="1" applyBorder="1" applyAlignment="1">
      <alignment horizontal="center"/>
    </xf>
    <xf numFmtId="0" fontId="8" fillId="0" borderId="2" xfId="4" applyFont="1" applyBorder="1" applyAlignment="1">
      <alignment horizontal="center"/>
    </xf>
    <xf numFmtId="0" fontId="8" fillId="0" borderId="13" xfId="4" applyFont="1" applyBorder="1" applyAlignment="1">
      <alignment horizontal="center"/>
    </xf>
    <xf numFmtId="0" fontId="8" fillId="0" borderId="5" xfId="4" applyFont="1" applyBorder="1" applyAlignment="1">
      <alignment horizontal="center"/>
    </xf>
    <xf numFmtId="0" fontId="8" fillId="0" borderId="14" xfId="4" applyFont="1" applyBorder="1" applyAlignment="1">
      <alignment horizontal="center"/>
    </xf>
    <xf numFmtId="0" fontId="8" fillId="0" borderId="15" xfId="4" applyFont="1" applyBorder="1" applyAlignment="1">
      <alignment horizontal="center"/>
    </xf>
    <xf numFmtId="0" fontId="8" fillId="0" borderId="16" xfId="4" applyFont="1" applyBorder="1" applyAlignment="1">
      <alignment horizontal="center"/>
    </xf>
    <xf numFmtId="0" fontId="8" fillId="0" borderId="7" xfId="4" applyFont="1" applyBorder="1" applyAlignment="1">
      <alignment horizontal="right"/>
    </xf>
    <xf numFmtId="0" fontId="8" fillId="0" borderId="6" xfId="4" applyFont="1" applyBorder="1" applyAlignment="1">
      <alignment horizontal="right"/>
    </xf>
    <xf numFmtId="3" fontId="8" fillId="0" borderId="17" xfId="4" applyNumberFormat="1" applyFont="1" applyBorder="1" applyAlignment="1">
      <alignment horizontal="right"/>
    </xf>
    <xf numFmtId="3" fontId="8" fillId="0" borderId="18" xfId="4" applyNumberFormat="1" applyFont="1" applyBorder="1" applyAlignment="1">
      <alignment horizontal="right"/>
    </xf>
    <xf numFmtId="0" fontId="8" fillId="0" borderId="19" xfId="4" applyFont="1" applyBorder="1" applyAlignment="1">
      <alignment horizontal="center"/>
    </xf>
    <xf numFmtId="0" fontId="8" fillId="0" borderId="20" xfId="4" applyFont="1" applyBorder="1" applyAlignment="1">
      <alignment horizontal="right"/>
    </xf>
    <xf numFmtId="3" fontId="8" fillId="0" borderId="20" xfId="4" applyNumberFormat="1" applyFont="1" applyBorder="1" applyAlignment="1">
      <alignment horizontal="right"/>
    </xf>
    <xf numFmtId="0" fontId="8" fillId="0" borderId="21" xfId="4" applyFont="1" applyBorder="1" applyAlignment="1">
      <alignment horizontal="right"/>
    </xf>
    <xf numFmtId="0" fontId="8" fillId="0" borderId="22" xfId="4" applyFont="1" applyBorder="1" applyAlignment="1">
      <alignment horizontal="right"/>
    </xf>
    <xf numFmtId="0" fontId="8" fillId="0" borderId="23" xfId="4" applyFont="1" applyBorder="1" applyAlignment="1">
      <alignment horizontal="right"/>
    </xf>
    <xf numFmtId="3" fontId="8" fillId="0" borderId="7" xfId="4" applyNumberFormat="1" applyFont="1" applyBorder="1"/>
    <xf numFmtId="3" fontId="8" fillId="0" borderId="24" xfId="4" applyNumberFormat="1" applyFont="1" applyBorder="1"/>
    <xf numFmtId="3" fontId="8" fillId="0" borderId="0" xfId="4" applyNumberFormat="1" applyFont="1"/>
    <xf numFmtId="3" fontId="8" fillId="0" borderId="25" xfId="4" applyNumberFormat="1" applyFont="1" applyBorder="1"/>
    <xf numFmtId="0" fontId="8" fillId="0" borderId="19" xfId="4" applyFont="1" applyBorder="1" applyAlignment="1">
      <alignment horizontal="left"/>
    </xf>
    <xf numFmtId="3" fontId="8" fillId="0" borderId="26" xfId="4" applyNumberFormat="1" applyFont="1" applyBorder="1"/>
    <xf numFmtId="3" fontId="8" fillId="0" borderId="20" xfId="4" applyNumberFormat="1" applyFont="1" applyBorder="1"/>
    <xf numFmtId="3" fontId="8" fillId="0" borderId="21" xfId="4" applyNumberFormat="1" applyFont="1" applyBorder="1"/>
    <xf numFmtId="3" fontId="8" fillId="0" borderId="23" xfId="4" applyNumberFormat="1" applyFont="1" applyBorder="1"/>
    <xf numFmtId="0" fontId="8" fillId="0" borderId="0" xfId="4" applyFont="1" applyAlignment="1">
      <alignment horizontal="left"/>
    </xf>
    <xf numFmtId="0" fontId="8" fillId="0" borderId="0" xfId="4" quotePrefix="1" applyFont="1" applyAlignment="1">
      <alignment horizontal="left"/>
    </xf>
    <xf numFmtId="0" fontId="5" fillId="0" borderId="0" xfId="4" applyNumberFormat="1" applyFont="1" applyAlignment="1">
      <alignment horizontal="left"/>
    </xf>
    <xf numFmtId="0" fontId="8" fillId="0" borderId="0" xfId="4" applyAlignment="1">
      <alignment horizontal="left"/>
    </xf>
    <xf numFmtId="0" fontId="11" fillId="0" borderId="0" xfId="4" applyFont="1" applyAlignment="1">
      <alignment horizontal="left"/>
    </xf>
    <xf numFmtId="0" fontId="12" fillId="0" borderId="0" xfId="4" applyFont="1" applyAlignment="1">
      <alignment horizontal="left"/>
    </xf>
    <xf numFmtId="0" fontId="13" fillId="0" borderId="0" xfId="4" applyFont="1"/>
    <xf numFmtId="0" fontId="14" fillId="0" borderId="0" xfId="4" applyFont="1"/>
    <xf numFmtId="164" fontId="15" fillId="0" borderId="0" xfId="4" applyNumberFormat="1" applyFont="1"/>
    <xf numFmtId="170" fontId="33" fillId="0" borderId="0" xfId="1" applyNumberFormat="1" applyFont="1"/>
    <xf numFmtId="171" fontId="8" fillId="0" borderId="0" xfId="4" applyNumberFormat="1"/>
    <xf numFmtId="0" fontId="15" fillId="0" borderId="0" xfId="4" applyFont="1"/>
    <xf numFmtId="170" fontId="8" fillId="0" borderId="0" xfId="4" applyNumberFormat="1" applyAlignment="1" applyProtection="1">
      <alignment horizontal="right"/>
    </xf>
    <xf numFmtId="170" fontId="8" fillId="0" borderId="0" xfId="4" applyNumberFormat="1"/>
    <xf numFmtId="0" fontId="15" fillId="0" borderId="0" xfId="4" applyFont="1" applyAlignment="1" applyProtection="1">
      <alignment horizontal="left"/>
    </xf>
    <xf numFmtId="0" fontId="15" fillId="0" borderId="0" xfId="4" applyFont="1" applyAlignment="1">
      <alignment horizontal="left"/>
    </xf>
    <xf numFmtId="172" fontId="16" fillId="0" borderId="0" xfId="5" applyFont="1"/>
    <xf numFmtId="172" fontId="13" fillId="0" borderId="0" xfId="5" applyNumberFormat="1" applyAlignment="1" applyProtection="1">
      <alignment horizontal="right"/>
    </xf>
    <xf numFmtId="171" fontId="13" fillId="0" borderId="0" xfId="5" applyNumberFormat="1" applyAlignment="1" applyProtection="1">
      <alignment horizontal="right"/>
    </xf>
    <xf numFmtId="172" fontId="13" fillId="0" borderId="0" xfId="5"/>
    <xf numFmtId="172" fontId="16" fillId="0" borderId="0" xfId="5" applyFont="1" applyAlignment="1" applyProtection="1">
      <alignment horizontal="left"/>
    </xf>
    <xf numFmtId="172" fontId="14" fillId="0" borderId="0" xfId="5" applyFont="1"/>
    <xf numFmtId="171" fontId="13" fillId="0" borderId="0" xfId="5" applyNumberFormat="1" applyProtection="1"/>
    <xf numFmtId="172" fontId="14" fillId="0" borderId="0" xfId="5" applyFont="1" applyAlignment="1">
      <alignment horizontal="left"/>
    </xf>
    <xf numFmtId="171" fontId="14" fillId="0" borderId="0" xfId="5" applyNumberFormat="1" applyFont="1" applyProtection="1"/>
    <xf numFmtId="172" fontId="14" fillId="0" borderId="0" xfId="5" applyFont="1" applyAlignment="1">
      <alignment horizontal="right"/>
    </xf>
    <xf numFmtId="172" fontId="13" fillId="0" borderId="0" xfId="5" applyAlignment="1">
      <alignment horizontal="left"/>
    </xf>
    <xf numFmtId="173" fontId="14" fillId="0" borderId="0" xfId="5" applyNumberFormat="1" applyFont="1" applyAlignment="1" applyProtection="1">
      <alignment horizontal="right"/>
    </xf>
    <xf numFmtId="171" fontId="13" fillId="0" borderId="0" xfId="5" applyNumberFormat="1"/>
    <xf numFmtId="43" fontId="33" fillId="0" borderId="0" xfId="1" applyFont="1"/>
    <xf numFmtId="173" fontId="13" fillId="0" borderId="0" xfId="5" applyNumberFormat="1"/>
    <xf numFmtId="164" fontId="15" fillId="0" borderId="0" xfId="5" applyNumberFormat="1" applyFont="1"/>
    <xf numFmtId="172" fontId="15" fillId="0" borderId="0" xfId="5" applyFont="1" applyAlignment="1" applyProtection="1">
      <alignment horizontal="left"/>
    </xf>
    <xf numFmtId="171" fontId="13" fillId="0" borderId="0" xfId="5" applyNumberFormat="1" applyAlignment="1">
      <alignment horizontal="right"/>
    </xf>
    <xf numFmtId="0" fontId="6" fillId="0" borderId="0" xfId="4" applyFont="1" applyAlignment="1"/>
    <xf numFmtId="0" fontId="6" fillId="0" borderId="8" xfId="4" applyFont="1" applyBorder="1" applyAlignment="1"/>
    <xf numFmtId="0" fontId="8" fillId="0" borderId="2" xfId="4" applyBorder="1"/>
    <xf numFmtId="0" fontId="8" fillId="0" borderId="6" xfId="4" applyBorder="1"/>
    <xf numFmtId="0" fontId="8" fillId="0" borderId="7" xfId="4" applyBorder="1"/>
    <xf numFmtId="0" fontId="8" fillId="0" borderId="16" xfId="4" applyBorder="1"/>
    <xf numFmtId="0" fontId="14" fillId="0" borderId="9" xfId="4" applyFont="1" applyBorder="1" applyAlignment="1">
      <alignment horizontal="center" vertical="center" wrapText="1"/>
    </xf>
    <xf numFmtId="174" fontId="14" fillId="0" borderId="0" xfId="4" applyNumberFormat="1" applyFont="1"/>
    <xf numFmtId="164" fontId="15" fillId="0" borderId="0" xfId="4" applyNumberFormat="1" applyFont="1" applyAlignment="1">
      <alignment horizontal="right" indent="1"/>
    </xf>
    <xf numFmtId="174" fontId="15" fillId="0" borderId="0" xfId="4" applyNumberFormat="1" applyFont="1" applyAlignment="1">
      <alignment horizontal="left" indent="1"/>
    </xf>
    <xf numFmtId="0" fontId="14" fillId="0" borderId="0" xfId="4" applyNumberFormat="1" applyFont="1" applyAlignment="1">
      <alignment horizontal="left"/>
    </xf>
    <xf numFmtId="0" fontId="14" fillId="0" borderId="0" xfId="4" applyFont="1" applyAlignment="1">
      <alignment horizontal="left" indent="1"/>
    </xf>
    <xf numFmtId="174" fontId="15" fillId="0" borderId="0" xfId="4" applyNumberFormat="1" applyFont="1" applyAlignment="1">
      <alignment horizontal="left" indent="2"/>
    </xf>
    <xf numFmtId="0" fontId="15" fillId="0" borderId="0" xfId="4" applyFont="1" applyBorder="1"/>
    <xf numFmtId="174" fontId="15" fillId="0" borderId="0" xfId="4" applyNumberFormat="1" applyFont="1" applyAlignment="1">
      <alignment horizontal="left" indent="3"/>
    </xf>
    <xf numFmtId="0" fontId="14" fillId="0" borderId="0" xfId="4" applyFont="1" applyAlignment="1">
      <alignment horizontal="left"/>
    </xf>
    <xf numFmtId="0" fontId="8" fillId="0" borderId="8" xfId="4" applyBorder="1"/>
    <xf numFmtId="164" fontId="15" fillId="0" borderId="8" xfId="4" applyNumberFormat="1" applyFont="1" applyBorder="1" applyAlignment="1">
      <alignment horizontal="right" indent="1"/>
    </xf>
    <xf numFmtId="0" fontId="14" fillId="0" borderId="0" xfId="4" applyNumberFormat="1" applyFont="1" applyAlignment="1">
      <alignment horizontal="left" indent="2"/>
    </xf>
    <xf numFmtId="174" fontId="15" fillId="0" borderId="0" xfId="4" applyNumberFormat="1" applyFont="1" applyAlignment="1">
      <alignment horizontal="left" indent="4"/>
    </xf>
    <xf numFmtId="174" fontId="15" fillId="0" borderId="0" xfId="4" applyNumberFormat="1" applyFont="1"/>
    <xf numFmtId="0" fontId="14" fillId="0" borderId="0" xfId="4" applyNumberFormat="1" applyFont="1" applyAlignment="1">
      <alignment horizontal="left" indent="1"/>
    </xf>
    <xf numFmtId="0" fontId="15" fillId="0" borderId="0" xfId="4" applyNumberFormat="1" applyFont="1" applyAlignment="1">
      <alignment horizontal="left" indent="2"/>
    </xf>
    <xf numFmtId="0" fontId="14" fillId="0" borderId="0" xfId="4" applyNumberFormat="1" applyFont="1"/>
    <xf numFmtId="0" fontId="15" fillId="0" borderId="8" xfId="4" applyFont="1" applyBorder="1"/>
    <xf numFmtId="0" fontId="5" fillId="0" borderId="0" xfId="4" applyFont="1"/>
    <xf numFmtId="16" fontId="5" fillId="0" borderId="0" xfId="4" quotePrefix="1" applyNumberFormat="1" applyFont="1"/>
    <xf numFmtId="3" fontId="0" fillId="8" borderId="0" xfId="0" applyNumberFormat="1" applyFill="1"/>
    <xf numFmtId="0" fontId="0" fillId="8" borderId="0" xfId="0" applyFill="1"/>
    <xf numFmtId="0" fontId="18" fillId="0" borderId="0" xfId="6" applyFont="1" applyFill="1"/>
    <xf numFmtId="0" fontId="6" fillId="0" borderId="0" xfId="6" applyFont="1" applyFill="1" applyAlignment="1">
      <alignment horizontal="center"/>
    </xf>
    <xf numFmtId="0" fontId="20" fillId="0" borderId="0" xfId="6" applyFont="1" applyFill="1"/>
    <xf numFmtId="164" fontId="6" fillId="0" borderId="0" xfId="6" applyNumberFormat="1" applyFont="1" applyFill="1" applyAlignment="1">
      <alignment horizontal="center"/>
    </xf>
    <xf numFmtId="1" fontId="6" fillId="0" borderId="0" xfId="6" applyNumberFormat="1" applyFont="1" applyFill="1" applyAlignment="1">
      <alignment horizontal="center"/>
    </xf>
    <xf numFmtId="0" fontId="21" fillId="0" borderId="0" xfId="6" applyFont="1" applyFill="1"/>
    <xf numFmtId="0" fontId="21" fillId="0" borderId="0" xfId="6" applyFont="1" applyFill="1" applyAlignment="1">
      <alignment horizontal="left"/>
    </xf>
    <xf numFmtId="1" fontId="22" fillId="0" borderId="0" xfId="2" applyNumberFormat="1" applyFont="1" applyFill="1" applyAlignment="1">
      <alignment horizontal="left"/>
    </xf>
    <xf numFmtId="164" fontId="23" fillId="0" borderId="0" xfId="6" applyNumberFormat="1" applyFont="1" applyFill="1" applyAlignment="1">
      <alignment horizontal="right"/>
    </xf>
    <xf numFmtId="0" fontId="23" fillId="0" borderId="0" xfId="6" applyFont="1" applyFill="1" applyAlignment="1">
      <alignment horizontal="right"/>
    </xf>
    <xf numFmtId="0" fontId="22" fillId="0" borderId="0" xfId="6" applyFont="1" applyFill="1"/>
    <xf numFmtId="0" fontId="23" fillId="0" borderId="0" xfId="6" applyFont="1" applyFill="1" applyAlignment="1">
      <alignment horizontal="left"/>
    </xf>
    <xf numFmtId="164" fontId="22" fillId="0" borderId="0" xfId="6" applyNumberFormat="1" applyFont="1" applyFill="1" applyAlignment="1">
      <alignment horizontal="right"/>
    </xf>
    <xf numFmtId="1" fontId="22" fillId="0" borderId="0" xfId="6" applyNumberFormat="1" applyFont="1" applyFill="1" applyAlignment="1">
      <alignment horizontal="right"/>
    </xf>
    <xf numFmtId="164" fontId="25" fillId="0" borderId="0" xfId="6" applyNumberFormat="1" applyFont="1" applyFill="1"/>
    <xf numFmtId="0" fontId="26" fillId="0" borderId="0" xfId="6" applyFont="1" applyFill="1"/>
    <xf numFmtId="0" fontId="27" fillId="0" borderId="0" xfId="6" applyFont="1" applyFill="1"/>
    <xf numFmtId="0" fontId="22" fillId="0" borderId="0" xfId="6" applyFont="1" applyFill="1" applyAlignment="1">
      <alignment horizontal="left" vertical="justify"/>
    </xf>
    <xf numFmtId="164" fontId="22" fillId="0" borderId="0" xfId="6" applyNumberFormat="1" applyFont="1" applyAlignment="1">
      <alignment horizontal="right" vertical="justify"/>
    </xf>
    <xf numFmtId="0" fontId="17" fillId="0" borderId="0" xfId="6" applyFill="1"/>
    <xf numFmtId="164" fontId="22" fillId="0" borderId="0" xfId="6" applyNumberFormat="1" applyFont="1" applyFill="1"/>
    <xf numFmtId="164" fontId="22" fillId="0" borderId="0" xfId="6" applyNumberFormat="1" applyFont="1" applyFill="1" applyAlignment="1">
      <alignment horizontal="right" vertical="justify"/>
    </xf>
    <xf numFmtId="0" fontId="22" fillId="0" borderId="0" xfId="6" applyFont="1" applyFill="1" applyAlignment="1">
      <alignment horizontal="left"/>
    </xf>
    <xf numFmtId="164" fontId="22" fillId="0" borderId="0" xfId="6" applyNumberFormat="1" applyFont="1" applyAlignment="1">
      <alignment horizontal="right"/>
    </xf>
    <xf numFmtId="164" fontId="26" fillId="0" borderId="0" xfId="6" applyNumberFormat="1" applyFont="1" applyFill="1" applyAlignment="1">
      <alignment horizontal="right"/>
    </xf>
    <xf numFmtId="0" fontId="22" fillId="0" borderId="0" xfId="6" applyFont="1" applyAlignment="1">
      <alignment horizontal="left" vertical="justify"/>
    </xf>
    <xf numFmtId="164" fontId="22" fillId="0" borderId="0" xfId="6" applyNumberFormat="1" applyFont="1"/>
    <xf numFmtId="175" fontId="25" fillId="0" borderId="0" xfId="9" applyNumberFormat="1" applyFont="1" applyFill="1"/>
    <xf numFmtId="164" fontId="22" fillId="0" borderId="0" xfId="6" applyNumberFormat="1" applyFont="1" applyAlignment="1">
      <alignment horizontal="left" vertical="justify"/>
    </xf>
    <xf numFmtId="0" fontId="22" fillId="0" borderId="0" xfId="6" applyFont="1"/>
    <xf numFmtId="1" fontId="26" fillId="0" borderId="0" xfId="6" applyNumberFormat="1" applyFont="1" applyFill="1" applyAlignment="1">
      <alignment horizontal="right"/>
    </xf>
    <xf numFmtId="1" fontId="22" fillId="0" borderId="0" xfId="6" applyNumberFormat="1" applyFont="1" applyAlignment="1">
      <alignment horizontal="right"/>
    </xf>
    <xf numFmtId="175" fontId="28" fillId="0" borderId="0" xfId="9" applyNumberFormat="1" applyFont="1" applyFill="1" applyAlignment="1">
      <alignment horizontal="right"/>
    </xf>
    <xf numFmtId="0" fontId="29" fillId="0" borderId="0" xfId="6" applyFont="1" applyFill="1" applyAlignment="1">
      <alignment horizontal="right"/>
    </xf>
    <xf numFmtId="1" fontId="22" fillId="0" borderId="0" xfId="6" applyNumberFormat="1" applyFont="1" applyAlignment="1">
      <alignment horizontal="right" vertical="justify"/>
    </xf>
    <xf numFmtId="1" fontId="22" fillId="0" borderId="0" xfId="6" applyNumberFormat="1" applyFont="1" applyFill="1" applyAlignment="1">
      <alignment horizontal="right" vertical="justify"/>
    </xf>
    <xf numFmtId="164" fontId="27" fillId="0" borderId="0" xfId="6" applyNumberFormat="1" applyFont="1" applyFill="1" applyAlignment="1">
      <alignment horizontal="right"/>
    </xf>
    <xf numFmtId="0" fontId="21" fillId="0" borderId="27" xfId="6" applyFont="1" applyFill="1" applyBorder="1"/>
    <xf numFmtId="164" fontId="30" fillId="0" borderId="27" xfId="6" applyNumberFormat="1" applyFont="1" applyFill="1" applyBorder="1"/>
    <xf numFmtId="0" fontId="30" fillId="0" borderId="27" xfId="6" applyFont="1" applyFill="1" applyBorder="1" applyAlignment="1">
      <alignment horizontal="right"/>
    </xf>
    <xf numFmtId="1" fontId="30" fillId="0" borderId="27" xfId="6" applyNumberFormat="1" applyFont="1" applyFill="1" applyBorder="1"/>
    <xf numFmtId="0" fontId="30" fillId="0" borderId="27" xfId="6" applyFont="1" applyFill="1" applyBorder="1"/>
    <xf numFmtId="0" fontId="21" fillId="0" borderId="27" xfId="6" applyFont="1" applyFill="1" applyBorder="1" applyAlignment="1">
      <alignment horizontal="right"/>
    </xf>
    <xf numFmtId="0" fontId="30" fillId="0" borderId="0" xfId="7" applyFont="1"/>
    <xf numFmtId="0" fontId="30" fillId="0" borderId="0" xfId="6" applyFont="1" applyFill="1"/>
    <xf numFmtId="1" fontId="30" fillId="0" borderId="0" xfId="7" applyNumberFormat="1" applyFont="1" applyAlignment="1">
      <alignment horizontal="right"/>
    </xf>
    <xf numFmtId="0" fontId="30" fillId="0" borderId="0" xfId="8" applyFont="1"/>
    <xf numFmtId="0" fontId="32" fillId="0" borderId="0" xfId="7" applyFont="1"/>
    <xf numFmtId="0" fontId="22" fillId="0" borderId="0" xfId="8" applyFont="1" applyAlignment="1">
      <alignment horizontal="left"/>
    </xf>
    <xf numFmtId="0" fontId="32" fillId="0" borderId="0" xfId="7" applyFont="1" applyFill="1"/>
    <xf numFmtId="0" fontId="22" fillId="0" borderId="0" xfId="7" applyFont="1" applyFill="1"/>
    <xf numFmtId="1" fontId="22" fillId="0" borderId="0" xfId="7" applyNumberFormat="1" applyFont="1" applyAlignment="1">
      <alignment horizontal="left"/>
    </xf>
    <xf numFmtId="0" fontId="22" fillId="0" borderId="0" xfId="7" applyFont="1"/>
    <xf numFmtId="0" fontId="22" fillId="0" borderId="0" xfId="6" applyFont="1" applyAlignment="1">
      <alignment horizontal="left"/>
    </xf>
    <xf numFmtId="0" fontId="30" fillId="0" borderId="0" xfId="6" applyFont="1" applyAlignment="1">
      <alignment horizontal="left"/>
    </xf>
    <xf numFmtId="164" fontId="25" fillId="0" borderId="0" xfId="6" applyNumberFormat="1" applyFont="1" applyFill="1" applyAlignment="1">
      <alignment horizontal="right"/>
    </xf>
    <xf numFmtId="1" fontId="25" fillId="0" borderId="0" xfId="6" applyNumberFormat="1" applyFont="1" applyFill="1" applyAlignment="1">
      <alignment horizontal="right"/>
    </xf>
    <xf numFmtId="0" fontId="30" fillId="0" borderId="0" xfId="8" applyFont="1" applyAlignment="1">
      <alignment horizontal="left"/>
    </xf>
    <xf numFmtId="0" fontId="27" fillId="0" borderId="0" xfId="6" applyFont="1" applyFill="1" applyAlignment="1">
      <alignment horizontal="left"/>
    </xf>
    <xf numFmtId="164" fontId="29" fillId="0" borderId="0" xfId="6" applyNumberFormat="1" applyFont="1" applyFill="1" applyAlignment="1">
      <alignment horizontal="right"/>
    </xf>
    <xf numFmtId="1" fontId="29" fillId="0" borderId="0" xfId="6" applyNumberFormat="1" applyFont="1" applyFill="1" applyAlignment="1">
      <alignment horizontal="right"/>
    </xf>
    <xf numFmtId="1" fontId="27" fillId="0" borderId="0" xfId="6" applyNumberFormat="1" applyFont="1" applyFill="1" applyAlignment="1">
      <alignment horizontal="right"/>
    </xf>
    <xf numFmtId="169" fontId="0" fillId="0" borderId="0" xfId="0" applyNumberFormat="1"/>
    <xf numFmtId="164" fontId="0" fillId="7" borderId="0" xfId="0" applyNumberFormat="1" applyFill="1"/>
    <xf numFmtId="0" fontId="37" fillId="0" borderId="0" xfId="0" applyFont="1"/>
    <xf numFmtId="0" fontId="0" fillId="9" borderId="0" xfId="0" applyFill="1"/>
    <xf numFmtId="0" fontId="0" fillId="10" borderId="0" xfId="0" applyFill="1"/>
    <xf numFmtId="0" fontId="0" fillId="11" borderId="0" xfId="0" applyFill="1"/>
    <xf numFmtId="166" fontId="0" fillId="7" borderId="0" xfId="0" applyNumberFormat="1" applyFill="1"/>
    <xf numFmtId="175" fontId="0" fillId="0" borderId="0" xfId="10" applyNumberFormat="1" applyFont="1"/>
    <xf numFmtId="166" fontId="0" fillId="12" borderId="0" xfId="0" applyNumberFormat="1" applyFill="1"/>
    <xf numFmtId="164" fontId="8" fillId="0" borderId="0" xfId="4" applyNumberFormat="1"/>
    <xf numFmtId="0" fontId="7" fillId="0" borderId="0" xfId="3" applyFont="1"/>
    <xf numFmtId="0" fontId="7" fillId="0" borderId="0" xfId="3" applyFont="1" applyAlignment="1">
      <alignment horizontal="left"/>
    </xf>
    <xf numFmtId="0" fontId="5" fillId="0" borderId="1" xfId="3" applyBorder="1"/>
    <xf numFmtId="0" fontId="7" fillId="13" borderId="20" xfId="3" applyFont="1" applyFill="1" applyBorder="1" applyAlignment="1">
      <alignment horizontal="center"/>
    </xf>
    <xf numFmtId="0" fontId="7" fillId="0" borderId="1" xfId="3" applyFont="1" applyBorder="1" applyAlignment="1">
      <alignment horizontal="center"/>
    </xf>
    <xf numFmtId="0" fontId="7" fillId="14" borderId="1" xfId="3" applyFont="1" applyFill="1" applyBorder="1" applyAlignment="1">
      <alignment horizontal="center"/>
    </xf>
    <xf numFmtId="0" fontId="7" fillId="2" borderId="20" xfId="3" applyFont="1" applyFill="1" applyBorder="1" applyAlignment="1">
      <alignment horizontal="center"/>
    </xf>
    <xf numFmtId="0" fontId="7" fillId="15" borderId="1" xfId="3" applyFont="1" applyFill="1" applyBorder="1" applyAlignment="1">
      <alignment horizontal="center"/>
    </xf>
    <xf numFmtId="0" fontId="7" fillId="0" borderId="0" xfId="3" applyFont="1" applyBorder="1" applyAlignment="1">
      <alignment horizontal="center"/>
    </xf>
    <xf numFmtId="0" fontId="7" fillId="0" borderId="25" xfId="3" applyFont="1" applyBorder="1" applyAlignment="1">
      <alignment horizontal="center"/>
    </xf>
    <xf numFmtId="0" fontId="7" fillId="0" borderId="7" xfId="3" applyFont="1" applyBorder="1" applyAlignment="1">
      <alignment horizontal="center"/>
    </xf>
    <xf numFmtId="0" fontId="7" fillId="0" borderId="32" xfId="3" applyFont="1" applyBorder="1" applyAlignment="1">
      <alignment horizontal="center"/>
    </xf>
    <xf numFmtId="0" fontId="7" fillId="0" borderId="0" xfId="3" applyFont="1" applyFill="1" applyBorder="1" applyAlignment="1">
      <alignment horizontal="center"/>
    </xf>
    <xf numFmtId="0" fontId="7" fillId="0" borderId="0" xfId="3" applyFont="1" applyAlignment="1">
      <alignment horizontal="center"/>
    </xf>
    <xf numFmtId="2" fontId="5" fillId="0" borderId="0" xfId="3" applyNumberFormat="1" applyAlignment="1">
      <alignment horizontal="center"/>
    </xf>
    <xf numFmtId="2" fontId="5" fillId="0" borderId="25" xfId="3" applyNumberFormat="1" applyBorder="1" applyAlignment="1">
      <alignment horizontal="center"/>
    </xf>
    <xf numFmtId="2" fontId="5" fillId="0" borderId="7" xfId="3" applyNumberFormat="1" applyBorder="1" applyAlignment="1">
      <alignment horizontal="center"/>
    </xf>
    <xf numFmtId="2" fontId="5" fillId="0" borderId="0" xfId="3" applyNumberFormat="1" applyBorder="1" applyAlignment="1">
      <alignment horizontal="center"/>
    </xf>
    <xf numFmtId="2" fontId="5" fillId="0" borderId="0" xfId="3" applyNumberFormat="1"/>
    <xf numFmtId="2" fontId="5" fillId="17" borderId="0" xfId="3" applyNumberFormat="1" applyFill="1" applyBorder="1" applyAlignment="1">
      <alignment horizontal="center"/>
    </xf>
    <xf numFmtId="2" fontId="5" fillId="0" borderId="0" xfId="3" applyNumberFormat="1" applyFill="1" applyBorder="1" applyAlignment="1">
      <alignment horizontal="center"/>
    </xf>
    <xf numFmtId="0" fontId="7" fillId="2" borderId="1" xfId="3" applyFont="1" applyFill="1" applyBorder="1" applyAlignment="1">
      <alignment horizontal="center"/>
    </xf>
    <xf numFmtId="0" fontId="5" fillId="0" borderId="0" xfId="3" applyBorder="1" applyAlignment="1">
      <alignment horizontal="center"/>
    </xf>
    <xf numFmtId="4" fontId="5" fillId="0" borderId="0" xfId="3" applyNumberFormat="1"/>
    <xf numFmtId="0" fontId="7" fillId="0" borderId="8" xfId="3" applyFont="1" applyBorder="1" applyAlignment="1">
      <alignment horizontal="center"/>
    </xf>
    <xf numFmtId="0" fontId="7" fillId="14" borderId="20" xfId="3" applyFont="1" applyFill="1" applyBorder="1" applyAlignment="1">
      <alignment horizontal="center"/>
    </xf>
    <xf numFmtId="0" fontId="7" fillId="2" borderId="23" xfId="3" applyFont="1" applyFill="1" applyBorder="1" applyAlignment="1">
      <alignment horizontal="center"/>
    </xf>
    <xf numFmtId="0" fontId="5" fillId="16" borderId="1" xfId="3" applyFill="1" applyBorder="1"/>
    <xf numFmtId="0" fontId="5" fillId="0" borderId="0" xfId="3" applyFont="1"/>
    <xf numFmtId="2" fontId="7" fillId="0" borderId="0" xfId="3" applyNumberFormat="1" applyFont="1" applyAlignment="1">
      <alignment horizontal="center"/>
    </xf>
    <xf numFmtId="0" fontId="7" fillId="13" borderId="8" xfId="3" applyFont="1" applyFill="1" applyBorder="1" applyAlignment="1">
      <alignment horizontal="center"/>
    </xf>
    <xf numFmtId="2" fontId="5" fillId="0" borderId="0" xfId="3" applyNumberFormat="1" applyFill="1" applyAlignment="1">
      <alignment horizontal="center"/>
    </xf>
    <xf numFmtId="0" fontId="5" fillId="0" borderId="0" xfId="3" applyAlignment="1">
      <alignment horizontal="center"/>
    </xf>
    <xf numFmtId="168" fontId="5" fillId="0" borderId="0" xfId="3" applyNumberFormat="1"/>
    <xf numFmtId="0" fontId="5" fillId="7" borderId="0" xfId="3" applyFill="1"/>
    <xf numFmtId="0" fontId="5" fillId="6" borderId="0" xfId="3" applyFill="1"/>
    <xf numFmtId="0" fontId="0" fillId="0" borderId="0" xfId="0" applyAlignment="1">
      <alignment horizontal="center"/>
    </xf>
    <xf numFmtId="168" fontId="0" fillId="6" borderId="0" xfId="0" applyNumberFormat="1" applyFill="1"/>
    <xf numFmtId="0" fontId="0" fillId="0" borderId="0" xfId="0" applyAlignment="1">
      <alignment horizontal="center"/>
    </xf>
    <xf numFmtId="0" fontId="0" fillId="0" borderId="1" xfId="0" applyBorder="1" applyAlignment="1">
      <alignment wrapText="1"/>
    </xf>
    <xf numFmtId="3" fontId="0" fillId="0" borderId="0" xfId="0" applyNumberFormat="1" applyAlignment="1"/>
    <xf numFmtId="166" fontId="0" fillId="0" borderId="0" xfId="0" applyNumberFormat="1" applyAlignment="1"/>
    <xf numFmtId="166" fontId="0" fillId="0" borderId="0" xfId="0" applyNumberFormat="1" applyAlignment="1">
      <alignment horizontal="center"/>
    </xf>
    <xf numFmtId="168" fontId="0" fillId="9" borderId="0" xfId="0" applyNumberFormat="1" applyFill="1"/>
    <xf numFmtId="168" fontId="0" fillId="7" borderId="0" xfId="0" applyNumberFormat="1" applyFill="1"/>
    <xf numFmtId="177" fontId="0" fillId="0" borderId="0" xfId="0" applyNumberFormat="1"/>
    <xf numFmtId="0" fontId="0" fillId="18" borderId="0" xfId="0" applyFill="1"/>
    <xf numFmtId="0" fontId="0" fillId="0" borderId="1" xfId="0" applyFill="1" applyBorder="1" applyAlignment="1">
      <alignment horizontal="center"/>
    </xf>
    <xf numFmtId="2" fontId="0" fillId="0" borderId="1" xfId="0" applyNumberFormat="1" applyBorder="1"/>
    <xf numFmtId="0" fontId="40" fillId="0" borderId="0" xfId="0" applyFont="1"/>
    <xf numFmtId="0" fontId="41" fillId="0" borderId="0" xfId="0" applyFont="1"/>
    <xf numFmtId="0" fontId="0" fillId="0" borderId="0" xfId="0" applyBorder="1"/>
    <xf numFmtId="0" fontId="0" fillId="0" borderId="8" xfId="0" applyBorder="1" applyAlignment="1">
      <alignment horizontal="center"/>
    </xf>
    <xf numFmtId="3" fontId="0" fillId="0" borderId="0" xfId="0" applyNumberFormat="1" applyAlignment="1">
      <alignment horizontal="right" indent="1"/>
    </xf>
    <xf numFmtId="0" fontId="42" fillId="0" borderId="0" xfId="0" applyFont="1" applyAlignment="1">
      <alignment horizontal="right"/>
    </xf>
    <xf numFmtId="168" fontId="0" fillId="0" borderId="0" xfId="0" applyNumberFormat="1" applyFill="1"/>
    <xf numFmtId="0" fontId="0" fillId="0" borderId="0" xfId="0"/>
    <xf numFmtId="0" fontId="34" fillId="0" borderId="0" xfId="0" applyFont="1"/>
    <xf numFmtId="3" fontId="0" fillId="0" borderId="0" xfId="0" applyNumberFormat="1"/>
    <xf numFmtId="164" fontId="0" fillId="0" borderId="0" xfId="0" applyNumberFormat="1"/>
    <xf numFmtId="164" fontId="0" fillId="6" borderId="0" xfId="0" applyNumberFormat="1" applyFill="1"/>
    <xf numFmtId="165" fontId="0" fillId="0" borderId="0" xfId="0" applyNumberFormat="1"/>
    <xf numFmtId="0" fontId="36" fillId="0" borderId="0" xfId="0" applyFont="1"/>
    <xf numFmtId="0" fontId="0" fillId="0" borderId="0" xfId="0"/>
    <xf numFmtId="0" fontId="34" fillId="0" borderId="0" xfId="0" applyFont="1"/>
    <xf numFmtId="3" fontId="0" fillId="0" borderId="0" xfId="0" applyNumberFormat="1"/>
    <xf numFmtId="164" fontId="0" fillId="0" borderId="0" xfId="0" applyNumberFormat="1"/>
    <xf numFmtId="164" fontId="0" fillId="6" borderId="0" xfId="0" applyNumberFormat="1" applyFill="1"/>
    <xf numFmtId="165" fontId="0" fillId="0" borderId="0" xfId="0" applyNumberFormat="1"/>
    <xf numFmtId="0" fontId="36" fillId="0" borderId="0" xfId="0" applyFont="1"/>
    <xf numFmtId="0" fontId="44" fillId="0" borderId="0" xfId="0" applyFont="1"/>
    <xf numFmtId="0" fontId="0" fillId="19" borderId="0" xfId="0" applyFill="1"/>
    <xf numFmtId="3" fontId="0" fillId="20" borderId="0" xfId="0" applyNumberFormat="1" applyFill="1"/>
    <xf numFmtId="0" fontId="0" fillId="21" borderId="0" xfId="0" applyFill="1"/>
    <xf numFmtId="0" fontId="0" fillId="22" borderId="0" xfId="0" applyFill="1"/>
    <xf numFmtId="0" fontId="0" fillId="23" borderId="0" xfId="0" applyFill="1"/>
    <xf numFmtId="0" fontId="0" fillId="24" borderId="0" xfId="0" applyFill="1"/>
    <xf numFmtId="164" fontId="0" fillId="0" borderId="0" xfId="0" applyNumberFormat="1" applyFill="1"/>
    <xf numFmtId="0" fontId="5" fillId="0" borderId="0" xfId="3" quotePrefix="1"/>
    <xf numFmtId="15" fontId="8" fillId="0" borderId="0" xfId="4" applyNumberFormat="1" applyFont="1"/>
    <xf numFmtId="0" fontId="45" fillId="0" borderId="0" xfId="3" applyFont="1"/>
    <xf numFmtId="0" fontId="47" fillId="0" borderId="0" xfId="3" applyFont="1"/>
    <xf numFmtId="0" fontId="48" fillId="0" borderId="0" xfId="3" applyFont="1" applyAlignment="1">
      <alignment horizontal="left"/>
    </xf>
    <xf numFmtId="0" fontId="49" fillId="0" borderId="0" xfId="3" applyFont="1"/>
    <xf numFmtId="1" fontId="48" fillId="0" borderId="0" xfId="12" applyNumberFormat="1" applyFont="1" applyAlignment="1">
      <alignment horizontal="left"/>
    </xf>
    <xf numFmtId="0" fontId="42" fillId="0" borderId="0" xfId="3" applyFont="1" applyAlignment="1">
      <alignment horizontal="right"/>
    </xf>
    <xf numFmtId="0" fontId="47" fillId="0" borderId="0" xfId="3" applyFont="1" applyAlignment="1">
      <alignment horizontal="left" vertical="center"/>
    </xf>
    <xf numFmtId="164" fontId="42" fillId="0" borderId="0" xfId="3" applyNumberFormat="1" applyFont="1" applyAlignment="1">
      <alignment horizontal="left"/>
    </xf>
    <xf numFmtId="164" fontId="47" fillId="0" borderId="0" xfId="3" applyNumberFormat="1" applyFont="1" applyAlignment="1">
      <alignment horizontal="right"/>
    </xf>
    <xf numFmtId="0" fontId="47" fillId="0" borderId="0" xfId="3" applyFont="1" applyAlignment="1">
      <alignment horizontal="right"/>
    </xf>
    <xf numFmtId="164" fontId="48" fillId="0" borderId="0" xfId="3" applyNumberFormat="1" applyFont="1" applyAlignment="1">
      <alignment horizontal="right"/>
    </xf>
    <xf numFmtId="164" fontId="48" fillId="0" borderId="0" xfId="3" applyNumberFormat="1" applyFont="1" applyAlignment="1">
      <alignment horizontal="right" vertical="center"/>
    </xf>
    <xf numFmtId="164" fontId="42" fillId="0" borderId="0" xfId="3" applyNumberFormat="1" applyFont="1" applyAlignment="1">
      <alignment horizontal="right"/>
    </xf>
    <xf numFmtId="0" fontId="49" fillId="0" borderId="0" xfId="3" applyFont="1" applyAlignment="1">
      <alignment horizontal="right"/>
    </xf>
    <xf numFmtId="164" fontId="49" fillId="0" borderId="0" xfId="3" applyNumberFormat="1" applyFont="1" applyAlignment="1">
      <alignment horizontal="right"/>
    </xf>
    <xf numFmtId="0" fontId="47" fillId="0" borderId="0" xfId="3" applyFont="1" applyAlignment="1">
      <alignment horizontal="left"/>
    </xf>
    <xf numFmtId="0" fontId="48" fillId="0" borderId="0" xfId="3" applyFont="1" applyAlignment="1">
      <alignment horizontal="right"/>
    </xf>
    <xf numFmtId="164" fontId="48" fillId="0" borderId="0" xfId="13" applyNumberFormat="1" applyFont="1" applyFill="1"/>
    <xf numFmtId="164" fontId="51" fillId="0" borderId="0" xfId="3" applyNumberFormat="1" applyFont="1" applyAlignment="1">
      <alignment horizontal="right"/>
    </xf>
    <xf numFmtId="0" fontId="48" fillId="0" borderId="0" xfId="3" applyFont="1" applyFill="1" applyAlignment="1">
      <alignment horizontal="right"/>
    </xf>
    <xf numFmtId="164" fontId="48" fillId="0" borderId="0" xfId="3" applyNumberFormat="1" applyFont="1" applyFill="1" applyAlignment="1">
      <alignment horizontal="right"/>
    </xf>
    <xf numFmtId="164" fontId="48" fillId="0" borderId="0" xfId="3" applyNumberFormat="1" applyFont="1"/>
    <xf numFmtId="164" fontId="16" fillId="0" borderId="0" xfId="3" applyNumberFormat="1" applyFont="1"/>
    <xf numFmtId="0" fontId="16" fillId="0" borderId="0" xfId="3" applyFont="1"/>
    <xf numFmtId="164" fontId="16" fillId="0" borderId="0" xfId="3" applyNumberFormat="1" applyFont="1" applyAlignment="1">
      <alignment horizontal="right"/>
    </xf>
    <xf numFmtId="164" fontId="47" fillId="0" borderId="0" xfId="3" applyNumberFormat="1" applyFont="1"/>
    <xf numFmtId="164" fontId="42" fillId="0" borderId="0" xfId="3" applyNumberFormat="1" applyFont="1"/>
    <xf numFmtId="1" fontId="48" fillId="0" borderId="0" xfId="3" applyNumberFormat="1" applyFont="1" applyAlignment="1">
      <alignment horizontal="right"/>
    </xf>
    <xf numFmtId="164" fontId="5" fillId="0" borderId="0" xfId="3" applyNumberFormat="1" applyFont="1"/>
    <xf numFmtId="0" fontId="52" fillId="0" borderId="0" xfId="3" applyFont="1" applyAlignment="1">
      <alignment horizontal="right"/>
    </xf>
    <xf numFmtId="0" fontId="42" fillId="0" borderId="0" xfId="3" applyFont="1"/>
    <xf numFmtId="164" fontId="49" fillId="0" borderId="0" xfId="3" applyNumberFormat="1" applyFont="1"/>
    <xf numFmtId="0" fontId="42" fillId="0" borderId="0" xfId="3" applyFont="1" applyAlignment="1">
      <alignment horizontal="left"/>
    </xf>
    <xf numFmtId="0" fontId="52" fillId="0" borderId="0" xfId="3" applyFont="1" applyAlignment="1">
      <alignment horizontal="left"/>
    </xf>
    <xf numFmtId="164" fontId="48" fillId="0" borderId="0" xfId="3" applyNumberFormat="1" applyFont="1" applyAlignment="1">
      <alignment horizontal="center"/>
    </xf>
    <xf numFmtId="0" fontId="48" fillId="0" borderId="0" xfId="3" applyFont="1"/>
    <xf numFmtId="164" fontId="42" fillId="0" borderId="0" xfId="3" applyNumberFormat="1" applyFont="1" applyAlignment="1">
      <alignment horizontal="center"/>
    </xf>
    <xf numFmtId="0" fontId="52" fillId="0" borderId="0" xfId="3" applyFont="1"/>
    <xf numFmtId="164" fontId="42" fillId="0" borderId="0" xfId="3" applyNumberFormat="1" applyFont="1" applyAlignment="1"/>
    <xf numFmtId="0" fontId="48" fillId="0" borderId="27" xfId="3" applyFont="1" applyBorder="1" applyAlignment="1">
      <alignment horizontal="left"/>
    </xf>
    <xf numFmtId="164" fontId="16" fillId="0" borderId="27" xfId="3" applyNumberFormat="1" applyFont="1" applyBorder="1"/>
    <xf numFmtId="0" fontId="16" fillId="0" borderId="0" xfId="14" applyFont="1" applyAlignment="1">
      <alignment horizontal="left"/>
    </xf>
    <xf numFmtId="166" fontId="0" fillId="0" borderId="0" xfId="0" applyNumberFormat="1" applyFill="1" applyAlignment="1"/>
    <xf numFmtId="177" fontId="0" fillId="9" borderId="0" xfId="0" applyNumberFormat="1" applyFill="1"/>
    <xf numFmtId="0" fontId="0" fillId="0" borderId="0" xfId="0"/>
    <xf numFmtId="0" fontId="34" fillId="0" borderId="0" xfId="0" applyFont="1"/>
    <xf numFmtId="0" fontId="0" fillId="6" borderId="0" xfId="0" applyFill="1"/>
    <xf numFmtId="3" fontId="0" fillId="0" borderId="0" xfId="0" applyNumberFormat="1"/>
    <xf numFmtId="164" fontId="0" fillId="0" borderId="0" xfId="0" applyNumberFormat="1"/>
    <xf numFmtId="164" fontId="0" fillId="6" borderId="0" xfId="0" applyNumberFormat="1" applyFill="1"/>
    <xf numFmtId="0" fontId="35" fillId="0" borderId="0" xfId="0" applyFont="1"/>
    <xf numFmtId="165" fontId="0" fillId="0" borderId="0" xfId="0" applyNumberFormat="1"/>
    <xf numFmtId="3" fontId="0" fillId="7" borderId="0" xfId="0" applyNumberFormat="1" applyFill="1"/>
    <xf numFmtId="0" fontId="0" fillId="18" borderId="0" xfId="0" applyFill="1"/>
    <xf numFmtId="0" fontId="36" fillId="0" borderId="0" xfId="0" applyFont="1"/>
    <xf numFmtId="3" fontId="0" fillId="0" borderId="0" xfId="0" applyNumberFormat="1" applyFill="1"/>
    <xf numFmtId="0" fontId="54" fillId="0" borderId="0" xfId="0" applyFont="1"/>
    <xf numFmtId="0" fontId="55" fillId="0" borderId="0" xfId="15"/>
    <xf numFmtId="0" fontId="5" fillId="0" borderId="0" xfId="3"/>
    <xf numFmtId="169" fontId="5" fillId="0" borderId="0" xfId="3" applyNumberFormat="1" applyAlignment="1">
      <alignment horizontal="right"/>
    </xf>
    <xf numFmtId="0" fontId="54" fillId="0" borderId="0" xfId="0" applyFont="1" applyAlignment="1"/>
    <xf numFmtId="3" fontId="0" fillId="6" borderId="0" xfId="0" applyNumberFormat="1" applyFill="1"/>
    <xf numFmtId="166" fontId="0" fillId="0" borderId="0" xfId="0" applyNumberFormat="1" applyFill="1"/>
    <xf numFmtId="3" fontId="54" fillId="0" borderId="0" xfId="0" applyNumberFormat="1" applyFont="1" applyFill="1"/>
    <xf numFmtId="0" fontId="5" fillId="0" borderId="0" xfId="3" applyAlignment="1">
      <alignment horizontal="right"/>
    </xf>
    <xf numFmtId="3" fontId="5" fillId="0" borderId="0" xfId="3" applyNumberFormat="1"/>
    <xf numFmtId="0" fontId="5" fillId="0" borderId="0" xfId="3" applyAlignment="1">
      <alignment horizontal="left"/>
    </xf>
    <xf numFmtId="0" fontId="5" fillId="0" borderId="1" xfId="3" applyBorder="1" applyAlignment="1">
      <alignment horizontal="right"/>
    </xf>
    <xf numFmtId="0" fontId="5" fillId="0" borderId="11" xfId="3" applyBorder="1" applyAlignment="1">
      <alignment horizontal="left"/>
    </xf>
    <xf numFmtId="0" fontId="5" fillId="0" borderId="12" xfId="3" applyBorder="1" applyAlignment="1">
      <alignment horizontal="left"/>
    </xf>
    <xf numFmtId="3" fontId="5" fillId="0" borderId="3" xfId="3" applyNumberFormat="1" applyBorder="1" applyAlignment="1">
      <alignment horizontal="center"/>
    </xf>
    <xf numFmtId="3" fontId="5" fillId="0" borderId="13" xfId="3" applyNumberFormat="1" applyBorder="1" applyAlignment="1">
      <alignment horizontal="center"/>
    </xf>
    <xf numFmtId="3" fontId="5" fillId="0" borderId="5" xfId="3" applyNumberFormat="1" applyBorder="1" applyAlignment="1">
      <alignment horizontal="center"/>
    </xf>
    <xf numFmtId="3" fontId="5" fillId="0" borderId="14" xfId="3" applyNumberFormat="1" applyBorder="1" applyAlignment="1">
      <alignment horizontal="center"/>
    </xf>
    <xf numFmtId="3" fontId="5" fillId="0" borderId="15" xfId="3" applyNumberFormat="1" applyBorder="1" applyAlignment="1">
      <alignment horizontal="center"/>
    </xf>
    <xf numFmtId="3" fontId="5" fillId="0" borderId="16" xfId="3" applyNumberFormat="1" applyBorder="1" applyAlignment="1">
      <alignment horizontal="center"/>
    </xf>
    <xf numFmtId="0" fontId="5" fillId="0" borderId="12" xfId="3" applyBorder="1" applyAlignment="1">
      <alignment horizontal="center"/>
    </xf>
    <xf numFmtId="3" fontId="5" fillId="0" borderId="7" xfId="3" applyNumberFormat="1" applyBorder="1" applyAlignment="1">
      <alignment horizontal="right"/>
    </xf>
    <xf numFmtId="3" fontId="5" fillId="0" borderId="6" xfId="3" applyNumberFormat="1" applyBorder="1" applyAlignment="1">
      <alignment horizontal="right"/>
    </xf>
    <xf numFmtId="3" fontId="5" fillId="0" borderId="17" xfId="3" applyNumberFormat="1" applyBorder="1" applyAlignment="1">
      <alignment horizontal="right"/>
    </xf>
    <xf numFmtId="3" fontId="5" fillId="0" borderId="18" xfId="3" applyNumberFormat="1" applyBorder="1" applyAlignment="1">
      <alignment horizontal="right"/>
    </xf>
    <xf numFmtId="0" fontId="5" fillId="0" borderId="19" xfId="3" applyBorder="1" applyAlignment="1">
      <alignment horizontal="center"/>
    </xf>
    <xf numFmtId="3" fontId="5" fillId="0" borderId="20" xfId="3" applyNumberFormat="1" applyBorder="1" applyAlignment="1">
      <alignment horizontal="right"/>
    </xf>
    <xf numFmtId="3" fontId="5" fillId="0" borderId="21" xfId="3" applyNumberFormat="1" applyBorder="1" applyAlignment="1">
      <alignment horizontal="right"/>
    </xf>
    <xf numFmtId="3" fontId="5" fillId="0" borderId="22" xfId="3" applyNumberFormat="1" applyBorder="1" applyAlignment="1">
      <alignment horizontal="right"/>
    </xf>
    <xf numFmtId="3" fontId="5" fillId="0" borderId="23" xfId="3" applyNumberFormat="1" applyBorder="1" applyAlignment="1">
      <alignment horizontal="right"/>
    </xf>
    <xf numFmtId="3" fontId="5" fillId="0" borderId="7" xfId="3" applyNumberFormat="1" applyBorder="1"/>
    <xf numFmtId="3" fontId="5" fillId="0" borderId="24" xfId="3" applyNumberFormat="1" applyBorder="1"/>
    <xf numFmtId="166" fontId="5" fillId="0" borderId="0" xfId="3" applyNumberFormat="1"/>
    <xf numFmtId="0" fontId="5" fillId="0" borderId="19" xfId="3" applyBorder="1" applyAlignment="1">
      <alignment horizontal="left"/>
    </xf>
    <xf numFmtId="3" fontId="5" fillId="0" borderId="26" xfId="29" applyNumberFormat="1" applyBorder="1">
      <alignment horizontal="right"/>
    </xf>
    <xf numFmtId="3" fontId="5" fillId="0" borderId="20" xfId="29" applyNumberFormat="1" applyBorder="1">
      <alignment horizontal="right"/>
    </xf>
    <xf numFmtId="3" fontId="5" fillId="0" borderId="19" xfId="29" applyNumberFormat="1" applyBorder="1">
      <alignment horizontal="right"/>
    </xf>
    <xf numFmtId="3" fontId="5" fillId="0" borderId="23" xfId="29" applyNumberFormat="1" applyBorder="1">
      <alignment horizontal="right"/>
    </xf>
    <xf numFmtId="3" fontId="33" fillId="0" borderId="0" xfId="3" applyNumberFormat="1" applyFont="1"/>
    <xf numFmtId="0" fontId="11" fillId="0" borderId="0" xfId="3" applyFont="1" applyAlignment="1">
      <alignment horizontal="left"/>
    </xf>
    <xf numFmtId="0" fontId="61" fillId="26" borderId="0" xfId="30" applyFont="1" applyFill="1" applyProtection="1"/>
    <xf numFmtId="0" fontId="62" fillId="27" borderId="35" xfId="30" applyFont="1" applyFill="1" applyBorder="1" applyAlignment="1" applyProtection="1">
      <alignment horizontal="center"/>
    </xf>
    <xf numFmtId="0" fontId="60" fillId="0" borderId="0" xfId="30" applyFill="1" applyProtection="1"/>
    <xf numFmtId="0" fontId="63" fillId="0" borderId="35" xfId="30" applyFont="1" applyFill="1" applyBorder="1" applyAlignment="1" applyProtection="1">
      <alignment horizontal="center"/>
    </xf>
    <xf numFmtId="0" fontId="64" fillId="0" borderId="35" xfId="30" applyFont="1" applyFill="1" applyBorder="1" applyAlignment="1" applyProtection="1">
      <alignment horizontal="center"/>
    </xf>
    <xf numFmtId="164" fontId="60" fillId="0" borderId="0" xfId="30" applyNumberFormat="1" applyFill="1" applyProtection="1"/>
    <xf numFmtId="0" fontId="0" fillId="0" borderId="8" xfId="0" applyBorder="1"/>
    <xf numFmtId="169" fontId="0" fillId="0" borderId="8" xfId="0" applyNumberFormat="1" applyBorder="1"/>
    <xf numFmtId="9" fontId="8" fillId="0" borderId="0" xfId="4" applyNumberFormat="1"/>
    <xf numFmtId="0" fontId="0" fillId="28" borderId="0" xfId="0" applyFill="1"/>
    <xf numFmtId="0" fontId="0" fillId="0" borderId="0" xfId="0" applyFill="1" applyBorder="1"/>
    <xf numFmtId="0" fontId="0" fillId="20" borderId="0" xfId="0" applyFill="1"/>
    <xf numFmtId="168" fontId="0" fillId="25" borderId="0" xfId="0" applyNumberFormat="1" applyFill="1"/>
    <xf numFmtId="177" fontId="0" fillId="7" borderId="0" xfId="0" applyNumberFormat="1" applyFill="1"/>
    <xf numFmtId="177" fontId="0" fillId="8" borderId="0" xfId="0" applyNumberFormat="1" applyFill="1"/>
    <xf numFmtId="177" fontId="0" fillId="28" borderId="0" xfId="0" applyNumberFormat="1" applyFill="1"/>
    <xf numFmtId="167" fontId="0" fillId="0" borderId="0" xfId="0" applyNumberFormat="1"/>
    <xf numFmtId="0" fontId="0" fillId="0" borderId="0" xfId="0" applyAlignment="1">
      <alignment horizontal="center"/>
    </xf>
    <xf numFmtId="2" fontId="8" fillId="0" borderId="0" xfId="4" applyNumberFormat="1"/>
    <xf numFmtId="177" fontId="8" fillId="0" borderId="0" xfId="4" applyNumberFormat="1"/>
    <xf numFmtId="0" fontId="8" fillId="6" borderId="0" xfId="4" applyFill="1"/>
    <xf numFmtId="173" fontId="8" fillId="0" borderId="0" xfId="4" applyNumberFormat="1"/>
    <xf numFmtId="0" fontId="8" fillId="0" borderId="0" xfId="4" applyAlignment="1">
      <alignment horizontal="center"/>
    </xf>
    <xf numFmtId="0" fontId="5" fillId="0" borderId="0" xfId="4" applyFont="1" applyAlignment="1">
      <alignment horizontal="center"/>
    </xf>
    <xf numFmtId="0" fontId="5" fillId="0" borderId="0" xfId="0" applyFont="1"/>
    <xf numFmtId="3" fontId="0" fillId="9" borderId="0" xfId="0" applyNumberFormat="1" applyFill="1"/>
    <xf numFmtId="179" fontId="0" fillId="0" borderId="0" xfId="0" applyNumberFormat="1"/>
    <xf numFmtId="0" fontId="0" fillId="29" borderId="0" xfId="0" applyFill="1"/>
    <xf numFmtId="169" fontId="0" fillId="6" borderId="0" xfId="0" applyNumberFormat="1" applyFill="1"/>
    <xf numFmtId="0" fontId="65" fillId="0" borderId="0" xfId="0" applyFont="1"/>
    <xf numFmtId="169" fontId="0" fillId="30" borderId="0" xfId="0" applyNumberFormat="1" applyFill="1"/>
    <xf numFmtId="169" fontId="0" fillId="21" borderId="0" xfId="0" applyNumberFormat="1" applyFill="1"/>
    <xf numFmtId="169" fontId="0" fillId="7" borderId="0" xfId="0" applyNumberFormat="1" applyFill="1"/>
    <xf numFmtId="169" fontId="0" fillId="0" borderId="0" xfId="0" applyNumberFormat="1" applyFill="1"/>
    <xf numFmtId="0" fontId="66" fillId="0" borderId="0" xfId="0" applyFont="1"/>
    <xf numFmtId="0" fontId="0" fillId="25" borderId="0" xfId="0" applyFill="1"/>
    <xf numFmtId="164" fontId="40" fillId="0" borderId="0" xfId="0" applyNumberFormat="1" applyFont="1" applyFill="1"/>
    <xf numFmtId="164" fontId="0" fillId="19" borderId="0" xfId="0" applyNumberFormat="1" applyFill="1"/>
    <xf numFmtId="177" fontId="0" fillId="6" borderId="0" xfId="0" applyNumberFormat="1" applyFill="1"/>
    <xf numFmtId="3" fontId="0" fillId="29" borderId="0" xfId="0" applyNumberFormat="1" applyFill="1" applyAlignment="1"/>
    <xf numFmtId="3" fontId="0" fillId="31" borderId="0" xfId="0" applyNumberFormat="1" applyFill="1" applyAlignment="1"/>
    <xf numFmtId="168" fontId="0" fillId="29" borderId="0" xfId="0" applyNumberFormat="1" applyFill="1"/>
    <xf numFmtId="166" fontId="0" fillId="29" borderId="0" xfId="0" applyNumberFormat="1" applyFill="1" applyAlignment="1"/>
    <xf numFmtId="2" fontId="0" fillId="6" borderId="0" xfId="0" applyNumberFormat="1" applyFill="1"/>
    <xf numFmtId="0" fontId="0" fillId="32" borderId="0" xfId="0" applyFill="1"/>
    <xf numFmtId="2" fontId="0" fillId="0" borderId="0" xfId="0" applyNumberFormat="1" applyAlignment="1">
      <alignment horizontal="center"/>
    </xf>
    <xf numFmtId="0" fontId="7" fillId="13" borderId="1" xfId="3" applyFont="1" applyFill="1" applyBorder="1" applyAlignment="1">
      <alignment horizontal="center"/>
    </xf>
    <xf numFmtId="0" fontId="7" fillId="14" borderId="1" xfId="3" applyFont="1" applyFill="1" applyBorder="1" applyAlignment="1">
      <alignment horizontal="center"/>
    </xf>
    <xf numFmtId="0" fontId="7" fillId="2" borderId="1" xfId="3" applyFont="1" applyFill="1" applyBorder="1" applyAlignment="1">
      <alignment horizontal="center"/>
    </xf>
    <xf numFmtId="0" fontId="7" fillId="15" borderId="1" xfId="3" applyFont="1" applyFill="1" applyBorder="1" applyAlignment="1">
      <alignment horizontal="center"/>
    </xf>
    <xf numFmtId="0" fontId="7" fillId="16" borderId="1" xfId="3" applyFont="1" applyFill="1" applyBorder="1" applyAlignment="1">
      <alignment horizontal="center"/>
    </xf>
    <xf numFmtId="0" fontId="7" fillId="15" borderId="23" xfId="3" applyFont="1" applyFill="1" applyBorder="1" applyAlignment="1">
      <alignment horizontal="center"/>
    </xf>
    <xf numFmtId="0" fontId="7" fillId="15" borderId="20" xfId="3" applyFont="1" applyFill="1" applyBorder="1" applyAlignment="1">
      <alignment horizontal="center"/>
    </xf>
    <xf numFmtId="0" fontId="7" fillId="16" borderId="23" xfId="3" applyFont="1" applyFill="1" applyBorder="1" applyAlignment="1">
      <alignment horizontal="center"/>
    </xf>
    <xf numFmtId="0" fontId="7" fillId="16" borderId="20" xfId="3" applyFont="1" applyFill="1" applyBorder="1" applyAlignment="1">
      <alignment horizontal="center"/>
    </xf>
    <xf numFmtId="0" fontId="0" fillId="5" borderId="0" xfId="0" applyFill="1" applyAlignment="1">
      <alignment horizontal="center"/>
    </xf>
    <xf numFmtId="0" fontId="0" fillId="0" borderId="0" xfId="0" applyAlignment="1">
      <alignment horizontal="center"/>
    </xf>
    <xf numFmtId="0" fontId="0" fillId="23" borderId="0" xfId="0" applyFill="1" applyAlignment="1">
      <alignment horizontal="center"/>
    </xf>
    <xf numFmtId="0" fontId="23" fillId="0" borderId="0" xfId="8" applyFont="1" applyAlignment="1">
      <alignment horizontal="left"/>
    </xf>
    <xf numFmtId="0" fontId="17" fillId="0" borderId="0" xfId="6" applyAlignment="1"/>
    <xf numFmtId="0" fontId="19" fillId="0" borderId="0" xfId="6" applyNumberFormat="1" applyFont="1" applyFill="1" applyAlignment="1">
      <alignment horizontal="center"/>
    </xf>
    <xf numFmtId="0" fontId="17" fillId="0" borderId="0" xfId="6" applyAlignment="1">
      <alignment horizontal="center"/>
    </xf>
    <xf numFmtId="0" fontId="6" fillId="0" borderId="0" xfId="6" applyFont="1" applyFill="1" applyAlignment="1">
      <alignment horizontal="center"/>
    </xf>
    <xf numFmtId="0" fontId="6" fillId="0" borderId="28" xfId="6" applyFont="1" applyFill="1" applyBorder="1" applyAlignment="1">
      <alignment horizontal="center"/>
    </xf>
    <xf numFmtId="0" fontId="16" fillId="0" borderId="0" xfId="14" applyFont="1" applyAlignment="1">
      <alignment horizontal="left"/>
    </xf>
    <xf numFmtId="0" fontId="5" fillId="0" borderId="0" xfId="3" applyFont="1" applyAlignment="1"/>
    <xf numFmtId="0" fontId="52" fillId="0" borderId="0" xfId="14" applyFont="1" applyAlignment="1">
      <alignment horizontal="left"/>
    </xf>
    <xf numFmtId="0" fontId="45" fillId="0" borderId="0" xfId="3" applyFont="1" applyAlignment="1">
      <alignment horizontal="center" vertical="center"/>
    </xf>
    <xf numFmtId="0" fontId="46" fillId="0" borderId="0" xfId="3" applyFont="1" applyAlignment="1">
      <alignment horizontal="center" vertical="center"/>
    </xf>
    <xf numFmtId="0" fontId="47" fillId="0" borderId="0" xfId="3" applyFont="1" applyAlignment="1">
      <alignment horizontal="center" vertical="center"/>
    </xf>
    <xf numFmtId="0" fontId="47" fillId="0" borderId="28" xfId="3" applyFont="1" applyBorder="1" applyAlignment="1">
      <alignment horizontal="center"/>
    </xf>
    <xf numFmtId="0" fontId="6" fillId="0" borderId="0" xfId="4" applyFont="1" applyAlignment="1">
      <alignment horizontal="center"/>
    </xf>
    <xf numFmtId="0" fontId="10" fillId="0" borderId="0" xfId="4" applyFont="1" applyAlignment="1">
      <alignment horizontal="center"/>
    </xf>
    <xf numFmtId="0" fontId="8" fillId="0" borderId="0" xfId="4" applyFont="1" applyAlignment="1">
      <alignment horizontal="center"/>
    </xf>
    <xf numFmtId="0" fontId="8" fillId="0" borderId="29" xfId="4" applyFont="1" applyBorder="1" applyAlignment="1">
      <alignment horizontal="center"/>
    </xf>
    <xf numFmtId="0" fontId="8" fillId="0" borderId="30" xfId="4" applyFont="1" applyBorder="1" applyAlignment="1">
      <alignment horizontal="center"/>
    </xf>
    <xf numFmtId="3" fontId="6" fillId="0" borderId="0" xfId="3" applyNumberFormat="1" applyFont="1" applyAlignment="1">
      <alignment horizontal="center"/>
    </xf>
    <xf numFmtId="3" fontId="5" fillId="0" borderId="0" xfId="3" applyNumberFormat="1" applyAlignment="1">
      <alignment horizontal="center"/>
    </xf>
    <xf numFmtId="3" fontId="5" fillId="0" borderId="29" xfId="3" applyNumberFormat="1" applyBorder="1" applyAlignment="1">
      <alignment horizontal="center"/>
    </xf>
    <xf numFmtId="3" fontId="5" fillId="0" borderId="30" xfId="3" applyNumberFormat="1" applyBorder="1" applyAlignment="1">
      <alignment horizontal="center"/>
    </xf>
    <xf numFmtId="0" fontId="15" fillId="0" borderId="0" xfId="4" applyFont="1" applyAlignment="1">
      <alignment horizontal="left" vertical="top" wrapText="1"/>
    </xf>
    <xf numFmtId="0" fontId="14" fillId="0" borderId="18" xfId="4" applyFont="1" applyBorder="1" applyAlignment="1">
      <alignment horizontal="center" vertical="center"/>
    </xf>
    <xf numFmtId="0" fontId="8" fillId="0" borderId="16" xfId="4" applyBorder="1" applyAlignment="1"/>
    <xf numFmtId="0" fontId="8" fillId="0" borderId="31" xfId="4" applyBorder="1" applyAlignment="1"/>
    <xf numFmtId="0" fontId="8" fillId="0" borderId="8" xfId="4" applyBorder="1" applyAlignment="1"/>
    <xf numFmtId="0" fontId="14" fillId="0" borderId="25" xfId="4" applyFont="1" applyBorder="1" applyAlignment="1">
      <alignment horizontal="center" vertical="center"/>
    </xf>
    <xf numFmtId="0" fontId="14" fillId="0" borderId="7" xfId="4" applyFont="1" applyBorder="1" applyAlignment="1">
      <alignment horizontal="center" vertical="center"/>
    </xf>
    <xf numFmtId="0" fontId="14" fillId="0" borderId="31" xfId="4" applyFont="1" applyBorder="1" applyAlignment="1">
      <alignment horizontal="center" vertical="center"/>
    </xf>
    <xf numFmtId="0" fontId="14" fillId="0" borderId="9" xfId="4" applyFont="1" applyBorder="1" applyAlignment="1">
      <alignment horizontal="center" vertical="center"/>
    </xf>
    <xf numFmtId="0" fontId="14" fillId="0" borderId="18" xfId="4" applyFont="1" applyBorder="1" applyAlignment="1">
      <alignment horizontal="center" vertical="center" wrapText="1"/>
    </xf>
    <xf numFmtId="0" fontId="14" fillId="0" borderId="3" xfId="4" applyFont="1" applyBorder="1" applyAlignment="1">
      <alignment horizontal="center" vertical="center" wrapText="1"/>
    </xf>
    <xf numFmtId="0" fontId="14" fillId="0" borderId="31" xfId="4" applyFont="1" applyBorder="1" applyAlignment="1">
      <alignment horizontal="center" vertical="center" wrapText="1"/>
    </xf>
    <xf numFmtId="0" fontId="14" fillId="0" borderId="9" xfId="4" applyFont="1" applyBorder="1" applyAlignment="1">
      <alignment horizontal="center" vertical="center" wrapText="1"/>
    </xf>
    <xf numFmtId="0" fontId="14" fillId="0" borderId="6" xfId="4" applyFont="1" applyBorder="1" applyAlignment="1">
      <alignment horizontal="center" vertical="center" wrapText="1"/>
    </xf>
    <xf numFmtId="0" fontId="14" fillId="0" borderId="10" xfId="4" applyFont="1" applyBorder="1" applyAlignment="1">
      <alignment horizontal="center" vertical="center" wrapText="1"/>
    </xf>
    <xf numFmtId="0" fontId="8" fillId="0" borderId="10" xfId="4" applyBorder="1" applyAlignment="1">
      <alignment horizontal="center" vertical="center" wrapText="1"/>
    </xf>
    <xf numFmtId="0" fontId="14" fillId="0" borderId="0" xfId="4" applyFont="1" applyBorder="1" applyAlignment="1">
      <alignment horizontal="center" vertical="center" wrapText="1"/>
    </xf>
    <xf numFmtId="0" fontId="14" fillId="0" borderId="8" xfId="4" applyFont="1" applyBorder="1" applyAlignment="1">
      <alignment horizontal="center" vertical="center" wrapText="1"/>
    </xf>
    <xf numFmtId="0" fontId="14" fillId="0" borderId="2" xfId="4" applyFont="1" applyBorder="1" applyAlignment="1">
      <alignment horizontal="center" vertical="center" wrapText="1"/>
    </xf>
    <xf numFmtId="0" fontId="14" fillId="0" borderId="25" xfId="4" applyFont="1" applyBorder="1" applyAlignment="1">
      <alignment horizontal="center" vertical="center" wrapText="1"/>
    </xf>
    <xf numFmtId="0" fontId="0" fillId="0" borderId="0" xfId="0" applyBorder="1" applyAlignment="1">
      <alignment horizontal="center"/>
    </xf>
    <xf numFmtId="164" fontId="5" fillId="0" borderId="0" xfId="3" applyNumberFormat="1"/>
    <xf numFmtId="0" fontId="5" fillId="9" borderId="0" xfId="3" applyFill="1"/>
    <xf numFmtId="0" fontId="5" fillId="24" borderId="0" xfId="3" applyFill="1"/>
  </cellXfs>
  <cellStyles count="31">
    <cellStyle name="Comma 2" xfId="1" xr:uid="{00000000-0005-0000-0000-000000000000}"/>
    <cellStyle name="Comma 2 2" xfId="18" xr:uid="{00000000-0005-0000-0000-000001000000}"/>
    <cellStyle name="Comma 3" xfId="2" xr:uid="{00000000-0005-0000-0000-000002000000}"/>
    <cellStyle name="Comma 4" xfId="12" xr:uid="{00000000-0005-0000-0000-000003000000}"/>
    <cellStyle name="Comma 5" xfId="17" xr:uid="{00000000-0005-0000-0000-000004000000}"/>
    <cellStyle name="Comma 6" xfId="28" xr:uid="{00000000-0005-0000-0000-000005000000}"/>
    <cellStyle name="Data_Regular" xfId="11" xr:uid="{00000000-0005-0000-0000-000006000000}"/>
    <cellStyle name="Hyperlink" xfId="15" builtinId="8"/>
    <cellStyle name="Hyperlink 2" xfId="19" xr:uid="{00000000-0005-0000-0000-000008000000}"/>
    <cellStyle name="Normal" xfId="0" builtinId="0"/>
    <cellStyle name="Normal 2" xfId="3" xr:uid="{00000000-0005-0000-0000-00000A000000}"/>
    <cellStyle name="Normal 2 2" xfId="20" xr:uid="{00000000-0005-0000-0000-00000B000000}"/>
    <cellStyle name="Normal 28" xfId="21" xr:uid="{00000000-0005-0000-0000-00000C000000}"/>
    <cellStyle name="Normal 3" xfId="4" xr:uid="{00000000-0005-0000-0000-00000D000000}"/>
    <cellStyle name="Normal 3 2" xfId="23" xr:uid="{00000000-0005-0000-0000-00000E000000}"/>
    <cellStyle name="Normal 3 3" xfId="22" xr:uid="{00000000-0005-0000-0000-00000F000000}"/>
    <cellStyle name="Normal 4" xfId="5" xr:uid="{00000000-0005-0000-0000-000010000000}"/>
    <cellStyle name="Normal 4 2" xfId="24" xr:uid="{00000000-0005-0000-0000-000011000000}"/>
    <cellStyle name="Normal 5" xfId="6" xr:uid="{00000000-0005-0000-0000-000012000000}"/>
    <cellStyle name="Normal 5 2" xfId="26" xr:uid="{00000000-0005-0000-0000-000013000000}"/>
    <cellStyle name="Normal 5 3" xfId="25" xr:uid="{00000000-0005-0000-0000-000014000000}"/>
    <cellStyle name="Normal 6" xfId="27" xr:uid="{00000000-0005-0000-0000-000015000000}"/>
    <cellStyle name="Normal 7" xfId="16" xr:uid="{00000000-0005-0000-0000-000016000000}"/>
    <cellStyle name="Normal 8" xfId="30" xr:uid="{6A391525-2FBE-457C-B3F3-2E728EE84199}"/>
    <cellStyle name="Normal_state94-99" xfId="7" xr:uid="{00000000-0005-0000-0000-000017000000}"/>
    <cellStyle name="Normal_stateasp 94-99" xfId="8" xr:uid="{00000000-0005-0000-0000-000018000000}"/>
    <cellStyle name="Normal_stateasp 94-99 2" xfId="14" xr:uid="{00000000-0005-0000-0000-000019000000}"/>
    <cellStyle name="Percent" xfId="10" builtinId="5"/>
    <cellStyle name="Percent 2" xfId="9" xr:uid="{00000000-0005-0000-0000-00001B000000}"/>
    <cellStyle name="Percent 3" xfId="13" xr:uid="{00000000-0005-0000-0000-00001C000000}"/>
    <cellStyle name="RSE" xfId="29" xr:uid="{CDE1E6C4-0FFC-475F-B747-AAC100234FA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calcChain" Target="calcChain.xml"/></Relationships>
</file>

<file path=xl/charts/_rels/chart59.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0.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9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5.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126.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127.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129.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130.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131.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133.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134.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135.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136.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137.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138.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139.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140.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_rels/chart141.xml.rels><?xml version="1.0" encoding="UTF-8" standalone="yes"?>
<Relationships xmlns="http://schemas.openxmlformats.org/package/2006/relationships"><Relationship Id="rId1" Type="http://schemas.openxmlformats.org/officeDocument/2006/relationships/themeOverride" Target="../theme/themeOverride17.xml"/></Relationships>
</file>

<file path=xl/charts/_rels/chart142.xml.rels><?xml version="1.0" encoding="UTF-8" standalone="yes"?>
<Relationships xmlns="http://schemas.openxmlformats.org/package/2006/relationships"><Relationship Id="rId1" Type="http://schemas.openxmlformats.org/officeDocument/2006/relationships/themeOverride" Target="../theme/themeOverride18.xml"/></Relationships>
</file>

<file path=xl/charts/_rels/chart143.xml.rels><?xml version="1.0" encoding="UTF-8" standalone="yes"?>
<Relationships xmlns="http://schemas.openxmlformats.org/package/2006/relationships"><Relationship Id="rId1" Type="http://schemas.openxmlformats.org/officeDocument/2006/relationships/themeOverride" Target="../theme/themeOverrid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AHS_tables!$GE$6</c:f>
              <c:strCache>
                <c:ptCount val="1"/>
                <c:pt idx="0">
                  <c:v>&lt;1940</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AHS_tables!$GE$7:$GE$14</c:f>
              <c:numCache>
                <c:formatCode>#,##0</c:formatCode>
                <c:ptCount val="8"/>
                <c:pt idx="0">
                  <c:v>13238.675573965274</c:v>
                </c:pt>
                <c:pt idx="1">
                  <c:v>13731.725805588263</c:v>
                </c:pt>
                <c:pt idx="2">
                  <c:v>13789.339534451954</c:v>
                </c:pt>
                <c:pt idx="3">
                  <c:v>13166.365635428274</c:v>
                </c:pt>
                <c:pt idx="4">
                  <c:v>12481.297041804262</c:v>
                </c:pt>
                <c:pt idx="5">
                  <c:v>12078.063377388717</c:v>
                </c:pt>
                <c:pt idx="6">
                  <c:v>12070.971824672715</c:v>
                </c:pt>
                <c:pt idx="7">
                  <c:v>11850.236716469124</c:v>
                </c:pt>
              </c:numCache>
            </c:numRef>
          </c:val>
          <c:smooth val="0"/>
          <c:extLst>
            <c:ext xmlns:c16="http://schemas.microsoft.com/office/drawing/2014/chart" uri="{C3380CC4-5D6E-409C-BE32-E72D297353CC}">
              <c16:uniqueId val="{00000000-51BE-4E18-87F3-6278CB581139}"/>
            </c:ext>
          </c:extLst>
        </c:ser>
        <c:ser>
          <c:idx val="1"/>
          <c:order val="1"/>
          <c:tx>
            <c:strRef>
              <c:f>AHS_tables!$GF$6</c:f>
              <c:strCache>
                <c:ptCount val="1"/>
                <c:pt idx="0">
                  <c:v>1940-49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AHS_tables!$GF$7:$GF$14</c:f>
              <c:numCache>
                <c:formatCode>#,##0</c:formatCode>
                <c:ptCount val="8"/>
                <c:pt idx="0">
                  <c:v>5697.0200151893705</c:v>
                </c:pt>
                <c:pt idx="1">
                  <c:v>5890.630524605147</c:v>
                </c:pt>
                <c:pt idx="2">
                  <c:v>5828.8465457168131</c:v>
                </c:pt>
                <c:pt idx="3">
                  <c:v>5593.1359783909338</c:v>
                </c:pt>
                <c:pt idx="4">
                  <c:v>5438.3769144300359</c:v>
                </c:pt>
                <c:pt idx="5">
                  <c:v>5429.1595781670403</c:v>
                </c:pt>
                <c:pt idx="6">
                  <c:v>5406.101715699635</c:v>
                </c:pt>
                <c:pt idx="7">
                  <c:v>5266.3136721074006</c:v>
                </c:pt>
              </c:numCache>
            </c:numRef>
          </c:val>
          <c:smooth val="0"/>
          <c:extLst>
            <c:ext xmlns:c16="http://schemas.microsoft.com/office/drawing/2014/chart" uri="{C3380CC4-5D6E-409C-BE32-E72D297353CC}">
              <c16:uniqueId val="{00000001-51BE-4E18-87F3-6278CB581139}"/>
            </c:ext>
          </c:extLst>
        </c:ser>
        <c:ser>
          <c:idx val="2"/>
          <c:order val="2"/>
          <c:tx>
            <c:strRef>
              <c:f>AHS_tables!$GG$6</c:f>
              <c:strCache>
                <c:ptCount val="1"/>
                <c:pt idx="0">
                  <c:v>1950-59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AHS_tables!$GG$7:$GG$14</c:f>
              <c:numCache>
                <c:formatCode>#,##0</c:formatCode>
                <c:ptCount val="8"/>
                <c:pt idx="0">
                  <c:v>10383.325308685691</c:v>
                </c:pt>
                <c:pt idx="1">
                  <c:v>10393.762094314892</c:v>
                </c:pt>
                <c:pt idx="2">
                  <c:v>10535.531481864553</c:v>
                </c:pt>
                <c:pt idx="3">
                  <c:v>10018.711324909014</c:v>
                </c:pt>
                <c:pt idx="4">
                  <c:v>9806.0960087019484</c:v>
                </c:pt>
                <c:pt idx="5">
                  <c:v>9802.8829778502059</c:v>
                </c:pt>
                <c:pt idx="6">
                  <c:v>10035.850078851259</c:v>
                </c:pt>
                <c:pt idx="7">
                  <c:v>10165.144854214459</c:v>
                </c:pt>
              </c:numCache>
            </c:numRef>
          </c:val>
          <c:smooth val="0"/>
          <c:extLst>
            <c:ext xmlns:c16="http://schemas.microsoft.com/office/drawing/2014/chart" uri="{C3380CC4-5D6E-409C-BE32-E72D297353CC}">
              <c16:uniqueId val="{00000002-51BE-4E18-87F3-6278CB581139}"/>
            </c:ext>
          </c:extLst>
        </c:ser>
        <c:ser>
          <c:idx val="3"/>
          <c:order val="3"/>
          <c:tx>
            <c:strRef>
              <c:f>AHS_tables!$GH$6</c:f>
              <c:strCache>
                <c:ptCount val="1"/>
                <c:pt idx="0">
                  <c:v>1960-1969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AHS_tables!$GH$7:$GH$14</c:f>
              <c:numCache>
                <c:formatCode>#,##0</c:formatCode>
                <c:ptCount val="8"/>
                <c:pt idx="0">
                  <c:v>10044.144882481836</c:v>
                </c:pt>
                <c:pt idx="1">
                  <c:v>10272.317825172686</c:v>
                </c:pt>
                <c:pt idx="2">
                  <c:v>10345.51575882086</c:v>
                </c:pt>
                <c:pt idx="3">
                  <c:v>9859.4062327653228</c:v>
                </c:pt>
                <c:pt idx="4">
                  <c:v>9712.3691816152623</c:v>
                </c:pt>
                <c:pt idx="5">
                  <c:v>9557.115396180654</c:v>
                </c:pt>
                <c:pt idx="6">
                  <c:v>9691.9670145747459</c:v>
                </c:pt>
                <c:pt idx="7">
                  <c:v>9694.1140173721669</c:v>
                </c:pt>
              </c:numCache>
            </c:numRef>
          </c:val>
          <c:smooth val="0"/>
          <c:extLst>
            <c:ext xmlns:c16="http://schemas.microsoft.com/office/drawing/2014/chart" uri="{C3380CC4-5D6E-409C-BE32-E72D297353CC}">
              <c16:uniqueId val="{00000003-51BE-4E18-87F3-6278CB581139}"/>
            </c:ext>
          </c:extLst>
        </c:ser>
        <c:ser>
          <c:idx val="4"/>
          <c:order val="4"/>
          <c:tx>
            <c:strRef>
              <c:f>AHS_tables!$GI$6</c:f>
              <c:strCache>
                <c:ptCount val="1"/>
                <c:pt idx="0">
                  <c:v>1970-1979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AHS_tables!$GI$7:$GI$14</c:f>
              <c:numCache>
                <c:formatCode>#,##0</c:formatCode>
                <c:ptCount val="8"/>
                <c:pt idx="0">
                  <c:v>12384.14874034989</c:v>
                </c:pt>
                <c:pt idx="1">
                  <c:v>12848.628085373453</c:v>
                </c:pt>
                <c:pt idx="2">
                  <c:v>13273.609398621491</c:v>
                </c:pt>
                <c:pt idx="3">
                  <c:v>12808.310514938008</c:v>
                </c:pt>
                <c:pt idx="4">
                  <c:v>12481.377771247651</c:v>
                </c:pt>
                <c:pt idx="5">
                  <c:v>12360.712287146218</c:v>
                </c:pt>
                <c:pt idx="6">
                  <c:v>12131.638337768671</c:v>
                </c:pt>
                <c:pt idx="7">
                  <c:v>13330.599220627433</c:v>
                </c:pt>
              </c:numCache>
            </c:numRef>
          </c:val>
          <c:smooth val="0"/>
          <c:extLst>
            <c:ext xmlns:c16="http://schemas.microsoft.com/office/drawing/2014/chart" uri="{C3380CC4-5D6E-409C-BE32-E72D297353CC}">
              <c16:uniqueId val="{00000004-51BE-4E18-87F3-6278CB581139}"/>
            </c:ext>
          </c:extLst>
        </c:ser>
        <c:ser>
          <c:idx val="5"/>
          <c:order val="5"/>
          <c:tx>
            <c:strRef>
              <c:f>AHS_tables!$GJ$6</c:f>
              <c:strCache>
                <c:ptCount val="1"/>
                <c:pt idx="0">
                  <c:v>1980-1989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AHS_tables!$GJ$7:$GJ$14</c:f>
              <c:numCache>
                <c:formatCode>#,##0</c:formatCode>
                <c:ptCount val="8"/>
                <c:pt idx="0">
                  <c:v>8876.9727430982784</c:v>
                </c:pt>
                <c:pt idx="1">
                  <c:v>8834.1477718180067</c:v>
                </c:pt>
                <c:pt idx="2">
                  <c:v>8932.7566775058731</c:v>
                </c:pt>
                <c:pt idx="3">
                  <c:v>8871.2601802033496</c:v>
                </c:pt>
                <c:pt idx="4">
                  <c:v>8840.2172084159029</c:v>
                </c:pt>
                <c:pt idx="5">
                  <c:v>8673.202046190574</c:v>
                </c:pt>
                <c:pt idx="6">
                  <c:v>8634.0608837270975</c:v>
                </c:pt>
                <c:pt idx="7">
                  <c:v>8788.9934092650947</c:v>
                </c:pt>
              </c:numCache>
            </c:numRef>
          </c:val>
          <c:smooth val="0"/>
          <c:extLst>
            <c:ext xmlns:c16="http://schemas.microsoft.com/office/drawing/2014/chart" uri="{C3380CC4-5D6E-409C-BE32-E72D297353CC}">
              <c16:uniqueId val="{00000005-51BE-4E18-87F3-6278CB581139}"/>
            </c:ext>
          </c:extLst>
        </c:ser>
        <c:ser>
          <c:idx val="6"/>
          <c:order val="6"/>
          <c:tx>
            <c:strRef>
              <c:f>AHS_tables!$GK$6</c:f>
              <c:strCache>
                <c:ptCount val="1"/>
                <c:pt idx="0">
                  <c:v>1990-1999</c:v>
                </c:pt>
              </c:strCache>
            </c:strRef>
          </c:tx>
          <c:cat>
            <c:numRef>
              <c:f>AHS_tables!$GD$7:$GD$14</c:f>
              <c:numCache>
                <c:formatCode>0</c:formatCode>
                <c:ptCount val="8"/>
                <c:pt idx="0">
                  <c:v>1997</c:v>
                </c:pt>
                <c:pt idx="1">
                  <c:v>1999</c:v>
                </c:pt>
                <c:pt idx="2">
                  <c:v>2001</c:v>
                </c:pt>
                <c:pt idx="3">
                  <c:v>2003</c:v>
                </c:pt>
                <c:pt idx="4">
                  <c:v>2005</c:v>
                </c:pt>
                <c:pt idx="5">
                  <c:v>2007</c:v>
                </c:pt>
                <c:pt idx="6">
                  <c:v>2009</c:v>
                </c:pt>
                <c:pt idx="7">
                  <c:v>2011</c:v>
                </c:pt>
              </c:numCache>
            </c:numRef>
          </c:cat>
          <c:val>
            <c:numRef>
              <c:f>AHS_tables!$GK$7:$GK$14</c:f>
              <c:numCache>
                <c:formatCode>#,##0</c:formatCode>
                <c:ptCount val="8"/>
                <c:pt idx="0">
                  <c:v>7327.0950881031804</c:v>
                </c:pt>
                <c:pt idx="1">
                  <c:v>9527.7993463470375</c:v>
                </c:pt>
                <c:pt idx="2">
                  <c:v>9912.1062027953794</c:v>
                </c:pt>
                <c:pt idx="3">
                  <c:v>9834.9297807339226</c:v>
                </c:pt>
                <c:pt idx="4">
                  <c:v>9824.6386934930324</c:v>
                </c:pt>
                <c:pt idx="5">
                  <c:v>9576.7934702747243</c:v>
                </c:pt>
                <c:pt idx="6">
                  <c:v>9439.5839263324015</c:v>
                </c:pt>
                <c:pt idx="7">
                  <c:v>9582.9045608410634</c:v>
                </c:pt>
              </c:numCache>
            </c:numRef>
          </c:val>
          <c:smooth val="0"/>
          <c:extLst>
            <c:ext xmlns:c16="http://schemas.microsoft.com/office/drawing/2014/chart" uri="{C3380CC4-5D6E-409C-BE32-E72D297353CC}">
              <c16:uniqueId val="{00000006-51BE-4E18-87F3-6278CB581139}"/>
            </c:ext>
          </c:extLst>
        </c:ser>
        <c:dLbls>
          <c:showLegendKey val="0"/>
          <c:showVal val="0"/>
          <c:showCatName val="0"/>
          <c:showSerName val="0"/>
          <c:showPercent val="0"/>
          <c:showBubbleSize val="0"/>
        </c:dLbls>
        <c:marker val="1"/>
        <c:smooth val="0"/>
        <c:axId val="211690240"/>
        <c:axId val="211691776"/>
      </c:lineChart>
      <c:catAx>
        <c:axId val="211690240"/>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691776"/>
        <c:crosses val="autoZero"/>
        <c:auto val="1"/>
        <c:lblAlgn val="ctr"/>
        <c:lblOffset val="100"/>
        <c:noMultiLvlLbl val="0"/>
      </c:catAx>
      <c:valAx>
        <c:axId val="21169177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69024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AHS_tables!$GN$6</c:f>
              <c:strCache>
                <c:ptCount val="1"/>
                <c:pt idx="0">
                  <c:v>Actual</c:v>
                </c:pt>
              </c:strCache>
            </c:strRef>
          </c:tx>
          <c:cat>
            <c:numRef>
              <c:f>AHS_tables!$GM$7:$GM$14</c:f>
              <c:numCache>
                <c:formatCode>0</c:formatCode>
                <c:ptCount val="8"/>
                <c:pt idx="0">
                  <c:v>1997</c:v>
                </c:pt>
                <c:pt idx="1">
                  <c:v>1999</c:v>
                </c:pt>
                <c:pt idx="2">
                  <c:v>2001</c:v>
                </c:pt>
                <c:pt idx="3">
                  <c:v>2003</c:v>
                </c:pt>
                <c:pt idx="4">
                  <c:v>2005</c:v>
                </c:pt>
                <c:pt idx="5">
                  <c:v>2007</c:v>
                </c:pt>
                <c:pt idx="6">
                  <c:v>2009</c:v>
                </c:pt>
                <c:pt idx="7">
                  <c:v>2011</c:v>
                </c:pt>
              </c:numCache>
            </c:numRef>
          </c:cat>
          <c:val>
            <c:numRef>
              <c:f>AHS_tables!$GN$7:$GN$14</c:f>
              <c:numCache>
                <c:formatCode>#,##0</c:formatCode>
                <c:ptCount val="8"/>
                <c:pt idx="0">
                  <c:v>60624.28726377034</c:v>
                </c:pt>
                <c:pt idx="1">
                  <c:v>61971.212106872452</c:v>
                </c:pt>
                <c:pt idx="2">
                  <c:v>62705.599396981546</c:v>
                </c:pt>
                <c:pt idx="3">
                  <c:v>60317.189866634901</c:v>
                </c:pt>
                <c:pt idx="4">
                  <c:v>58759.734126215066</c:v>
                </c:pt>
                <c:pt idx="5">
                  <c:v>57901.135662923407</c:v>
                </c:pt>
                <c:pt idx="6">
                  <c:v>57970.589855294129</c:v>
                </c:pt>
                <c:pt idx="7">
                  <c:v>59095.401890055677</c:v>
                </c:pt>
              </c:numCache>
            </c:numRef>
          </c:val>
          <c:smooth val="0"/>
          <c:extLst>
            <c:ext xmlns:c16="http://schemas.microsoft.com/office/drawing/2014/chart" uri="{C3380CC4-5D6E-409C-BE32-E72D297353CC}">
              <c16:uniqueId val="{00000000-D510-4858-AE2C-8EEBADDBE9B8}"/>
            </c:ext>
          </c:extLst>
        </c:ser>
        <c:ser>
          <c:idx val="1"/>
          <c:order val="1"/>
          <c:tx>
            <c:strRef>
              <c:f>AHS_tables!$GO$6</c:f>
              <c:strCache>
                <c:ptCount val="1"/>
                <c:pt idx="0">
                  <c:v>Predicted</c:v>
                </c:pt>
              </c:strCache>
            </c:strRef>
          </c:tx>
          <c:cat>
            <c:numRef>
              <c:f>AHS_tables!$GM$7:$GM$14</c:f>
              <c:numCache>
                <c:formatCode>0</c:formatCode>
                <c:ptCount val="8"/>
                <c:pt idx="0">
                  <c:v>1997</c:v>
                </c:pt>
                <c:pt idx="1">
                  <c:v>1999</c:v>
                </c:pt>
                <c:pt idx="2">
                  <c:v>2001</c:v>
                </c:pt>
                <c:pt idx="3">
                  <c:v>2003</c:v>
                </c:pt>
                <c:pt idx="4">
                  <c:v>2005</c:v>
                </c:pt>
                <c:pt idx="5">
                  <c:v>2007</c:v>
                </c:pt>
                <c:pt idx="6">
                  <c:v>2009</c:v>
                </c:pt>
                <c:pt idx="7">
                  <c:v>2011</c:v>
                </c:pt>
              </c:numCache>
            </c:numRef>
          </c:cat>
          <c:val>
            <c:numRef>
              <c:f>AHS_tables!$GO$7:$GO$14</c:f>
              <c:numCache>
                <c:formatCode>General</c:formatCode>
                <c:ptCount val="8"/>
                <c:pt idx="0">
                  <c:v>62203.842818360703</c:v>
                </c:pt>
                <c:pt idx="1">
                  <c:v>61463.74709764649</c:v>
                </c:pt>
                <c:pt idx="2">
                  <c:v>60732.456969175495</c:v>
                </c:pt>
                <c:pt idx="3">
                  <c:v>60009.867664804202</c:v>
                </c:pt>
                <c:pt idx="4">
                  <c:v>59295.875662910745</c:v>
                </c:pt>
                <c:pt idx="5">
                  <c:v>58590.378673564468</c:v>
                </c:pt>
                <c:pt idx="6">
                  <c:v>57893.275623871035</c:v>
                </c:pt>
                <c:pt idx="7">
                  <c:v>57204.466643492284</c:v>
                </c:pt>
              </c:numCache>
            </c:numRef>
          </c:val>
          <c:smooth val="0"/>
          <c:extLst>
            <c:ext xmlns:c16="http://schemas.microsoft.com/office/drawing/2014/chart" uri="{C3380CC4-5D6E-409C-BE32-E72D297353CC}">
              <c16:uniqueId val="{00000001-D510-4858-AE2C-8EEBADDBE9B8}"/>
            </c:ext>
          </c:extLst>
        </c:ser>
        <c:dLbls>
          <c:showLegendKey val="0"/>
          <c:showVal val="0"/>
          <c:showCatName val="0"/>
          <c:showSerName val="0"/>
          <c:showPercent val="0"/>
          <c:showBubbleSize val="0"/>
        </c:dLbls>
        <c:marker val="1"/>
        <c:smooth val="0"/>
        <c:axId val="211716352"/>
        <c:axId val="211722240"/>
      </c:lineChart>
      <c:catAx>
        <c:axId val="21171635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722240"/>
        <c:crosses val="autoZero"/>
        <c:auto val="1"/>
        <c:lblAlgn val="ctr"/>
        <c:lblOffset val="100"/>
        <c:noMultiLvlLbl val="0"/>
      </c:catAx>
      <c:valAx>
        <c:axId val="211722240"/>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71635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AHS_tables!$HK$6</c:f>
              <c:strCache>
                <c:ptCount val="1"/>
                <c:pt idx="0">
                  <c:v>&lt;1940</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AHS_tables!$HK$7:$HK$14</c:f>
              <c:numCache>
                <c:formatCode>#,##0</c:formatCode>
                <c:ptCount val="8"/>
                <c:pt idx="0">
                  <c:v>6166.0808005615136</c:v>
                </c:pt>
                <c:pt idx="1">
                  <c:v>5759.8137758875009</c:v>
                </c:pt>
                <c:pt idx="2">
                  <c:v>5375.390605161022</c:v>
                </c:pt>
                <c:pt idx="3">
                  <c:v>5276.4647022923127</c:v>
                </c:pt>
                <c:pt idx="4">
                  <c:v>5065.0294565757385</c:v>
                </c:pt>
                <c:pt idx="5">
                  <c:v>5135.8761804665846</c:v>
                </c:pt>
                <c:pt idx="6">
                  <c:v>4762.2398021134541</c:v>
                </c:pt>
                <c:pt idx="7">
                  <c:v>5026.2148770642461</c:v>
                </c:pt>
              </c:numCache>
            </c:numRef>
          </c:val>
          <c:smooth val="0"/>
          <c:extLst>
            <c:ext xmlns:c16="http://schemas.microsoft.com/office/drawing/2014/chart" uri="{C3380CC4-5D6E-409C-BE32-E72D297353CC}">
              <c16:uniqueId val="{00000000-7BBD-43CB-B551-14099EB01807}"/>
            </c:ext>
          </c:extLst>
        </c:ser>
        <c:ser>
          <c:idx val="1"/>
          <c:order val="1"/>
          <c:tx>
            <c:strRef>
              <c:f>AHS_tables!$HL$6</c:f>
              <c:strCache>
                <c:ptCount val="1"/>
                <c:pt idx="0">
                  <c:v>1940-49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AHS_tables!$HL$7:$HL$14</c:f>
              <c:numCache>
                <c:formatCode>#,##0</c:formatCode>
                <c:ptCount val="8"/>
                <c:pt idx="0">
                  <c:v>1608.0287468728714</c:v>
                </c:pt>
                <c:pt idx="1">
                  <c:v>1519.3258619064379</c:v>
                </c:pt>
                <c:pt idx="2">
                  <c:v>1425.8982580970769</c:v>
                </c:pt>
                <c:pt idx="3">
                  <c:v>1488.6365867656564</c:v>
                </c:pt>
                <c:pt idx="4">
                  <c:v>1351.922489436731</c:v>
                </c:pt>
                <c:pt idx="5">
                  <c:v>1352.8438240596797</c:v>
                </c:pt>
                <c:pt idx="6">
                  <c:v>1285.1783581023469</c:v>
                </c:pt>
                <c:pt idx="7">
                  <c:v>1313.1153722920055</c:v>
                </c:pt>
              </c:numCache>
            </c:numRef>
          </c:val>
          <c:smooth val="0"/>
          <c:extLst>
            <c:ext xmlns:c16="http://schemas.microsoft.com/office/drawing/2014/chart" uri="{C3380CC4-5D6E-409C-BE32-E72D297353CC}">
              <c16:uniqueId val="{00000001-7BBD-43CB-B551-14099EB01807}"/>
            </c:ext>
          </c:extLst>
        </c:ser>
        <c:ser>
          <c:idx val="2"/>
          <c:order val="2"/>
          <c:tx>
            <c:strRef>
              <c:f>AHS_tables!$HM$6</c:f>
              <c:strCache>
                <c:ptCount val="1"/>
                <c:pt idx="0">
                  <c:v>1950-59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AHS_tables!$HM$7:$HM$14</c:f>
              <c:numCache>
                <c:formatCode>#,##0</c:formatCode>
                <c:ptCount val="8"/>
                <c:pt idx="0">
                  <c:v>1974.0038961175023</c:v>
                </c:pt>
                <c:pt idx="1">
                  <c:v>1797.9806068493858</c:v>
                </c:pt>
                <c:pt idx="2">
                  <c:v>1864.9057159787992</c:v>
                </c:pt>
                <c:pt idx="3">
                  <c:v>1835.6991250426263</c:v>
                </c:pt>
                <c:pt idx="4">
                  <c:v>1699.1314204534201</c:v>
                </c:pt>
                <c:pt idx="5">
                  <c:v>1652.183367812502</c:v>
                </c:pt>
                <c:pt idx="6">
                  <c:v>1679.7863224350169</c:v>
                </c:pt>
                <c:pt idx="7">
                  <c:v>1672.6171668959162</c:v>
                </c:pt>
              </c:numCache>
            </c:numRef>
          </c:val>
          <c:smooth val="0"/>
          <c:extLst>
            <c:ext xmlns:c16="http://schemas.microsoft.com/office/drawing/2014/chart" uri="{C3380CC4-5D6E-409C-BE32-E72D297353CC}">
              <c16:uniqueId val="{00000002-7BBD-43CB-B551-14099EB01807}"/>
            </c:ext>
          </c:extLst>
        </c:ser>
        <c:ser>
          <c:idx val="3"/>
          <c:order val="3"/>
          <c:tx>
            <c:strRef>
              <c:f>AHS_tables!$HN$6</c:f>
              <c:strCache>
                <c:ptCount val="1"/>
                <c:pt idx="0">
                  <c:v>1960-1969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AHS_tables!$HN$7:$HN$14</c:f>
              <c:numCache>
                <c:formatCode>#,##0</c:formatCode>
                <c:ptCount val="8"/>
                <c:pt idx="0">
                  <c:v>3537.2808487035782</c:v>
                </c:pt>
                <c:pt idx="1">
                  <c:v>3354.406284914096</c:v>
                </c:pt>
                <c:pt idx="2">
                  <c:v>3456.4629761369074</c:v>
                </c:pt>
                <c:pt idx="3">
                  <c:v>3395.9185405301937</c:v>
                </c:pt>
                <c:pt idx="4">
                  <c:v>3333.8246088830811</c:v>
                </c:pt>
                <c:pt idx="5">
                  <c:v>3453.8515442937687</c:v>
                </c:pt>
                <c:pt idx="6">
                  <c:v>3232.2716333262219</c:v>
                </c:pt>
                <c:pt idx="7">
                  <c:v>3479.8296364078683</c:v>
                </c:pt>
              </c:numCache>
            </c:numRef>
          </c:val>
          <c:smooth val="0"/>
          <c:extLst>
            <c:ext xmlns:c16="http://schemas.microsoft.com/office/drawing/2014/chart" uri="{C3380CC4-5D6E-409C-BE32-E72D297353CC}">
              <c16:uniqueId val="{00000003-7BBD-43CB-B551-14099EB01807}"/>
            </c:ext>
          </c:extLst>
        </c:ser>
        <c:ser>
          <c:idx val="4"/>
          <c:order val="4"/>
          <c:tx>
            <c:strRef>
              <c:f>AHS_tables!$HO$6</c:f>
              <c:strCache>
                <c:ptCount val="1"/>
                <c:pt idx="0">
                  <c:v>1970-1979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AHS_tables!$HO$7:$HO$14</c:f>
              <c:numCache>
                <c:formatCode>#,##0</c:formatCode>
                <c:ptCount val="8"/>
                <c:pt idx="0">
                  <c:v>5814.3768939900547</c:v>
                </c:pt>
                <c:pt idx="1">
                  <c:v>5659.8456081821523</c:v>
                </c:pt>
                <c:pt idx="2">
                  <c:v>5550.1231868986506</c:v>
                </c:pt>
                <c:pt idx="3">
                  <c:v>5764.2317060886726</c:v>
                </c:pt>
                <c:pt idx="4">
                  <c:v>5719.1453379776058</c:v>
                </c:pt>
                <c:pt idx="5">
                  <c:v>5890.5215294910695</c:v>
                </c:pt>
                <c:pt idx="6">
                  <c:v>5620.0929300840835</c:v>
                </c:pt>
                <c:pt idx="7">
                  <c:v>6512.7041370648958</c:v>
                </c:pt>
              </c:numCache>
            </c:numRef>
          </c:val>
          <c:smooth val="0"/>
          <c:extLst>
            <c:ext xmlns:c16="http://schemas.microsoft.com/office/drawing/2014/chart" uri="{C3380CC4-5D6E-409C-BE32-E72D297353CC}">
              <c16:uniqueId val="{00000004-7BBD-43CB-B551-14099EB01807}"/>
            </c:ext>
          </c:extLst>
        </c:ser>
        <c:ser>
          <c:idx val="5"/>
          <c:order val="5"/>
          <c:tx>
            <c:strRef>
              <c:f>AHS_tables!$HP$6</c:f>
              <c:strCache>
                <c:ptCount val="1"/>
                <c:pt idx="0">
                  <c:v>1980-1989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AHS_tables!$HP$7:$HP$14</c:f>
              <c:numCache>
                <c:formatCode>#,##0</c:formatCode>
                <c:ptCount val="8"/>
                <c:pt idx="0">
                  <c:v>4331.8750069505513</c:v>
                </c:pt>
                <c:pt idx="1">
                  <c:v>4403.1582061558338</c:v>
                </c:pt>
                <c:pt idx="2">
                  <c:v>4365.8980092340289</c:v>
                </c:pt>
                <c:pt idx="3">
                  <c:v>4240.079522319802</c:v>
                </c:pt>
                <c:pt idx="4">
                  <c:v>4157.0756379380637</c:v>
                </c:pt>
                <c:pt idx="5">
                  <c:v>4017.0437280411384</c:v>
                </c:pt>
                <c:pt idx="6">
                  <c:v>4024.5158034563065</c:v>
                </c:pt>
                <c:pt idx="7">
                  <c:v>4202.8007409082938</c:v>
                </c:pt>
              </c:numCache>
            </c:numRef>
          </c:val>
          <c:smooth val="0"/>
          <c:extLst>
            <c:ext xmlns:c16="http://schemas.microsoft.com/office/drawing/2014/chart" uri="{C3380CC4-5D6E-409C-BE32-E72D297353CC}">
              <c16:uniqueId val="{00000005-7BBD-43CB-B551-14099EB01807}"/>
            </c:ext>
          </c:extLst>
        </c:ser>
        <c:ser>
          <c:idx val="6"/>
          <c:order val="6"/>
          <c:tx>
            <c:strRef>
              <c:f>AHS_tables!$HQ$6</c:f>
              <c:strCache>
                <c:ptCount val="1"/>
                <c:pt idx="0">
                  <c:v>1990-1999</c:v>
                </c:pt>
              </c:strCache>
            </c:strRef>
          </c:tx>
          <c:cat>
            <c:numRef>
              <c:f>AHS_tables!$HJ$7:$HJ$14</c:f>
              <c:numCache>
                <c:formatCode>0</c:formatCode>
                <c:ptCount val="8"/>
                <c:pt idx="0">
                  <c:v>1997</c:v>
                </c:pt>
                <c:pt idx="1">
                  <c:v>1999</c:v>
                </c:pt>
                <c:pt idx="2">
                  <c:v>2001</c:v>
                </c:pt>
                <c:pt idx="3">
                  <c:v>2003</c:v>
                </c:pt>
                <c:pt idx="4">
                  <c:v>2005</c:v>
                </c:pt>
                <c:pt idx="5">
                  <c:v>2007</c:v>
                </c:pt>
                <c:pt idx="6">
                  <c:v>2009</c:v>
                </c:pt>
                <c:pt idx="7">
                  <c:v>2011</c:v>
                </c:pt>
              </c:numCache>
            </c:numRef>
          </c:cat>
          <c:val>
            <c:numRef>
              <c:f>AHS_tables!$HQ$7:$HQ$14</c:f>
              <c:numCache>
                <c:formatCode>#,##0</c:formatCode>
                <c:ptCount val="8"/>
                <c:pt idx="0">
                  <c:v>1556.818229577101</c:v>
                </c:pt>
                <c:pt idx="1">
                  <c:v>2021.0920180915298</c:v>
                </c:pt>
                <c:pt idx="2">
                  <c:v>2190.3728615456898</c:v>
                </c:pt>
                <c:pt idx="3">
                  <c:v>2141.4730289361109</c:v>
                </c:pt>
                <c:pt idx="4">
                  <c:v>2159.2279051778996</c:v>
                </c:pt>
                <c:pt idx="5">
                  <c:v>2099.5647129915405</c:v>
                </c:pt>
                <c:pt idx="6">
                  <c:v>2109.8537334612402</c:v>
                </c:pt>
                <c:pt idx="7">
                  <c:v>2225.0221698780883</c:v>
                </c:pt>
              </c:numCache>
            </c:numRef>
          </c:val>
          <c:smooth val="0"/>
          <c:extLst>
            <c:ext xmlns:c16="http://schemas.microsoft.com/office/drawing/2014/chart" uri="{C3380CC4-5D6E-409C-BE32-E72D297353CC}">
              <c16:uniqueId val="{00000006-7BBD-43CB-B551-14099EB01807}"/>
            </c:ext>
          </c:extLst>
        </c:ser>
        <c:dLbls>
          <c:showLegendKey val="0"/>
          <c:showVal val="0"/>
          <c:showCatName val="0"/>
          <c:showSerName val="0"/>
          <c:showPercent val="0"/>
          <c:showBubbleSize val="0"/>
        </c:dLbls>
        <c:marker val="1"/>
        <c:smooth val="0"/>
        <c:axId val="211435904"/>
        <c:axId val="211437440"/>
      </c:lineChart>
      <c:catAx>
        <c:axId val="211435904"/>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437440"/>
        <c:crosses val="autoZero"/>
        <c:auto val="1"/>
        <c:lblAlgn val="ctr"/>
        <c:lblOffset val="100"/>
        <c:noMultiLvlLbl val="0"/>
      </c:catAx>
      <c:valAx>
        <c:axId val="21143744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43590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AHS_tables!$HT$6</c:f>
              <c:strCache>
                <c:ptCount val="1"/>
                <c:pt idx="0">
                  <c:v>Actual</c:v>
                </c:pt>
              </c:strCache>
            </c:strRef>
          </c:tx>
          <c:cat>
            <c:numRef>
              <c:f>AHS_tables!$HS$7:$HS$14</c:f>
              <c:numCache>
                <c:formatCode>0</c:formatCode>
                <c:ptCount val="8"/>
                <c:pt idx="0">
                  <c:v>1997</c:v>
                </c:pt>
                <c:pt idx="1">
                  <c:v>1999</c:v>
                </c:pt>
                <c:pt idx="2">
                  <c:v>2001</c:v>
                </c:pt>
                <c:pt idx="3">
                  <c:v>2003</c:v>
                </c:pt>
                <c:pt idx="4">
                  <c:v>2005</c:v>
                </c:pt>
                <c:pt idx="5">
                  <c:v>2007</c:v>
                </c:pt>
                <c:pt idx="6">
                  <c:v>2009</c:v>
                </c:pt>
                <c:pt idx="7">
                  <c:v>2011</c:v>
                </c:pt>
              </c:numCache>
            </c:numRef>
          </c:cat>
          <c:val>
            <c:numRef>
              <c:f>AHS_tables!$HT$7:$HT$14</c:f>
              <c:numCache>
                <c:formatCode>#,##0</c:formatCode>
                <c:ptCount val="8"/>
                <c:pt idx="0">
                  <c:v>23431.646193196069</c:v>
                </c:pt>
                <c:pt idx="1">
                  <c:v>22494.530343895407</c:v>
                </c:pt>
                <c:pt idx="2">
                  <c:v>22038.678751506486</c:v>
                </c:pt>
                <c:pt idx="3">
                  <c:v>22001.030183039264</c:v>
                </c:pt>
                <c:pt idx="4">
                  <c:v>21326.12895126464</c:v>
                </c:pt>
                <c:pt idx="5">
                  <c:v>21502.320174164743</c:v>
                </c:pt>
                <c:pt idx="6">
                  <c:v>20604.084849517429</c:v>
                </c:pt>
                <c:pt idx="7">
                  <c:v>22207.281930633224</c:v>
                </c:pt>
              </c:numCache>
            </c:numRef>
          </c:val>
          <c:smooth val="0"/>
          <c:extLst>
            <c:ext xmlns:c16="http://schemas.microsoft.com/office/drawing/2014/chart" uri="{C3380CC4-5D6E-409C-BE32-E72D297353CC}">
              <c16:uniqueId val="{00000000-C8B9-4A27-AE92-52C49F77C132}"/>
            </c:ext>
          </c:extLst>
        </c:ser>
        <c:ser>
          <c:idx val="1"/>
          <c:order val="1"/>
          <c:tx>
            <c:strRef>
              <c:f>AHS_tables!$HU$6</c:f>
              <c:strCache>
                <c:ptCount val="1"/>
                <c:pt idx="0">
                  <c:v>Predicted</c:v>
                </c:pt>
              </c:strCache>
            </c:strRef>
          </c:tx>
          <c:cat>
            <c:numRef>
              <c:f>AHS_tables!$HS$7:$HS$14</c:f>
              <c:numCache>
                <c:formatCode>0</c:formatCode>
                <c:ptCount val="8"/>
                <c:pt idx="0">
                  <c:v>1997</c:v>
                </c:pt>
                <c:pt idx="1">
                  <c:v>1999</c:v>
                </c:pt>
                <c:pt idx="2">
                  <c:v>2001</c:v>
                </c:pt>
                <c:pt idx="3">
                  <c:v>2003</c:v>
                </c:pt>
                <c:pt idx="4">
                  <c:v>2005</c:v>
                </c:pt>
                <c:pt idx="5">
                  <c:v>2007</c:v>
                </c:pt>
                <c:pt idx="6">
                  <c:v>2009</c:v>
                </c:pt>
                <c:pt idx="7">
                  <c:v>2011</c:v>
                </c:pt>
              </c:numCache>
            </c:numRef>
          </c:cat>
          <c:val>
            <c:numRef>
              <c:f>AHS_tables!$HU$7:$HU$14</c:f>
              <c:numCache>
                <c:formatCode>General</c:formatCode>
                <c:ptCount val="8"/>
                <c:pt idx="0">
                  <c:v>23125.309288404911</c:v>
                </c:pt>
                <c:pt idx="1">
                  <c:v>22708.816911853035</c:v>
                </c:pt>
                <c:pt idx="2">
                  <c:v>22299.825663072574</c:v>
                </c:pt>
                <c:pt idx="3">
                  <c:v>21898.200444950086</c:v>
                </c:pt>
                <c:pt idx="4">
                  <c:v>21503.8085935036</c:v>
                </c:pt>
                <c:pt idx="5">
                  <c:v>21116.519834061339</c:v>
                </c:pt>
                <c:pt idx="6">
                  <c:v>20736.206238229657</c:v>
                </c:pt>
                <c:pt idx="7">
                  <c:v>20362.742181636026</c:v>
                </c:pt>
              </c:numCache>
            </c:numRef>
          </c:val>
          <c:smooth val="0"/>
          <c:extLst>
            <c:ext xmlns:c16="http://schemas.microsoft.com/office/drawing/2014/chart" uri="{C3380CC4-5D6E-409C-BE32-E72D297353CC}">
              <c16:uniqueId val="{00000001-C8B9-4A27-AE92-52C49F77C132}"/>
            </c:ext>
          </c:extLst>
        </c:ser>
        <c:dLbls>
          <c:showLegendKey val="0"/>
          <c:showVal val="0"/>
          <c:showCatName val="0"/>
          <c:showSerName val="0"/>
          <c:showPercent val="0"/>
          <c:showBubbleSize val="0"/>
        </c:dLbls>
        <c:marker val="1"/>
        <c:smooth val="0"/>
        <c:axId val="211470592"/>
        <c:axId val="211472384"/>
      </c:lineChart>
      <c:catAx>
        <c:axId val="21147059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472384"/>
        <c:crosses val="autoZero"/>
        <c:auto val="1"/>
        <c:lblAlgn val="ctr"/>
        <c:lblOffset val="100"/>
        <c:noMultiLvlLbl val="0"/>
      </c:catAx>
      <c:valAx>
        <c:axId val="21147238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47059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AHS_tables!$IY$6</c:f>
              <c:strCache>
                <c:ptCount val="1"/>
                <c:pt idx="0">
                  <c:v>Actual</c:v>
                </c:pt>
              </c:strCache>
            </c:strRef>
          </c:tx>
          <c:cat>
            <c:numRef>
              <c:f>AHS_tables!$IX$7:$IX$14</c:f>
              <c:numCache>
                <c:formatCode>0</c:formatCode>
                <c:ptCount val="8"/>
                <c:pt idx="0">
                  <c:v>1997</c:v>
                </c:pt>
                <c:pt idx="1">
                  <c:v>1999</c:v>
                </c:pt>
                <c:pt idx="2">
                  <c:v>2001</c:v>
                </c:pt>
                <c:pt idx="3">
                  <c:v>2003</c:v>
                </c:pt>
                <c:pt idx="4">
                  <c:v>2005</c:v>
                </c:pt>
                <c:pt idx="5">
                  <c:v>2007</c:v>
                </c:pt>
                <c:pt idx="6">
                  <c:v>2009</c:v>
                </c:pt>
                <c:pt idx="7">
                  <c:v>2011</c:v>
                </c:pt>
              </c:numCache>
            </c:numRef>
          </c:cat>
          <c:val>
            <c:numRef>
              <c:f>AHS_tables!$IY$7:$IY$14</c:f>
              <c:numCache>
                <c:formatCode>#,##0</c:formatCode>
                <c:ptCount val="8"/>
                <c:pt idx="0">
                  <c:v>4787.2641679774697</c:v>
                </c:pt>
                <c:pt idx="1">
                  <c:v>4379.0428044752971</c:v>
                </c:pt>
                <c:pt idx="2">
                  <c:v>4398.4146063346143</c:v>
                </c:pt>
                <c:pt idx="3">
                  <c:v>4028.1437135125857</c:v>
                </c:pt>
                <c:pt idx="4">
                  <c:v>3726.9474190434785</c:v>
                </c:pt>
                <c:pt idx="5">
                  <c:v>3600.4735918744636</c:v>
                </c:pt>
                <c:pt idx="6">
                  <c:v>3422.8391429166159</c:v>
                </c:pt>
                <c:pt idx="7">
                  <c:v>3580.0840464614062</c:v>
                </c:pt>
              </c:numCache>
            </c:numRef>
          </c:val>
          <c:smooth val="0"/>
          <c:extLst>
            <c:ext xmlns:c16="http://schemas.microsoft.com/office/drawing/2014/chart" uri="{C3380CC4-5D6E-409C-BE32-E72D297353CC}">
              <c16:uniqueId val="{00000000-CA51-41AC-997D-44E7E1A75E43}"/>
            </c:ext>
          </c:extLst>
        </c:ser>
        <c:ser>
          <c:idx val="1"/>
          <c:order val="1"/>
          <c:tx>
            <c:strRef>
              <c:f>AHS_tables!$IZ$6</c:f>
              <c:strCache>
                <c:ptCount val="1"/>
                <c:pt idx="0">
                  <c:v>Predicted</c:v>
                </c:pt>
              </c:strCache>
            </c:strRef>
          </c:tx>
          <c:cat>
            <c:numRef>
              <c:f>AHS_tables!$IX$7:$IX$14</c:f>
              <c:numCache>
                <c:formatCode>0</c:formatCode>
                <c:ptCount val="8"/>
                <c:pt idx="0">
                  <c:v>1997</c:v>
                </c:pt>
                <c:pt idx="1">
                  <c:v>1999</c:v>
                </c:pt>
                <c:pt idx="2">
                  <c:v>2001</c:v>
                </c:pt>
                <c:pt idx="3">
                  <c:v>2003</c:v>
                </c:pt>
                <c:pt idx="4">
                  <c:v>2005</c:v>
                </c:pt>
                <c:pt idx="5">
                  <c:v>2007</c:v>
                </c:pt>
                <c:pt idx="6">
                  <c:v>2009</c:v>
                </c:pt>
                <c:pt idx="7">
                  <c:v>2011</c:v>
                </c:pt>
              </c:numCache>
            </c:numRef>
          </c:cat>
          <c:val>
            <c:numRef>
              <c:f>AHS_tables!$IZ$7:$IZ$14</c:f>
              <c:numCache>
                <c:formatCode>General</c:formatCode>
                <c:ptCount val="8"/>
                <c:pt idx="0">
                  <c:v>4756.9195365418536</c:v>
                </c:pt>
                <c:pt idx="1">
                  <c:v>4498.5523556512962</c:v>
                </c:pt>
                <c:pt idx="2">
                  <c:v>4254.218121849397</c:v>
                </c:pt>
                <c:pt idx="3">
                  <c:v>4023.1546500811105</c:v>
                </c:pt>
                <c:pt idx="4">
                  <c:v>3804.6411525869221</c:v>
                </c:pt>
                <c:pt idx="5">
                  <c:v>3597.9959904514508</c:v>
                </c:pt>
                <c:pt idx="6">
                  <c:v>3402.5745472743197</c:v>
                </c:pt>
                <c:pt idx="7">
                  <c:v>3217.7672183304458</c:v>
                </c:pt>
              </c:numCache>
            </c:numRef>
          </c:val>
          <c:smooth val="0"/>
          <c:extLst>
            <c:ext xmlns:c16="http://schemas.microsoft.com/office/drawing/2014/chart" uri="{C3380CC4-5D6E-409C-BE32-E72D297353CC}">
              <c16:uniqueId val="{00000001-CA51-41AC-997D-44E7E1A75E43}"/>
            </c:ext>
          </c:extLst>
        </c:ser>
        <c:dLbls>
          <c:showLegendKey val="0"/>
          <c:showVal val="0"/>
          <c:showCatName val="0"/>
          <c:showSerName val="0"/>
          <c:showPercent val="0"/>
          <c:showBubbleSize val="0"/>
        </c:dLbls>
        <c:marker val="1"/>
        <c:smooth val="0"/>
        <c:axId val="211562880"/>
        <c:axId val="211564416"/>
      </c:lineChart>
      <c:catAx>
        <c:axId val="211562880"/>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564416"/>
        <c:crosses val="autoZero"/>
        <c:auto val="1"/>
        <c:lblAlgn val="ctr"/>
        <c:lblOffset val="100"/>
        <c:noMultiLvlLbl val="0"/>
      </c:catAx>
      <c:valAx>
        <c:axId val="21156441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56288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AHS_tables!$IP$6</c:f>
              <c:strCache>
                <c:ptCount val="1"/>
                <c:pt idx="0">
                  <c:v>&lt;1940</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AHS_tables!$IP$7:$IP$14</c:f>
              <c:numCache>
                <c:formatCode>#,##0</c:formatCode>
                <c:ptCount val="8"/>
                <c:pt idx="0">
                  <c:v>35.429437008300006</c:v>
                </c:pt>
                <c:pt idx="1">
                  <c:v>37.513102551499998</c:v>
                </c:pt>
                <c:pt idx="2">
                  <c:v>56.140796059100005</c:v>
                </c:pt>
                <c:pt idx="3">
                  <c:v>44.116775638500002</c:v>
                </c:pt>
                <c:pt idx="4">
                  <c:v>49.866685941200004</c:v>
                </c:pt>
                <c:pt idx="5">
                  <c:v>55.675212703299998</c:v>
                </c:pt>
                <c:pt idx="6">
                  <c:v>49.254241721900001</c:v>
                </c:pt>
                <c:pt idx="7">
                  <c:v>48.184416804902007</c:v>
                </c:pt>
              </c:numCache>
            </c:numRef>
          </c:val>
          <c:smooth val="0"/>
          <c:extLst>
            <c:ext xmlns:c16="http://schemas.microsoft.com/office/drawing/2014/chart" uri="{C3380CC4-5D6E-409C-BE32-E72D297353CC}">
              <c16:uniqueId val="{00000000-9012-4A88-BF3F-FCBA9CEC68E0}"/>
            </c:ext>
          </c:extLst>
        </c:ser>
        <c:ser>
          <c:idx val="1"/>
          <c:order val="1"/>
          <c:tx>
            <c:strRef>
              <c:f>AHS_tables!$IQ$6</c:f>
              <c:strCache>
                <c:ptCount val="1"/>
                <c:pt idx="0">
                  <c:v>1940-49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AHS_tables!$IQ$7:$IQ$14</c:f>
              <c:numCache>
                <c:formatCode>#,##0</c:formatCode>
                <c:ptCount val="8"/>
                <c:pt idx="0">
                  <c:v>16.209391437699999</c:v>
                </c:pt>
                <c:pt idx="1">
                  <c:v>16.261309679299998</c:v>
                </c:pt>
                <c:pt idx="2">
                  <c:v>23.506495982300002</c:v>
                </c:pt>
                <c:pt idx="3">
                  <c:v>16.566786128800004</c:v>
                </c:pt>
                <c:pt idx="4">
                  <c:v>29.732345946799995</c:v>
                </c:pt>
                <c:pt idx="5">
                  <c:v>37.758586712099998</c:v>
                </c:pt>
                <c:pt idx="6">
                  <c:v>53.767133913800009</c:v>
                </c:pt>
                <c:pt idx="7">
                  <c:v>44.280350941457996</c:v>
                </c:pt>
              </c:numCache>
            </c:numRef>
          </c:val>
          <c:smooth val="0"/>
          <c:extLst>
            <c:ext xmlns:c16="http://schemas.microsoft.com/office/drawing/2014/chart" uri="{C3380CC4-5D6E-409C-BE32-E72D297353CC}">
              <c16:uniqueId val="{00000001-9012-4A88-BF3F-FCBA9CEC68E0}"/>
            </c:ext>
          </c:extLst>
        </c:ser>
        <c:ser>
          <c:idx val="2"/>
          <c:order val="2"/>
          <c:tx>
            <c:strRef>
              <c:f>AHS_tables!$IR$6</c:f>
              <c:strCache>
                <c:ptCount val="1"/>
                <c:pt idx="0">
                  <c:v>1950-59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AHS_tables!$IR$7:$IR$14</c:f>
              <c:numCache>
                <c:formatCode>#,##0</c:formatCode>
                <c:ptCount val="8"/>
                <c:pt idx="0">
                  <c:v>117.80943427634</c:v>
                </c:pt>
                <c:pt idx="1">
                  <c:v>102.40729552607998</c:v>
                </c:pt>
                <c:pt idx="2">
                  <c:v>100.69828062954001</c:v>
                </c:pt>
                <c:pt idx="3">
                  <c:v>78.10466364137001</c:v>
                </c:pt>
                <c:pt idx="4">
                  <c:v>48.801005342300009</c:v>
                </c:pt>
                <c:pt idx="5">
                  <c:v>41.692448847599998</c:v>
                </c:pt>
                <c:pt idx="6">
                  <c:v>55.596116218799999</c:v>
                </c:pt>
                <c:pt idx="7">
                  <c:v>67.17637643299102</c:v>
                </c:pt>
              </c:numCache>
            </c:numRef>
          </c:val>
          <c:smooth val="0"/>
          <c:extLst>
            <c:ext xmlns:c16="http://schemas.microsoft.com/office/drawing/2014/chart" uri="{C3380CC4-5D6E-409C-BE32-E72D297353CC}">
              <c16:uniqueId val="{00000002-9012-4A88-BF3F-FCBA9CEC68E0}"/>
            </c:ext>
          </c:extLst>
        </c:ser>
        <c:ser>
          <c:idx val="3"/>
          <c:order val="3"/>
          <c:tx>
            <c:strRef>
              <c:f>AHS_tables!$IS$6</c:f>
              <c:strCache>
                <c:ptCount val="1"/>
                <c:pt idx="0">
                  <c:v>1960-1969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AHS_tables!$IS$7:$IS$14</c:f>
              <c:numCache>
                <c:formatCode>#,##0</c:formatCode>
                <c:ptCount val="8"/>
                <c:pt idx="0">
                  <c:v>729.65148363604442</c:v>
                </c:pt>
                <c:pt idx="1">
                  <c:v>601.58513447374332</c:v>
                </c:pt>
                <c:pt idx="2">
                  <c:v>594.31925623098221</c:v>
                </c:pt>
                <c:pt idx="3">
                  <c:v>525.5136000788018</c:v>
                </c:pt>
                <c:pt idx="4">
                  <c:v>452.54489744626028</c:v>
                </c:pt>
                <c:pt idx="5">
                  <c:v>383.72673918330003</c:v>
                </c:pt>
                <c:pt idx="6">
                  <c:v>401.48034546477976</c:v>
                </c:pt>
                <c:pt idx="7">
                  <c:v>421.76203493956615</c:v>
                </c:pt>
              </c:numCache>
            </c:numRef>
          </c:val>
          <c:smooth val="0"/>
          <c:extLst>
            <c:ext xmlns:c16="http://schemas.microsoft.com/office/drawing/2014/chart" uri="{C3380CC4-5D6E-409C-BE32-E72D297353CC}">
              <c16:uniqueId val="{00000003-9012-4A88-BF3F-FCBA9CEC68E0}"/>
            </c:ext>
          </c:extLst>
        </c:ser>
        <c:ser>
          <c:idx val="4"/>
          <c:order val="4"/>
          <c:tx>
            <c:strRef>
              <c:f>AHS_tables!$IT$6</c:f>
              <c:strCache>
                <c:ptCount val="1"/>
                <c:pt idx="0">
                  <c:v>1970-1979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AHS_tables!$IT$7:$IT$14</c:f>
              <c:numCache>
                <c:formatCode>#,##0</c:formatCode>
                <c:ptCount val="8"/>
                <c:pt idx="0">
                  <c:v>2372.5162144807373</c:v>
                </c:pt>
                <c:pt idx="1">
                  <c:v>2103.5987465911835</c:v>
                </c:pt>
                <c:pt idx="2">
                  <c:v>2093.3308423382309</c:v>
                </c:pt>
                <c:pt idx="3">
                  <c:v>1901.1703932045291</c:v>
                </c:pt>
                <c:pt idx="4">
                  <c:v>1650.6140757450169</c:v>
                </c:pt>
                <c:pt idx="5">
                  <c:v>1585.1717941231875</c:v>
                </c:pt>
                <c:pt idx="6">
                  <c:v>1496.2498974446548</c:v>
                </c:pt>
                <c:pt idx="7">
                  <c:v>1496.346447191981</c:v>
                </c:pt>
              </c:numCache>
            </c:numRef>
          </c:val>
          <c:smooth val="0"/>
          <c:extLst>
            <c:ext xmlns:c16="http://schemas.microsoft.com/office/drawing/2014/chart" uri="{C3380CC4-5D6E-409C-BE32-E72D297353CC}">
              <c16:uniqueId val="{00000004-9012-4A88-BF3F-FCBA9CEC68E0}"/>
            </c:ext>
          </c:extLst>
        </c:ser>
        <c:ser>
          <c:idx val="5"/>
          <c:order val="5"/>
          <c:tx>
            <c:strRef>
              <c:f>AHS_tables!$IU$6</c:f>
              <c:strCache>
                <c:ptCount val="1"/>
                <c:pt idx="0">
                  <c:v>1980-1989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AHS_tables!$IU$7:$IU$14</c:f>
              <c:numCache>
                <c:formatCode>#,##0</c:formatCode>
                <c:ptCount val="8"/>
                <c:pt idx="0">
                  <c:v>1515.6482071383475</c:v>
                </c:pt>
                <c:pt idx="1">
                  <c:v>1517.6772156534907</c:v>
                </c:pt>
                <c:pt idx="2">
                  <c:v>1530.4189350944616</c:v>
                </c:pt>
                <c:pt idx="3">
                  <c:v>1462.6714948205849</c:v>
                </c:pt>
                <c:pt idx="4">
                  <c:v>1495.3884086219016</c:v>
                </c:pt>
                <c:pt idx="5">
                  <c:v>1496.448810304976</c:v>
                </c:pt>
                <c:pt idx="6">
                  <c:v>1366.4914081526813</c:v>
                </c:pt>
                <c:pt idx="7">
                  <c:v>1502.3344201505079</c:v>
                </c:pt>
              </c:numCache>
            </c:numRef>
          </c:val>
          <c:smooth val="0"/>
          <c:extLst>
            <c:ext xmlns:c16="http://schemas.microsoft.com/office/drawing/2014/chart" uri="{C3380CC4-5D6E-409C-BE32-E72D297353CC}">
              <c16:uniqueId val="{00000005-9012-4A88-BF3F-FCBA9CEC68E0}"/>
            </c:ext>
          </c:extLst>
        </c:ser>
        <c:ser>
          <c:idx val="6"/>
          <c:order val="6"/>
          <c:tx>
            <c:strRef>
              <c:f>AHS_tables!$IV$6</c:f>
              <c:strCache>
                <c:ptCount val="1"/>
                <c:pt idx="0">
                  <c:v>1990-1999</c:v>
                </c:pt>
              </c:strCache>
            </c:strRef>
          </c:tx>
          <c:cat>
            <c:numRef>
              <c:f>AHS_tables!$IO$7:$IO$14</c:f>
              <c:numCache>
                <c:formatCode>0</c:formatCode>
                <c:ptCount val="8"/>
                <c:pt idx="0">
                  <c:v>1997</c:v>
                </c:pt>
                <c:pt idx="1">
                  <c:v>1999</c:v>
                </c:pt>
                <c:pt idx="2">
                  <c:v>2001</c:v>
                </c:pt>
                <c:pt idx="3">
                  <c:v>2003</c:v>
                </c:pt>
                <c:pt idx="4">
                  <c:v>2005</c:v>
                </c:pt>
                <c:pt idx="5">
                  <c:v>2007</c:v>
                </c:pt>
                <c:pt idx="6">
                  <c:v>2009</c:v>
                </c:pt>
                <c:pt idx="7">
                  <c:v>2011</c:v>
                </c:pt>
              </c:numCache>
            </c:numRef>
          </c:cat>
          <c:val>
            <c:numRef>
              <c:f>AHS_tables!$IV$7:$IV$14</c:f>
              <c:numCache>
                <c:formatCode>#,##0</c:formatCode>
                <c:ptCount val="8"/>
                <c:pt idx="0">
                  <c:v>1745.4471512269556</c:v>
                </c:pt>
                <c:pt idx="1">
                  <c:v>2400.3862144058899</c:v>
                </c:pt>
                <c:pt idx="2">
                  <c:v>2439.2343082056095</c:v>
                </c:pt>
                <c:pt idx="3">
                  <c:v>2288.928859969189</c:v>
                </c:pt>
                <c:pt idx="4">
                  <c:v>2380.1585521750899</c:v>
                </c:pt>
                <c:pt idx="5">
                  <c:v>2300.1157364831356</c:v>
                </c:pt>
                <c:pt idx="6">
                  <c:v>2270.1129433710662</c:v>
                </c:pt>
                <c:pt idx="7">
                  <c:v>2361.9664242357062</c:v>
                </c:pt>
              </c:numCache>
            </c:numRef>
          </c:val>
          <c:smooth val="0"/>
          <c:extLst>
            <c:ext xmlns:c16="http://schemas.microsoft.com/office/drawing/2014/chart" uri="{C3380CC4-5D6E-409C-BE32-E72D297353CC}">
              <c16:uniqueId val="{00000006-9012-4A88-BF3F-FCBA9CEC68E0}"/>
            </c:ext>
          </c:extLst>
        </c:ser>
        <c:dLbls>
          <c:showLegendKey val="0"/>
          <c:showVal val="0"/>
          <c:showCatName val="0"/>
          <c:showSerName val="0"/>
          <c:showPercent val="0"/>
          <c:showBubbleSize val="0"/>
        </c:dLbls>
        <c:marker val="1"/>
        <c:smooth val="0"/>
        <c:axId val="211601664"/>
        <c:axId val="211746816"/>
      </c:lineChart>
      <c:catAx>
        <c:axId val="211601664"/>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746816"/>
        <c:crosses val="autoZero"/>
        <c:auto val="1"/>
        <c:lblAlgn val="ctr"/>
        <c:lblOffset val="100"/>
        <c:noMultiLvlLbl val="0"/>
      </c:catAx>
      <c:valAx>
        <c:axId val="21174681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60166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AHS_tables!$GE$37</c:f>
              <c:strCache>
                <c:ptCount val="1"/>
                <c:pt idx="0">
                  <c:v>&lt;1940</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AHS_tables!$GE$38:$GE$45</c:f>
              <c:numCache>
                <c:formatCode>#,##0</c:formatCode>
                <c:ptCount val="8"/>
                <c:pt idx="0">
                  <c:v>3786.87273241923</c:v>
                </c:pt>
                <c:pt idx="1">
                  <c:v>4059.0696512611194</c:v>
                </c:pt>
                <c:pt idx="2">
                  <c:v>4170.6985467701788</c:v>
                </c:pt>
                <c:pt idx="3">
                  <c:v>3952.0801250583518</c:v>
                </c:pt>
                <c:pt idx="4">
                  <c:v>3837.5597019804004</c:v>
                </c:pt>
                <c:pt idx="5">
                  <c:v>3838.8155989882907</c:v>
                </c:pt>
                <c:pt idx="6">
                  <c:v>3762.345614003124</c:v>
                </c:pt>
                <c:pt idx="7">
                  <c:v>3608.0243905412726</c:v>
                </c:pt>
              </c:numCache>
            </c:numRef>
          </c:val>
          <c:smooth val="0"/>
          <c:extLst>
            <c:ext xmlns:c16="http://schemas.microsoft.com/office/drawing/2014/chart" uri="{C3380CC4-5D6E-409C-BE32-E72D297353CC}">
              <c16:uniqueId val="{00000000-3D0B-449E-8D61-466C458289BB}"/>
            </c:ext>
          </c:extLst>
        </c:ser>
        <c:ser>
          <c:idx val="1"/>
          <c:order val="1"/>
          <c:tx>
            <c:strRef>
              <c:f>AHS_tables!$GF$37</c:f>
              <c:strCache>
                <c:ptCount val="1"/>
                <c:pt idx="0">
                  <c:v>1940-49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AHS_tables!$GF$38:$GF$45</c:f>
              <c:numCache>
                <c:formatCode>#,##0</c:formatCode>
                <c:ptCount val="8"/>
                <c:pt idx="0">
                  <c:v>1002.4242913353402</c:v>
                </c:pt>
                <c:pt idx="1">
                  <c:v>1058.855917476709</c:v>
                </c:pt>
                <c:pt idx="2">
                  <c:v>1105.0327297999993</c:v>
                </c:pt>
                <c:pt idx="3">
                  <c:v>1050.1968396302289</c:v>
                </c:pt>
                <c:pt idx="4">
                  <c:v>1076.1962966029996</c:v>
                </c:pt>
                <c:pt idx="5">
                  <c:v>1024.6662113347998</c:v>
                </c:pt>
                <c:pt idx="6">
                  <c:v>1077.8683946548497</c:v>
                </c:pt>
                <c:pt idx="7">
                  <c:v>1104.9860836844466</c:v>
                </c:pt>
              </c:numCache>
            </c:numRef>
          </c:val>
          <c:smooth val="0"/>
          <c:extLst>
            <c:ext xmlns:c16="http://schemas.microsoft.com/office/drawing/2014/chart" uri="{C3380CC4-5D6E-409C-BE32-E72D297353CC}">
              <c16:uniqueId val="{00000001-3D0B-449E-8D61-466C458289BB}"/>
            </c:ext>
          </c:extLst>
        </c:ser>
        <c:ser>
          <c:idx val="2"/>
          <c:order val="2"/>
          <c:tx>
            <c:strRef>
              <c:f>AHS_tables!$GG$37</c:f>
              <c:strCache>
                <c:ptCount val="1"/>
                <c:pt idx="0">
                  <c:v>1950-59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AHS_tables!$GG$38:$GG$45</c:f>
              <c:numCache>
                <c:formatCode>#,##0</c:formatCode>
                <c:ptCount val="8"/>
                <c:pt idx="0">
                  <c:v>1946.3896333156838</c:v>
                </c:pt>
                <c:pt idx="1">
                  <c:v>1995.0834441528034</c:v>
                </c:pt>
                <c:pt idx="2">
                  <c:v>2058.7405874561714</c:v>
                </c:pt>
                <c:pt idx="3">
                  <c:v>2007.868930397442</c:v>
                </c:pt>
                <c:pt idx="4">
                  <c:v>1966.7296659490255</c:v>
                </c:pt>
                <c:pt idx="5">
                  <c:v>1941.7820054073793</c:v>
                </c:pt>
                <c:pt idx="6">
                  <c:v>2020.6937320146315</c:v>
                </c:pt>
                <c:pt idx="7">
                  <c:v>2028.223108706989</c:v>
                </c:pt>
              </c:numCache>
            </c:numRef>
          </c:val>
          <c:smooth val="0"/>
          <c:extLst>
            <c:ext xmlns:c16="http://schemas.microsoft.com/office/drawing/2014/chart" uri="{C3380CC4-5D6E-409C-BE32-E72D297353CC}">
              <c16:uniqueId val="{00000002-3D0B-449E-8D61-466C458289BB}"/>
            </c:ext>
          </c:extLst>
        </c:ser>
        <c:ser>
          <c:idx val="3"/>
          <c:order val="3"/>
          <c:tx>
            <c:strRef>
              <c:f>AHS_tables!$GH$37</c:f>
              <c:strCache>
                <c:ptCount val="1"/>
                <c:pt idx="0">
                  <c:v>1960-1969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AHS_tables!$GH$38:$GH$45</c:f>
              <c:numCache>
                <c:formatCode>#,##0</c:formatCode>
                <c:ptCount val="8"/>
                <c:pt idx="0">
                  <c:v>1531.2687476290018</c:v>
                </c:pt>
                <c:pt idx="1">
                  <c:v>1595.9661420064015</c:v>
                </c:pt>
                <c:pt idx="2">
                  <c:v>1614.8841818329004</c:v>
                </c:pt>
                <c:pt idx="3">
                  <c:v>1541.817621832912</c:v>
                </c:pt>
                <c:pt idx="4">
                  <c:v>1573.9074047468864</c:v>
                </c:pt>
                <c:pt idx="5">
                  <c:v>1578.4786719647791</c:v>
                </c:pt>
                <c:pt idx="6">
                  <c:v>1636.8857329182306</c:v>
                </c:pt>
                <c:pt idx="7">
                  <c:v>1602.4815738595444</c:v>
                </c:pt>
              </c:numCache>
            </c:numRef>
          </c:val>
          <c:smooth val="0"/>
          <c:extLst>
            <c:ext xmlns:c16="http://schemas.microsoft.com/office/drawing/2014/chart" uri="{C3380CC4-5D6E-409C-BE32-E72D297353CC}">
              <c16:uniqueId val="{00000003-3D0B-449E-8D61-466C458289BB}"/>
            </c:ext>
          </c:extLst>
        </c:ser>
        <c:ser>
          <c:idx val="4"/>
          <c:order val="4"/>
          <c:tx>
            <c:strRef>
              <c:f>AHS_tables!$GI$37</c:f>
              <c:strCache>
                <c:ptCount val="1"/>
                <c:pt idx="0">
                  <c:v>1970-1979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AHS_tables!$GI$38:$GI$45</c:f>
              <c:numCache>
                <c:formatCode>#,##0</c:formatCode>
                <c:ptCount val="8"/>
                <c:pt idx="0">
                  <c:v>1476.6582773849591</c:v>
                </c:pt>
                <c:pt idx="1">
                  <c:v>1542.1731790027802</c:v>
                </c:pt>
                <c:pt idx="2">
                  <c:v>1583.6221944732015</c:v>
                </c:pt>
                <c:pt idx="3">
                  <c:v>1631.7741238111209</c:v>
                </c:pt>
                <c:pt idx="4">
                  <c:v>1582.641625937438</c:v>
                </c:pt>
                <c:pt idx="5">
                  <c:v>1578.7532121854515</c:v>
                </c:pt>
                <c:pt idx="6">
                  <c:v>1640.5573725734723</c:v>
                </c:pt>
                <c:pt idx="7">
                  <c:v>1614.3478941172984</c:v>
                </c:pt>
              </c:numCache>
            </c:numRef>
          </c:val>
          <c:smooth val="0"/>
          <c:extLst>
            <c:ext xmlns:c16="http://schemas.microsoft.com/office/drawing/2014/chart" uri="{C3380CC4-5D6E-409C-BE32-E72D297353CC}">
              <c16:uniqueId val="{00000004-3D0B-449E-8D61-466C458289BB}"/>
            </c:ext>
          </c:extLst>
        </c:ser>
        <c:ser>
          <c:idx val="5"/>
          <c:order val="5"/>
          <c:tx>
            <c:strRef>
              <c:f>AHS_tables!$GJ$37</c:f>
              <c:strCache>
                <c:ptCount val="1"/>
                <c:pt idx="0">
                  <c:v>1980-1989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AHS_tables!$GJ$38:$GJ$45</c:f>
              <c:numCache>
                <c:formatCode>#,##0</c:formatCode>
                <c:ptCount val="8"/>
                <c:pt idx="0">
                  <c:v>1278.3892978621991</c:v>
                </c:pt>
                <c:pt idx="1">
                  <c:v>1294.0171240738291</c:v>
                </c:pt>
                <c:pt idx="2">
                  <c:v>1294.2490823078595</c:v>
                </c:pt>
                <c:pt idx="3">
                  <c:v>1258.7987117941766</c:v>
                </c:pt>
                <c:pt idx="4">
                  <c:v>1253.6771078849401</c:v>
                </c:pt>
                <c:pt idx="5">
                  <c:v>1228.8853323121393</c:v>
                </c:pt>
                <c:pt idx="6">
                  <c:v>1242.4398017930905</c:v>
                </c:pt>
                <c:pt idx="7">
                  <c:v>1267.6221935443054</c:v>
                </c:pt>
              </c:numCache>
            </c:numRef>
          </c:val>
          <c:smooth val="0"/>
          <c:extLst>
            <c:ext xmlns:c16="http://schemas.microsoft.com/office/drawing/2014/chart" uri="{C3380CC4-5D6E-409C-BE32-E72D297353CC}">
              <c16:uniqueId val="{00000005-3D0B-449E-8D61-466C458289BB}"/>
            </c:ext>
          </c:extLst>
        </c:ser>
        <c:ser>
          <c:idx val="6"/>
          <c:order val="6"/>
          <c:tx>
            <c:strRef>
              <c:f>AHS_tables!$GK$37</c:f>
              <c:strCache>
                <c:ptCount val="1"/>
                <c:pt idx="0">
                  <c:v>1990-1999</c:v>
                </c:pt>
              </c:strCache>
            </c:strRef>
          </c:tx>
          <c:cat>
            <c:numRef>
              <c:f>AHS_tables!$GD$38:$GD$45</c:f>
              <c:numCache>
                <c:formatCode>0</c:formatCode>
                <c:ptCount val="8"/>
                <c:pt idx="0">
                  <c:v>1997</c:v>
                </c:pt>
                <c:pt idx="1">
                  <c:v>1999</c:v>
                </c:pt>
                <c:pt idx="2">
                  <c:v>2001</c:v>
                </c:pt>
                <c:pt idx="3">
                  <c:v>2003</c:v>
                </c:pt>
                <c:pt idx="4">
                  <c:v>2005</c:v>
                </c:pt>
                <c:pt idx="5">
                  <c:v>2007</c:v>
                </c:pt>
                <c:pt idx="6">
                  <c:v>2009</c:v>
                </c:pt>
                <c:pt idx="7">
                  <c:v>2011</c:v>
                </c:pt>
              </c:numCache>
            </c:numRef>
          </c:cat>
          <c:val>
            <c:numRef>
              <c:f>AHS_tables!$GK$38:$GK$45</c:f>
              <c:numCache>
                <c:formatCode>#,##0</c:formatCode>
                <c:ptCount val="8"/>
                <c:pt idx="0">
                  <c:v>802.17490612294</c:v>
                </c:pt>
                <c:pt idx="1">
                  <c:v>1026.5197074223097</c:v>
                </c:pt>
                <c:pt idx="2">
                  <c:v>1040.4414185974997</c:v>
                </c:pt>
                <c:pt idx="3">
                  <c:v>1019.3699046644313</c:v>
                </c:pt>
                <c:pt idx="4">
                  <c:v>1021.4593680488304</c:v>
                </c:pt>
                <c:pt idx="5">
                  <c:v>992.56267831437822</c:v>
                </c:pt>
                <c:pt idx="6">
                  <c:v>993.90140449153012</c:v>
                </c:pt>
                <c:pt idx="7">
                  <c:v>1009.7828993199162</c:v>
                </c:pt>
              </c:numCache>
            </c:numRef>
          </c:val>
          <c:smooth val="0"/>
          <c:extLst>
            <c:ext xmlns:c16="http://schemas.microsoft.com/office/drawing/2014/chart" uri="{C3380CC4-5D6E-409C-BE32-E72D297353CC}">
              <c16:uniqueId val="{00000006-3D0B-449E-8D61-466C458289BB}"/>
            </c:ext>
          </c:extLst>
        </c:ser>
        <c:dLbls>
          <c:showLegendKey val="0"/>
          <c:showVal val="0"/>
          <c:showCatName val="0"/>
          <c:showSerName val="0"/>
          <c:showPercent val="0"/>
          <c:showBubbleSize val="0"/>
        </c:dLbls>
        <c:marker val="1"/>
        <c:smooth val="0"/>
        <c:axId val="211796352"/>
        <c:axId val="211797888"/>
      </c:lineChart>
      <c:catAx>
        <c:axId val="21179635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797888"/>
        <c:crosses val="autoZero"/>
        <c:auto val="1"/>
        <c:lblAlgn val="ctr"/>
        <c:lblOffset val="100"/>
        <c:noMultiLvlLbl val="0"/>
      </c:catAx>
      <c:valAx>
        <c:axId val="2117978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79635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AHS_tables!$GE$69</c:f>
              <c:strCache>
                <c:ptCount val="1"/>
                <c:pt idx="0">
                  <c:v>&lt;1940</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AHS_tables!$GE$70:$GE$77</c:f>
              <c:numCache>
                <c:formatCode>#,##0</c:formatCode>
                <c:ptCount val="8"/>
                <c:pt idx="0">
                  <c:v>4746.9247126156097</c:v>
                </c:pt>
                <c:pt idx="1">
                  <c:v>4870.2523062469982</c:v>
                </c:pt>
                <c:pt idx="2">
                  <c:v>4752.0131489246342</c:v>
                </c:pt>
                <c:pt idx="3">
                  <c:v>4576.0975534971212</c:v>
                </c:pt>
                <c:pt idx="4">
                  <c:v>4316.7178581070366</c:v>
                </c:pt>
                <c:pt idx="5">
                  <c:v>4122.4490198387921</c:v>
                </c:pt>
                <c:pt idx="6">
                  <c:v>4226.5360205252755</c:v>
                </c:pt>
                <c:pt idx="7">
                  <c:v>4106.7114956868309</c:v>
                </c:pt>
              </c:numCache>
            </c:numRef>
          </c:val>
          <c:smooth val="0"/>
          <c:extLst>
            <c:ext xmlns:c16="http://schemas.microsoft.com/office/drawing/2014/chart" uri="{C3380CC4-5D6E-409C-BE32-E72D297353CC}">
              <c16:uniqueId val="{00000000-7217-47D6-9A2F-58D53767120D}"/>
            </c:ext>
          </c:extLst>
        </c:ser>
        <c:ser>
          <c:idx val="1"/>
          <c:order val="1"/>
          <c:tx>
            <c:strRef>
              <c:f>AHS_tables!$GF$69</c:f>
              <c:strCache>
                <c:ptCount val="1"/>
                <c:pt idx="0">
                  <c:v>1940-49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AHS_tables!$GF$70:$GF$77</c:f>
              <c:numCache>
                <c:formatCode>#,##0</c:formatCode>
                <c:ptCount val="8"/>
                <c:pt idx="0">
                  <c:v>1469.2028504061</c:v>
                </c:pt>
                <c:pt idx="1">
                  <c:v>1494.8147389057528</c:v>
                </c:pt>
                <c:pt idx="2">
                  <c:v>1461.3482153053919</c:v>
                </c:pt>
                <c:pt idx="3">
                  <c:v>1380.6747248787692</c:v>
                </c:pt>
                <c:pt idx="4">
                  <c:v>1301.6295837435998</c:v>
                </c:pt>
                <c:pt idx="5">
                  <c:v>1311.6540608208011</c:v>
                </c:pt>
                <c:pt idx="6">
                  <c:v>1313.1541093479304</c:v>
                </c:pt>
                <c:pt idx="7">
                  <c:v>1235.6601267547937</c:v>
                </c:pt>
              </c:numCache>
            </c:numRef>
          </c:val>
          <c:smooth val="0"/>
          <c:extLst>
            <c:ext xmlns:c16="http://schemas.microsoft.com/office/drawing/2014/chart" uri="{C3380CC4-5D6E-409C-BE32-E72D297353CC}">
              <c16:uniqueId val="{00000001-7217-47D6-9A2F-58D53767120D}"/>
            </c:ext>
          </c:extLst>
        </c:ser>
        <c:ser>
          <c:idx val="2"/>
          <c:order val="2"/>
          <c:tx>
            <c:strRef>
              <c:f>AHS_tables!$GG$69</c:f>
              <c:strCache>
                <c:ptCount val="1"/>
                <c:pt idx="0">
                  <c:v>1950-59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AHS_tables!$GG$70:$GG$77</c:f>
              <c:numCache>
                <c:formatCode>#,##0</c:formatCode>
                <c:ptCount val="8"/>
                <c:pt idx="0">
                  <c:v>2933.6710019213924</c:v>
                </c:pt>
                <c:pt idx="1">
                  <c:v>2875.3135017073623</c:v>
                </c:pt>
                <c:pt idx="2">
                  <c:v>2836.0369570029643</c:v>
                </c:pt>
                <c:pt idx="3">
                  <c:v>2721.9503076370579</c:v>
                </c:pt>
                <c:pt idx="4">
                  <c:v>2729.6507418755759</c:v>
                </c:pt>
                <c:pt idx="5">
                  <c:v>2672.1608695940095</c:v>
                </c:pt>
                <c:pt idx="6">
                  <c:v>2693.9368741453118</c:v>
                </c:pt>
                <c:pt idx="7">
                  <c:v>2754.1866833883842</c:v>
                </c:pt>
              </c:numCache>
            </c:numRef>
          </c:val>
          <c:smooth val="0"/>
          <c:extLst>
            <c:ext xmlns:c16="http://schemas.microsoft.com/office/drawing/2014/chart" uri="{C3380CC4-5D6E-409C-BE32-E72D297353CC}">
              <c16:uniqueId val="{00000002-7217-47D6-9A2F-58D53767120D}"/>
            </c:ext>
          </c:extLst>
        </c:ser>
        <c:ser>
          <c:idx val="3"/>
          <c:order val="3"/>
          <c:tx>
            <c:strRef>
              <c:f>AHS_tables!$GH$69</c:f>
              <c:strCache>
                <c:ptCount val="1"/>
                <c:pt idx="0">
                  <c:v>1960-1969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AHS_tables!$GH$70:$GH$77</c:f>
              <c:numCache>
                <c:formatCode>#,##0</c:formatCode>
                <c:ptCount val="8"/>
                <c:pt idx="0">
                  <c:v>2384.2965733228034</c:v>
                </c:pt>
                <c:pt idx="1">
                  <c:v>2408.5186732274856</c:v>
                </c:pt>
                <c:pt idx="2">
                  <c:v>2462.6868582323987</c:v>
                </c:pt>
                <c:pt idx="3">
                  <c:v>2424.5750895556876</c:v>
                </c:pt>
                <c:pt idx="4">
                  <c:v>2321.3546606637879</c:v>
                </c:pt>
                <c:pt idx="5">
                  <c:v>2239.5329991743006</c:v>
                </c:pt>
                <c:pt idx="6">
                  <c:v>2248.2090991686196</c:v>
                </c:pt>
                <c:pt idx="7">
                  <c:v>2254.9633151754151</c:v>
                </c:pt>
              </c:numCache>
            </c:numRef>
          </c:val>
          <c:smooth val="0"/>
          <c:extLst>
            <c:ext xmlns:c16="http://schemas.microsoft.com/office/drawing/2014/chart" uri="{C3380CC4-5D6E-409C-BE32-E72D297353CC}">
              <c16:uniqueId val="{00000003-7217-47D6-9A2F-58D53767120D}"/>
            </c:ext>
          </c:extLst>
        </c:ser>
        <c:ser>
          <c:idx val="4"/>
          <c:order val="4"/>
          <c:tx>
            <c:strRef>
              <c:f>AHS_tables!$GI$69</c:f>
              <c:strCache>
                <c:ptCount val="1"/>
                <c:pt idx="0">
                  <c:v>1970-1979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AHS_tables!$GI$70:$GI$77</c:f>
              <c:numCache>
                <c:formatCode>#,##0</c:formatCode>
                <c:ptCount val="8"/>
                <c:pt idx="0">
                  <c:v>2821.1537071789471</c:v>
                </c:pt>
                <c:pt idx="1">
                  <c:v>2879.4337593009936</c:v>
                </c:pt>
                <c:pt idx="2">
                  <c:v>2913.0489199557605</c:v>
                </c:pt>
                <c:pt idx="3">
                  <c:v>2806.4933774827314</c:v>
                </c:pt>
                <c:pt idx="4">
                  <c:v>3124.1549598890228</c:v>
                </c:pt>
                <c:pt idx="5">
                  <c:v>2992.3481198405548</c:v>
                </c:pt>
                <c:pt idx="6">
                  <c:v>2880.2134877261615</c:v>
                </c:pt>
                <c:pt idx="7">
                  <c:v>2939.9982412403224</c:v>
                </c:pt>
              </c:numCache>
            </c:numRef>
          </c:val>
          <c:smooth val="0"/>
          <c:extLst>
            <c:ext xmlns:c16="http://schemas.microsoft.com/office/drawing/2014/chart" uri="{C3380CC4-5D6E-409C-BE32-E72D297353CC}">
              <c16:uniqueId val="{00000004-7217-47D6-9A2F-58D53767120D}"/>
            </c:ext>
          </c:extLst>
        </c:ser>
        <c:ser>
          <c:idx val="5"/>
          <c:order val="5"/>
          <c:tx>
            <c:strRef>
              <c:f>AHS_tables!$GJ$69</c:f>
              <c:strCache>
                <c:ptCount val="1"/>
                <c:pt idx="0">
                  <c:v>1980-1989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AHS_tables!$GJ$70:$GJ$77</c:f>
              <c:numCache>
                <c:formatCode>#,##0</c:formatCode>
                <c:ptCount val="8"/>
                <c:pt idx="0">
                  <c:v>1512.766496820801</c:v>
                </c:pt>
                <c:pt idx="1">
                  <c:v>1494.2408158839989</c:v>
                </c:pt>
                <c:pt idx="2">
                  <c:v>1497.9911488418993</c:v>
                </c:pt>
                <c:pt idx="3">
                  <c:v>1491.0905315168677</c:v>
                </c:pt>
                <c:pt idx="4">
                  <c:v>1464.276817791598</c:v>
                </c:pt>
                <c:pt idx="5">
                  <c:v>1453.2249378257995</c:v>
                </c:pt>
                <c:pt idx="6">
                  <c:v>1471.5642095565011</c:v>
                </c:pt>
                <c:pt idx="7">
                  <c:v>1465.2521531616728</c:v>
                </c:pt>
              </c:numCache>
            </c:numRef>
          </c:val>
          <c:smooth val="0"/>
          <c:extLst>
            <c:ext xmlns:c16="http://schemas.microsoft.com/office/drawing/2014/chart" uri="{C3380CC4-5D6E-409C-BE32-E72D297353CC}">
              <c16:uniqueId val="{00000005-7217-47D6-9A2F-58D53767120D}"/>
            </c:ext>
          </c:extLst>
        </c:ser>
        <c:ser>
          <c:idx val="6"/>
          <c:order val="6"/>
          <c:tx>
            <c:strRef>
              <c:f>AHS_tables!$GK$69</c:f>
              <c:strCache>
                <c:ptCount val="1"/>
                <c:pt idx="0">
                  <c:v>1990-1999</c:v>
                </c:pt>
              </c:strCache>
            </c:strRef>
          </c:tx>
          <c:cat>
            <c:numRef>
              <c:f>AHS_tables!$GD$70:$GD$77</c:f>
              <c:numCache>
                <c:formatCode>0</c:formatCode>
                <c:ptCount val="8"/>
                <c:pt idx="0">
                  <c:v>1997</c:v>
                </c:pt>
                <c:pt idx="1">
                  <c:v>1999</c:v>
                </c:pt>
                <c:pt idx="2">
                  <c:v>2001</c:v>
                </c:pt>
                <c:pt idx="3">
                  <c:v>2003</c:v>
                </c:pt>
                <c:pt idx="4">
                  <c:v>2005</c:v>
                </c:pt>
                <c:pt idx="5">
                  <c:v>2007</c:v>
                </c:pt>
                <c:pt idx="6">
                  <c:v>2009</c:v>
                </c:pt>
                <c:pt idx="7">
                  <c:v>2011</c:v>
                </c:pt>
              </c:numCache>
            </c:numRef>
          </c:cat>
          <c:val>
            <c:numRef>
              <c:f>AHS_tables!$GK$70:$GK$77</c:f>
              <c:numCache>
                <c:formatCode>#,##0</c:formatCode>
                <c:ptCount val="8"/>
                <c:pt idx="0">
                  <c:v>1608.9042574617868</c:v>
                </c:pt>
                <c:pt idx="1">
                  <c:v>2088.4248089016896</c:v>
                </c:pt>
                <c:pt idx="2">
                  <c:v>2153.6945025628388</c:v>
                </c:pt>
                <c:pt idx="3">
                  <c:v>2147.0856032089059</c:v>
                </c:pt>
                <c:pt idx="4">
                  <c:v>2140.3181804646642</c:v>
                </c:pt>
                <c:pt idx="5">
                  <c:v>2128.7210852147005</c:v>
                </c:pt>
                <c:pt idx="6">
                  <c:v>2097.3871756296821</c:v>
                </c:pt>
                <c:pt idx="7">
                  <c:v>2132.2948750759942</c:v>
                </c:pt>
              </c:numCache>
            </c:numRef>
          </c:val>
          <c:smooth val="0"/>
          <c:extLst>
            <c:ext xmlns:c16="http://schemas.microsoft.com/office/drawing/2014/chart" uri="{C3380CC4-5D6E-409C-BE32-E72D297353CC}">
              <c16:uniqueId val="{00000006-7217-47D6-9A2F-58D53767120D}"/>
            </c:ext>
          </c:extLst>
        </c:ser>
        <c:dLbls>
          <c:showLegendKey val="0"/>
          <c:showVal val="0"/>
          <c:showCatName val="0"/>
          <c:showSerName val="0"/>
          <c:showPercent val="0"/>
          <c:showBubbleSize val="0"/>
        </c:dLbls>
        <c:marker val="1"/>
        <c:smooth val="0"/>
        <c:axId val="211839232"/>
        <c:axId val="211853312"/>
      </c:lineChart>
      <c:catAx>
        <c:axId val="21183923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853312"/>
        <c:crosses val="autoZero"/>
        <c:auto val="1"/>
        <c:lblAlgn val="ctr"/>
        <c:lblOffset val="100"/>
        <c:noMultiLvlLbl val="0"/>
      </c:catAx>
      <c:valAx>
        <c:axId val="21185331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83923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AHS_tables!$GE$102</c:f>
              <c:strCache>
                <c:ptCount val="1"/>
                <c:pt idx="0">
                  <c:v>&lt;1940</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AHS_tables!$GE$103:$GE$110</c:f>
              <c:numCache>
                <c:formatCode>#,##0</c:formatCode>
                <c:ptCount val="8"/>
                <c:pt idx="0">
                  <c:v>3017.3098668594812</c:v>
                </c:pt>
                <c:pt idx="1">
                  <c:v>2952.2853013844137</c:v>
                </c:pt>
                <c:pt idx="2">
                  <c:v>3000.4376443645519</c:v>
                </c:pt>
                <c:pt idx="3">
                  <c:v>2793.9665788578941</c:v>
                </c:pt>
                <c:pt idx="4">
                  <c:v>2661.2851226273988</c:v>
                </c:pt>
                <c:pt idx="5">
                  <c:v>2501.9309505320989</c:v>
                </c:pt>
                <c:pt idx="6">
                  <c:v>2419.7702965789022</c:v>
                </c:pt>
                <c:pt idx="7">
                  <c:v>2488.4837029563296</c:v>
                </c:pt>
              </c:numCache>
            </c:numRef>
          </c:val>
          <c:smooth val="0"/>
          <c:extLst>
            <c:ext xmlns:c16="http://schemas.microsoft.com/office/drawing/2014/chart" uri="{C3380CC4-5D6E-409C-BE32-E72D297353CC}">
              <c16:uniqueId val="{00000000-ED1C-4F67-B3B5-8DCE5F19ABF0}"/>
            </c:ext>
          </c:extLst>
        </c:ser>
        <c:ser>
          <c:idx val="1"/>
          <c:order val="1"/>
          <c:tx>
            <c:strRef>
              <c:f>AHS_tables!$GF$102</c:f>
              <c:strCache>
                <c:ptCount val="1"/>
                <c:pt idx="0">
                  <c:v>1940-49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AHS_tables!$GF$103:$GF$110</c:f>
              <c:numCache>
                <c:formatCode>#,##0</c:formatCode>
                <c:ptCount val="8"/>
                <c:pt idx="0">
                  <c:v>2010.7858624488297</c:v>
                </c:pt>
                <c:pt idx="1">
                  <c:v>2060.0591599119098</c:v>
                </c:pt>
                <c:pt idx="2">
                  <c:v>1971.1586084102223</c:v>
                </c:pt>
                <c:pt idx="3">
                  <c:v>1924.3685217511186</c:v>
                </c:pt>
                <c:pt idx="4">
                  <c:v>1840.1507843438396</c:v>
                </c:pt>
                <c:pt idx="5">
                  <c:v>1840.8580109108541</c:v>
                </c:pt>
                <c:pt idx="6">
                  <c:v>1806.1918687899492</c:v>
                </c:pt>
                <c:pt idx="7">
                  <c:v>1803.4378817360925</c:v>
                </c:pt>
              </c:numCache>
            </c:numRef>
          </c:val>
          <c:smooth val="0"/>
          <c:extLst>
            <c:ext xmlns:c16="http://schemas.microsoft.com/office/drawing/2014/chart" uri="{C3380CC4-5D6E-409C-BE32-E72D297353CC}">
              <c16:uniqueId val="{00000001-ED1C-4F67-B3B5-8DCE5F19ABF0}"/>
            </c:ext>
          </c:extLst>
        </c:ser>
        <c:ser>
          <c:idx val="2"/>
          <c:order val="2"/>
          <c:tx>
            <c:strRef>
              <c:f>AHS_tables!$GG$102</c:f>
              <c:strCache>
                <c:ptCount val="1"/>
                <c:pt idx="0">
                  <c:v>1950-59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AHS_tables!$GG$103:$GG$110</c:f>
              <c:numCache>
                <c:formatCode>#,##0</c:formatCode>
                <c:ptCount val="8"/>
                <c:pt idx="0">
                  <c:v>3356.6002977465646</c:v>
                </c:pt>
                <c:pt idx="1">
                  <c:v>3369.6601592328175</c:v>
                </c:pt>
                <c:pt idx="2">
                  <c:v>3396.6412421275732</c:v>
                </c:pt>
                <c:pt idx="3">
                  <c:v>3221.8438521417484</c:v>
                </c:pt>
                <c:pt idx="4">
                  <c:v>3109.6767934511076</c:v>
                </c:pt>
                <c:pt idx="5">
                  <c:v>3114.1147264227839</c:v>
                </c:pt>
                <c:pt idx="6">
                  <c:v>3234.7821380255041</c:v>
                </c:pt>
                <c:pt idx="7">
                  <c:v>3234.4976378021861</c:v>
                </c:pt>
              </c:numCache>
            </c:numRef>
          </c:val>
          <c:smooth val="0"/>
          <c:extLst>
            <c:ext xmlns:c16="http://schemas.microsoft.com/office/drawing/2014/chart" uri="{C3380CC4-5D6E-409C-BE32-E72D297353CC}">
              <c16:uniqueId val="{00000002-ED1C-4F67-B3B5-8DCE5F19ABF0}"/>
            </c:ext>
          </c:extLst>
        </c:ser>
        <c:ser>
          <c:idx val="3"/>
          <c:order val="3"/>
          <c:tx>
            <c:strRef>
              <c:f>AHS_tables!$GH$102</c:f>
              <c:strCache>
                <c:ptCount val="1"/>
                <c:pt idx="0">
                  <c:v>1960-1969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AHS_tables!$GH$103:$GH$110</c:f>
              <c:numCache>
                <c:formatCode>#,##0</c:formatCode>
                <c:ptCount val="8"/>
                <c:pt idx="0">
                  <c:v>3938.5725922285283</c:v>
                </c:pt>
                <c:pt idx="1">
                  <c:v>3954.5185724001071</c:v>
                </c:pt>
                <c:pt idx="2">
                  <c:v>3986.5682934368911</c:v>
                </c:pt>
                <c:pt idx="3">
                  <c:v>3808.2682122286051</c:v>
                </c:pt>
                <c:pt idx="4">
                  <c:v>3756.5140296501913</c:v>
                </c:pt>
                <c:pt idx="5">
                  <c:v>3699.1392826784013</c:v>
                </c:pt>
                <c:pt idx="6">
                  <c:v>3757.4534946170002</c:v>
                </c:pt>
                <c:pt idx="7">
                  <c:v>3765.1043106189832</c:v>
                </c:pt>
              </c:numCache>
            </c:numRef>
          </c:val>
          <c:smooth val="0"/>
          <c:extLst>
            <c:ext xmlns:c16="http://schemas.microsoft.com/office/drawing/2014/chart" uri="{C3380CC4-5D6E-409C-BE32-E72D297353CC}">
              <c16:uniqueId val="{00000003-ED1C-4F67-B3B5-8DCE5F19ABF0}"/>
            </c:ext>
          </c:extLst>
        </c:ser>
        <c:ser>
          <c:idx val="4"/>
          <c:order val="4"/>
          <c:tx>
            <c:strRef>
              <c:f>AHS_tables!$GI$102</c:f>
              <c:strCache>
                <c:ptCount val="1"/>
                <c:pt idx="0">
                  <c:v>1970-1979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AHS_tables!$GI$103:$GI$110</c:f>
              <c:numCache>
                <c:formatCode>#,##0</c:formatCode>
                <c:ptCount val="8"/>
                <c:pt idx="0">
                  <c:v>5146.9849748113993</c:v>
                </c:pt>
                <c:pt idx="1">
                  <c:v>5328.9616864243653</c:v>
                </c:pt>
                <c:pt idx="2">
                  <c:v>5560.9518721598006</c:v>
                </c:pt>
                <c:pt idx="3">
                  <c:v>5277.1138726637064</c:v>
                </c:pt>
                <c:pt idx="4">
                  <c:v>5548.4336718703889</c:v>
                </c:pt>
                <c:pt idx="5">
                  <c:v>5630.4112506482088</c:v>
                </c:pt>
                <c:pt idx="6">
                  <c:v>5675.7979995649284</c:v>
                </c:pt>
                <c:pt idx="7">
                  <c:v>5579.3408457933592</c:v>
                </c:pt>
              </c:numCache>
            </c:numRef>
          </c:val>
          <c:smooth val="0"/>
          <c:extLst>
            <c:ext xmlns:c16="http://schemas.microsoft.com/office/drawing/2014/chart" uri="{C3380CC4-5D6E-409C-BE32-E72D297353CC}">
              <c16:uniqueId val="{00000004-ED1C-4F67-B3B5-8DCE5F19ABF0}"/>
            </c:ext>
          </c:extLst>
        </c:ser>
        <c:ser>
          <c:idx val="5"/>
          <c:order val="5"/>
          <c:tx>
            <c:strRef>
              <c:f>AHS_tables!$GJ$102</c:f>
              <c:strCache>
                <c:ptCount val="1"/>
                <c:pt idx="0">
                  <c:v>1980-1989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AHS_tables!$GJ$103:$GJ$110</c:f>
              <c:numCache>
                <c:formatCode>#,##0</c:formatCode>
                <c:ptCount val="8"/>
                <c:pt idx="0">
                  <c:v>4046.1559557485216</c:v>
                </c:pt>
                <c:pt idx="1">
                  <c:v>4023.8460381952027</c:v>
                </c:pt>
                <c:pt idx="2">
                  <c:v>4094.1421093756953</c:v>
                </c:pt>
                <c:pt idx="3">
                  <c:v>4022.9912471712978</c:v>
                </c:pt>
                <c:pt idx="4">
                  <c:v>4075.5556682619854</c:v>
                </c:pt>
                <c:pt idx="5">
                  <c:v>4005.9639487812942</c:v>
                </c:pt>
                <c:pt idx="6">
                  <c:v>3965.0682638630992</c:v>
                </c:pt>
                <c:pt idx="7">
                  <c:v>4031.303233613593</c:v>
                </c:pt>
              </c:numCache>
            </c:numRef>
          </c:val>
          <c:smooth val="0"/>
          <c:extLst>
            <c:ext xmlns:c16="http://schemas.microsoft.com/office/drawing/2014/chart" uri="{C3380CC4-5D6E-409C-BE32-E72D297353CC}">
              <c16:uniqueId val="{00000005-ED1C-4F67-B3B5-8DCE5F19ABF0}"/>
            </c:ext>
          </c:extLst>
        </c:ser>
        <c:ser>
          <c:idx val="6"/>
          <c:order val="6"/>
          <c:tx>
            <c:strRef>
              <c:f>AHS_tables!$GK$102</c:f>
              <c:strCache>
                <c:ptCount val="1"/>
                <c:pt idx="0">
                  <c:v>1990-1999</c:v>
                </c:pt>
              </c:strCache>
            </c:strRef>
          </c:tx>
          <c:cat>
            <c:numRef>
              <c:f>AHS_tables!$GD$103:$GD$110</c:f>
              <c:numCache>
                <c:formatCode>0</c:formatCode>
                <c:ptCount val="8"/>
                <c:pt idx="0">
                  <c:v>1997</c:v>
                </c:pt>
                <c:pt idx="1">
                  <c:v>1999</c:v>
                </c:pt>
                <c:pt idx="2">
                  <c:v>2001</c:v>
                </c:pt>
                <c:pt idx="3">
                  <c:v>2003</c:v>
                </c:pt>
                <c:pt idx="4">
                  <c:v>2005</c:v>
                </c:pt>
                <c:pt idx="5">
                  <c:v>2007</c:v>
                </c:pt>
                <c:pt idx="6">
                  <c:v>2009</c:v>
                </c:pt>
                <c:pt idx="7">
                  <c:v>2011</c:v>
                </c:pt>
              </c:numCache>
            </c:numRef>
          </c:cat>
          <c:val>
            <c:numRef>
              <c:f>AHS_tables!$GK$103:$GK$110</c:f>
              <c:numCache>
                <c:formatCode>#,##0</c:formatCode>
                <c:ptCount val="8"/>
                <c:pt idx="0">
                  <c:v>3153.9176729028545</c:v>
                </c:pt>
                <c:pt idx="1">
                  <c:v>4122.4460716395233</c:v>
                </c:pt>
                <c:pt idx="2">
                  <c:v>4288.977993948979</c:v>
                </c:pt>
                <c:pt idx="3">
                  <c:v>4261.4176484202926</c:v>
                </c:pt>
                <c:pt idx="4">
                  <c:v>4268.0273759594638</c:v>
                </c:pt>
                <c:pt idx="5">
                  <c:v>4143.6834793355365</c:v>
                </c:pt>
                <c:pt idx="6">
                  <c:v>4073.1064684867938</c:v>
                </c:pt>
                <c:pt idx="7">
                  <c:v>4075.7781500326737</c:v>
                </c:pt>
              </c:numCache>
            </c:numRef>
          </c:val>
          <c:smooth val="0"/>
          <c:extLst>
            <c:ext xmlns:c16="http://schemas.microsoft.com/office/drawing/2014/chart" uri="{C3380CC4-5D6E-409C-BE32-E72D297353CC}">
              <c16:uniqueId val="{00000006-ED1C-4F67-B3B5-8DCE5F19ABF0}"/>
            </c:ext>
          </c:extLst>
        </c:ser>
        <c:dLbls>
          <c:showLegendKey val="0"/>
          <c:showVal val="0"/>
          <c:showCatName val="0"/>
          <c:showSerName val="0"/>
          <c:showPercent val="0"/>
          <c:showBubbleSize val="0"/>
        </c:dLbls>
        <c:marker val="1"/>
        <c:smooth val="0"/>
        <c:axId val="212164992"/>
        <c:axId val="212166528"/>
      </c:lineChart>
      <c:catAx>
        <c:axId val="21216499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66528"/>
        <c:crosses val="autoZero"/>
        <c:auto val="1"/>
        <c:lblAlgn val="ctr"/>
        <c:lblOffset val="100"/>
        <c:noMultiLvlLbl val="0"/>
      </c:catAx>
      <c:valAx>
        <c:axId val="21216652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6499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AHS_tables!$GE$134</c:f>
              <c:strCache>
                <c:ptCount val="1"/>
                <c:pt idx="0">
                  <c:v>&lt;1940</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AHS_tables!$GE$135:$GE$142</c:f>
              <c:numCache>
                <c:formatCode>#,##0</c:formatCode>
                <c:ptCount val="8"/>
                <c:pt idx="0">
                  <c:v>1687.5682620709003</c:v>
                </c:pt>
                <c:pt idx="1">
                  <c:v>1850.1185466956454</c:v>
                </c:pt>
                <c:pt idx="2">
                  <c:v>1866.1901943926002</c:v>
                </c:pt>
                <c:pt idx="3">
                  <c:v>1844.2213780149327</c:v>
                </c:pt>
                <c:pt idx="4">
                  <c:v>1665.734359089402</c:v>
                </c:pt>
                <c:pt idx="5">
                  <c:v>1614.8678080294992</c:v>
                </c:pt>
                <c:pt idx="6">
                  <c:v>1662.3198935654011</c:v>
                </c:pt>
                <c:pt idx="7">
                  <c:v>1647.0171272848213</c:v>
                </c:pt>
              </c:numCache>
            </c:numRef>
          </c:val>
          <c:smooth val="0"/>
          <c:extLst>
            <c:ext xmlns:c16="http://schemas.microsoft.com/office/drawing/2014/chart" uri="{C3380CC4-5D6E-409C-BE32-E72D297353CC}">
              <c16:uniqueId val="{00000000-6558-40E7-8E99-3BF8D72F43D2}"/>
            </c:ext>
          </c:extLst>
        </c:ser>
        <c:ser>
          <c:idx val="1"/>
          <c:order val="1"/>
          <c:tx>
            <c:strRef>
              <c:f>AHS_tables!$GF$134</c:f>
              <c:strCache>
                <c:ptCount val="1"/>
                <c:pt idx="0">
                  <c:v>1940-49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AHS_tables!$GF$135:$GF$142</c:f>
              <c:numCache>
                <c:formatCode>#,##0</c:formatCode>
                <c:ptCount val="8"/>
                <c:pt idx="0">
                  <c:v>1214.6070109991012</c:v>
                </c:pt>
                <c:pt idx="1">
                  <c:v>1276.9007083107801</c:v>
                </c:pt>
                <c:pt idx="2">
                  <c:v>1291.3069922011998</c:v>
                </c:pt>
                <c:pt idx="3">
                  <c:v>1237.8958921308108</c:v>
                </c:pt>
                <c:pt idx="4">
                  <c:v>1220.4002497396004</c:v>
                </c:pt>
                <c:pt idx="5">
                  <c:v>1251.9812951006008</c:v>
                </c:pt>
                <c:pt idx="6">
                  <c:v>1208.8873429069001</c:v>
                </c:pt>
                <c:pt idx="7">
                  <c:v>1122.2295799320304</c:v>
                </c:pt>
              </c:numCache>
            </c:numRef>
          </c:val>
          <c:smooth val="0"/>
          <c:extLst>
            <c:ext xmlns:c16="http://schemas.microsoft.com/office/drawing/2014/chart" uri="{C3380CC4-5D6E-409C-BE32-E72D297353CC}">
              <c16:uniqueId val="{00000001-6558-40E7-8E99-3BF8D72F43D2}"/>
            </c:ext>
          </c:extLst>
        </c:ser>
        <c:ser>
          <c:idx val="2"/>
          <c:order val="2"/>
          <c:tx>
            <c:strRef>
              <c:f>AHS_tables!$GG$134</c:f>
              <c:strCache>
                <c:ptCount val="1"/>
                <c:pt idx="0">
                  <c:v>1950-59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AHS_tables!$GG$135:$GG$142</c:f>
              <c:numCache>
                <c:formatCode>#,##0</c:formatCode>
                <c:ptCount val="8"/>
                <c:pt idx="0">
                  <c:v>2146.664375702012</c:v>
                </c:pt>
                <c:pt idx="1">
                  <c:v>2153.7049892218929</c:v>
                </c:pt>
                <c:pt idx="2">
                  <c:v>2244.1126952777981</c:v>
                </c:pt>
                <c:pt idx="3">
                  <c:v>2067.0482347327516</c:v>
                </c:pt>
                <c:pt idx="4">
                  <c:v>2000.0388074261994</c:v>
                </c:pt>
                <c:pt idx="5">
                  <c:v>2074.8253764260003</c:v>
                </c:pt>
                <c:pt idx="6">
                  <c:v>2086.4373346657976</c:v>
                </c:pt>
                <c:pt idx="7">
                  <c:v>2148.2374243169893</c:v>
                </c:pt>
              </c:numCache>
            </c:numRef>
          </c:val>
          <c:smooth val="0"/>
          <c:extLst>
            <c:ext xmlns:c16="http://schemas.microsoft.com/office/drawing/2014/chart" uri="{C3380CC4-5D6E-409C-BE32-E72D297353CC}">
              <c16:uniqueId val="{00000002-6558-40E7-8E99-3BF8D72F43D2}"/>
            </c:ext>
          </c:extLst>
        </c:ser>
        <c:ser>
          <c:idx val="3"/>
          <c:order val="3"/>
          <c:tx>
            <c:strRef>
              <c:f>AHS_tables!$GH$134</c:f>
              <c:strCache>
                <c:ptCount val="1"/>
                <c:pt idx="0">
                  <c:v>1960-1969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AHS_tables!$GH$135:$GH$142</c:f>
              <c:numCache>
                <c:formatCode>#,##0</c:formatCode>
                <c:ptCount val="8"/>
                <c:pt idx="0">
                  <c:v>2190.0069693014989</c:v>
                </c:pt>
                <c:pt idx="1">
                  <c:v>2313.3144375386837</c:v>
                </c:pt>
                <c:pt idx="2">
                  <c:v>2281.3764253186669</c:v>
                </c:pt>
                <c:pt idx="3">
                  <c:v>2084.7453091481379</c:v>
                </c:pt>
                <c:pt idx="4">
                  <c:v>2060.5930865543728</c:v>
                </c:pt>
                <c:pt idx="5">
                  <c:v>2039.9644423631785</c:v>
                </c:pt>
                <c:pt idx="6">
                  <c:v>2049.4186878709011</c:v>
                </c:pt>
                <c:pt idx="7">
                  <c:v>2071.5648177183211</c:v>
                </c:pt>
              </c:numCache>
            </c:numRef>
          </c:val>
          <c:smooth val="0"/>
          <c:extLst>
            <c:ext xmlns:c16="http://schemas.microsoft.com/office/drawing/2014/chart" uri="{C3380CC4-5D6E-409C-BE32-E72D297353CC}">
              <c16:uniqueId val="{00000003-6558-40E7-8E99-3BF8D72F43D2}"/>
            </c:ext>
          </c:extLst>
        </c:ser>
        <c:ser>
          <c:idx val="4"/>
          <c:order val="4"/>
          <c:tx>
            <c:strRef>
              <c:f>AHS_tables!$GI$134</c:f>
              <c:strCache>
                <c:ptCount val="1"/>
                <c:pt idx="0">
                  <c:v>1970-1979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AHS_tables!$GI$135:$GI$142</c:f>
              <c:numCache>
                <c:formatCode>#,##0</c:formatCode>
                <c:ptCount val="8"/>
                <c:pt idx="0">
                  <c:v>2939.3517809745695</c:v>
                </c:pt>
                <c:pt idx="1">
                  <c:v>3098.0594606452132</c:v>
                </c:pt>
                <c:pt idx="2">
                  <c:v>3215.9864120327015</c:v>
                </c:pt>
                <c:pt idx="3">
                  <c:v>3092.9291409804528</c:v>
                </c:pt>
                <c:pt idx="4">
                  <c:v>3226.1475135507058</c:v>
                </c:pt>
                <c:pt idx="5">
                  <c:v>3159.1997044720206</c:v>
                </c:pt>
                <c:pt idx="6">
                  <c:v>2935.0694779040286</c:v>
                </c:pt>
                <c:pt idx="7">
                  <c:v>3196.9122394763522</c:v>
                </c:pt>
              </c:numCache>
            </c:numRef>
          </c:val>
          <c:smooth val="0"/>
          <c:extLst>
            <c:ext xmlns:c16="http://schemas.microsoft.com/office/drawing/2014/chart" uri="{C3380CC4-5D6E-409C-BE32-E72D297353CC}">
              <c16:uniqueId val="{00000004-6558-40E7-8E99-3BF8D72F43D2}"/>
            </c:ext>
          </c:extLst>
        </c:ser>
        <c:ser>
          <c:idx val="5"/>
          <c:order val="5"/>
          <c:tx>
            <c:strRef>
              <c:f>AHS_tables!$GJ$134</c:f>
              <c:strCache>
                <c:ptCount val="1"/>
                <c:pt idx="0">
                  <c:v>1980-1989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AHS_tables!$GJ$135:$GJ$142</c:f>
              <c:numCache>
                <c:formatCode>#,##0</c:formatCode>
                <c:ptCount val="8"/>
                <c:pt idx="0">
                  <c:v>2039.6609926667684</c:v>
                </c:pt>
                <c:pt idx="1">
                  <c:v>2022.0437936649976</c:v>
                </c:pt>
                <c:pt idx="2">
                  <c:v>2046.3743369804124</c:v>
                </c:pt>
                <c:pt idx="3">
                  <c:v>2098.3796897209868</c:v>
                </c:pt>
                <c:pt idx="4">
                  <c:v>2046.7076144773989</c:v>
                </c:pt>
                <c:pt idx="5">
                  <c:v>1985.1278272712996</c:v>
                </c:pt>
                <c:pt idx="6">
                  <c:v>1954.9886085143821</c:v>
                </c:pt>
                <c:pt idx="7">
                  <c:v>2024.815828945508</c:v>
                </c:pt>
              </c:numCache>
            </c:numRef>
          </c:val>
          <c:smooth val="0"/>
          <c:extLst>
            <c:ext xmlns:c16="http://schemas.microsoft.com/office/drawing/2014/chart" uri="{C3380CC4-5D6E-409C-BE32-E72D297353CC}">
              <c16:uniqueId val="{00000005-6558-40E7-8E99-3BF8D72F43D2}"/>
            </c:ext>
          </c:extLst>
        </c:ser>
        <c:ser>
          <c:idx val="6"/>
          <c:order val="6"/>
          <c:tx>
            <c:strRef>
              <c:f>AHS_tables!$GK$134</c:f>
              <c:strCache>
                <c:ptCount val="1"/>
                <c:pt idx="0">
                  <c:v>1990-1999</c:v>
                </c:pt>
              </c:strCache>
            </c:strRef>
          </c:tx>
          <c:cat>
            <c:numRef>
              <c:f>AHS_tables!$GD$135:$GD$142</c:f>
              <c:numCache>
                <c:formatCode>0</c:formatCode>
                <c:ptCount val="8"/>
                <c:pt idx="0">
                  <c:v>1997</c:v>
                </c:pt>
                <c:pt idx="1">
                  <c:v>1999</c:v>
                </c:pt>
                <c:pt idx="2">
                  <c:v>2001</c:v>
                </c:pt>
                <c:pt idx="3">
                  <c:v>2003</c:v>
                </c:pt>
                <c:pt idx="4">
                  <c:v>2005</c:v>
                </c:pt>
                <c:pt idx="5">
                  <c:v>2007</c:v>
                </c:pt>
                <c:pt idx="6">
                  <c:v>2009</c:v>
                </c:pt>
                <c:pt idx="7">
                  <c:v>2011</c:v>
                </c:pt>
              </c:numCache>
            </c:numRef>
          </c:cat>
          <c:val>
            <c:numRef>
              <c:f>AHS_tables!$GK$135:$GK$142</c:f>
              <c:numCache>
                <c:formatCode>#,##0</c:formatCode>
                <c:ptCount val="8"/>
                <c:pt idx="0">
                  <c:v>1762.0982516156187</c:v>
                </c:pt>
                <c:pt idx="1">
                  <c:v>2290.4087583835094</c:v>
                </c:pt>
                <c:pt idx="2">
                  <c:v>2428.9922876860569</c:v>
                </c:pt>
                <c:pt idx="3">
                  <c:v>2407.056624440273</c:v>
                </c:pt>
                <c:pt idx="4">
                  <c:v>2394.8337690200819</c:v>
                </c:pt>
                <c:pt idx="5">
                  <c:v>2311.8262274101053</c:v>
                </c:pt>
                <c:pt idx="6">
                  <c:v>2275.1888777244212</c:v>
                </c:pt>
                <c:pt idx="7">
                  <c:v>2365.0486364124404</c:v>
                </c:pt>
              </c:numCache>
            </c:numRef>
          </c:val>
          <c:smooth val="0"/>
          <c:extLst>
            <c:ext xmlns:c16="http://schemas.microsoft.com/office/drawing/2014/chart" uri="{C3380CC4-5D6E-409C-BE32-E72D297353CC}">
              <c16:uniqueId val="{00000006-6558-40E7-8E99-3BF8D72F43D2}"/>
            </c:ext>
          </c:extLst>
        </c:ser>
        <c:dLbls>
          <c:showLegendKey val="0"/>
          <c:showVal val="0"/>
          <c:showCatName val="0"/>
          <c:showSerName val="0"/>
          <c:showPercent val="0"/>
          <c:showBubbleSize val="0"/>
        </c:dLbls>
        <c:marker val="1"/>
        <c:smooth val="0"/>
        <c:axId val="211880576"/>
        <c:axId val="211882368"/>
      </c:lineChart>
      <c:catAx>
        <c:axId val="21188057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882368"/>
        <c:crosses val="autoZero"/>
        <c:auto val="1"/>
        <c:lblAlgn val="ctr"/>
        <c:lblOffset val="100"/>
        <c:noMultiLvlLbl val="0"/>
      </c:catAx>
      <c:valAx>
        <c:axId val="21188236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88057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AHS_tables!$IY$37</c:f>
              <c:strCache>
                <c:ptCount val="1"/>
                <c:pt idx="0">
                  <c:v>Actual</c:v>
                </c:pt>
              </c:strCache>
            </c:strRef>
          </c:tx>
          <c:cat>
            <c:numRef>
              <c:f>AHS_tables!$IX$38:$IX$44</c:f>
              <c:numCache>
                <c:formatCode>0</c:formatCode>
                <c:ptCount val="7"/>
                <c:pt idx="0">
                  <c:v>1997</c:v>
                </c:pt>
                <c:pt idx="1">
                  <c:v>1999</c:v>
                </c:pt>
                <c:pt idx="2">
                  <c:v>2001</c:v>
                </c:pt>
                <c:pt idx="3">
                  <c:v>2003</c:v>
                </c:pt>
                <c:pt idx="4">
                  <c:v>2005</c:v>
                </c:pt>
                <c:pt idx="5">
                  <c:v>2007</c:v>
                </c:pt>
                <c:pt idx="6">
                  <c:v>2009</c:v>
                </c:pt>
              </c:numCache>
            </c:numRef>
          </c:cat>
          <c:val>
            <c:numRef>
              <c:f>AHS_tables!$IY$38:$IY$44</c:f>
              <c:numCache>
                <c:formatCode>#,##0</c:formatCode>
                <c:ptCount val="7"/>
                <c:pt idx="0">
                  <c:v>478.94213628204994</c:v>
                </c:pt>
                <c:pt idx="1">
                  <c:v>419.36052621763599</c:v>
                </c:pt>
                <c:pt idx="2">
                  <c:v>428.59357478272801</c:v>
                </c:pt>
                <c:pt idx="3">
                  <c:v>394.201598208343</c:v>
                </c:pt>
                <c:pt idx="4">
                  <c:v>324.44805276810007</c:v>
                </c:pt>
                <c:pt idx="5">
                  <c:v>337.22027504102005</c:v>
                </c:pt>
                <c:pt idx="6">
                  <c:v>312.43118768947994</c:v>
                </c:pt>
              </c:numCache>
            </c:numRef>
          </c:val>
          <c:smooth val="0"/>
          <c:extLst>
            <c:ext xmlns:c16="http://schemas.microsoft.com/office/drawing/2014/chart" uri="{C3380CC4-5D6E-409C-BE32-E72D297353CC}">
              <c16:uniqueId val="{00000000-2E27-4BA2-AA34-F9C94A2D4B45}"/>
            </c:ext>
          </c:extLst>
        </c:ser>
        <c:ser>
          <c:idx val="1"/>
          <c:order val="1"/>
          <c:tx>
            <c:strRef>
              <c:f>AHS_tables!$IZ$37</c:f>
              <c:strCache>
                <c:ptCount val="1"/>
                <c:pt idx="0">
                  <c:v>Predicted</c:v>
                </c:pt>
              </c:strCache>
            </c:strRef>
          </c:tx>
          <c:cat>
            <c:numRef>
              <c:f>AHS_tables!$IX$38:$IX$44</c:f>
              <c:numCache>
                <c:formatCode>0</c:formatCode>
                <c:ptCount val="7"/>
                <c:pt idx="0">
                  <c:v>1997</c:v>
                </c:pt>
                <c:pt idx="1">
                  <c:v>1999</c:v>
                </c:pt>
                <c:pt idx="2">
                  <c:v>2001</c:v>
                </c:pt>
                <c:pt idx="3">
                  <c:v>2003</c:v>
                </c:pt>
                <c:pt idx="4">
                  <c:v>2005</c:v>
                </c:pt>
                <c:pt idx="5">
                  <c:v>2007</c:v>
                </c:pt>
                <c:pt idx="6">
                  <c:v>2009</c:v>
                </c:pt>
              </c:numCache>
            </c:numRef>
          </c:cat>
          <c:val>
            <c:numRef>
              <c:f>AHS_tables!$IZ$38:$IZ$44</c:f>
              <c:numCache>
                <c:formatCode>General</c:formatCode>
                <c:ptCount val="7"/>
                <c:pt idx="0">
                  <c:v>471.53127646371308</c:v>
                </c:pt>
                <c:pt idx="1">
                  <c:v>439.08857739891852</c:v>
                </c:pt>
                <c:pt idx="2">
                  <c:v>408.87802872402489</c:v>
                </c:pt>
                <c:pt idx="3">
                  <c:v>380.74605211457765</c:v>
                </c:pt>
                <c:pt idx="4">
                  <c:v>354.54963587364472</c:v>
                </c:pt>
                <c:pt idx="5">
                  <c:v>330.15560791765114</c:v>
                </c:pt>
                <c:pt idx="6">
                  <c:v>307.43995878286717</c:v>
                </c:pt>
              </c:numCache>
            </c:numRef>
          </c:val>
          <c:smooth val="0"/>
          <c:extLst>
            <c:ext xmlns:c16="http://schemas.microsoft.com/office/drawing/2014/chart" uri="{C3380CC4-5D6E-409C-BE32-E72D297353CC}">
              <c16:uniqueId val="{00000001-2E27-4BA2-AA34-F9C94A2D4B45}"/>
            </c:ext>
          </c:extLst>
        </c:ser>
        <c:dLbls>
          <c:showLegendKey val="0"/>
          <c:showVal val="0"/>
          <c:showCatName val="0"/>
          <c:showSerName val="0"/>
          <c:showPercent val="0"/>
          <c:showBubbleSize val="0"/>
        </c:dLbls>
        <c:marker val="1"/>
        <c:smooth val="0"/>
        <c:axId val="211923712"/>
        <c:axId val="211925248"/>
      </c:lineChart>
      <c:catAx>
        <c:axId val="21192371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925248"/>
        <c:crosses val="autoZero"/>
        <c:auto val="1"/>
        <c:lblAlgn val="ctr"/>
        <c:lblOffset val="100"/>
        <c:noMultiLvlLbl val="0"/>
      </c:catAx>
      <c:valAx>
        <c:axId val="21192524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92371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AHS_tables!$IY$66</c:f>
              <c:strCache>
                <c:ptCount val="1"/>
                <c:pt idx="0">
                  <c:v>Actual</c:v>
                </c:pt>
              </c:strCache>
            </c:strRef>
          </c:tx>
          <c:cat>
            <c:numRef>
              <c:f>AHS_tables!$IX$67:$IX$73</c:f>
              <c:numCache>
                <c:formatCode>0</c:formatCode>
                <c:ptCount val="7"/>
                <c:pt idx="0">
                  <c:v>1997</c:v>
                </c:pt>
                <c:pt idx="1">
                  <c:v>1999</c:v>
                </c:pt>
                <c:pt idx="2">
                  <c:v>2001</c:v>
                </c:pt>
                <c:pt idx="3">
                  <c:v>2003</c:v>
                </c:pt>
                <c:pt idx="4">
                  <c:v>2005</c:v>
                </c:pt>
                <c:pt idx="5">
                  <c:v>2007</c:v>
                </c:pt>
                <c:pt idx="6">
                  <c:v>2009</c:v>
                </c:pt>
              </c:numCache>
            </c:numRef>
          </c:cat>
          <c:val>
            <c:numRef>
              <c:f>AHS_tables!$IY$67:$IY$73</c:f>
              <c:numCache>
                <c:formatCode>#,##0</c:formatCode>
                <c:ptCount val="7"/>
                <c:pt idx="0">
                  <c:v>836.49198580187101</c:v>
                </c:pt>
                <c:pt idx="1">
                  <c:v>761.86141697894618</c:v>
                </c:pt>
                <c:pt idx="2">
                  <c:v>743.9641851191559</c:v>
                </c:pt>
                <c:pt idx="3">
                  <c:v>680.29383752198601</c:v>
                </c:pt>
                <c:pt idx="4">
                  <c:v>652.57205678188006</c:v>
                </c:pt>
                <c:pt idx="5">
                  <c:v>620.44594341377012</c:v>
                </c:pt>
                <c:pt idx="6">
                  <c:v>634.23285394013988</c:v>
                </c:pt>
              </c:numCache>
            </c:numRef>
          </c:val>
          <c:smooth val="0"/>
          <c:extLst>
            <c:ext xmlns:c16="http://schemas.microsoft.com/office/drawing/2014/chart" uri="{C3380CC4-5D6E-409C-BE32-E72D297353CC}">
              <c16:uniqueId val="{00000000-BF5F-4CAF-BCD4-25176B777DF8}"/>
            </c:ext>
          </c:extLst>
        </c:ser>
        <c:ser>
          <c:idx val="1"/>
          <c:order val="1"/>
          <c:tx>
            <c:strRef>
              <c:f>AHS_tables!$IZ$66</c:f>
              <c:strCache>
                <c:ptCount val="1"/>
                <c:pt idx="0">
                  <c:v>Predicted</c:v>
                </c:pt>
              </c:strCache>
            </c:strRef>
          </c:tx>
          <c:cat>
            <c:numRef>
              <c:f>AHS_tables!$IX$67:$IX$73</c:f>
              <c:numCache>
                <c:formatCode>0</c:formatCode>
                <c:ptCount val="7"/>
                <c:pt idx="0">
                  <c:v>1997</c:v>
                </c:pt>
                <c:pt idx="1">
                  <c:v>1999</c:v>
                </c:pt>
                <c:pt idx="2">
                  <c:v>2001</c:v>
                </c:pt>
                <c:pt idx="3">
                  <c:v>2003</c:v>
                </c:pt>
                <c:pt idx="4">
                  <c:v>2005</c:v>
                </c:pt>
                <c:pt idx="5">
                  <c:v>2007</c:v>
                </c:pt>
                <c:pt idx="6">
                  <c:v>2009</c:v>
                </c:pt>
              </c:numCache>
            </c:numRef>
          </c:cat>
          <c:val>
            <c:numRef>
              <c:f>AHS_tables!$IZ$67:$IZ$73</c:f>
              <c:numCache>
                <c:formatCode>General</c:formatCode>
                <c:ptCount val="7"/>
                <c:pt idx="0">
                  <c:v>811.52079257794753</c:v>
                </c:pt>
                <c:pt idx="1">
                  <c:v>772.71130692164206</c:v>
                </c:pt>
                <c:pt idx="2">
                  <c:v>735.75781336151181</c:v>
                </c:pt>
                <c:pt idx="3">
                  <c:v>700.57155249756033</c:v>
                </c:pt>
                <c:pt idx="4">
                  <c:v>667.06800968444304</c:v>
                </c:pt>
                <c:pt idx="5">
                  <c:v>635.16671203390626</c:v>
                </c:pt>
                <c:pt idx="6">
                  <c:v>604.79103512520237</c:v>
                </c:pt>
              </c:numCache>
            </c:numRef>
          </c:val>
          <c:smooth val="0"/>
          <c:extLst>
            <c:ext xmlns:c16="http://schemas.microsoft.com/office/drawing/2014/chart" uri="{C3380CC4-5D6E-409C-BE32-E72D297353CC}">
              <c16:uniqueId val="{00000001-BF5F-4CAF-BCD4-25176B777DF8}"/>
            </c:ext>
          </c:extLst>
        </c:ser>
        <c:dLbls>
          <c:showLegendKey val="0"/>
          <c:showVal val="0"/>
          <c:showCatName val="0"/>
          <c:showSerName val="0"/>
          <c:showPercent val="0"/>
          <c:showBubbleSize val="0"/>
        </c:dLbls>
        <c:marker val="1"/>
        <c:smooth val="0"/>
        <c:axId val="211937920"/>
        <c:axId val="212017536"/>
      </c:lineChart>
      <c:catAx>
        <c:axId val="211937920"/>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017536"/>
        <c:crosses val="autoZero"/>
        <c:auto val="1"/>
        <c:lblAlgn val="ctr"/>
        <c:lblOffset val="100"/>
        <c:noMultiLvlLbl val="0"/>
      </c:catAx>
      <c:valAx>
        <c:axId val="21201753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193792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AHS_tables!$IY$95</c:f>
              <c:strCache>
                <c:ptCount val="1"/>
                <c:pt idx="0">
                  <c:v>Actual</c:v>
                </c:pt>
              </c:strCache>
            </c:strRef>
          </c:tx>
          <c:cat>
            <c:numRef>
              <c:f>AHS_tables!$IX$96:$IX$102</c:f>
              <c:numCache>
                <c:formatCode>0</c:formatCode>
                <c:ptCount val="7"/>
                <c:pt idx="0">
                  <c:v>1997</c:v>
                </c:pt>
                <c:pt idx="1">
                  <c:v>1999</c:v>
                </c:pt>
                <c:pt idx="2">
                  <c:v>2001</c:v>
                </c:pt>
                <c:pt idx="3">
                  <c:v>2003</c:v>
                </c:pt>
                <c:pt idx="4">
                  <c:v>2005</c:v>
                </c:pt>
                <c:pt idx="5">
                  <c:v>2007</c:v>
                </c:pt>
                <c:pt idx="6">
                  <c:v>2009</c:v>
                </c:pt>
              </c:numCache>
            </c:numRef>
          </c:cat>
          <c:val>
            <c:numRef>
              <c:f>AHS_tables!$IY$96:$IY$102</c:f>
              <c:numCache>
                <c:formatCode>#,##0</c:formatCode>
                <c:ptCount val="7"/>
                <c:pt idx="0">
                  <c:v>2416.2018924629115</c:v>
                </c:pt>
                <c:pt idx="1">
                  <c:v>2228.5565413902968</c:v>
                </c:pt>
                <c:pt idx="2">
                  <c:v>2219.1816207532047</c:v>
                </c:pt>
                <c:pt idx="3">
                  <c:v>2053.0568858941938</c:v>
                </c:pt>
                <c:pt idx="4">
                  <c:v>1928.8118920661391</c:v>
                </c:pt>
                <c:pt idx="5">
                  <c:v>1856.8542345375824</c:v>
                </c:pt>
                <c:pt idx="6">
                  <c:v>1748.0072016969434</c:v>
                </c:pt>
              </c:numCache>
            </c:numRef>
          </c:val>
          <c:smooth val="0"/>
          <c:extLst>
            <c:ext xmlns:c16="http://schemas.microsoft.com/office/drawing/2014/chart" uri="{C3380CC4-5D6E-409C-BE32-E72D297353CC}">
              <c16:uniqueId val="{00000000-70FB-451E-9BD4-FC5152AC6118}"/>
            </c:ext>
          </c:extLst>
        </c:ser>
        <c:ser>
          <c:idx val="1"/>
          <c:order val="1"/>
          <c:tx>
            <c:strRef>
              <c:f>AHS_tables!$IZ$95</c:f>
              <c:strCache>
                <c:ptCount val="1"/>
                <c:pt idx="0">
                  <c:v>Predicted</c:v>
                </c:pt>
              </c:strCache>
            </c:strRef>
          </c:tx>
          <c:cat>
            <c:numRef>
              <c:f>AHS_tables!$IX$96:$IX$102</c:f>
              <c:numCache>
                <c:formatCode>0</c:formatCode>
                <c:ptCount val="7"/>
                <c:pt idx="0">
                  <c:v>1997</c:v>
                </c:pt>
                <c:pt idx="1">
                  <c:v>1999</c:v>
                </c:pt>
                <c:pt idx="2">
                  <c:v>2001</c:v>
                </c:pt>
                <c:pt idx="3">
                  <c:v>2003</c:v>
                </c:pt>
                <c:pt idx="4">
                  <c:v>2005</c:v>
                </c:pt>
                <c:pt idx="5">
                  <c:v>2007</c:v>
                </c:pt>
                <c:pt idx="6">
                  <c:v>2009</c:v>
                </c:pt>
              </c:numCache>
            </c:numRef>
          </c:cat>
          <c:val>
            <c:numRef>
              <c:f>AHS_tables!$IZ$96:$IZ$102</c:f>
              <c:numCache>
                <c:formatCode>General</c:formatCode>
                <c:ptCount val="7"/>
                <c:pt idx="0">
                  <c:v>2404.5487572220918</c:v>
                </c:pt>
                <c:pt idx="1">
                  <c:v>2281.0502339265913</c:v>
                </c:pt>
                <c:pt idx="2">
                  <c:v>2163.894640966922</c:v>
                </c:pt>
                <c:pt idx="3">
                  <c:v>2052.7562030692438</c:v>
                </c:pt>
                <c:pt idx="4">
                  <c:v>1947.3258768996025</c:v>
                </c:pt>
                <c:pt idx="5">
                  <c:v>1847.3104917052301</c:v>
                </c:pt>
                <c:pt idx="6">
                  <c:v>1752.4319340928469</c:v>
                </c:pt>
              </c:numCache>
            </c:numRef>
          </c:val>
          <c:smooth val="0"/>
          <c:extLst>
            <c:ext xmlns:c16="http://schemas.microsoft.com/office/drawing/2014/chart" uri="{C3380CC4-5D6E-409C-BE32-E72D297353CC}">
              <c16:uniqueId val="{00000001-70FB-451E-9BD4-FC5152AC6118}"/>
            </c:ext>
          </c:extLst>
        </c:ser>
        <c:dLbls>
          <c:showLegendKey val="0"/>
          <c:showVal val="0"/>
          <c:showCatName val="0"/>
          <c:showSerName val="0"/>
          <c:showPercent val="0"/>
          <c:showBubbleSize val="0"/>
        </c:dLbls>
        <c:marker val="1"/>
        <c:smooth val="0"/>
        <c:axId val="212042496"/>
        <c:axId val="212044032"/>
      </c:lineChart>
      <c:catAx>
        <c:axId val="21204249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044032"/>
        <c:crosses val="autoZero"/>
        <c:auto val="1"/>
        <c:lblAlgn val="ctr"/>
        <c:lblOffset val="100"/>
        <c:noMultiLvlLbl val="0"/>
      </c:catAx>
      <c:valAx>
        <c:axId val="21204403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04249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AHS_tables!$JJ$7</c:f>
              <c:strCache>
                <c:ptCount val="1"/>
                <c:pt idx="0">
                  <c:v>Actual </c:v>
                </c:pt>
              </c:strCache>
            </c:strRef>
          </c:tx>
          <c:cat>
            <c:numRef>
              <c:f>AHS_tables!$JI$8:$JI$14</c:f>
              <c:numCache>
                <c:formatCode>0</c:formatCode>
                <c:ptCount val="7"/>
                <c:pt idx="0">
                  <c:v>1999</c:v>
                </c:pt>
                <c:pt idx="1">
                  <c:v>2001</c:v>
                </c:pt>
                <c:pt idx="2">
                  <c:v>2003</c:v>
                </c:pt>
                <c:pt idx="3">
                  <c:v>2005</c:v>
                </c:pt>
                <c:pt idx="4">
                  <c:v>2007</c:v>
                </c:pt>
                <c:pt idx="5">
                  <c:v>2009</c:v>
                </c:pt>
                <c:pt idx="6">
                  <c:v>2011</c:v>
                </c:pt>
              </c:numCache>
            </c:numRef>
          </c:cat>
          <c:val>
            <c:numRef>
              <c:f>AHS_tables!$JJ$8:$JJ$14</c:f>
              <c:numCache>
                <c:formatCode>#,##0</c:formatCode>
                <c:ptCount val="7"/>
                <c:pt idx="0">
                  <c:v>6779.4290188811865</c:v>
                </c:pt>
                <c:pt idx="1">
                  <c:v>6837.6489145402238</c:v>
                </c:pt>
                <c:pt idx="2">
                  <c:v>6317.0725734817752</c:v>
                </c:pt>
                <c:pt idx="3">
                  <c:v>6107.1059712185688</c:v>
                </c:pt>
                <c:pt idx="4">
                  <c:v>5900.5893283575988</c:v>
                </c:pt>
                <c:pt idx="5">
                  <c:v>5692.9520862876816</c:v>
                </c:pt>
                <c:pt idx="6">
                  <c:v>5942.0504706971124</c:v>
                </c:pt>
              </c:numCache>
            </c:numRef>
          </c:val>
          <c:smooth val="0"/>
          <c:extLst>
            <c:ext xmlns:c16="http://schemas.microsoft.com/office/drawing/2014/chart" uri="{C3380CC4-5D6E-409C-BE32-E72D297353CC}">
              <c16:uniqueId val="{00000000-0398-478A-82CD-EA7F148F6745}"/>
            </c:ext>
          </c:extLst>
        </c:ser>
        <c:ser>
          <c:idx val="1"/>
          <c:order val="1"/>
          <c:tx>
            <c:strRef>
              <c:f>AHS_tables!$JK$7</c:f>
              <c:strCache>
                <c:ptCount val="1"/>
                <c:pt idx="0">
                  <c:v>Predicted</c:v>
                </c:pt>
              </c:strCache>
            </c:strRef>
          </c:tx>
          <c:cat>
            <c:numRef>
              <c:f>AHS_tables!$JI$8:$JI$14</c:f>
              <c:numCache>
                <c:formatCode>0</c:formatCode>
                <c:ptCount val="7"/>
                <c:pt idx="0">
                  <c:v>1999</c:v>
                </c:pt>
                <c:pt idx="1">
                  <c:v>2001</c:v>
                </c:pt>
                <c:pt idx="2">
                  <c:v>2003</c:v>
                </c:pt>
                <c:pt idx="3">
                  <c:v>2005</c:v>
                </c:pt>
                <c:pt idx="4">
                  <c:v>2007</c:v>
                </c:pt>
                <c:pt idx="5">
                  <c:v>2009</c:v>
                </c:pt>
                <c:pt idx="6">
                  <c:v>2011</c:v>
                </c:pt>
              </c:numCache>
            </c:numRef>
          </c:cat>
          <c:val>
            <c:numRef>
              <c:f>AHS_tables!$JK$8:$JK$14</c:f>
              <c:numCache>
                <c:formatCode>General</c:formatCode>
                <c:ptCount val="7"/>
                <c:pt idx="0">
                  <c:v>6891.3446811197855</c:v>
                </c:pt>
                <c:pt idx="1">
                  <c:v>6630.7297426566884</c:v>
                </c:pt>
                <c:pt idx="2">
                  <c:v>6379.9706667709206</c:v>
                </c:pt>
                <c:pt idx="3">
                  <c:v>6138.6947272184725</c:v>
                </c:pt>
                <c:pt idx="4">
                  <c:v>5906.5432934118244</c:v>
                </c:pt>
                <c:pt idx="5">
                  <c:v>5683.1712973542981</c:v>
                </c:pt>
                <c:pt idx="6">
                  <c:v>5468.2467207338532</c:v>
                </c:pt>
              </c:numCache>
            </c:numRef>
          </c:val>
          <c:smooth val="0"/>
          <c:extLst>
            <c:ext xmlns:c16="http://schemas.microsoft.com/office/drawing/2014/chart" uri="{C3380CC4-5D6E-409C-BE32-E72D297353CC}">
              <c16:uniqueId val="{00000001-0398-478A-82CD-EA7F148F6745}"/>
            </c:ext>
          </c:extLst>
        </c:ser>
        <c:dLbls>
          <c:showLegendKey val="0"/>
          <c:showVal val="0"/>
          <c:showCatName val="0"/>
          <c:showSerName val="0"/>
          <c:showPercent val="0"/>
          <c:showBubbleSize val="0"/>
        </c:dLbls>
        <c:marker val="1"/>
        <c:smooth val="0"/>
        <c:axId val="212081280"/>
        <c:axId val="212083072"/>
      </c:lineChart>
      <c:catAx>
        <c:axId val="212081280"/>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083072"/>
        <c:crosses val="autoZero"/>
        <c:auto val="1"/>
        <c:lblAlgn val="ctr"/>
        <c:lblOffset val="100"/>
        <c:noMultiLvlLbl val="0"/>
      </c:catAx>
      <c:valAx>
        <c:axId val="21208307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08128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AHS_tables!$JJ$38</c:f>
              <c:strCache>
                <c:ptCount val="1"/>
                <c:pt idx="0">
                  <c:v>Actual </c:v>
                </c:pt>
              </c:strCache>
            </c:strRef>
          </c:tx>
          <c:cat>
            <c:numRef>
              <c:f>AHS_tables!$JI$39:$JI$44</c:f>
              <c:numCache>
                <c:formatCode>0</c:formatCode>
                <c:ptCount val="6"/>
                <c:pt idx="0">
                  <c:v>1999</c:v>
                </c:pt>
                <c:pt idx="1">
                  <c:v>2001</c:v>
                </c:pt>
                <c:pt idx="2">
                  <c:v>2003</c:v>
                </c:pt>
                <c:pt idx="3">
                  <c:v>2005</c:v>
                </c:pt>
                <c:pt idx="4">
                  <c:v>2007</c:v>
                </c:pt>
                <c:pt idx="5">
                  <c:v>2009</c:v>
                </c:pt>
              </c:numCache>
            </c:numRef>
          </c:cat>
          <c:val>
            <c:numRef>
              <c:f>AHS_tables!$JJ$39:$JJ$44</c:f>
              <c:numCache>
                <c:formatCode>#,##0</c:formatCode>
                <c:ptCount val="6"/>
                <c:pt idx="0">
                  <c:v>562.59699133867593</c:v>
                </c:pt>
                <c:pt idx="1">
                  <c:v>577.27488179283705</c:v>
                </c:pt>
                <c:pt idx="2">
                  <c:v>533.31042557340697</c:v>
                </c:pt>
                <c:pt idx="3">
                  <c:v>446.06671010897003</c:v>
                </c:pt>
                <c:pt idx="4">
                  <c:v>476.75156841104007</c:v>
                </c:pt>
                <c:pt idx="5">
                  <c:v>444.3416358572299</c:v>
                </c:pt>
              </c:numCache>
            </c:numRef>
          </c:val>
          <c:smooth val="0"/>
          <c:extLst>
            <c:ext xmlns:c16="http://schemas.microsoft.com/office/drawing/2014/chart" uri="{C3380CC4-5D6E-409C-BE32-E72D297353CC}">
              <c16:uniqueId val="{00000000-90B4-4345-B88F-C7479D317695}"/>
            </c:ext>
          </c:extLst>
        </c:ser>
        <c:ser>
          <c:idx val="1"/>
          <c:order val="1"/>
          <c:tx>
            <c:strRef>
              <c:f>AHS_tables!$JK$38</c:f>
              <c:strCache>
                <c:ptCount val="1"/>
                <c:pt idx="0">
                  <c:v>Predicted</c:v>
                </c:pt>
              </c:strCache>
            </c:strRef>
          </c:tx>
          <c:cat>
            <c:numRef>
              <c:f>AHS_tables!$JI$39:$JI$44</c:f>
              <c:numCache>
                <c:formatCode>0</c:formatCode>
                <c:ptCount val="6"/>
                <c:pt idx="0">
                  <c:v>1999</c:v>
                </c:pt>
                <c:pt idx="1">
                  <c:v>2001</c:v>
                </c:pt>
                <c:pt idx="2">
                  <c:v>2003</c:v>
                </c:pt>
                <c:pt idx="3">
                  <c:v>2005</c:v>
                </c:pt>
                <c:pt idx="4">
                  <c:v>2007</c:v>
                </c:pt>
                <c:pt idx="5">
                  <c:v>2009</c:v>
                </c:pt>
              </c:numCache>
            </c:numRef>
          </c:cat>
          <c:val>
            <c:numRef>
              <c:f>AHS_tables!$JK$39:$JK$44</c:f>
              <c:numCache>
                <c:formatCode>General</c:formatCode>
                <c:ptCount val="6"/>
                <c:pt idx="0">
                  <c:v>578.46206608396051</c:v>
                </c:pt>
                <c:pt idx="1">
                  <c:v>547.38917353703789</c:v>
                </c:pt>
                <c:pt idx="2">
                  <c:v>517.98540452965688</c:v>
                </c:pt>
                <c:pt idx="3">
                  <c:v>490.16109977483404</c:v>
                </c:pt>
                <c:pt idx="4">
                  <c:v>463.83141615859813</c:v>
                </c:pt>
                <c:pt idx="5">
                  <c:v>438.91606803257048</c:v>
                </c:pt>
              </c:numCache>
            </c:numRef>
          </c:val>
          <c:smooth val="0"/>
          <c:extLst>
            <c:ext xmlns:c16="http://schemas.microsoft.com/office/drawing/2014/chart" uri="{C3380CC4-5D6E-409C-BE32-E72D297353CC}">
              <c16:uniqueId val="{00000001-90B4-4345-B88F-C7479D317695}"/>
            </c:ext>
          </c:extLst>
        </c:ser>
        <c:dLbls>
          <c:showLegendKey val="0"/>
          <c:showVal val="0"/>
          <c:showCatName val="0"/>
          <c:showSerName val="0"/>
          <c:showPercent val="0"/>
          <c:showBubbleSize val="0"/>
        </c:dLbls>
        <c:marker val="1"/>
        <c:smooth val="0"/>
        <c:axId val="212103936"/>
        <c:axId val="212105472"/>
      </c:lineChart>
      <c:catAx>
        <c:axId val="21210393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05472"/>
        <c:crosses val="autoZero"/>
        <c:auto val="1"/>
        <c:lblAlgn val="ctr"/>
        <c:lblOffset val="100"/>
        <c:noMultiLvlLbl val="0"/>
      </c:catAx>
      <c:valAx>
        <c:axId val="21210547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0393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AHS_tables!$IY$124</c:f>
              <c:strCache>
                <c:ptCount val="1"/>
                <c:pt idx="0">
                  <c:v>Actual</c:v>
                </c:pt>
              </c:strCache>
            </c:strRef>
          </c:tx>
          <c:cat>
            <c:numRef>
              <c:f>AHS_tables!$IX$125:$IX$131</c:f>
              <c:numCache>
                <c:formatCode>0</c:formatCode>
                <c:ptCount val="7"/>
                <c:pt idx="0">
                  <c:v>1997</c:v>
                </c:pt>
                <c:pt idx="1">
                  <c:v>1999</c:v>
                </c:pt>
                <c:pt idx="2">
                  <c:v>2001</c:v>
                </c:pt>
                <c:pt idx="3">
                  <c:v>2003</c:v>
                </c:pt>
                <c:pt idx="4">
                  <c:v>2005</c:v>
                </c:pt>
                <c:pt idx="5">
                  <c:v>2007</c:v>
                </c:pt>
                <c:pt idx="6">
                  <c:v>2009</c:v>
                </c:pt>
              </c:numCache>
            </c:numRef>
          </c:cat>
          <c:val>
            <c:numRef>
              <c:f>AHS_tables!$IY$125:$IY$131</c:f>
              <c:numCache>
                <c:formatCode>#,##0</c:formatCode>
                <c:ptCount val="7"/>
                <c:pt idx="0">
                  <c:v>1055.628153430639</c:v>
                </c:pt>
                <c:pt idx="1">
                  <c:v>969.26431988842194</c:v>
                </c:pt>
                <c:pt idx="2">
                  <c:v>1006.6752256795282</c:v>
                </c:pt>
                <c:pt idx="3">
                  <c:v>900.59139188806375</c:v>
                </c:pt>
                <c:pt idx="4">
                  <c:v>821.11541742736017</c:v>
                </c:pt>
                <c:pt idx="5">
                  <c:v>785.9531388820908</c:v>
                </c:pt>
                <c:pt idx="6">
                  <c:v>728.16789959005189</c:v>
                </c:pt>
              </c:numCache>
            </c:numRef>
          </c:val>
          <c:smooth val="0"/>
          <c:extLst>
            <c:ext xmlns:c16="http://schemas.microsoft.com/office/drawing/2014/chart" uri="{C3380CC4-5D6E-409C-BE32-E72D297353CC}">
              <c16:uniqueId val="{00000000-D0ED-417B-A88E-0C22A18E5043}"/>
            </c:ext>
          </c:extLst>
        </c:ser>
        <c:ser>
          <c:idx val="1"/>
          <c:order val="1"/>
          <c:tx>
            <c:strRef>
              <c:f>AHS_tables!$IZ$124</c:f>
              <c:strCache>
                <c:ptCount val="1"/>
                <c:pt idx="0">
                  <c:v>Predicted</c:v>
                </c:pt>
              </c:strCache>
            </c:strRef>
          </c:tx>
          <c:cat>
            <c:numRef>
              <c:f>AHS_tables!$IX$125:$IX$131</c:f>
              <c:numCache>
                <c:formatCode>0</c:formatCode>
                <c:ptCount val="7"/>
                <c:pt idx="0">
                  <c:v>1997</c:v>
                </c:pt>
                <c:pt idx="1">
                  <c:v>1999</c:v>
                </c:pt>
                <c:pt idx="2">
                  <c:v>2001</c:v>
                </c:pt>
                <c:pt idx="3">
                  <c:v>2003</c:v>
                </c:pt>
                <c:pt idx="4">
                  <c:v>2005</c:v>
                </c:pt>
                <c:pt idx="5">
                  <c:v>2007</c:v>
                </c:pt>
                <c:pt idx="6">
                  <c:v>2009</c:v>
                </c:pt>
              </c:numCache>
            </c:numRef>
          </c:cat>
          <c:val>
            <c:numRef>
              <c:f>AHS_tables!$IZ$125:$IZ$131</c:f>
              <c:numCache>
                <c:formatCode>General</c:formatCode>
                <c:ptCount val="7"/>
                <c:pt idx="0">
                  <c:v>1069.8336299024279</c:v>
                </c:pt>
                <c:pt idx="1">
                  <c:v>1005.4786798262958</c:v>
                </c:pt>
                <c:pt idx="2">
                  <c:v>944.99494811864804</c:v>
                </c:pt>
                <c:pt idx="3">
                  <c:v>888.14956486600227</c:v>
                </c:pt>
                <c:pt idx="4">
                  <c:v>834.72366825037273</c:v>
                </c:pt>
                <c:pt idx="5">
                  <c:v>784.51156190397012</c:v>
                </c:pt>
                <c:pt idx="6">
                  <c:v>737.31992295251587</c:v>
                </c:pt>
              </c:numCache>
            </c:numRef>
          </c:val>
          <c:smooth val="0"/>
          <c:extLst>
            <c:ext xmlns:c16="http://schemas.microsoft.com/office/drawing/2014/chart" uri="{C3380CC4-5D6E-409C-BE32-E72D297353CC}">
              <c16:uniqueId val="{00000001-D0ED-417B-A88E-0C22A18E5043}"/>
            </c:ext>
          </c:extLst>
        </c:ser>
        <c:dLbls>
          <c:showLegendKey val="0"/>
          <c:showVal val="0"/>
          <c:showCatName val="0"/>
          <c:showSerName val="0"/>
          <c:showPercent val="0"/>
          <c:showBubbleSize val="0"/>
        </c:dLbls>
        <c:marker val="1"/>
        <c:smooth val="0"/>
        <c:axId val="212216448"/>
        <c:axId val="212222336"/>
      </c:lineChart>
      <c:catAx>
        <c:axId val="212216448"/>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22336"/>
        <c:crosses val="autoZero"/>
        <c:auto val="1"/>
        <c:lblAlgn val="ctr"/>
        <c:lblOffset val="100"/>
        <c:noMultiLvlLbl val="0"/>
      </c:catAx>
      <c:valAx>
        <c:axId val="21222233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1644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AHS_tables!$JJ$67</c:f>
              <c:strCache>
                <c:ptCount val="1"/>
                <c:pt idx="0">
                  <c:v>Actual </c:v>
                </c:pt>
              </c:strCache>
            </c:strRef>
          </c:tx>
          <c:cat>
            <c:numRef>
              <c:f>AHS_tables!$JI$68:$JI$73</c:f>
              <c:numCache>
                <c:formatCode>0</c:formatCode>
                <c:ptCount val="6"/>
                <c:pt idx="0">
                  <c:v>1999</c:v>
                </c:pt>
                <c:pt idx="1">
                  <c:v>2001</c:v>
                </c:pt>
                <c:pt idx="2">
                  <c:v>2003</c:v>
                </c:pt>
                <c:pt idx="3">
                  <c:v>2005</c:v>
                </c:pt>
                <c:pt idx="4">
                  <c:v>2007</c:v>
                </c:pt>
                <c:pt idx="5">
                  <c:v>2009</c:v>
                </c:pt>
              </c:numCache>
            </c:numRef>
          </c:cat>
          <c:val>
            <c:numRef>
              <c:f>AHS_tables!$JJ$68:$JJ$73</c:f>
              <c:numCache>
                <c:formatCode>#,##0</c:formatCode>
                <c:ptCount val="6"/>
                <c:pt idx="0">
                  <c:v>1178.5373216290061</c:v>
                </c:pt>
                <c:pt idx="1">
                  <c:v>1148.7070713069459</c:v>
                </c:pt>
                <c:pt idx="2">
                  <c:v>1015.9942993393861</c:v>
                </c:pt>
                <c:pt idx="3">
                  <c:v>1016.49244393188</c:v>
                </c:pt>
                <c:pt idx="4">
                  <c:v>983.66595697459013</c:v>
                </c:pt>
                <c:pt idx="5">
                  <c:v>971.01111865336986</c:v>
                </c:pt>
              </c:numCache>
            </c:numRef>
          </c:val>
          <c:smooth val="0"/>
          <c:extLst>
            <c:ext xmlns:c16="http://schemas.microsoft.com/office/drawing/2014/chart" uri="{C3380CC4-5D6E-409C-BE32-E72D297353CC}">
              <c16:uniqueId val="{00000000-F83B-4753-9C28-FEB0C6B64C90}"/>
            </c:ext>
          </c:extLst>
        </c:ser>
        <c:ser>
          <c:idx val="1"/>
          <c:order val="1"/>
          <c:tx>
            <c:strRef>
              <c:f>AHS_tables!$JK$67</c:f>
              <c:strCache>
                <c:ptCount val="1"/>
                <c:pt idx="0">
                  <c:v>Predicted</c:v>
                </c:pt>
              </c:strCache>
            </c:strRef>
          </c:tx>
          <c:cat>
            <c:numRef>
              <c:f>AHS_tables!$JI$68:$JI$73</c:f>
              <c:numCache>
                <c:formatCode>0</c:formatCode>
                <c:ptCount val="6"/>
                <c:pt idx="0">
                  <c:v>1999</c:v>
                </c:pt>
                <c:pt idx="1">
                  <c:v>2001</c:v>
                </c:pt>
                <c:pt idx="2">
                  <c:v>2003</c:v>
                </c:pt>
                <c:pt idx="3">
                  <c:v>2005</c:v>
                </c:pt>
                <c:pt idx="4">
                  <c:v>2007</c:v>
                </c:pt>
                <c:pt idx="5">
                  <c:v>2009</c:v>
                </c:pt>
              </c:numCache>
            </c:numRef>
          </c:cat>
          <c:val>
            <c:numRef>
              <c:f>AHS_tables!$JK$68:$JK$73</c:f>
              <c:numCache>
                <c:formatCode>General</c:formatCode>
                <c:ptCount val="6"/>
                <c:pt idx="0">
                  <c:v>1162.5151834290668</c:v>
                </c:pt>
                <c:pt idx="1">
                  <c:v>1115.8706136761948</c:v>
                </c:pt>
                <c:pt idx="2">
                  <c:v>1071.0976030379436</c:v>
                </c:pt>
                <c:pt idx="3">
                  <c:v>1028.1210573814233</c:v>
                </c:pt>
                <c:pt idx="4">
                  <c:v>986.86889563849707</c:v>
                </c:pt>
                <c:pt idx="5">
                  <c:v>947.27192891005495</c:v>
                </c:pt>
              </c:numCache>
            </c:numRef>
          </c:val>
          <c:smooth val="0"/>
          <c:extLst>
            <c:ext xmlns:c16="http://schemas.microsoft.com/office/drawing/2014/chart" uri="{C3380CC4-5D6E-409C-BE32-E72D297353CC}">
              <c16:uniqueId val="{00000001-F83B-4753-9C28-FEB0C6B64C90}"/>
            </c:ext>
          </c:extLst>
        </c:ser>
        <c:dLbls>
          <c:showLegendKey val="0"/>
          <c:showVal val="0"/>
          <c:showCatName val="0"/>
          <c:showSerName val="0"/>
          <c:showPercent val="0"/>
          <c:showBubbleSize val="0"/>
        </c:dLbls>
        <c:marker val="1"/>
        <c:smooth val="0"/>
        <c:axId val="212234624"/>
        <c:axId val="212236160"/>
      </c:lineChart>
      <c:catAx>
        <c:axId val="212234624"/>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36160"/>
        <c:crosses val="autoZero"/>
        <c:auto val="1"/>
        <c:lblAlgn val="ctr"/>
        <c:lblOffset val="100"/>
        <c:noMultiLvlLbl val="0"/>
      </c:catAx>
      <c:valAx>
        <c:axId val="21223616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3462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AHS_tables!$JJ$96</c:f>
              <c:strCache>
                <c:ptCount val="1"/>
                <c:pt idx="0">
                  <c:v>Actual </c:v>
                </c:pt>
              </c:strCache>
            </c:strRef>
          </c:tx>
          <c:cat>
            <c:numRef>
              <c:f>AHS_tables!$JI$97:$JI$102</c:f>
              <c:numCache>
                <c:formatCode>0</c:formatCode>
                <c:ptCount val="6"/>
                <c:pt idx="0">
                  <c:v>1999</c:v>
                </c:pt>
                <c:pt idx="1">
                  <c:v>2001</c:v>
                </c:pt>
                <c:pt idx="2">
                  <c:v>2003</c:v>
                </c:pt>
                <c:pt idx="3">
                  <c:v>2005</c:v>
                </c:pt>
                <c:pt idx="4">
                  <c:v>2007</c:v>
                </c:pt>
                <c:pt idx="5">
                  <c:v>2009</c:v>
                </c:pt>
              </c:numCache>
            </c:numRef>
          </c:cat>
          <c:val>
            <c:numRef>
              <c:f>AHS_tables!$JJ$97:$JJ$102</c:f>
              <c:numCache>
                <c:formatCode>#,##0</c:formatCode>
                <c:ptCount val="6"/>
                <c:pt idx="0">
                  <c:v>3740.7235609514364</c:v>
                </c:pt>
                <c:pt idx="1">
                  <c:v>3747.7445708004843</c:v>
                </c:pt>
                <c:pt idx="2">
                  <c:v>3555.8407612842539</c:v>
                </c:pt>
                <c:pt idx="3">
                  <c:v>3450.7376929066886</c:v>
                </c:pt>
                <c:pt idx="4">
                  <c:v>3335.7050617870723</c:v>
                </c:pt>
                <c:pt idx="5">
                  <c:v>3224.4264510909429</c:v>
                </c:pt>
              </c:numCache>
            </c:numRef>
          </c:val>
          <c:smooth val="0"/>
          <c:extLst>
            <c:ext xmlns:c16="http://schemas.microsoft.com/office/drawing/2014/chart" uri="{C3380CC4-5D6E-409C-BE32-E72D297353CC}">
              <c16:uniqueId val="{00000000-428F-492A-99F9-670DBF46F04D}"/>
            </c:ext>
          </c:extLst>
        </c:ser>
        <c:ser>
          <c:idx val="1"/>
          <c:order val="1"/>
          <c:tx>
            <c:strRef>
              <c:f>AHS_tables!$JK$96</c:f>
              <c:strCache>
                <c:ptCount val="1"/>
                <c:pt idx="0">
                  <c:v>Predicted</c:v>
                </c:pt>
              </c:strCache>
            </c:strRef>
          </c:tx>
          <c:cat>
            <c:numRef>
              <c:f>AHS_tables!$JI$97:$JI$102</c:f>
              <c:numCache>
                <c:formatCode>0</c:formatCode>
                <c:ptCount val="6"/>
                <c:pt idx="0">
                  <c:v>1999</c:v>
                </c:pt>
                <c:pt idx="1">
                  <c:v>2001</c:v>
                </c:pt>
                <c:pt idx="2">
                  <c:v>2003</c:v>
                </c:pt>
                <c:pt idx="3">
                  <c:v>2005</c:v>
                </c:pt>
                <c:pt idx="4">
                  <c:v>2007</c:v>
                </c:pt>
                <c:pt idx="5">
                  <c:v>2009</c:v>
                </c:pt>
              </c:numCache>
            </c:numRef>
          </c:cat>
          <c:val>
            <c:numRef>
              <c:f>AHS_tables!$JK$97:$JK$102</c:f>
              <c:numCache>
                <c:formatCode>General</c:formatCode>
                <c:ptCount val="6"/>
                <c:pt idx="0">
                  <c:v>3796.1495204734852</c:v>
                </c:pt>
                <c:pt idx="1">
                  <c:v>3676.3821647276513</c:v>
                </c:pt>
                <c:pt idx="2">
                  <c:v>3560.3934324066818</c:v>
                </c:pt>
                <c:pt idx="3">
                  <c:v>3448.0641090977783</c:v>
                </c:pt>
                <c:pt idx="4">
                  <c:v>3339.2787415664052</c:v>
                </c:pt>
                <c:pt idx="5">
                  <c:v>3233.9255190922277</c:v>
                </c:pt>
              </c:numCache>
            </c:numRef>
          </c:val>
          <c:smooth val="0"/>
          <c:extLst>
            <c:ext xmlns:c16="http://schemas.microsoft.com/office/drawing/2014/chart" uri="{C3380CC4-5D6E-409C-BE32-E72D297353CC}">
              <c16:uniqueId val="{00000001-428F-492A-99F9-670DBF46F04D}"/>
            </c:ext>
          </c:extLst>
        </c:ser>
        <c:dLbls>
          <c:showLegendKey val="0"/>
          <c:showVal val="0"/>
          <c:showCatName val="0"/>
          <c:showSerName val="0"/>
          <c:showPercent val="0"/>
          <c:showBubbleSize val="0"/>
        </c:dLbls>
        <c:marker val="1"/>
        <c:smooth val="0"/>
        <c:axId val="212265216"/>
        <c:axId val="212267008"/>
      </c:lineChart>
      <c:catAx>
        <c:axId val="21226521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67008"/>
        <c:crosses val="autoZero"/>
        <c:auto val="1"/>
        <c:lblAlgn val="ctr"/>
        <c:lblOffset val="100"/>
        <c:noMultiLvlLbl val="0"/>
      </c:catAx>
      <c:valAx>
        <c:axId val="21226700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6521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AHS_tables!$IE$7</c:f>
              <c:strCache>
                <c:ptCount val="1"/>
                <c:pt idx="0">
                  <c:v>Actual </c:v>
                </c:pt>
              </c:strCache>
            </c:strRef>
          </c:tx>
          <c:cat>
            <c:numRef>
              <c:f>AHS_tables!$ID$8:$ID$14</c:f>
              <c:numCache>
                <c:formatCode>0</c:formatCode>
                <c:ptCount val="7"/>
                <c:pt idx="0">
                  <c:v>1999</c:v>
                </c:pt>
                <c:pt idx="1">
                  <c:v>2001</c:v>
                </c:pt>
                <c:pt idx="2">
                  <c:v>2003</c:v>
                </c:pt>
                <c:pt idx="3">
                  <c:v>2005</c:v>
                </c:pt>
                <c:pt idx="4">
                  <c:v>2007</c:v>
                </c:pt>
                <c:pt idx="5">
                  <c:v>2009</c:v>
                </c:pt>
                <c:pt idx="6">
                  <c:v>2011</c:v>
                </c:pt>
              </c:numCache>
            </c:numRef>
          </c:cat>
          <c:val>
            <c:numRef>
              <c:f>AHS_tables!$IE$8:$IE$14</c:f>
              <c:numCache>
                <c:formatCode>#,##0</c:formatCode>
                <c:ptCount val="7"/>
                <c:pt idx="0">
                  <c:v>24515.622361986938</c:v>
                </c:pt>
                <c:pt idx="1">
                  <c:v>24229.051613052176</c:v>
                </c:pt>
                <c:pt idx="2">
                  <c:v>24142.503211975374</c:v>
                </c:pt>
                <c:pt idx="3">
                  <c:v>23485.35685644254</c:v>
                </c:pt>
                <c:pt idx="4">
                  <c:v>23601.884887156284</c:v>
                </c:pt>
                <c:pt idx="5">
                  <c:v>22713.93858297867</c:v>
                </c:pt>
                <c:pt idx="6">
                  <c:v>24432.304100511312</c:v>
                </c:pt>
              </c:numCache>
            </c:numRef>
          </c:val>
          <c:smooth val="0"/>
          <c:extLst>
            <c:ext xmlns:c16="http://schemas.microsoft.com/office/drawing/2014/chart" uri="{C3380CC4-5D6E-409C-BE32-E72D297353CC}">
              <c16:uniqueId val="{00000000-BA62-43BB-9572-55D520CC1D64}"/>
            </c:ext>
          </c:extLst>
        </c:ser>
        <c:ser>
          <c:idx val="1"/>
          <c:order val="1"/>
          <c:tx>
            <c:strRef>
              <c:f>AHS_tables!$IF$7</c:f>
              <c:strCache>
                <c:ptCount val="1"/>
                <c:pt idx="0">
                  <c:v>Predicted</c:v>
                </c:pt>
              </c:strCache>
            </c:strRef>
          </c:tx>
          <c:cat>
            <c:numRef>
              <c:f>AHS_tables!$ID$8:$ID$14</c:f>
              <c:numCache>
                <c:formatCode>0</c:formatCode>
                <c:ptCount val="7"/>
                <c:pt idx="0">
                  <c:v>1999</c:v>
                </c:pt>
                <c:pt idx="1">
                  <c:v>2001</c:v>
                </c:pt>
                <c:pt idx="2">
                  <c:v>2003</c:v>
                </c:pt>
                <c:pt idx="3">
                  <c:v>2005</c:v>
                </c:pt>
                <c:pt idx="4">
                  <c:v>2007</c:v>
                </c:pt>
                <c:pt idx="5">
                  <c:v>2009</c:v>
                </c:pt>
                <c:pt idx="6">
                  <c:v>2011</c:v>
                </c:pt>
              </c:numCache>
            </c:numRef>
          </c:cat>
          <c:val>
            <c:numRef>
              <c:f>AHS_tables!$IF$8:$IF$14</c:f>
              <c:numCache>
                <c:formatCode>General</c:formatCode>
                <c:ptCount val="7"/>
                <c:pt idx="0">
                  <c:v>24617.040956059311</c:v>
                </c:pt>
                <c:pt idx="1">
                  <c:v>24276.23714078567</c:v>
                </c:pt>
                <c:pt idx="2">
                  <c:v>23940.151489677715</c:v>
                </c:pt>
                <c:pt idx="3">
                  <c:v>23608.71868341662</c:v>
                </c:pt>
                <c:pt idx="4">
                  <c:v>23281.874306978636</c:v>
                </c:pt>
                <c:pt idx="5">
                  <c:v>22959.554837116171</c:v>
                </c:pt>
                <c:pt idx="6">
                  <c:v>22959.554837116171</c:v>
                </c:pt>
              </c:numCache>
            </c:numRef>
          </c:val>
          <c:smooth val="0"/>
          <c:extLst>
            <c:ext xmlns:c16="http://schemas.microsoft.com/office/drawing/2014/chart" uri="{C3380CC4-5D6E-409C-BE32-E72D297353CC}">
              <c16:uniqueId val="{00000001-BA62-43BB-9572-55D520CC1D64}"/>
            </c:ext>
          </c:extLst>
        </c:ser>
        <c:dLbls>
          <c:showLegendKey val="0"/>
          <c:showVal val="0"/>
          <c:showCatName val="0"/>
          <c:showSerName val="0"/>
          <c:showPercent val="0"/>
          <c:showBubbleSize val="0"/>
        </c:dLbls>
        <c:marker val="1"/>
        <c:smooth val="0"/>
        <c:axId val="212377984"/>
        <c:axId val="212379520"/>
      </c:lineChart>
      <c:catAx>
        <c:axId val="212377984"/>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379520"/>
        <c:crosses val="autoZero"/>
        <c:auto val="1"/>
        <c:lblAlgn val="ctr"/>
        <c:lblOffset val="100"/>
        <c:noMultiLvlLbl val="0"/>
      </c:catAx>
      <c:valAx>
        <c:axId val="21237952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37798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AHS_tables!$GY$7</c:f>
              <c:strCache>
                <c:ptCount val="1"/>
                <c:pt idx="0">
                  <c:v>Actual </c:v>
                </c:pt>
              </c:strCache>
            </c:strRef>
          </c:tx>
          <c:cat>
            <c:numRef>
              <c:f>AHS_tables!$GX$8:$GX$14</c:f>
              <c:numCache>
                <c:formatCode>0</c:formatCode>
                <c:ptCount val="7"/>
                <c:pt idx="0">
                  <c:v>1999</c:v>
                </c:pt>
                <c:pt idx="1">
                  <c:v>2001</c:v>
                </c:pt>
                <c:pt idx="2">
                  <c:v>2003</c:v>
                </c:pt>
                <c:pt idx="3">
                  <c:v>2005</c:v>
                </c:pt>
                <c:pt idx="4">
                  <c:v>2007</c:v>
                </c:pt>
                <c:pt idx="5">
                  <c:v>2009</c:v>
                </c:pt>
                <c:pt idx="6">
                  <c:v>2011</c:v>
                </c:pt>
              </c:numCache>
            </c:numRef>
          </c:cat>
          <c:val>
            <c:numRef>
              <c:f>AHS_tables!$GY$8:$GY$14</c:f>
              <c:numCache>
                <c:formatCode>#,##0</c:formatCode>
                <c:ptCount val="7"/>
                <c:pt idx="0">
                  <c:v>71499.011453219486</c:v>
                </c:pt>
                <c:pt idx="1">
                  <c:v>72617.70559977692</c:v>
                </c:pt>
                <c:pt idx="2">
                  <c:v>70152.119647368818</c:v>
                </c:pt>
                <c:pt idx="3">
                  <c:v>68584.372819708093</c:v>
                </c:pt>
                <c:pt idx="4">
                  <c:v>67477.929133198137</c:v>
                </c:pt>
                <c:pt idx="5">
                  <c:v>67410.173781626538</c:v>
                </c:pt>
                <c:pt idx="6">
                  <c:v>68678.306450896736</c:v>
                </c:pt>
              </c:numCache>
            </c:numRef>
          </c:val>
          <c:smooth val="0"/>
          <c:extLst>
            <c:ext xmlns:c16="http://schemas.microsoft.com/office/drawing/2014/chart" uri="{C3380CC4-5D6E-409C-BE32-E72D297353CC}">
              <c16:uniqueId val="{00000000-6A6D-4E60-83FA-BB52040DC52C}"/>
            </c:ext>
          </c:extLst>
        </c:ser>
        <c:ser>
          <c:idx val="1"/>
          <c:order val="1"/>
          <c:tx>
            <c:strRef>
              <c:f>AHS_tables!$GZ$7</c:f>
              <c:strCache>
                <c:ptCount val="1"/>
                <c:pt idx="0">
                  <c:v>Predicted</c:v>
                </c:pt>
              </c:strCache>
            </c:strRef>
          </c:tx>
          <c:cat>
            <c:numRef>
              <c:f>AHS_tables!$GX$8:$GX$14</c:f>
              <c:numCache>
                <c:formatCode>0</c:formatCode>
                <c:ptCount val="7"/>
                <c:pt idx="0">
                  <c:v>1999</c:v>
                </c:pt>
                <c:pt idx="1">
                  <c:v>2001</c:v>
                </c:pt>
                <c:pt idx="2">
                  <c:v>2003</c:v>
                </c:pt>
                <c:pt idx="3">
                  <c:v>2005</c:v>
                </c:pt>
                <c:pt idx="4">
                  <c:v>2007</c:v>
                </c:pt>
                <c:pt idx="5">
                  <c:v>2009</c:v>
                </c:pt>
                <c:pt idx="6">
                  <c:v>2011</c:v>
                </c:pt>
              </c:numCache>
            </c:numRef>
          </c:cat>
          <c:val>
            <c:numRef>
              <c:f>AHS_tables!$GZ$8:$GZ$14</c:f>
              <c:numCache>
                <c:formatCode>General</c:formatCode>
                <c:ptCount val="7"/>
                <c:pt idx="0">
                  <c:v>72318.450769245828</c:v>
                </c:pt>
                <c:pt idx="1">
                  <c:v>71216.810001447608</c:v>
                </c:pt>
                <c:pt idx="2">
                  <c:v>70131.950737793304</c:v>
                </c:pt>
                <c:pt idx="3">
                  <c:v>69063.617342426587</c:v>
                </c:pt>
                <c:pt idx="4">
                  <c:v>68011.558073640525</c:v>
                </c:pt>
                <c:pt idx="5">
                  <c:v>66975.525024557719</c:v>
                </c:pt>
                <c:pt idx="6">
                  <c:v>65955.274064713871</c:v>
                </c:pt>
              </c:numCache>
            </c:numRef>
          </c:val>
          <c:smooth val="0"/>
          <c:extLst>
            <c:ext xmlns:c16="http://schemas.microsoft.com/office/drawing/2014/chart" uri="{C3380CC4-5D6E-409C-BE32-E72D297353CC}">
              <c16:uniqueId val="{00000001-6A6D-4E60-83FA-BB52040DC52C}"/>
            </c:ext>
          </c:extLst>
        </c:ser>
        <c:dLbls>
          <c:showLegendKey val="0"/>
          <c:showVal val="0"/>
          <c:showCatName val="0"/>
          <c:showSerName val="0"/>
          <c:showPercent val="0"/>
          <c:showBubbleSize val="0"/>
        </c:dLbls>
        <c:marker val="1"/>
        <c:smooth val="0"/>
        <c:axId val="212388096"/>
        <c:axId val="212557824"/>
      </c:lineChart>
      <c:catAx>
        <c:axId val="21238809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557824"/>
        <c:crosses val="autoZero"/>
        <c:auto val="1"/>
        <c:lblAlgn val="ctr"/>
        <c:lblOffset val="100"/>
        <c:noMultiLvlLbl val="0"/>
      </c:catAx>
      <c:valAx>
        <c:axId val="21255782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38809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0287805164884"/>
          <c:y val="5.1400554097404488E-2"/>
          <c:w val="0.76105414521759118"/>
          <c:h val="0.8326195683872849"/>
        </c:manualLayout>
      </c:layout>
      <c:lineChart>
        <c:grouping val="standard"/>
        <c:varyColors val="0"/>
        <c:ser>
          <c:idx val="0"/>
          <c:order val="0"/>
          <c:tx>
            <c:strRef>
              <c:f>AHS_tables!$BX$166</c:f>
              <c:strCache>
                <c:ptCount val="1"/>
                <c:pt idx="0">
                  <c:v>Northeast</c:v>
                </c:pt>
              </c:strCache>
            </c:strRef>
          </c:tx>
          <c:cat>
            <c:numRef>
              <c:f>AHS_tables!$BZ$165:$CE$165</c:f>
              <c:numCache>
                <c:formatCode>General</c:formatCode>
                <c:ptCount val="6"/>
                <c:pt idx="0">
                  <c:v>1999</c:v>
                </c:pt>
                <c:pt idx="1">
                  <c:v>2001</c:v>
                </c:pt>
                <c:pt idx="2">
                  <c:v>2003</c:v>
                </c:pt>
                <c:pt idx="3">
                  <c:v>2005</c:v>
                </c:pt>
                <c:pt idx="4">
                  <c:v>2007</c:v>
                </c:pt>
                <c:pt idx="5">
                  <c:v>2009</c:v>
                </c:pt>
              </c:numCache>
            </c:numRef>
          </c:cat>
          <c:val>
            <c:numRef>
              <c:f>AHS_tables!$BZ$166:$CE$166</c:f>
              <c:numCache>
                <c:formatCode>0.000</c:formatCode>
                <c:ptCount val="6"/>
                <c:pt idx="0">
                  <c:v>1.1363743686067762</c:v>
                </c:pt>
                <c:pt idx="1">
                  <c:v>1.1452745101312254</c:v>
                </c:pt>
                <c:pt idx="2">
                  <c:v>1.1353104139742185</c:v>
                </c:pt>
                <c:pt idx="3">
                  <c:v>1.1215023460933342</c:v>
                </c:pt>
                <c:pt idx="4">
                  <c:v>1.092282913841194</c:v>
                </c:pt>
                <c:pt idx="5">
                  <c:v>1.0827500406563184</c:v>
                </c:pt>
              </c:numCache>
            </c:numRef>
          </c:val>
          <c:smooth val="0"/>
          <c:extLst>
            <c:ext xmlns:c16="http://schemas.microsoft.com/office/drawing/2014/chart" uri="{C3380CC4-5D6E-409C-BE32-E72D297353CC}">
              <c16:uniqueId val="{00000000-5D40-410B-A0CF-BDF17FB2DA79}"/>
            </c:ext>
          </c:extLst>
        </c:ser>
        <c:ser>
          <c:idx val="1"/>
          <c:order val="1"/>
          <c:tx>
            <c:strRef>
              <c:f>AHS_tables!$BX$167</c:f>
              <c:strCache>
                <c:ptCount val="1"/>
                <c:pt idx="0">
                  <c:v>Midwest</c:v>
                </c:pt>
              </c:strCache>
            </c:strRef>
          </c:tx>
          <c:marker>
            <c:symbol val="square"/>
            <c:size val="5"/>
          </c:marker>
          <c:cat>
            <c:numRef>
              <c:f>AHS_tables!$BZ$165:$CE$165</c:f>
              <c:numCache>
                <c:formatCode>General</c:formatCode>
                <c:ptCount val="6"/>
                <c:pt idx="0">
                  <c:v>1999</c:v>
                </c:pt>
                <c:pt idx="1">
                  <c:v>2001</c:v>
                </c:pt>
                <c:pt idx="2">
                  <c:v>2003</c:v>
                </c:pt>
                <c:pt idx="3">
                  <c:v>2005</c:v>
                </c:pt>
                <c:pt idx="4">
                  <c:v>2007</c:v>
                </c:pt>
                <c:pt idx="5">
                  <c:v>2009</c:v>
                </c:pt>
              </c:numCache>
            </c:numRef>
          </c:cat>
          <c:val>
            <c:numRef>
              <c:f>AHS_tables!$BZ$167:$CE$167</c:f>
              <c:numCache>
                <c:formatCode>0.000</c:formatCode>
                <c:ptCount val="6"/>
                <c:pt idx="0">
                  <c:v>1.0157727890522283</c:v>
                </c:pt>
                <c:pt idx="1">
                  <c:v>1.014418917719891</c:v>
                </c:pt>
                <c:pt idx="2">
                  <c:v>1.0137896844705008</c:v>
                </c:pt>
                <c:pt idx="3">
                  <c:v>1.0036129730424035</c:v>
                </c:pt>
                <c:pt idx="4">
                  <c:v>1.0017744473622305</c:v>
                </c:pt>
                <c:pt idx="5">
                  <c:v>0.99468064159847136</c:v>
                </c:pt>
              </c:numCache>
            </c:numRef>
          </c:val>
          <c:smooth val="0"/>
          <c:extLst>
            <c:ext xmlns:c16="http://schemas.microsoft.com/office/drawing/2014/chart" uri="{C3380CC4-5D6E-409C-BE32-E72D297353CC}">
              <c16:uniqueId val="{00000001-5D40-410B-A0CF-BDF17FB2DA79}"/>
            </c:ext>
          </c:extLst>
        </c:ser>
        <c:ser>
          <c:idx val="2"/>
          <c:order val="2"/>
          <c:tx>
            <c:strRef>
              <c:f>AHS_tables!$BX$168</c:f>
              <c:strCache>
                <c:ptCount val="1"/>
                <c:pt idx="0">
                  <c:v>South</c:v>
                </c:pt>
              </c:strCache>
            </c:strRef>
          </c:tx>
          <c:cat>
            <c:numRef>
              <c:f>AHS_tables!$BZ$165:$CE$165</c:f>
              <c:numCache>
                <c:formatCode>General</c:formatCode>
                <c:ptCount val="6"/>
                <c:pt idx="0">
                  <c:v>1999</c:v>
                </c:pt>
                <c:pt idx="1">
                  <c:v>2001</c:v>
                </c:pt>
                <c:pt idx="2">
                  <c:v>2003</c:v>
                </c:pt>
                <c:pt idx="3">
                  <c:v>2005</c:v>
                </c:pt>
                <c:pt idx="4">
                  <c:v>2007</c:v>
                </c:pt>
                <c:pt idx="5">
                  <c:v>2009</c:v>
                </c:pt>
              </c:numCache>
            </c:numRef>
          </c:cat>
          <c:val>
            <c:numRef>
              <c:f>AHS_tables!$BZ$168:$CE$168</c:f>
              <c:numCache>
                <c:formatCode>0.000</c:formatCode>
                <c:ptCount val="6"/>
                <c:pt idx="0">
                  <c:v>0.97245259957697916</c:v>
                </c:pt>
                <c:pt idx="1">
                  <c:v>0.96772827453725085</c:v>
                </c:pt>
                <c:pt idx="2">
                  <c:v>0.97117636102040794</c:v>
                </c:pt>
                <c:pt idx="3">
                  <c:v>0.97839242138219162</c:v>
                </c:pt>
                <c:pt idx="4">
                  <c:v>0.98797780514256739</c:v>
                </c:pt>
                <c:pt idx="5">
                  <c:v>0.99190532840125822</c:v>
                </c:pt>
              </c:numCache>
            </c:numRef>
          </c:val>
          <c:smooth val="0"/>
          <c:extLst>
            <c:ext xmlns:c16="http://schemas.microsoft.com/office/drawing/2014/chart" uri="{C3380CC4-5D6E-409C-BE32-E72D297353CC}">
              <c16:uniqueId val="{00000002-5D40-410B-A0CF-BDF17FB2DA79}"/>
            </c:ext>
          </c:extLst>
        </c:ser>
        <c:ser>
          <c:idx val="3"/>
          <c:order val="3"/>
          <c:tx>
            <c:strRef>
              <c:f>AHS_tables!$BX$169</c:f>
              <c:strCache>
                <c:ptCount val="1"/>
                <c:pt idx="0">
                  <c:v>West</c:v>
                </c:pt>
              </c:strCache>
            </c:strRef>
          </c:tx>
          <c:cat>
            <c:numRef>
              <c:f>AHS_tables!$BZ$165:$CE$165</c:f>
              <c:numCache>
                <c:formatCode>General</c:formatCode>
                <c:ptCount val="6"/>
                <c:pt idx="0">
                  <c:v>1999</c:v>
                </c:pt>
                <c:pt idx="1">
                  <c:v>2001</c:v>
                </c:pt>
                <c:pt idx="2">
                  <c:v>2003</c:v>
                </c:pt>
                <c:pt idx="3">
                  <c:v>2005</c:v>
                </c:pt>
                <c:pt idx="4">
                  <c:v>2007</c:v>
                </c:pt>
                <c:pt idx="5">
                  <c:v>2009</c:v>
                </c:pt>
              </c:numCache>
            </c:numRef>
          </c:cat>
          <c:val>
            <c:numRef>
              <c:f>AHS_tables!$BZ$169:$CE$169</c:f>
              <c:numCache>
                <c:formatCode>0.000</c:formatCode>
                <c:ptCount val="6"/>
                <c:pt idx="0">
                  <c:v>0.92806445946845162</c:v>
                </c:pt>
                <c:pt idx="1">
                  <c:v>0.93333585362789573</c:v>
                </c:pt>
                <c:pt idx="2">
                  <c:v>0.93505053878621425</c:v>
                </c:pt>
                <c:pt idx="3">
                  <c:v>0.94566923596356411</c:v>
                </c:pt>
                <c:pt idx="4">
                  <c:v>0.9534368547764317</c:v>
                </c:pt>
                <c:pt idx="5">
                  <c:v>0.96262996583916038</c:v>
                </c:pt>
              </c:numCache>
            </c:numRef>
          </c:val>
          <c:smooth val="0"/>
          <c:extLst>
            <c:ext xmlns:c16="http://schemas.microsoft.com/office/drawing/2014/chart" uri="{C3380CC4-5D6E-409C-BE32-E72D297353CC}">
              <c16:uniqueId val="{00000003-5D40-410B-A0CF-BDF17FB2DA79}"/>
            </c:ext>
          </c:extLst>
        </c:ser>
        <c:dLbls>
          <c:showLegendKey val="0"/>
          <c:showVal val="0"/>
          <c:showCatName val="0"/>
          <c:showSerName val="0"/>
          <c:showPercent val="0"/>
          <c:showBubbleSize val="0"/>
        </c:dLbls>
        <c:marker val="1"/>
        <c:smooth val="0"/>
        <c:axId val="212572416"/>
        <c:axId val="212578304"/>
      </c:lineChart>
      <c:catAx>
        <c:axId val="212572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578304"/>
        <c:crosses val="autoZero"/>
        <c:auto val="1"/>
        <c:lblAlgn val="ctr"/>
        <c:lblOffset val="100"/>
        <c:noMultiLvlLbl val="0"/>
      </c:catAx>
      <c:valAx>
        <c:axId val="212578304"/>
        <c:scaling>
          <c:orientation val="minMax"/>
          <c:min val="0.5"/>
        </c:scaling>
        <c:delete val="0"/>
        <c:axPos val="l"/>
        <c:majorGridlines/>
        <c:title>
          <c:tx>
            <c:rich>
              <a:bodyPr rot="-5400000" vert="horz"/>
              <a:lstStyle/>
              <a:p>
                <a:pPr>
                  <a:defRPr sz="1050" b="1" i="0" baseline="0"/>
                </a:pPr>
                <a:r>
                  <a:rPr lang="en-US" sz="1050" b="1" i="0" baseline="0"/>
                  <a:t>Regional size/National size</a:t>
                </a:r>
              </a:p>
            </c:rich>
          </c:tx>
          <c:overlay val="0"/>
        </c:title>
        <c:numFmt formatCode="0.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572416"/>
        <c:crosses val="autoZero"/>
        <c:crossBetween val="midCat"/>
      </c:valAx>
    </c:plotArea>
    <c:legend>
      <c:legendPos val="r"/>
      <c:layout>
        <c:manualLayout>
          <c:xMode val="edge"/>
          <c:yMode val="edge"/>
          <c:x val="0.20738521737735938"/>
          <c:y val="0.48039297171186934"/>
          <c:w val="0.17791688538932637"/>
          <c:h val="0.3216214639836687"/>
        </c:manualLayout>
      </c:layout>
      <c:overlay val="0"/>
      <c:spPr>
        <a:solidFill>
          <a:schemeClr val="bg1"/>
        </a:solidFill>
        <a:ln>
          <a:solidFill>
            <a:schemeClr val="tx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3079615048119"/>
          <c:y val="5.1400554097404488E-2"/>
          <c:w val="0.75893700787401563"/>
          <c:h val="0.78278032954214061"/>
        </c:manualLayout>
      </c:layout>
      <c:lineChart>
        <c:grouping val="standard"/>
        <c:varyColors val="0"/>
        <c:ser>
          <c:idx val="0"/>
          <c:order val="0"/>
          <c:tx>
            <c:strRef>
              <c:f>AHS_tables!$CI$187</c:f>
              <c:strCache>
                <c:ptCount val="1"/>
                <c:pt idx="0">
                  <c:v>Predicted </c:v>
                </c:pt>
              </c:strCache>
            </c:strRef>
          </c:tx>
          <c:cat>
            <c:numRef>
              <c:f>AHS_tables!$CH$188:$CH$221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AHS_tables!$CI$188:$CI$221</c:f>
              <c:numCache>
                <c:formatCode>General</c:formatCode>
                <c:ptCount val="34"/>
                <c:pt idx="0">
                  <c:v>1.189924899665064</c:v>
                </c:pt>
                <c:pt idx="1">
                  <c:v>1.1869849359238802</c:v>
                </c:pt>
                <c:pt idx="2">
                  <c:v>1.1840449721826964</c:v>
                </c:pt>
                <c:pt idx="3">
                  <c:v>1.1811050084415129</c:v>
                </c:pt>
                <c:pt idx="4">
                  <c:v>1.1781650447003291</c:v>
                </c:pt>
                <c:pt idx="5">
                  <c:v>1.1752250809591454</c:v>
                </c:pt>
                <c:pt idx="6">
                  <c:v>1.1722851172179616</c:v>
                </c:pt>
                <c:pt idx="7">
                  <c:v>1.1693451534767778</c:v>
                </c:pt>
                <c:pt idx="8">
                  <c:v>1.1664051897355943</c:v>
                </c:pt>
                <c:pt idx="9">
                  <c:v>1.1634652259944105</c:v>
                </c:pt>
                <c:pt idx="10">
                  <c:v>1.1605252622532267</c:v>
                </c:pt>
                <c:pt idx="11">
                  <c:v>1.1575852985120429</c:v>
                </c:pt>
                <c:pt idx="12">
                  <c:v>1.1546453347708594</c:v>
                </c:pt>
                <c:pt idx="13">
                  <c:v>1.1517053710296756</c:v>
                </c:pt>
                <c:pt idx="14">
                  <c:v>1.1487654072884919</c:v>
                </c:pt>
                <c:pt idx="15">
                  <c:v>1.1428854798061234</c:v>
                </c:pt>
                <c:pt idx="16">
                  <c:v>1.1370055523237568</c:v>
                </c:pt>
                <c:pt idx="17">
                  <c:v>1.1311256248413901</c:v>
                </c:pt>
                <c:pt idx="18">
                  <c:v>1.1252456973590217</c:v>
                </c:pt>
                <c:pt idx="19">
                  <c:v>1.119365769876655</c:v>
                </c:pt>
                <c:pt idx="20">
                  <c:v>1.1134858423942866</c:v>
                </c:pt>
                <c:pt idx="21">
                  <c:v>1.10760591491192</c:v>
                </c:pt>
                <c:pt idx="22">
                  <c:v>1.1017259874295515</c:v>
                </c:pt>
                <c:pt idx="23">
                  <c:v>1.0958460599471849</c:v>
                </c:pt>
                <c:pt idx="24">
                  <c:v>1.0899661324648164</c:v>
                </c:pt>
                <c:pt idx="25">
                  <c:v>1.0840862049824498</c:v>
                </c:pt>
                <c:pt idx="26">
                  <c:v>1.0782062775000831</c:v>
                </c:pt>
                <c:pt idx="27">
                  <c:v>1.0723263500177147</c:v>
                </c:pt>
                <c:pt idx="28">
                  <c:v>1.066446422535348</c:v>
                </c:pt>
                <c:pt idx="29">
                  <c:v>1.0635064587941647</c:v>
                </c:pt>
                <c:pt idx="30">
                  <c:v>1.0620364769235731</c:v>
                </c:pt>
                <c:pt idx="31">
                  <c:v>1.0613014859882772</c:v>
                </c:pt>
                <c:pt idx="32">
                  <c:v>1.0609339905206294</c:v>
                </c:pt>
                <c:pt idx="33">
                  <c:v>1.0607502427868054</c:v>
                </c:pt>
              </c:numCache>
            </c:numRef>
          </c:val>
          <c:smooth val="0"/>
          <c:extLst>
            <c:ext xmlns:c16="http://schemas.microsoft.com/office/drawing/2014/chart" uri="{C3380CC4-5D6E-409C-BE32-E72D297353CC}">
              <c16:uniqueId val="{00000000-2009-4986-BC20-2A54C76C7B36}"/>
            </c:ext>
          </c:extLst>
        </c:ser>
        <c:ser>
          <c:idx val="1"/>
          <c:order val="1"/>
          <c:tx>
            <c:strRef>
              <c:f>AHS_tables!$CJ$187</c:f>
              <c:strCache>
                <c:ptCount val="1"/>
                <c:pt idx="0">
                  <c:v>Actual</c:v>
                </c:pt>
              </c:strCache>
            </c:strRef>
          </c:tx>
          <c:marker>
            <c:symbol val="square"/>
            <c:size val="6"/>
          </c:marker>
          <c:cat>
            <c:numRef>
              <c:f>AHS_tables!$CH$188:$CH$221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AHS_tables!$CJ$188:$CJ$221</c:f>
              <c:numCache>
                <c:formatCode>General</c:formatCode>
                <c:ptCount val="34"/>
                <c:pt idx="14">
                  <c:v>1.1363743686067762</c:v>
                </c:pt>
                <c:pt idx="16">
                  <c:v>1.1452745101312254</c:v>
                </c:pt>
                <c:pt idx="18">
                  <c:v>1.1353104139742185</c:v>
                </c:pt>
                <c:pt idx="20">
                  <c:v>1.1215023460933342</c:v>
                </c:pt>
                <c:pt idx="22">
                  <c:v>1.092282913841194</c:v>
                </c:pt>
                <c:pt idx="24">
                  <c:v>1.0827500406563184</c:v>
                </c:pt>
                <c:pt idx="26" formatCode="0.000000">
                  <c:v>1.0757016079371986</c:v>
                </c:pt>
                <c:pt idx="28" formatCode="0.000000">
                  <c:v>1.0716511180550967</c:v>
                </c:pt>
              </c:numCache>
            </c:numRef>
          </c:val>
          <c:smooth val="0"/>
          <c:extLst>
            <c:ext xmlns:c16="http://schemas.microsoft.com/office/drawing/2014/chart" uri="{C3380CC4-5D6E-409C-BE32-E72D297353CC}">
              <c16:uniqueId val="{00000001-2009-4986-BC20-2A54C76C7B36}"/>
            </c:ext>
          </c:extLst>
        </c:ser>
        <c:dLbls>
          <c:showLegendKey val="0"/>
          <c:showVal val="0"/>
          <c:showCatName val="0"/>
          <c:showSerName val="0"/>
          <c:showPercent val="0"/>
          <c:showBubbleSize val="0"/>
        </c:dLbls>
        <c:marker val="1"/>
        <c:smooth val="0"/>
        <c:axId val="212419328"/>
        <c:axId val="212420864"/>
      </c:lineChart>
      <c:catAx>
        <c:axId val="2124193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420864"/>
        <c:crosses val="autoZero"/>
        <c:auto val="1"/>
        <c:lblAlgn val="ctr"/>
        <c:lblOffset val="100"/>
        <c:tickLblSkip val="4"/>
        <c:noMultiLvlLbl val="0"/>
      </c:catAx>
      <c:valAx>
        <c:axId val="212420864"/>
        <c:scaling>
          <c:orientation val="minMax"/>
        </c:scaling>
        <c:delete val="0"/>
        <c:axPos val="l"/>
        <c:majorGridlines/>
        <c:title>
          <c:tx>
            <c:rich>
              <a:bodyPr rot="-5400000" vert="horz"/>
              <a:lstStyle/>
              <a:p>
                <a:pPr>
                  <a:defRPr sz="1050" b="1" i="0" baseline="0"/>
                </a:pPr>
                <a:r>
                  <a:rPr lang="en-US" sz="1050" b="1" i="0" baseline="0"/>
                  <a:t>Size Ratio:  Northeast/U.S.</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419328"/>
        <c:crosses val="autoZero"/>
        <c:crossBetween val="midCat"/>
      </c:valAx>
    </c:plotArea>
    <c:legend>
      <c:legendPos val="r"/>
      <c:layout>
        <c:manualLayout>
          <c:xMode val="edge"/>
          <c:yMode val="edge"/>
          <c:x val="0.20291622922134731"/>
          <c:y val="0.58278907844852723"/>
          <c:w val="0.18875043744531933"/>
          <c:h val="0.15849591717701955"/>
        </c:manualLayout>
      </c:layout>
      <c:overlay val="0"/>
      <c:spPr>
        <a:solidFill>
          <a:schemeClr val="bg1"/>
        </a:solidFill>
        <a:ln>
          <a:solidFill>
            <a:schemeClr val="tx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AHS_tables!$CN$187</c:f>
              <c:strCache>
                <c:ptCount val="1"/>
                <c:pt idx="0">
                  <c:v>Predicted </c:v>
                </c:pt>
              </c:strCache>
            </c:strRef>
          </c:tx>
          <c:cat>
            <c:numRef>
              <c:f>AHS_tables!$CM$188:$CM$221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AHS_tables!$CN$188:$CN$221</c:f>
              <c:numCache>
                <c:formatCode>General</c:formatCode>
                <c:ptCount val="34"/>
                <c:pt idx="0">
                  <c:v>1.002953836690387</c:v>
                </c:pt>
                <c:pt idx="1">
                  <c:v>1.0040507714030287</c:v>
                </c:pt>
                <c:pt idx="2">
                  <c:v>1.0051477061156706</c:v>
                </c:pt>
                <c:pt idx="3">
                  <c:v>1.0062446408283126</c:v>
                </c:pt>
                <c:pt idx="4">
                  <c:v>1.0073415755409545</c:v>
                </c:pt>
                <c:pt idx="5">
                  <c:v>1.0084385102535962</c:v>
                </c:pt>
                <c:pt idx="6">
                  <c:v>1.0095354449662381</c:v>
                </c:pt>
                <c:pt idx="7">
                  <c:v>1.0106323796788801</c:v>
                </c:pt>
                <c:pt idx="8">
                  <c:v>1.011729314391522</c:v>
                </c:pt>
                <c:pt idx="9">
                  <c:v>1.0128262491041637</c:v>
                </c:pt>
                <c:pt idx="10">
                  <c:v>1.0139231838168057</c:v>
                </c:pt>
                <c:pt idx="11">
                  <c:v>1.0150201185294476</c:v>
                </c:pt>
                <c:pt idx="12">
                  <c:v>1.0161170532420896</c:v>
                </c:pt>
                <c:pt idx="13">
                  <c:v>1.0172139879547313</c:v>
                </c:pt>
                <c:pt idx="14">
                  <c:v>1.0183109226673732</c:v>
                </c:pt>
                <c:pt idx="15">
                  <c:v>1.0161170532420893</c:v>
                </c:pt>
                <c:pt idx="16">
                  <c:v>1.0139231838168055</c:v>
                </c:pt>
                <c:pt idx="17">
                  <c:v>1.0117293143915216</c:v>
                </c:pt>
                <c:pt idx="18">
                  <c:v>1.0095354449662377</c:v>
                </c:pt>
                <c:pt idx="19">
                  <c:v>1.0073415755409538</c:v>
                </c:pt>
                <c:pt idx="20">
                  <c:v>1.0051477061156708</c:v>
                </c:pt>
                <c:pt idx="21">
                  <c:v>1.002953836690387</c:v>
                </c:pt>
                <c:pt idx="22">
                  <c:v>1.0007599672651031</c:v>
                </c:pt>
                <c:pt idx="23">
                  <c:v>0.9985660978398192</c:v>
                </c:pt>
                <c:pt idx="24">
                  <c:v>0.99637222841453532</c:v>
                </c:pt>
                <c:pt idx="25">
                  <c:v>0.99527529370189338</c:v>
                </c:pt>
                <c:pt idx="26">
                  <c:v>0.99472682634557241</c:v>
                </c:pt>
                <c:pt idx="27">
                  <c:v>0.99445259266741193</c:v>
                </c:pt>
                <c:pt idx="28">
                  <c:v>0.99431547582833169</c:v>
                </c:pt>
                <c:pt idx="29">
                  <c:v>0.99424691740879156</c:v>
                </c:pt>
                <c:pt idx="30">
                  <c:v>0.9942126381990215</c:v>
                </c:pt>
                <c:pt idx="31">
                  <c:v>0.99419549859413647</c:v>
                </c:pt>
                <c:pt idx="32">
                  <c:v>0.99418692879169401</c:v>
                </c:pt>
                <c:pt idx="33">
                  <c:v>0.99418264389047284</c:v>
                </c:pt>
              </c:numCache>
            </c:numRef>
          </c:val>
          <c:smooth val="0"/>
          <c:extLst>
            <c:ext xmlns:c16="http://schemas.microsoft.com/office/drawing/2014/chart" uri="{C3380CC4-5D6E-409C-BE32-E72D297353CC}">
              <c16:uniqueId val="{00000000-D1C9-4EDB-9E7F-6D4DCAADDA07}"/>
            </c:ext>
          </c:extLst>
        </c:ser>
        <c:ser>
          <c:idx val="1"/>
          <c:order val="1"/>
          <c:tx>
            <c:strRef>
              <c:f>AHS_tables!$CO$187</c:f>
              <c:strCache>
                <c:ptCount val="1"/>
                <c:pt idx="0">
                  <c:v>Actual</c:v>
                </c:pt>
              </c:strCache>
            </c:strRef>
          </c:tx>
          <c:cat>
            <c:numRef>
              <c:f>AHS_tables!$CM$188:$CM$221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AHS_tables!$CO$188:$CO$221</c:f>
              <c:numCache>
                <c:formatCode>General</c:formatCode>
                <c:ptCount val="34"/>
                <c:pt idx="14">
                  <c:v>1.0157727890522283</c:v>
                </c:pt>
                <c:pt idx="16">
                  <c:v>1.014418917719891</c:v>
                </c:pt>
                <c:pt idx="18">
                  <c:v>1.0137896844705008</c:v>
                </c:pt>
                <c:pt idx="20">
                  <c:v>1.0036129730424035</c:v>
                </c:pt>
                <c:pt idx="22">
                  <c:v>1.0017744473622305</c:v>
                </c:pt>
                <c:pt idx="24">
                  <c:v>0.99468064159847136</c:v>
                </c:pt>
                <c:pt idx="26">
                  <c:v>0.99824281095797784</c:v>
                </c:pt>
                <c:pt idx="28">
                  <c:v>0.98136228507416834</c:v>
                </c:pt>
              </c:numCache>
            </c:numRef>
          </c:val>
          <c:smooth val="0"/>
          <c:extLst>
            <c:ext xmlns:c16="http://schemas.microsoft.com/office/drawing/2014/chart" uri="{C3380CC4-5D6E-409C-BE32-E72D297353CC}">
              <c16:uniqueId val="{00000001-D1C9-4EDB-9E7F-6D4DCAADDA07}"/>
            </c:ext>
          </c:extLst>
        </c:ser>
        <c:dLbls>
          <c:showLegendKey val="0"/>
          <c:showVal val="0"/>
          <c:showCatName val="0"/>
          <c:showSerName val="0"/>
          <c:showPercent val="0"/>
          <c:showBubbleSize val="0"/>
        </c:dLbls>
        <c:marker val="1"/>
        <c:smooth val="0"/>
        <c:axId val="212433920"/>
        <c:axId val="216793856"/>
      </c:lineChart>
      <c:catAx>
        <c:axId val="21243392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16793856"/>
        <c:crosses val="autoZero"/>
        <c:auto val="1"/>
        <c:lblAlgn val="ctr"/>
        <c:lblOffset val="100"/>
        <c:noMultiLvlLbl val="0"/>
      </c:catAx>
      <c:valAx>
        <c:axId val="216793856"/>
        <c:scaling>
          <c:orientation val="minMax"/>
        </c:scaling>
        <c:delete val="0"/>
        <c:axPos val="l"/>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43392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AHS_tables!$CT$187</c:f>
              <c:strCache>
                <c:ptCount val="1"/>
                <c:pt idx="0">
                  <c:v>Predicted </c:v>
                </c:pt>
              </c:strCache>
            </c:strRef>
          </c:tx>
          <c:cat>
            <c:numRef>
              <c:f>AHS_tables!$CS$188:$CS$221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AHS_tables!$CT$188:$CT$221</c:f>
              <c:numCache>
                <c:formatCode>General</c:formatCode>
                <c:ptCount val="34"/>
                <c:pt idx="0">
                  <c:v>0.93154373808966162</c:v>
                </c:pt>
                <c:pt idx="1">
                  <c:v>0.93401217145609539</c:v>
                </c:pt>
                <c:pt idx="2">
                  <c:v>0.93648060482252915</c:v>
                </c:pt>
                <c:pt idx="3">
                  <c:v>0.93894903818896291</c:v>
                </c:pt>
                <c:pt idx="4">
                  <c:v>0.94141747155539668</c:v>
                </c:pt>
                <c:pt idx="5">
                  <c:v>0.94388590492183033</c:v>
                </c:pt>
                <c:pt idx="6">
                  <c:v>0.9463543382882641</c:v>
                </c:pt>
                <c:pt idx="7">
                  <c:v>0.94882277165469786</c:v>
                </c:pt>
                <c:pt idx="8">
                  <c:v>0.95129120502113163</c:v>
                </c:pt>
                <c:pt idx="9">
                  <c:v>0.95375963838756539</c:v>
                </c:pt>
                <c:pt idx="10">
                  <c:v>0.95622807175399915</c:v>
                </c:pt>
                <c:pt idx="11">
                  <c:v>0.95869650512043281</c:v>
                </c:pt>
                <c:pt idx="12">
                  <c:v>0.96116493848686657</c:v>
                </c:pt>
                <c:pt idx="13">
                  <c:v>0.96363337185330034</c:v>
                </c:pt>
                <c:pt idx="14">
                  <c:v>0.9661018052197341</c:v>
                </c:pt>
                <c:pt idx="15">
                  <c:v>0.96857023858616786</c:v>
                </c:pt>
                <c:pt idx="16">
                  <c:v>0.97103867195260163</c:v>
                </c:pt>
                <c:pt idx="17">
                  <c:v>0.97350710531903539</c:v>
                </c:pt>
                <c:pt idx="18">
                  <c:v>0.97597553868546916</c:v>
                </c:pt>
                <c:pt idx="19">
                  <c:v>0.97844397205190292</c:v>
                </c:pt>
                <c:pt idx="20">
                  <c:v>0.98091240541833669</c:v>
                </c:pt>
                <c:pt idx="21">
                  <c:v>0.98338083878477045</c:v>
                </c:pt>
                <c:pt idx="22">
                  <c:v>0.98584927215120421</c:v>
                </c:pt>
                <c:pt idx="23">
                  <c:v>0.98831770551763798</c:v>
                </c:pt>
                <c:pt idx="24">
                  <c:v>0.99078613888407174</c:v>
                </c:pt>
                <c:pt idx="25">
                  <c:v>0.99325457225050551</c:v>
                </c:pt>
                <c:pt idx="26">
                  <c:v>0.99572300561693927</c:v>
                </c:pt>
                <c:pt idx="27">
                  <c:v>0.99819143898337304</c:v>
                </c:pt>
                <c:pt idx="28">
                  <c:v>1.0006598723498068</c:v>
                </c:pt>
                <c:pt idx="29">
                  <c:v>1.0018940890330237</c:v>
                </c:pt>
                <c:pt idx="30">
                  <c:v>1.0025111973746321</c:v>
                </c:pt>
                <c:pt idx="31">
                  <c:v>1.0028197515454362</c:v>
                </c:pt>
                <c:pt idx="32">
                  <c:v>1.0029740286308382</c:v>
                </c:pt>
                <c:pt idx="33">
                  <c:v>1.0030511671735391</c:v>
                </c:pt>
              </c:numCache>
            </c:numRef>
          </c:val>
          <c:smooth val="0"/>
          <c:extLst>
            <c:ext xmlns:c16="http://schemas.microsoft.com/office/drawing/2014/chart" uri="{C3380CC4-5D6E-409C-BE32-E72D297353CC}">
              <c16:uniqueId val="{00000000-9DC3-4E18-8692-10556CB83904}"/>
            </c:ext>
          </c:extLst>
        </c:ser>
        <c:ser>
          <c:idx val="1"/>
          <c:order val="1"/>
          <c:tx>
            <c:strRef>
              <c:f>AHS_tables!$CU$187</c:f>
              <c:strCache>
                <c:ptCount val="1"/>
                <c:pt idx="0">
                  <c:v>Actual</c:v>
                </c:pt>
              </c:strCache>
            </c:strRef>
          </c:tx>
          <c:cat>
            <c:numRef>
              <c:f>AHS_tables!$CS$188:$CS$221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AHS_tables!$CU$188:$CU$221</c:f>
              <c:numCache>
                <c:formatCode>General</c:formatCode>
                <c:ptCount val="34"/>
                <c:pt idx="14">
                  <c:v>0.97245259957697916</c:v>
                </c:pt>
                <c:pt idx="16">
                  <c:v>0.96772827453725085</c:v>
                </c:pt>
                <c:pt idx="18">
                  <c:v>0.97117636102040794</c:v>
                </c:pt>
                <c:pt idx="20">
                  <c:v>0.97839242138219162</c:v>
                </c:pt>
                <c:pt idx="22">
                  <c:v>0.98797780514256739</c:v>
                </c:pt>
                <c:pt idx="24">
                  <c:v>0.99190532840125822</c:v>
                </c:pt>
                <c:pt idx="26">
                  <c:v>0.99640930427178398</c:v>
                </c:pt>
                <c:pt idx="28">
                  <c:v>0.99853618257928711</c:v>
                </c:pt>
              </c:numCache>
            </c:numRef>
          </c:val>
          <c:smooth val="0"/>
          <c:extLst>
            <c:ext xmlns:c16="http://schemas.microsoft.com/office/drawing/2014/chart" uri="{C3380CC4-5D6E-409C-BE32-E72D297353CC}">
              <c16:uniqueId val="{00000001-9DC3-4E18-8692-10556CB83904}"/>
            </c:ext>
          </c:extLst>
        </c:ser>
        <c:dLbls>
          <c:showLegendKey val="0"/>
          <c:showVal val="0"/>
          <c:showCatName val="0"/>
          <c:showSerName val="0"/>
          <c:showPercent val="0"/>
          <c:showBubbleSize val="0"/>
        </c:dLbls>
        <c:marker val="1"/>
        <c:smooth val="0"/>
        <c:axId val="216831104"/>
        <c:axId val="216832640"/>
      </c:lineChart>
      <c:catAx>
        <c:axId val="21683110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16832640"/>
        <c:crosses val="autoZero"/>
        <c:auto val="1"/>
        <c:lblAlgn val="ctr"/>
        <c:lblOffset val="100"/>
        <c:noMultiLvlLbl val="0"/>
      </c:catAx>
      <c:valAx>
        <c:axId val="216832640"/>
        <c:scaling>
          <c:orientation val="minMax"/>
        </c:scaling>
        <c:delete val="0"/>
        <c:axPos val="l"/>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683110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AHS_tables!$CZ$187</c:f>
              <c:strCache>
                <c:ptCount val="1"/>
                <c:pt idx="0">
                  <c:v>Predicted </c:v>
                </c:pt>
              </c:strCache>
            </c:strRef>
          </c:tx>
          <c:cat>
            <c:numRef>
              <c:f>AHS_tables!$CY$188:$CY$221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AHS_tables!$CZ$188:$CZ$221</c:f>
              <c:numCache>
                <c:formatCode>General</c:formatCode>
                <c:ptCount val="34"/>
                <c:pt idx="0">
                  <c:v>0.91848493078934046</c:v>
                </c:pt>
                <c:pt idx="1">
                  <c:v>0.91909063436277805</c:v>
                </c:pt>
                <c:pt idx="2">
                  <c:v>0.91969633793621575</c:v>
                </c:pt>
                <c:pt idx="3">
                  <c:v>0.92030204150965333</c:v>
                </c:pt>
                <c:pt idx="4">
                  <c:v>0.92090774508309103</c:v>
                </c:pt>
                <c:pt idx="5">
                  <c:v>0.92151344865652862</c:v>
                </c:pt>
                <c:pt idx="6">
                  <c:v>0.92211915222996632</c:v>
                </c:pt>
                <c:pt idx="7">
                  <c:v>0.92272485580340391</c:v>
                </c:pt>
                <c:pt idx="8">
                  <c:v>0.92333055937684161</c:v>
                </c:pt>
                <c:pt idx="9">
                  <c:v>0.9239362629502792</c:v>
                </c:pt>
                <c:pt idx="10">
                  <c:v>0.9245419665237169</c:v>
                </c:pt>
                <c:pt idx="11">
                  <c:v>0.92514767009715448</c:v>
                </c:pt>
                <c:pt idx="12">
                  <c:v>0.92575337367059218</c:v>
                </c:pt>
                <c:pt idx="13">
                  <c:v>0.92635907724402977</c:v>
                </c:pt>
                <c:pt idx="14">
                  <c:v>0.92696478081746747</c:v>
                </c:pt>
                <c:pt idx="15">
                  <c:v>0.9299932986846553</c:v>
                </c:pt>
                <c:pt idx="16">
                  <c:v>0.93302181655184313</c:v>
                </c:pt>
                <c:pt idx="17">
                  <c:v>0.93605033441903185</c:v>
                </c:pt>
                <c:pt idx="18">
                  <c:v>0.93907885228621968</c:v>
                </c:pt>
                <c:pt idx="19">
                  <c:v>0.9421073701534084</c:v>
                </c:pt>
                <c:pt idx="20">
                  <c:v>0.94513588802059623</c:v>
                </c:pt>
                <c:pt idx="21">
                  <c:v>0.94816440588778494</c:v>
                </c:pt>
                <c:pt idx="22">
                  <c:v>0.95119292375497277</c:v>
                </c:pt>
                <c:pt idx="23">
                  <c:v>0.95422144162216149</c:v>
                </c:pt>
                <c:pt idx="24">
                  <c:v>0.95724995948934932</c:v>
                </c:pt>
                <c:pt idx="25">
                  <c:v>0.96027847735653804</c:v>
                </c:pt>
                <c:pt idx="26">
                  <c:v>0.96330699522372587</c:v>
                </c:pt>
                <c:pt idx="27">
                  <c:v>0.96633551309091459</c:v>
                </c:pt>
                <c:pt idx="28">
                  <c:v>0.96936403095810242</c:v>
                </c:pt>
                <c:pt idx="29">
                  <c:v>0.97087828989169633</c:v>
                </c:pt>
                <c:pt idx="30">
                  <c:v>0.97163541935849329</c:v>
                </c:pt>
                <c:pt idx="31">
                  <c:v>0.97201398409189177</c:v>
                </c:pt>
                <c:pt idx="32">
                  <c:v>0.97220326645859101</c:v>
                </c:pt>
                <c:pt idx="33">
                  <c:v>0.97229790764194068</c:v>
                </c:pt>
              </c:numCache>
            </c:numRef>
          </c:val>
          <c:smooth val="0"/>
          <c:extLst>
            <c:ext xmlns:c16="http://schemas.microsoft.com/office/drawing/2014/chart" uri="{C3380CC4-5D6E-409C-BE32-E72D297353CC}">
              <c16:uniqueId val="{00000000-22EC-451D-8E15-993CADF5FC8D}"/>
            </c:ext>
          </c:extLst>
        </c:ser>
        <c:ser>
          <c:idx val="1"/>
          <c:order val="1"/>
          <c:tx>
            <c:strRef>
              <c:f>AHS_tables!$DA$187</c:f>
              <c:strCache>
                <c:ptCount val="1"/>
                <c:pt idx="0">
                  <c:v>Actual</c:v>
                </c:pt>
              </c:strCache>
            </c:strRef>
          </c:tx>
          <c:cat>
            <c:numRef>
              <c:f>AHS_tables!$CY$188:$CY$221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AHS_tables!$DA$188:$DA$221</c:f>
              <c:numCache>
                <c:formatCode>General</c:formatCode>
                <c:ptCount val="34"/>
                <c:pt idx="14">
                  <c:v>0.92806445946845162</c:v>
                </c:pt>
                <c:pt idx="16">
                  <c:v>0.93333585362789573</c:v>
                </c:pt>
                <c:pt idx="18">
                  <c:v>0.93505053878621425</c:v>
                </c:pt>
                <c:pt idx="20">
                  <c:v>0.94566923596356411</c:v>
                </c:pt>
                <c:pt idx="22">
                  <c:v>0.9534368547764317</c:v>
                </c:pt>
                <c:pt idx="24">
                  <c:v>0.96262996583916038</c:v>
                </c:pt>
                <c:pt idx="26">
                  <c:v>0.95424139217469239</c:v>
                </c:pt>
                <c:pt idx="28">
                  <c:v>0.97288694646587082</c:v>
                </c:pt>
              </c:numCache>
            </c:numRef>
          </c:val>
          <c:smooth val="0"/>
          <c:extLst>
            <c:ext xmlns:c16="http://schemas.microsoft.com/office/drawing/2014/chart" uri="{C3380CC4-5D6E-409C-BE32-E72D297353CC}">
              <c16:uniqueId val="{00000001-22EC-451D-8E15-993CADF5FC8D}"/>
            </c:ext>
          </c:extLst>
        </c:ser>
        <c:dLbls>
          <c:showLegendKey val="0"/>
          <c:showVal val="0"/>
          <c:showCatName val="0"/>
          <c:showSerName val="0"/>
          <c:showPercent val="0"/>
          <c:showBubbleSize val="0"/>
        </c:dLbls>
        <c:marker val="1"/>
        <c:smooth val="0"/>
        <c:axId val="216853120"/>
        <c:axId val="216854912"/>
      </c:lineChart>
      <c:catAx>
        <c:axId val="216853120"/>
        <c:scaling>
          <c:orientation val="minMax"/>
        </c:scaling>
        <c:delete val="0"/>
        <c:axPos val="b"/>
        <c:numFmt formatCode="General" sourceLinked="1"/>
        <c:majorTickMark val="out"/>
        <c:minorTickMark val="none"/>
        <c:tickLblPos val="nextTo"/>
        <c:crossAx val="216854912"/>
        <c:crosses val="autoZero"/>
        <c:auto val="1"/>
        <c:lblAlgn val="ctr"/>
        <c:lblOffset val="100"/>
        <c:noMultiLvlLbl val="0"/>
      </c:catAx>
      <c:valAx>
        <c:axId val="216854912"/>
        <c:scaling>
          <c:orientation val="minMax"/>
        </c:scaling>
        <c:delete val="0"/>
        <c:axPos val="l"/>
        <c:majorGridlines/>
        <c:numFmt formatCode="General" sourceLinked="1"/>
        <c:majorTickMark val="out"/>
        <c:minorTickMark val="none"/>
        <c:tickLblPos val="nextTo"/>
        <c:crossAx val="2168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AHS_tables!$BX$279</c:f>
              <c:strCache>
                <c:ptCount val="1"/>
                <c:pt idx="0">
                  <c:v>NE</c:v>
                </c:pt>
              </c:strCache>
            </c:strRef>
          </c:tx>
          <c:cat>
            <c:numRef>
              <c:f>AHS_tables!$BY$278:$CD$278</c:f>
              <c:numCache>
                <c:formatCode>General</c:formatCode>
                <c:ptCount val="6"/>
                <c:pt idx="0">
                  <c:v>1999</c:v>
                </c:pt>
                <c:pt idx="1">
                  <c:v>2001</c:v>
                </c:pt>
                <c:pt idx="2">
                  <c:v>2003</c:v>
                </c:pt>
                <c:pt idx="3">
                  <c:v>2005</c:v>
                </c:pt>
                <c:pt idx="4">
                  <c:v>2007</c:v>
                </c:pt>
                <c:pt idx="5">
                  <c:v>2009</c:v>
                </c:pt>
              </c:numCache>
            </c:numRef>
          </c:cat>
          <c:val>
            <c:numRef>
              <c:f>AHS_tables!$BY$279:$CD$279</c:f>
              <c:numCache>
                <c:formatCode>0.000</c:formatCode>
                <c:ptCount val="6"/>
                <c:pt idx="0">
                  <c:v>1.05525489562087</c:v>
                </c:pt>
                <c:pt idx="1">
                  <c:v>1.0872203962257243</c:v>
                </c:pt>
                <c:pt idx="2">
                  <c:v>1.0798856320420509</c:v>
                </c:pt>
                <c:pt idx="3">
                  <c:v>1.0619208889120009</c:v>
                </c:pt>
                <c:pt idx="4">
                  <c:v>1.0749061288852646</c:v>
                </c:pt>
                <c:pt idx="5">
                  <c:v>1.0885247914716945</c:v>
                </c:pt>
              </c:numCache>
            </c:numRef>
          </c:val>
          <c:smooth val="0"/>
          <c:extLst>
            <c:ext xmlns:c16="http://schemas.microsoft.com/office/drawing/2014/chart" uri="{C3380CC4-5D6E-409C-BE32-E72D297353CC}">
              <c16:uniqueId val="{00000000-8455-44F6-A2ED-43E6AA07E24E}"/>
            </c:ext>
          </c:extLst>
        </c:ser>
        <c:ser>
          <c:idx val="1"/>
          <c:order val="1"/>
          <c:tx>
            <c:strRef>
              <c:f>AHS_tables!$BX$280</c:f>
              <c:strCache>
                <c:ptCount val="1"/>
                <c:pt idx="0">
                  <c:v>MW</c:v>
                </c:pt>
              </c:strCache>
            </c:strRef>
          </c:tx>
          <c:cat>
            <c:numRef>
              <c:f>AHS_tables!$BY$278:$CD$278</c:f>
              <c:numCache>
                <c:formatCode>General</c:formatCode>
                <c:ptCount val="6"/>
                <c:pt idx="0">
                  <c:v>1999</c:v>
                </c:pt>
                <c:pt idx="1">
                  <c:v>2001</c:v>
                </c:pt>
                <c:pt idx="2">
                  <c:v>2003</c:v>
                </c:pt>
                <c:pt idx="3">
                  <c:v>2005</c:v>
                </c:pt>
                <c:pt idx="4">
                  <c:v>2007</c:v>
                </c:pt>
                <c:pt idx="5">
                  <c:v>2009</c:v>
                </c:pt>
              </c:numCache>
            </c:numRef>
          </c:cat>
          <c:val>
            <c:numRef>
              <c:f>AHS_tables!$BY$280:$CD$280</c:f>
              <c:numCache>
                <c:formatCode>0.000</c:formatCode>
                <c:ptCount val="6"/>
                <c:pt idx="0">
                  <c:v>1.0179082817582092</c:v>
                </c:pt>
                <c:pt idx="1">
                  <c:v>1.0004600665216559</c:v>
                </c:pt>
                <c:pt idx="2">
                  <c:v>1.0141645812010365</c:v>
                </c:pt>
                <c:pt idx="3">
                  <c:v>1.0148449414122942</c:v>
                </c:pt>
                <c:pt idx="4">
                  <c:v>1.041690625918765</c:v>
                </c:pt>
                <c:pt idx="5">
                  <c:v>1.0375786497242296</c:v>
                </c:pt>
              </c:numCache>
            </c:numRef>
          </c:val>
          <c:smooth val="0"/>
          <c:extLst>
            <c:ext xmlns:c16="http://schemas.microsoft.com/office/drawing/2014/chart" uri="{C3380CC4-5D6E-409C-BE32-E72D297353CC}">
              <c16:uniqueId val="{00000001-8455-44F6-A2ED-43E6AA07E24E}"/>
            </c:ext>
          </c:extLst>
        </c:ser>
        <c:ser>
          <c:idx val="2"/>
          <c:order val="2"/>
          <c:tx>
            <c:strRef>
              <c:f>AHS_tables!$BX$281</c:f>
              <c:strCache>
                <c:ptCount val="1"/>
                <c:pt idx="0">
                  <c:v>S</c:v>
                </c:pt>
              </c:strCache>
            </c:strRef>
          </c:tx>
          <c:cat>
            <c:numRef>
              <c:f>AHS_tables!$BY$278:$CD$278</c:f>
              <c:numCache>
                <c:formatCode>General</c:formatCode>
                <c:ptCount val="6"/>
                <c:pt idx="0">
                  <c:v>1999</c:v>
                </c:pt>
                <c:pt idx="1">
                  <c:v>2001</c:v>
                </c:pt>
                <c:pt idx="2">
                  <c:v>2003</c:v>
                </c:pt>
                <c:pt idx="3">
                  <c:v>2005</c:v>
                </c:pt>
                <c:pt idx="4">
                  <c:v>2007</c:v>
                </c:pt>
                <c:pt idx="5">
                  <c:v>2009</c:v>
                </c:pt>
              </c:numCache>
            </c:numRef>
          </c:cat>
          <c:val>
            <c:numRef>
              <c:f>AHS_tables!$BY$281:$CD$281</c:f>
              <c:numCache>
                <c:formatCode>0.000</c:formatCode>
                <c:ptCount val="6"/>
                <c:pt idx="0">
                  <c:v>1.0237006304789464</c:v>
                </c:pt>
                <c:pt idx="1">
                  <c:v>1.0125319902940311</c:v>
                </c:pt>
                <c:pt idx="2">
                  <c:v>1.0327167855173622</c:v>
                </c:pt>
                <c:pt idx="3">
                  <c:v>1.0327419441931045</c:v>
                </c:pt>
                <c:pt idx="4">
                  <c:v>1.023124789897627</c:v>
                </c:pt>
                <c:pt idx="5">
                  <c:v>0.9872921447600741</c:v>
                </c:pt>
              </c:numCache>
            </c:numRef>
          </c:val>
          <c:smooth val="0"/>
          <c:extLst>
            <c:ext xmlns:c16="http://schemas.microsoft.com/office/drawing/2014/chart" uri="{C3380CC4-5D6E-409C-BE32-E72D297353CC}">
              <c16:uniqueId val="{00000002-8455-44F6-A2ED-43E6AA07E24E}"/>
            </c:ext>
          </c:extLst>
        </c:ser>
        <c:ser>
          <c:idx val="3"/>
          <c:order val="3"/>
          <c:tx>
            <c:strRef>
              <c:f>AHS_tables!$BX$282</c:f>
              <c:strCache>
                <c:ptCount val="1"/>
                <c:pt idx="0">
                  <c:v>W</c:v>
                </c:pt>
              </c:strCache>
            </c:strRef>
          </c:tx>
          <c:cat>
            <c:numRef>
              <c:f>AHS_tables!$BY$278:$CD$278</c:f>
              <c:numCache>
                <c:formatCode>General</c:formatCode>
                <c:ptCount val="6"/>
                <c:pt idx="0">
                  <c:v>1999</c:v>
                </c:pt>
                <c:pt idx="1">
                  <c:v>2001</c:v>
                </c:pt>
                <c:pt idx="2">
                  <c:v>2003</c:v>
                </c:pt>
                <c:pt idx="3">
                  <c:v>2005</c:v>
                </c:pt>
                <c:pt idx="4">
                  <c:v>2007</c:v>
                </c:pt>
                <c:pt idx="5">
                  <c:v>2009</c:v>
                </c:pt>
              </c:numCache>
            </c:numRef>
          </c:cat>
          <c:val>
            <c:numRef>
              <c:f>AHS_tables!$BY$282:$CD$282</c:f>
              <c:numCache>
                <c:formatCode>0.000</c:formatCode>
                <c:ptCount val="6"/>
                <c:pt idx="0">
                  <c:v>0.92698665713379114</c:v>
                </c:pt>
                <c:pt idx="1">
                  <c:v>0.92314476281541569</c:v>
                </c:pt>
                <c:pt idx="2">
                  <c:v>0.89084930113699312</c:v>
                </c:pt>
                <c:pt idx="3">
                  <c:v>0.89940715326923315</c:v>
                </c:pt>
                <c:pt idx="4">
                  <c:v>0.879035297168684</c:v>
                </c:pt>
                <c:pt idx="5">
                  <c:v>0.91627510195586948</c:v>
                </c:pt>
              </c:numCache>
            </c:numRef>
          </c:val>
          <c:smooth val="0"/>
          <c:extLst>
            <c:ext xmlns:c16="http://schemas.microsoft.com/office/drawing/2014/chart" uri="{C3380CC4-5D6E-409C-BE32-E72D297353CC}">
              <c16:uniqueId val="{00000003-8455-44F6-A2ED-43E6AA07E24E}"/>
            </c:ext>
          </c:extLst>
        </c:ser>
        <c:dLbls>
          <c:showLegendKey val="0"/>
          <c:showVal val="0"/>
          <c:showCatName val="0"/>
          <c:showSerName val="0"/>
          <c:showPercent val="0"/>
          <c:showBubbleSize val="0"/>
        </c:dLbls>
        <c:marker val="1"/>
        <c:smooth val="0"/>
        <c:axId val="216635648"/>
        <c:axId val="216641536"/>
      </c:lineChart>
      <c:catAx>
        <c:axId val="216635648"/>
        <c:scaling>
          <c:orientation val="minMax"/>
        </c:scaling>
        <c:delete val="0"/>
        <c:axPos val="b"/>
        <c:numFmt formatCode="General" sourceLinked="1"/>
        <c:majorTickMark val="out"/>
        <c:minorTickMark val="none"/>
        <c:tickLblPos val="nextTo"/>
        <c:crossAx val="216641536"/>
        <c:crosses val="autoZero"/>
        <c:auto val="1"/>
        <c:lblAlgn val="ctr"/>
        <c:lblOffset val="100"/>
        <c:noMultiLvlLbl val="0"/>
      </c:catAx>
      <c:valAx>
        <c:axId val="216641536"/>
        <c:scaling>
          <c:orientation val="minMax"/>
        </c:scaling>
        <c:delete val="0"/>
        <c:axPos val="l"/>
        <c:majorGridlines/>
        <c:numFmt formatCode="0.000" sourceLinked="1"/>
        <c:majorTickMark val="out"/>
        <c:minorTickMark val="none"/>
        <c:tickLblPos val="nextTo"/>
        <c:crossAx val="2166356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13447583757913E-2"/>
          <c:y val="5.1400554097404488E-2"/>
          <c:w val="0.78932279604755284"/>
          <c:h val="0.8326195683872849"/>
        </c:manualLayout>
      </c:layout>
      <c:lineChart>
        <c:grouping val="standard"/>
        <c:varyColors val="0"/>
        <c:ser>
          <c:idx val="0"/>
          <c:order val="0"/>
          <c:tx>
            <c:strRef>
              <c:f>AHS_tables!$CI$301</c:f>
              <c:strCache>
                <c:ptCount val="1"/>
                <c:pt idx="0">
                  <c:v>Predicted </c:v>
                </c:pt>
              </c:strCache>
            </c:strRef>
          </c:tx>
          <c:cat>
            <c:numRef>
              <c:f>AHS_tables!$CH$302:$CH$335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AHS_tables!$CI$302:$CI$335</c:f>
              <c:numCache>
                <c:formatCode>General</c:formatCode>
                <c:ptCount val="34"/>
                <c:pt idx="0">
                  <c:v>1.0555144572991391</c:v>
                </c:pt>
                <c:pt idx="1">
                  <c:v>1.0563104711141584</c:v>
                </c:pt>
                <c:pt idx="2">
                  <c:v>1.0571064849291776</c:v>
                </c:pt>
                <c:pt idx="3">
                  <c:v>1.057902498744197</c:v>
                </c:pt>
                <c:pt idx="4">
                  <c:v>1.0586985125592161</c:v>
                </c:pt>
                <c:pt idx="5">
                  <c:v>1.0594945263742352</c:v>
                </c:pt>
                <c:pt idx="6">
                  <c:v>1.0602905401892546</c:v>
                </c:pt>
                <c:pt idx="7">
                  <c:v>1.0610865540042738</c:v>
                </c:pt>
                <c:pt idx="8">
                  <c:v>1.0618825678192931</c:v>
                </c:pt>
                <c:pt idx="9">
                  <c:v>1.0626785816343123</c:v>
                </c:pt>
                <c:pt idx="10">
                  <c:v>1.0634745954493314</c:v>
                </c:pt>
                <c:pt idx="11">
                  <c:v>1.0642706092643508</c:v>
                </c:pt>
                <c:pt idx="12">
                  <c:v>1.0650666230793699</c:v>
                </c:pt>
                <c:pt idx="13">
                  <c:v>1.0658626368943893</c:v>
                </c:pt>
                <c:pt idx="14">
                  <c:v>1.0666586507094085</c:v>
                </c:pt>
                <c:pt idx="15">
                  <c:v>1.0682506783394468</c:v>
                </c:pt>
                <c:pt idx="16">
                  <c:v>1.0698427059694851</c:v>
                </c:pt>
                <c:pt idx="17">
                  <c:v>1.0714347335995238</c:v>
                </c:pt>
                <c:pt idx="18">
                  <c:v>1.0730267612295621</c:v>
                </c:pt>
                <c:pt idx="19">
                  <c:v>1.0746187888596008</c:v>
                </c:pt>
                <c:pt idx="20">
                  <c:v>1.0762108164896391</c:v>
                </c:pt>
                <c:pt idx="21">
                  <c:v>1.0778028441196774</c:v>
                </c:pt>
                <c:pt idx="22">
                  <c:v>1.0793948717497162</c:v>
                </c:pt>
                <c:pt idx="23">
                  <c:v>1.0809868993797545</c:v>
                </c:pt>
                <c:pt idx="24">
                  <c:v>1.0825789270097932</c:v>
                </c:pt>
                <c:pt idx="25">
                  <c:v>1.0833749408248126</c:v>
                </c:pt>
                <c:pt idx="26">
                  <c:v>1.083971951186077</c:v>
                </c:pt>
                <c:pt idx="27">
                  <c:v>1.0844197089570253</c:v>
                </c:pt>
                <c:pt idx="28">
                  <c:v>1.0847555272852365</c:v>
                </c:pt>
                <c:pt idx="29">
                  <c:v>1.0850073910313949</c:v>
                </c:pt>
                <c:pt idx="30">
                  <c:v>1.0851962888410136</c:v>
                </c:pt>
                <c:pt idx="31">
                  <c:v>1.0853379621982278</c:v>
                </c:pt>
                <c:pt idx="32">
                  <c:v>1.0854442172161383</c:v>
                </c:pt>
                <c:pt idx="33">
                  <c:v>1.0855239084795711</c:v>
                </c:pt>
              </c:numCache>
            </c:numRef>
          </c:val>
          <c:smooth val="0"/>
          <c:extLst>
            <c:ext xmlns:c16="http://schemas.microsoft.com/office/drawing/2014/chart" uri="{C3380CC4-5D6E-409C-BE32-E72D297353CC}">
              <c16:uniqueId val="{00000000-1F95-41D6-A160-FC9004FE00A5}"/>
            </c:ext>
          </c:extLst>
        </c:ser>
        <c:ser>
          <c:idx val="1"/>
          <c:order val="1"/>
          <c:tx>
            <c:strRef>
              <c:f>AHS_tables!$CJ$301</c:f>
              <c:strCache>
                <c:ptCount val="1"/>
                <c:pt idx="0">
                  <c:v>Actual</c:v>
                </c:pt>
              </c:strCache>
            </c:strRef>
          </c:tx>
          <c:cat>
            <c:numRef>
              <c:f>AHS_tables!$CH$302:$CH$335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AHS_tables!$CJ$302:$CJ$335</c:f>
              <c:numCache>
                <c:formatCode>General</c:formatCode>
                <c:ptCount val="34"/>
                <c:pt idx="14">
                  <c:v>1.05525489562087</c:v>
                </c:pt>
                <c:pt idx="16">
                  <c:v>1.0872203962257243</c:v>
                </c:pt>
                <c:pt idx="18">
                  <c:v>1.0798856320420509</c:v>
                </c:pt>
                <c:pt idx="20">
                  <c:v>1.0619208889120009</c:v>
                </c:pt>
                <c:pt idx="22">
                  <c:v>1.0749061288852646</c:v>
                </c:pt>
                <c:pt idx="24">
                  <c:v>1.0885247914716945</c:v>
                </c:pt>
                <c:pt idx="26">
                  <c:v>1.0556099580014529</c:v>
                </c:pt>
                <c:pt idx="28">
                  <c:v>1.1476597068998629</c:v>
                </c:pt>
              </c:numCache>
            </c:numRef>
          </c:val>
          <c:smooth val="0"/>
          <c:extLst>
            <c:ext xmlns:c16="http://schemas.microsoft.com/office/drawing/2014/chart" uri="{C3380CC4-5D6E-409C-BE32-E72D297353CC}">
              <c16:uniqueId val="{00000001-1F95-41D6-A160-FC9004FE00A5}"/>
            </c:ext>
          </c:extLst>
        </c:ser>
        <c:dLbls>
          <c:showLegendKey val="0"/>
          <c:showVal val="0"/>
          <c:showCatName val="0"/>
          <c:showSerName val="0"/>
          <c:showPercent val="0"/>
          <c:showBubbleSize val="0"/>
        </c:dLbls>
        <c:marker val="1"/>
        <c:smooth val="0"/>
        <c:axId val="216674688"/>
        <c:axId val="216676224"/>
      </c:lineChart>
      <c:catAx>
        <c:axId val="216674688"/>
        <c:scaling>
          <c:orientation val="minMax"/>
        </c:scaling>
        <c:delete val="0"/>
        <c:axPos val="b"/>
        <c:numFmt formatCode="General" sourceLinked="1"/>
        <c:majorTickMark val="out"/>
        <c:minorTickMark val="none"/>
        <c:tickLblPos val="nextTo"/>
        <c:crossAx val="216676224"/>
        <c:crosses val="autoZero"/>
        <c:auto val="1"/>
        <c:lblAlgn val="ctr"/>
        <c:lblOffset val="100"/>
        <c:noMultiLvlLbl val="0"/>
      </c:catAx>
      <c:valAx>
        <c:axId val="216676224"/>
        <c:scaling>
          <c:orientation val="minMax"/>
        </c:scaling>
        <c:delete val="0"/>
        <c:axPos val="l"/>
        <c:majorGridlines/>
        <c:numFmt formatCode="General" sourceLinked="1"/>
        <c:majorTickMark val="out"/>
        <c:minorTickMark val="none"/>
        <c:tickLblPos val="nextTo"/>
        <c:crossAx val="216674688"/>
        <c:crosses val="autoZero"/>
        <c:crossBetween val="between"/>
      </c:valAx>
    </c:plotArea>
    <c:legend>
      <c:legendPos val="r"/>
      <c:layout>
        <c:manualLayout>
          <c:xMode val="edge"/>
          <c:yMode val="edge"/>
          <c:x val="0.48224197159178639"/>
          <c:y val="0.62461614173228341"/>
          <c:w val="0.17462077350625291"/>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AHS_tables!$CN$301</c:f>
              <c:strCache>
                <c:ptCount val="1"/>
                <c:pt idx="0">
                  <c:v>Predicted </c:v>
                </c:pt>
              </c:strCache>
            </c:strRef>
          </c:tx>
          <c:cat>
            <c:numRef>
              <c:f>AHS_tables!$CM$302:$CM$335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AHS_tables!$CN$302:$CN$335</c:f>
              <c:numCache>
                <c:formatCode>General</c:formatCode>
                <c:ptCount val="34"/>
                <c:pt idx="0">
                  <c:v>1.01871954568356</c:v>
                </c:pt>
                <c:pt idx="1">
                  <c:v>1.01871954568356</c:v>
                </c:pt>
                <c:pt idx="2">
                  <c:v>1.01871954568356</c:v>
                </c:pt>
                <c:pt idx="3">
                  <c:v>1.01871954568356</c:v>
                </c:pt>
                <c:pt idx="4">
                  <c:v>1.01871954568356</c:v>
                </c:pt>
                <c:pt idx="5">
                  <c:v>1.01871954568356</c:v>
                </c:pt>
                <c:pt idx="6">
                  <c:v>1.01871954568356</c:v>
                </c:pt>
                <c:pt idx="7">
                  <c:v>1.01871954568356</c:v>
                </c:pt>
                <c:pt idx="8">
                  <c:v>1.01871954568356</c:v>
                </c:pt>
                <c:pt idx="9">
                  <c:v>1.01871954568356</c:v>
                </c:pt>
                <c:pt idx="10">
                  <c:v>1.01871954568356</c:v>
                </c:pt>
                <c:pt idx="11">
                  <c:v>1.01871954568356</c:v>
                </c:pt>
                <c:pt idx="12">
                  <c:v>1.01871954568356</c:v>
                </c:pt>
                <c:pt idx="13">
                  <c:v>1.01871954568356</c:v>
                </c:pt>
                <c:pt idx="14">
                  <c:v>1.01871954568356</c:v>
                </c:pt>
                <c:pt idx="15">
                  <c:v>1.018151386285175</c:v>
                </c:pt>
                <c:pt idx="16">
                  <c:v>1.0175832268867897</c:v>
                </c:pt>
                <c:pt idx="17">
                  <c:v>1.0170150674884046</c:v>
                </c:pt>
                <c:pt idx="18">
                  <c:v>1.0164469080900194</c:v>
                </c:pt>
                <c:pt idx="19">
                  <c:v>1.0158787486916341</c:v>
                </c:pt>
                <c:pt idx="20">
                  <c:v>1.015310589293249</c:v>
                </c:pt>
                <c:pt idx="21">
                  <c:v>1.0147424298948637</c:v>
                </c:pt>
                <c:pt idx="22">
                  <c:v>1.0141742704964785</c:v>
                </c:pt>
                <c:pt idx="23">
                  <c:v>1.0136061110980934</c:v>
                </c:pt>
                <c:pt idx="24">
                  <c:v>1.0130379516997081</c:v>
                </c:pt>
                <c:pt idx="25">
                  <c:v>1.0124697923013228</c:v>
                </c:pt>
                <c:pt idx="26">
                  <c:v>1.0119016329029378</c:v>
                </c:pt>
                <c:pt idx="27">
                  <c:v>1.0113334735045525</c:v>
                </c:pt>
                <c:pt idx="28">
                  <c:v>1.0107653141061672</c:v>
                </c:pt>
                <c:pt idx="29">
                  <c:v>1.0103391945573783</c:v>
                </c:pt>
                <c:pt idx="30">
                  <c:v>1.0100196048957866</c:v>
                </c:pt>
                <c:pt idx="31">
                  <c:v>1.0097799126495928</c:v>
                </c:pt>
                <c:pt idx="32">
                  <c:v>1.0096001434649473</c:v>
                </c:pt>
                <c:pt idx="33">
                  <c:v>1.0094653165764633</c:v>
                </c:pt>
              </c:numCache>
            </c:numRef>
          </c:val>
          <c:smooth val="0"/>
          <c:extLst>
            <c:ext xmlns:c16="http://schemas.microsoft.com/office/drawing/2014/chart" uri="{C3380CC4-5D6E-409C-BE32-E72D297353CC}">
              <c16:uniqueId val="{00000000-3A12-4811-8C68-178FD648BA57}"/>
            </c:ext>
          </c:extLst>
        </c:ser>
        <c:ser>
          <c:idx val="1"/>
          <c:order val="1"/>
          <c:tx>
            <c:strRef>
              <c:f>AHS_tables!$CO$301</c:f>
              <c:strCache>
                <c:ptCount val="1"/>
                <c:pt idx="0">
                  <c:v>Actual</c:v>
                </c:pt>
              </c:strCache>
            </c:strRef>
          </c:tx>
          <c:cat>
            <c:numRef>
              <c:f>AHS_tables!$CM$302:$CM$335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AHS_tables!$CO$302:$CO$335</c:f>
              <c:numCache>
                <c:formatCode>General</c:formatCode>
                <c:ptCount val="34"/>
                <c:pt idx="14">
                  <c:v>1.0179082817582092</c:v>
                </c:pt>
                <c:pt idx="16">
                  <c:v>1.0004600665216559</c:v>
                </c:pt>
                <c:pt idx="18">
                  <c:v>1.0141645812010365</c:v>
                </c:pt>
                <c:pt idx="20">
                  <c:v>1.0148449414122942</c:v>
                </c:pt>
                <c:pt idx="22">
                  <c:v>1.041690625918765</c:v>
                </c:pt>
                <c:pt idx="24">
                  <c:v>1.0375786497242296</c:v>
                </c:pt>
                <c:pt idx="26">
                  <c:v>1.00196320622402</c:v>
                </c:pt>
                <c:pt idx="28">
                  <c:v>0.9893290863986971</c:v>
                </c:pt>
              </c:numCache>
            </c:numRef>
          </c:val>
          <c:smooth val="0"/>
          <c:extLst>
            <c:ext xmlns:c16="http://schemas.microsoft.com/office/drawing/2014/chart" uri="{C3380CC4-5D6E-409C-BE32-E72D297353CC}">
              <c16:uniqueId val="{00000001-3A12-4811-8C68-178FD648BA57}"/>
            </c:ext>
          </c:extLst>
        </c:ser>
        <c:dLbls>
          <c:showLegendKey val="0"/>
          <c:showVal val="0"/>
          <c:showCatName val="0"/>
          <c:showSerName val="0"/>
          <c:showPercent val="0"/>
          <c:showBubbleSize val="0"/>
        </c:dLbls>
        <c:marker val="1"/>
        <c:smooth val="0"/>
        <c:axId val="216701184"/>
        <c:axId val="216702976"/>
      </c:lineChart>
      <c:catAx>
        <c:axId val="216701184"/>
        <c:scaling>
          <c:orientation val="minMax"/>
        </c:scaling>
        <c:delete val="0"/>
        <c:axPos val="b"/>
        <c:numFmt formatCode="General" sourceLinked="1"/>
        <c:majorTickMark val="out"/>
        <c:minorTickMark val="none"/>
        <c:tickLblPos val="nextTo"/>
        <c:crossAx val="216702976"/>
        <c:crosses val="autoZero"/>
        <c:auto val="1"/>
        <c:lblAlgn val="ctr"/>
        <c:lblOffset val="100"/>
        <c:noMultiLvlLbl val="0"/>
      </c:catAx>
      <c:valAx>
        <c:axId val="216702976"/>
        <c:scaling>
          <c:orientation val="minMax"/>
        </c:scaling>
        <c:delete val="0"/>
        <c:axPos val="l"/>
        <c:majorGridlines/>
        <c:numFmt formatCode="General" sourceLinked="1"/>
        <c:majorTickMark val="out"/>
        <c:minorTickMark val="none"/>
        <c:tickLblPos val="nextTo"/>
        <c:crossAx val="2167011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AHS_tables!$CZ$301</c:f>
              <c:strCache>
                <c:ptCount val="1"/>
                <c:pt idx="0">
                  <c:v>Predicted </c:v>
                </c:pt>
              </c:strCache>
            </c:strRef>
          </c:tx>
          <c:cat>
            <c:numRef>
              <c:f>AHS_tables!$CY$302:$CY$335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AHS_tables!$CZ$302:$CZ$335</c:f>
              <c:numCache>
                <c:formatCode>General</c:formatCode>
                <c:ptCount val="34"/>
                <c:pt idx="0">
                  <c:v>0.93672428860112167</c:v>
                </c:pt>
                <c:pt idx="1">
                  <c:v>0.93544761581975344</c:v>
                </c:pt>
                <c:pt idx="2">
                  <c:v>0.9341709430383851</c:v>
                </c:pt>
                <c:pt idx="3">
                  <c:v>0.93289427025701677</c:v>
                </c:pt>
                <c:pt idx="4">
                  <c:v>0.93161759747564854</c:v>
                </c:pt>
                <c:pt idx="5">
                  <c:v>0.9303409246942802</c:v>
                </c:pt>
                <c:pt idx="6">
                  <c:v>0.92906425191291186</c:v>
                </c:pt>
                <c:pt idx="7">
                  <c:v>0.92778757913154364</c:v>
                </c:pt>
                <c:pt idx="8">
                  <c:v>0.9265109063501753</c:v>
                </c:pt>
                <c:pt idx="9">
                  <c:v>0.92523423356880696</c:v>
                </c:pt>
                <c:pt idx="10">
                  <c:v>0.92395756078743874</c:v>
                </c:pt>
                <c:pt idx="11">
                  <c:v>0.9226808880060704</c:v>
                </c:pt>
                <c:pt idx="12">
                  <c:v>0.92140421522470206</c:v>
                </c:pt>
                <c:pt idx="13">
                  <c:v>0.92012754244333383</c:v>
                </c:pt>
                <c:pt idx="14">
                  <c:v>0.9188508696619655</c:v>
                </c:pt>
                <c:pt idx="15">
                  <c:v>0.91629752409922904</c:v>
                </c:pt>
                <c:pt idx="16">
                  <c:v>0.91374417853649259</c:v>
                </c:pt>
                <c:pt idx="17">
                  <c:v>0.91119083297375614</c:v>
                </c:pt>
                <c:pt idx="18">
                  <c:v>0.9086374874110188</c:v>
                </c:pt>
                <c:pt idx="19">
                  <c:v>0.90608414184828234</c:v>
                </c:pt>
                <c:pt idx="20">
                  <c:v>0.90353079628554589</c:v>
                </c:pt>
                <c:pt idx="21">
                  <c:v>0.90097745072280944</c:v>
                </c:pt>
                <c:pt idx="22">
                  <c:v>0.89842410516007298</c:v>
                </c:pt>
                <c:pt idx="23">
                  <c:v>0.89587075959733653</c:v>
                </c:pt>
                <c:pt idx="24">
                  <c:v>0.89331741403459919</c:v>
                </c:pt>
                <c:pt idx="25">
                  <c:v>0.89076406847186274</c:v>
                </c:pt>
                <c:pt idx="26">
                  <c:v>0.88821072290912628</c:v>
                </c:pt>
                <c:pt idx="27">
                  <c:v>0.88565737734638983</c:v>
                </c:pt>
                <c:pt idx="28">
                  <c:v>0.88310403178365338</c:v>
                </c:pt>
                <c:pt idx="29">
                  <c:v>0.88118902261160104</c:v>
                </c:pt>
                <c:pt idx="30">
                  <c:v>0.87975276573256178</c:v>
                </c:pt>
                <c:pt idx="31">
                  <c:v>0.87867557307328237</c:v>
                </c:pt>
                <c:pt idx="32">
                  <c:v>0.87786767857882286</c:v>
                </c:pt>
                <c:pt idx="33">
                  <c:v>0.87726175770797821</c:v>
                </c:pt>
              </c:numCache>
            </c:numRef>
          </c:val>
          <c:smooth val="0"/>
          <c:extLst>
            <c:ext xmlns:c16="http://schemas.microsoft.com/office/drawing/2014/chart" uri="{C3380CC4-5D6E-409C-BE32-E72D297353CC}">
              <c16:uniqueId val="{00000000-02D8-4187-9AB8-CBAE5D1B2AE4}"/>
            </c:ext>
          </c:extLst>
        </c:ser>
        <c:ser>
          <c:idx val="1"/>
          <c:order val="1"/>
          <c:tx>
            <c:strRef>
              <c:f>AHS_tables!$DA$301</c:f>
              <c:strCache>
                <c:ptCount val="1"/>
                <c:pt idx="0">
                  <c:v>Actual</c:v>
                </c:pt>
              </c:strCache>
            </c:strRef>
          </c:tx>
          <c:cat>
            <c:numRef>
              <c:f>AHS_tables!$CY$302:$CY$335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AHS_tables!$DA$302:$DA$335</c:f>
              <c:numCache>
                <c:formatCode>General</c:formatCode>
                <c:ptCount val="34"/>
                <c:pt idx="14">
                  <c:v>0.92698665713379114</c:v>
                </c:pt>
                <c:pt idx="16">
                  <c:v>0.92314476281541569</c:v>
                </c:pt>
                <c:pt idx="18">
                  <c:v>0.89084930113699312</c:v>
                </c:pt>
                <c:pt idx="20">
                  <c:v>0.89940715326923315</c:v>
                </c:pt>
                <c:pt idx="22">
                  <c:v>0.879035297168684</c:v>
                </c:pt>
                <c:pt idx="24">
                  <c:v>0.91627510195586948</c:v>
                </c:pt>
                <c:pt idx="26">
                  <c:v>0.89136793783948531</c:v>
                </c:pt>
                <c:pt idx="28">
                  <c:v>0.87820004890026515</c:v>
                </c:pt>
              </c:numCache>
            </c:numRef>
          </c:val>
          <c:smooth val="0"/>
          <c:extLst>
            <c:ext xmlns:c16="http://schemas.microsoft.com/office/drawing/2014/chart" uri="{C3380CC4-5D6E-409C-BE32-E72D297353CC}">
              <c16:uniqueId val="{00000001-02D8-4187-9AB8-CBAE5D1B2AE4}"/>
            </c:ext>
          </c:extLst>
        </c:ser>
        <c:dLbls>
          <c:showLegendKey val="0"/>
          <c:showVal val="0"/>
          <c:showCatName val="0"/>
          <c:showSerName val="0"/>
          <c:showPercent val="0"/>
          <c:showBubbleSize val="0"/>
        </c:dLbls>
        <c:marker val="1"/>
        <c:smooth val="0"/>
        <c:axId val="217121152"/>
        <c:axId val="217122688"/>
      </c:lineChart>
      <c:catAx>
        <c:axId val="217121152"/>
        <c:scaling>
          <c:orientation val="minMax"/>
        </c:scaling>
        <c:delete val="0"/>
        <c:axPos val="b"/>
        <c:numFmt formatCode="General" sourceLinked="1"/>
        <c:majorTickMark val="out"/>
        <c:minorTickMark val="none"/>
        <c:tickLblPos val="nextTo"/>
        <c:crossAx val="217122688"/>
        <c:crosses val="autoZero"/>
        <c:auto val="1"/>
        <c:lblAlgn val="ctr"/>
        <c:lblOffset val="100"/>
        <c:noMultiLvlLbl val="0"/>
      </c:catAx>
      <c:valAx>
        <c:axId val="217122688"/>
        <c:scaling>
          <c:orientation val="minMax"/>
        </c:scaling>
        <c:delete val="0"/>
        <c:axPos val="l"/>
        <c:majorGridlines/>
        <c:numFmt formatCode="General" sourceLinked="1"/>
        <c:majorTickMark val="out"/>
        <c:minorTickMark val="none"/>
        <c:tickLblPos val="nextTo"/>
        <c:crossAx val="2171211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AHS_tables!$BX$401</c:f>
              <c:strCache>
                <c:ptCount val="1"/>
                <c:pt idx="0">
                  <c:v>NE</c:v>
                </c:pt>
              </c:strCache>
            </c:strRef>
          </c:tx>
          <c:cat>
            <c:numRef>
              <c:f>AHS_tables!$BY$400:$CD$400</c:f>
              <c:numCache>
                <c:formatCode>General</c:formatCode>
                <c:ptCount val="6"/>
                <c:pt idx="0">
                  <c:v>1999</c:v>
                </c:pt>
                <c:pt idx="1">
                  <c:v>2001</c:v>
                </c:pt>
                <c:pt idx="2">
                  <c:v>2003</c:v>
                </c:pt>
                <c:pt idx="3">
                  <c:v>2005</c:v>
                </c:pt>
                <c:pt idx="4">
                  <c:v>2007</c:v>
                </c:pt>
                <c:pt idx="5">
                  <c:v>2009</c:v>
                </c:pt>
              </c:numCache>
            </c:numRef>
          </c:cat>
          <c:val>
            <c:numRef>
              <c:f>AHS_tables!$BY$401:$CD$401</c:f>
              <c:numCache>
                <c:formatCode>General</c:formatCode>
                <c:ptCount val="6"/>
                <c:pt idx="0">
                  <c:v>0.94372693796642915</c:v>
                </c:pt>
                <c:pt idx="1">
                  <c:v>0.91781075467994877</c:v>
                </c:pt>
                <c:pt idx="2">
                  <c:v>0.90483785154397345</c:v>
                </c:pt>
                <c:pt idx="3">
                  <c:v>0.99865068136695256</c:v>
                </c:pt>
                <c:pt idx="4">
                  <c:v>1.0332779081028638</c:v>
                </c:pt>
                <c:pt idx="5">
                  <c:v>0.98545355755691122</c:v>
                </c:pt>
              </c:numCache>
            </c:numRef>
          </c:val>
          <c:smooth val="0"/>
          <c:extLst>
            <c:ext xmlns:c16="http://schemas.microsoft.com/office/drawing/2014/chart" uri="{C3380CC4-5D6E-409C-BE32-E72D297353CC}">
              <c16:uniqueId val="{00000000-ECE4-43DF-B532-60C0A02E13B0}"/>
            </c:ext>
          </c:extLst>
        </c:ser>
        <c:ser>
          <c:idx val="1"/>
          <c:order val="1"/>
          <c:tx>
            <c:strRef>
              <c:f>AHS_tables!$BX$402</c:f>
              <c:strCache>
                <c:ptCount val="1"/>
                <c:pt idx="0">
                  <c:v>MW</c:v>
                </c:pt>
              </c:strCache>
            </c:strRef>
          </c:tx>
          <c:cat>
            <c:numRef>
              <c:f>AHS_tables!$BY$400:$CD$400</c:f>
              <c:numCache>
                <c:formatCode>General</c:formatCode>
                <c:ptCount val="6"/>
                <c:pt idx="0">
                  <c:v>1999</c:v>
                </c:pt>
                <c:pt idx="1">
                  <c:v>2001</c:v>
                </c:pt>
                <c:pt idx="2">
                  <c:v>2003</c:v>
                </c:pt>
                <c:pt idx="3">
                  <c:v>2005</c:v>
                </c:pt>
                <c:pt idx="4">
                  <c:v>2007</c:v>
                </c:pt>
                <c:pt idx="5">
                  <c:v>2009</c:v>
                </c:pt>
              </c:numCache>
            </c:numRef>
          </c:cat>
          <c:val>
            <c:numRef>
              <c:f>AHS_tables!$BY$402:$CD$402</c:f>
              <c:numCache>
                <c:formatCode>General</c:formatCode>
                <c:ptCount val="6"/>
                <c:pt idx="0">
                  <c:v>0.95034062259800089</c:v>
                </c:pt>
                <c:pt idx="1">
                  <c:v>0.89518115315092528</c:v>
                </c:pt>
                <c:pt idx="2">
                  <c:v>0.91504108994017974</c:v>
                </c:pt>
                <c:pt idx="3">
                  <c:v>0.86587882661014604</c:v>
                </c:pt>
                <c:pt idx="4">
                  <c:v>0.88218424673858398</c:v>
                </c:pt>
                <c:pt idx="5">
                  <c:v>0.84259654751152657</c:v>
                </c:pt>
              </c:numCache>
            </c:numRef>
          </c:val>
          <c:smooth val="0"/>
          <c:extLst>
            <c:ext xmlns:c16="http://schemas.microsoft.com/office/drawing/2014/chart" uri="{C3380CC4-5D6E-409C-BE32-E72D297353CC}">
              <c16:uniqueId val="{00000001-ECE4-43DF-B532-60C0A02E13B0}"/>
            </c:ext>
          </c:extLst>
        </c:ser>
        <c:ser>
          <c:idx val="2"/>
          <c:order val="2"/>
          <c:tx>
            <c:strRef>
              <c:f>AHS_tables!$BX$403</c:f>
              <c:strCache>
                <c:ptCount val="1"/>
                <c:pt idx="0">
                  <c:v>S</c:v>
                </c:pt>
              </c:strCache>
            </c:strRef>
          </c:tx>
          <c:cat>
            <c:numRef>
              <c:f>AHS_tables!$BY$400:$CD$400</c:f>
              <c:numCache>
                <c:formatCode>General</c:formatCode>
                <c:ptCount val="6"/>
                <c:pt idx="0">
                  <c:v>1999</c:v>
                </c:pt>
                <c:pt idx="1">
                  <c:v>2001</c:v>
                </c:pt>
                <c:pt idx="2">
                  <c:v>2003</c:v>
                </c:pt>
                <c:pt idx="3">
                  <c:v>2005</c:v>
                </c:pt>
                <c:pt idx="4">
                  <c:v>2007</c:v>
                </c:pt>
                <c:pt idx="5">
                  <c:v>2009</c:v>
                </c:pt>
              </c:numCache>
            </c:numRef>
          </c:cat>
          <c:val>
            <c:numRef>
              <c:f>AHS_tables!$BY$403:$CD$403</c:f>
              <c:numCache>
                <c:formatCode>General</c:formatCode>
                <c:ptCount val="6"/>
                <c:pt idx="0">
                  <c:v>1.0126212077548571</c:v>
                </c:pt>
                <c:pt idx="1">
                  <c:v>1.0515548936283186</c:v>
                </c:pt>
                <c:pt idx="2">
                  <c:v>1.0443077825662099</c:v>
                </c:pt>
                <c:pt idx="3">
                  <c:v>1.0631972721686132</c:v>
                </c:pt>
                <c:pt idx="4">
                  <c:v>1.0412508740281943</c:v>
                </c:pt>
                <c:pt idx="5">
                  <c:v>1.047414523424758</c:v>
                </c:pt>
              </c:numCache>
            </c:numRef>
          </c:val>
          <c:smooth val="0"/>
          <c:extLst>
            <c:ext xmlns:c16="http://schemas.microsoft.com/office/drawing/2014/chart" uri="{C3380CC4-5D6E-409C-BE32-E72D297353CC}">
              <c16:uniqueId val="{00000002-ECE4-43DF-B532-60C0A02E13B0}"/>
            </c:ext>
          </c:extLst>
        </c:ser>
        <c:ser>
          <c:idx val="3"/>
          <c:order val="3"/>
          <c:tx>
            <c:strRef>
              <c:f>AHS_tables!$BX$404</c:f>
              <c:strCache>
                <c:ptCount val="1"/>
                <c:pt idx="0">
                  <c:v>W</c:v>
                </c:pt>
              </c:strCache>
            </c:strRef>
          </c:tx>
          <c:cat>
            <c:numRef>
              <c:f>AHS_tables!$BY$400:$CD$400</c:f>
              <c:numCache>
                <c:formatCode>General</c:formatCode>
                <c:ptCount val="6"/>
                <c:pt idx="0">
                  <c:v>1999</c:v>
                </c:pt>
                <c:pt idx="1">
                  <c:v>2001</c:v>
                </c:pt>
                <c:pt idx="2">
                  <c:v>2003</c:v>
                </c:pt>
                <c:pt idx="3">
                  <c:v>2005</c:v>
                </c:pt>
                <c:pt idx="4">
                  <c:v>2007</c:v>
                </c:pt>
                <c:pt idx="5">
                  <c:v>2009</c:v>
                </c:pt>
              </c:numCache>
            </c:numRef>
          </c:cat>
          <c:val>
            <c:numRef>
              <c:f>AHS_tables!$BY$404:$CD$404</c:f>
              <c:numCache>
                <c:formatCode>General</c:formatCode>
                <c:ptCount val="6"/>
                <c:pt idx="0">
                  <c:v>1.0320655114430108</c:v>
                </c:pt>
                <c:pt idx="1">
                  <c:v>0.97784113937894002</c:v>
                </c:pt>
                <c:pt idx="2">
                  <c:v>0.98548497759931308</c:v>
                </c:pt>
                <c:pt idx="3">
                  <c:v>0.942999163456825</c:v>
                </c:pt>
                <c:pt idx="4">
                  <c:v>0.96705351561020791</c:v>
                </c:pt>
                <c:pt idx="5">
                  <c:v>1.0040942780713134</c:v>
                </c:pt>
              </c:numCache>
            </c:numRef>
          </c:val>
          <c:smooth val="0"/>
          <c:extLst>
            <c:ext xmlns:c16="http://schemas.microsoft.com/office/drawing/2014/chart" uri="{C3380CC4-5D6E-409C-BE32-E72D297353CC}">
              <c16:uniqueId val="{00000003-ECE4-43DF-B532-60C0A02E13B0}"/>
            </c:ext>
          </c:extLst>
        </c:ser>
        <c:dLbls>
          <c:showLegendKey val="0"/>
          <c:showVal val="0"/>
          <c:showCatName val="0"/>
          <c:showSerName val="0"/>
          <c:showPercent val="0"/>
          <c:showBubbleSize val="0"/>
        </c:dLbls>
        <c:marker val="1"/>
        <c:smooth val="0"/>
        <c:axId val="217161728"/>
        <c:axId val="217163264"/>
      </c:lineChart>
      <c:catAx>
        <c:axId val="217161728"/>
        <c:scaling>
          <c:orientation val="minMax"/>
        </c:scaling>
        <c:delete val="0"/>
        <c:axPos val="b"/>
        <c:numFmt formatCode="General" sourceLinked="1"/>
        <c:majorTickMark val="out"/>
        <c:minorTickMark val="none"/>
        <c:tickLblPos val="nextTo"/>
        <c:crossAx val="217163264"/>
        <c:crosses val="autoZero"/>
        <c:auto val="1"/>
        <c:lblAlgn val="ctr"/>
        <c:lblOffset val="100"/>
        <c:noMultiLvlLbl val="0"/>
      </c:catAx>
      <c:valAx>
        <c:axId val="217163264"/>
        <c:scaling>
          <c:orientation val="minMax"/>
        </c:scaling>
        <c:delete val="0"/>
        <c:axPos val="l"/>
        <c:majorGridlines/>
        <c:numFmt formatCode="General" sourceLinked="1"/>
        <c:majorTickMark val="out"/>
        <c:minorTickMark val="none"/>
        <c:tickLblPos val="nextTo"/>
        <c:crossAx val="217161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AHS_tables!$CI$423</c:f>
              <c:strCache>
                <c:ptCount val="1"/>
                <c:pt idx="0">
                  <c:v>Predicted </c:v>
                </c:pt>
              </c:strCache>
            </c:strRef>
          </c:tx>
          <c:cat>
            <c:numRef>
              <c:f>AHS_tables!$CH$424:$CH$457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AHS_tables!$CI$424:$CI$457</c:f>
              <c:numCache>
                <c:formatCode>General</c:formatCode>
                <c:ptCount val="34"/>
                <c:pt idx="0">
                  <c:v>0.91146445522698638</c:v>
                </c:pt>
                <c:pt idx="1">
                  <c:v>0.91379711929400487</c:v>
                </c:pt>
                <c:pt idx="2">
                  <c:v>0.91612978336102346</c:v>
                </c:pt>
                <c:pt idx="3">
                  <c:v>0.91846244742804195</c:v>
                </c:pt>
                <c:pt idx="4">
                  <c:v>0.92079511149506044</c:v>
                </c:pt>
                <c:pt idx="5">
                  <c:v>0.92312777556207903</c:v>
                </c:pt>
                <c:pt idx="6">
                  <c:v>0.92546043962909752</c:v>
                </c:pt>
                <c:pt idx="7">
                  <c:v>0.92779310369611601</c:v>
                </c:pt>
                <c:pt idx="8">
                  <c:v>0.93012576776313449</c:v>
                </c:pt>
                <c:pt idx="9">
                  <c:v>0.93245843183015309</c:v>
                </c:pt>
                <c:pt idx="10">
                  <c:v>0.93479109589717158</c:v>
                </c:pt>
                <c:pt idx="11">
                  <c:v>0.93712375996419006</c:v>
                </c:pt>
                <c:pt idx="12">
                  <c:v>0.93945642403120855</c:v>
                </c:pt>
                <c:pt idx="13">
                  <c:v>0.94178908809822715</c:v>
                </c:pt>
                <c:pt idx="14">
                  <c:v>0.94412175216524563</c:v>
                </c:pt>
                <c:pt idx="15">
                  <c:v>0.9464544162322639</c:v>
                </c:pt>
                <c:pt idx="16">
                  <c:v>0.94878708029928305</c:v>
                </c:pt>
                <c:pt idx="17">
                  <c:v>0.95111974436630131</c:v>
                </c:pt>
                <c:pt idx="18">
                  <c:v>0.95345240843331958</c:v>
                </c:pt>
                <c:pt idx="19">
                  <c:v>0.95578507250033784</c:v>
                </c:pt>
                <c:pt idx="20">
                  <c:v>0.95811773656735699</c:v>
                </c:pt>
                <c:pt idx="21">
                  <c:v>0.96045040063437526</c:v>
                </c:pt>
                <c:pt idx="22">
                  <c:v>0.96278306470139352</c:v>
                </c:pt>
                <c:pt idx="23">
                  <c:v>0.96511572876841267</c:v>
                </c:pt>
                <c:pt idx="24">
                  <c:v>0.96744839283543094</c:v>
                </c:pt>
                <c:pt idx="25">
                  <c:v>0.9697810569024492</c:v>
                </c:pt>
                <c:pt idx="26">
                  <c:v>0.97211372096946747</c:v>
                </c:pt>
                <c:pt idx="27">
                  <c:v>0.97444638503648662</c:v>
                </c:pt>
                <c:pt idx="28">
                  <c:v>0.97677904910350488</c:v>
                </c:pt>
                <c:pt idx="29">
                  <c:v>0.97852854715376858</c:v>
                </c:pt>
                <c:pt idx="30">
                  <c:v>0.97984067069146641</c:v>
                </c:pt>
                <c:pt idx="31">
                  <c:v>0.98082476334473978</c:v>
                </c:pt>
                <c:pt idx="32">
                  <c:v>0.98156283283469481</c:v>
                </c:pt>
                <c:pt idx="33">
                  <c:v>0.98211638495216103</c:v>
                </c:pt>
              </c:numCache>
            </c:numRef>
          </c:val>
          <c:smooth val="0"/>
          <c:extLst>
            <c:ext xmlns:c16="http://schemas.microsoft.com/office/drawing/2014/chart" uri="{C3380CC4-5D6E-409C-BE32-E72D297353CC}">
              <c16:uniqueId val="{00000000-5B95-48E9-831D-9CC3003E86A3}"/>
            </c:ext>
          </c:extLst>
        </c:ser>
        <c:ser>
          <c:idx val="1"/>
          <c:order val="1"/>
          <c:tx>
            <c:strRef>
              <c:f>AHS_tables!$CJ$423</c:f>
              <c:strCache>
                <c:ptCount val="1"/>
                <c:pt idx="0">
                  <c:v>Actual</c:v>
                </c:pt>
              </c:strCache>
            </c:strRef>
          </c:tx>
          <c:cat>
            <c:numRef>
              <c:f>AHS_tables!$CH$424:$CH$457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AHS_tables!$CJ$424:$CJ$457</c:f>
              <c:numCache>
                <c:formatCode>General</c:formatCode>
                <c:ptCount val="34"/>
                <c:pt idx="14">
                  <c:v>0.94372693796642915</c:v>
                </c:pt>
                <c:pt idx="16">
                  <c:v>0.91781075467994877</c:v>
                </c:pt>
                <c:pt idx="18">
                  <c:v>0.90483785154397345</c:v>
                </c:pt>
                <c:pt idx="20">
                  <c:v>0.99865068136695256</c:v>
                </c:pt>
                <c:pt idx="22">
                  <c:v>1.0332779081028638</c:v>
                </c:pt>
                <c:pt idx="24">
                  <c:v>0.98545355755691122</c:v>
                </c:pt>
                <c:pt idx="26">
                  <c:v>0.99418151967816615</c:v>
                </c:pt>
                <c:pt idx="28">
                  <c:v>0.90566399417975763</c:v>
                </c:pt>
              </c:numCache>
            </c:numRef>
          </c:val>
          <c:smooth val="0"/>
          <c:extLst>
            <c:ext xmlns:c16="http://schemas.microsoft.com/office/drawing/2014/chart" uri="{C3380CC4-5D6E-409C-BE32-E72D297353CC}">
              <c16:uniqueId val="{00000001-5B95-48E9-831D-9CC3003E86A3}"/>
            </c:ext>
          </c:extLst>
        </c:ser>
        <c:dLbls>
          <c:showLegendKey val="0"/>
          <c:showVal val="0"/>
          <c:showCatName val="0"/>
          <c:showSerName val="0"/>
          <c:showPercent val="0"/>
          <c:showBubbleSize val="0"/>
        </c:dLbls>
        <c:marker val="1"/>
        <c:smooth val="0"/>
        <c:axId val="216864640"/>
        <c:axId val="216866176"/>
      </c:lineChart>
      <c:catAx>
        <c:axId val="216864640"/>
        <c:scaling>
          <c:orientation val="minMax"/>
        </c:scaling>
        <c:delete val="0"/>
        <c:axPos val="b"/>
        <c:numFmt formatCode="General" sourceLinked="1"/>
        <c:majorTickMark val="out"/>
        <c:minorTickMark val="none"/>
        <c:tickLblPos val="nextTo"/>
        <c:crossAx val="216866176"/>
        <c:crosses val="autoZero"/>
        <c:auto val="1"/>
        <c:lblAlgn val="ctr"/>
        <c:lblOffset val="100"/>
        <c:noMultiLvlLbl val="0"/>
      </c:catAx>
      <c:valAx>
        <c:axId val="216866176"/>
        <c:scaling>
          <c:orientation val="minMax"/>
        </c:scaling>
        <c:delete val="0"/>
        <c:axPos val="l"/>
        <c:majorGridlines/>
        <c:numFmt formatCode="General" sourceLinked="1"/>
        <c:majorTickMark val="out"/>
        <c:minorTickMark val="none"/>
        <c:tickLblPos val="nextTo"/>
        <c:crossAx val="216864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AHS_tables!$CN$423</c:f>
              <c:strCache>
                <c:ptCount val="1"/>
                <c:pt idx="0">
                  <c:v>Predicted </c:v>
                </c:pt>
              </c:strCache>
            </c:strRef>
          </c:tx>
          <c:cat>
            <c:numRef>
              <c:f>AHS_tables!$CM$424:$CM$457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AHS_tables!$CN$424:$CN$457</c:f>
              <c:numCache>
                <c:formatCode>General</c:formatCode>
                <c:ptCount val="34"/>
                <c:pt idx="0">
                  <c:v>0.99812552827853174</c:v>
                </c:pt>
                <c:pt idx="1">
                  <c:v>0.99322952885574511</c:v>
                </c:pt>
                <c:pt idx="2">
                  <c:v>0.98833352943295849</c:v>
                </c:pt>
                <c:pt idx="3">
                  <c:v>0.98343753001017187</c:v>
                </c:pt>
                <c:pt idx="4">
                  <c:v>0.97854153058738524</c:v>
                </c:pt>
                <c:pt idx="5">
                  <c:v>0.97364553116459862</c:v>
                </c:pt>
                <c:pt idx="6">
                  <c:v>0.96874953174181211</c:v>
                </c:pt>
                <c:pt idx="7">
                  <c:v>0.96385353231902549</c:v>
                </c:pt>
                <c:pt idx="8">
                  <c:v>0.95895753289623886</c:v>
                </c:pt>
                <c:pt idx="9">
                  <c:v>0.95406153347345224</c:v>
                </c:pt>
                <c:pt idx="10">
                  <c:v>0.94916553405066562</c:v>
                </c:pt>
                <c:pt idx="11">
                  <c:v>0.94426953462787899</c:v>
                </c:pt>
                <c:pt idx="12">
                  <c:v>0.93937353520509248</c:v>
                </c:pt>
                <c:pt idx="13">
                  <c:v>0.93447753578230586</c:v>
                </c:pt>
                <c:pt idx="14">
                  <c:v>0.92958153635951923</c:v>
                </c:pt>
                <c:pt idx="15">
                  <c:v>0.92305353712913707</c:v>
                </c:pt>
                <c:pt idx="16">
                  <c:v>0.91652553789875491</c:v>
                </c:pt>
                <c:pt idx="17">
                  <c:v>0.90999753866837274</c:v>
                </c:pt>
                <c:pt idx="18">
                  <c:v>0.90346953943799058</c:v>
                </c:pt>
                <c:pt idx="19">
                  <c:v>0.89694154020760841</c:v>
                </c:pt>
                <c:pt idx="20">
                  <c:v>0.89041354097722625</c:v>
                </c:pt>
                <c:pt idx="21">
                  <c:v>0.88388554174684408</c:v>
                </c:pt>
                <c:pt idx="22">
                  <c:v>0.87735754251646192</c:v>
                </c:pt>
                <c:pt idx="23">
                  <c:v>0.87082954328607975</c:v>
                </c:pt>
                <c:pt idx="24">
                  <c:v>0.86430154405569759</c:v>
                </c:pt>
                <c:pt idx="25">
                  <c:v>0.85777354482531543</c:v>
                </c:pt>
                <c:pt idx="26">
                  <c:v>0.85124554559493326</c:v>
                </c:pt>
                <c:pt idx="27">
                  <c:v>0.8447175463645511</c:v>
                </c:pt>
                <c:pt idx="28">
                  <c:v>0.83818954713416893</c:v>
                </c:pt>
                <c:pt idx="29">
                  <c:v>0.83329354771138231</c:v>
                </c:pt>
                <c:pt idx="30">
                  <c:v>0.82962154814429234</c:v>
                </c:pt>
                <c:pt idx="31">
                  <c:v>0.82686754846897492</c:v>
                </c:pt>
                <c:pt idx="32">
                  <c:v>0.82480204871248686</c:v>
                </c:pt>
                <c:pt idx="33">
                  <c:v>0.82325292389512084</c:v>
                </c:pt>
              </c:numCache>
            </c:numRef>
          </c:val>
          <c:smooth val="0"/>
          <c:extLst>
            <c:ext xmlns:c16="http://schemas.microsoft.com/office/drawing/2014/chart" uri="{C3380CC4-5D6E-409C-BE32-E72D297353CC}">
              <c16:uniqueId val="{00000000-6FF7-4FB3-8C97-66D53103CDAF}"/>
            </c:ext>
          </c:extLst>
        </c:ser>
        <c:ser>
          <c:idx val="1"/>
          <c:order val="1"/>
          <c:tx>
            <c:strRef>
              <c:f>AHS_tables!$CO$423</c:f>
              <c:strCache>
                <c:ptCount val="1"/>
                <c:pt idx="0">
                  <c:v>Actual</c:v>
                </c:pt>
              </c:strCache>
            </c:strRef>
          </c:tx>
          <c:cat>
            <c:numRef>
              <c:f>AHS_tables!$CM$424:$CM$457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AHS_tables!$CO$424:$CO$457</c:f>
              <c:numCache>
                <c:formatCode>General</c:formatCode>
                <c:ptCount val="34"/>
                <c:pt idx="14">
                  <c:v>0.95034062259800089</c:v>
                </c:pt>
                <c:pt idx="16">
                  <c:v>0.89518115315092528</c:v>
                </c:pt>
                <c:pt idx="18">
                  <c:v>0.91504108994017974</c:v>
                </c:pt>
                <c:pt idx="20">
                  <c:v>0.86587882661014604</c:v>
                </c:pt>
                <c:pt idx="22">
                  <c:v>0.88218424673858398</c:v>
                </c:pt>
                <c:pt idx="24">
                  <c:v>0.84259654751152657</c:v>
                </c:pt>
                <c:pt idx="26">
                  <c:v>0.90320923579186863</c:v>
                </c:pt>
                <c:pt idx="28">
                  <c:v>0.81665261163351599</c:v>
                </c:pt>
              </c:numCache>
            </c:numRef>
          </c:val>
          <c:smooth val="0"/>
          <c:extLst>
            <c:ext xmlns:c16="http://schemas.microsoft.com/office/drawing/2014/chart" uri="{C3380CC4-5D6E-409C-BE32-E72D297353CC}">
              <c16:uniqueId val="{00000001-6FF7-4FB3-8C97-66D53103CDAF}"/>
            </c:ext>
          </c:extLst>
        </c:ser>
        <c:dLbls>
          <c:showLegendKey val="0"/>
          <c:showVal val="0"/>
          <c:showCatName val="0"/>
          <c:showSerName val="0"/>
          <c:showPercent val="0"/>
          <c:showBubbleSize val="0"/>
        </c:dLbls>
        <c:marker val="1"/>
        <c:smooth val="0"/>
        <c:axId val="216908160"/>
        <c:axId val="216909696"/>
      </c:lineChart>
      <c:catAx>
        <c:axId val="216908160"/>
        <c:scaling>
          <c:orientation val="minMax"/>
        </c:scaling>
        <c:delete val="0"/>
        <c:axPos val="b"/>
        <c:numFmt formatCode="General" sourceLinked="1"/>
        <c:majorTickMark val="out"/>
        <c:minorTickMark val="none"/>
        <c:tickLblPos val="nextTo"/>
        <c:crossAx val="216909696"/>
        <c:crosses val="autoZero"/>
        <c:auto val="1"/>
        <c:lblAlgn val="ctr"/>
        <c:lblOffset val="100"/>
        <c:noMultiLvlLbl val="0"/>
      </c:catAx>
      <c:valAx>
        <c:axId val="216909696"/>
        <c:scaling>
          <c:orientation val="minMax"/>
        </c:scaling>
        <c:delete val="0"/>
        <c:axPos val="l"/>
        <c:majorGridlines/>
        <c:numFmt formatCode="General" sourceLinked="1"/>
        <c:majorTickMark val="out"/>
        <c:minorTickMark val="none"/>
        <c:tickLblPos val="nextTo"/>
        <c:crossAx val="2169081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AHS_tables!$CT$423</c:f>
              <c:strCache>
                <c:ptCount val="1"/>
                <c:pt idx="0">
                  <c:v>Predicted </c:v>
                </c:pt>
              </c:strCache>
            </c:strRef>
          </c:tx>
          <c:cat>
            <c:numRef>
              <c:f>AHS_tables!$CS$424:$CS$457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AHS_tables!$CT$424:$CT$457</c:f>
              <c:numCache>
                <c:formatCode>General</c:formatCode>
                <c:ptCount val="34"/>
                <c:pt idx="0">
                  <c:v>1.0001774275999564</c:v>
                </c:pt>
                <c:pt idx="1">
                  <c:v>1.0025830198663761</c:v>
                </c:pt>
                <c:pt idx="2">
                  <c:v>1.0049886121327958</c:v>
                </c:pt>
                <c:pt idx="3">
                  <c:v>1.0073942043992155</c:v>
                </c:pt>
                <c:pt idx="4">
                  <c:v>1.0097997966656351</c:v>
                </c:pt>
                <c:pt idx="5">
                  <c:v>1.0122053889320548</c:v>
                </c:pt>
                <c:pt idx="6">
                  <c:v>1.0146109811984745</c:v>
                </c:pt>
                <c:pt idx="7">
                  <c:v>1.0170165734648942</c:v>
                </c:pt>
                <c:pt idx="8">
                  <c:v>1.0194221657313138</c:v>
                </c:pt>
                <c:pt idx="9">
                  <c:v>1.0218277579977337</c:v>
                </c:pt>
                <c:pt idx="10">
                  <c:v>1.0242333502641534</c:v>
                </c:pt>
                <c:pt idx="11">
                  <c:v>1.0266389425305731</c:v>
                </c:pt>
                <c:pt idx="12">
                  <c:v>1.0290445347969928</c:v>
                </c:pt>
                <c:pt idx="13">
                  <c:v>1.0314501270634124</c:v>
                </c:pt>
                <c:pt idx="14">
                  <c:v>1.0338557193298321</c:v>
                </c:pt>
                <c:pt idx="15">
                  <c:v>1.0354594475074452</c:v>
                </c:pt>
                <c:pt idx="16">
                  <c:v>1.0370631756850583</c:v>
                </c:pt>
                <c:pt idx="17">
                  <c:v>1.0386669038626715</c:v>
                </c:pt>
                <c:pt idx="18">
                  <c:v>1.0402706320402846</c:v>
                </c:pt>
                <c:pt idx="19">
                  <c:v>1.0418743602178977</c:v>
                </c:pt>
                <c:pt idx="20">
                  <c:v>1.0434780883955108</c:v>
                </c:pt>
                <c:pt idx="21">
                  <c:v>1.0450818165731239</c:v>
                </c:pt>
                <c:pt idx="22">
                  <c:v>1.0466855447507371</c:v>
                </c:pt>
                <c:pt idx="23">
                  <c:v>1.0482892729283502</c:v>
                </c:pt>
                <c:pt idx="24">
                  <c:v>1.0498930011059633</c:v>
                </c:pt>
                <c:pt idx="25">
                  <c:v>1.0514967292835764</c:v>
                </c:pt>
                <c:pt idx="26">
                  <c:v>1.0531004574611895</c:v>
                </c:pt>
                <c:pt idx="27">
                  <c:v>1.0547041856388026</c:v>
                </c:pt>
                <c:pt idx="28">
                  <c:v>1.0563079138164158</c:v>
                </c:pt>
                <c:pt idx="29">
                  <c:v>1.0575107099496255</c:v>
                </c:pt>
                <c:pt idx="30">
                  <c:v>1.0584128070495327</c:v>
                </c:pt>
                <c:pt idx="31">
                  <c:v>1.0590893798744632</c:v>
                </c:pt>
                <c:pt idx="32">
                  <c:v>1.0595968094931609</c:v>
                </c:pt>
                <c:pt idx="33">
                  <c:v>1.0599773817071843</c:v>
                </c:pt>
              </c:numCache>
            </c:numRef>
          </c:val>
          <c:smooth val="0"/>
          <c:extLst>
            <c:ext xmlns:c16="http://schemas.microsoft.com/office/drawing/2014/chart" uri="{C3380CC4-5D6E-409C-BE32-E72D297353CC}">
              <c16:uniqueId val="{00000000-240D-4380-A3FD-4A0EA55DD802}"/>
            </c:ext>
          </c:extLst>
        </c:ser>
        <c:ser>
          <c:idx val="1"/>
          <c:order val="1"/>
          <c:tx>
            <c:strRef>
              <c:f>AHS_tables!$CU$423</c:f>
              <c:strCache>
                <c:ptCount val="1"/>
                <c:pt idx="0">
                  <c:v>Actual</c:v>
                </c:pt>
              </c:strCache>
            </c:strRef>
          </c:tx>
          <c:cat>
            <c:numRef>
              <c:f>AHS_tables!$CS$424:$CS$457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AHS_tables!$CU$424:$CU$457</c:f>
              <c:numCache>
                <c:formatCode>General</c:formatCode>
                <c:ptCount val="34"/>
                <c:pt idx="14">
                  <c:v>1.0126212077548571</c:v>
                </c:pt>
                <c:pt idx="16">
                  <c:v>1.0515548936283186</c:v>
                </c:pt>
                <c:pt idx="18">
                  <c:v>1.0443077825662099</c:v>
                </c:pt>
                <c:pt idx="20">
                  <c:v>1.0631972721686132</c:v>
                </c:pt>
                <c:pt idx="22">
                  <c:v>1.0412508740281943</c:v>
                </c:pt>
                <c:pt idx="24">
                  <c:v>1.047414523424758</c:v>
                </c:pt>
                <c:pt idx="26">
                  <c:v>1.0299803560712815</c:v>
                </c:pt>
                <c:pt idx="28">
                  <c:v>1.0687238947651452</c:v>
                </c:pt>
              </c:numCache>
            </c:numRef>
          </c:val>
          <c:smooth val="0"/>
          <c:extLst>
            <c:ext xmlns:c16="http://schemas.microsoft.com/office/drawing/2014/chart" uri="{C3380CC4-5D6E-409C-BE32-E72D297353CC}">
              <c16:uniqueId val="{00000001-240D-4380-A3FD-4A0EA55DD802}"/>
            </c:ext>
          </c:extLst>
        </c:ser>
        <c:dLbls>
          <c:showLegendKey val="0"/>
          <c:showVal val="0"/>
          <c:showCatName val="0"/>
          <c:showSerName val="0"/>
          <c:showPercent val="0"/>
          <c:showBubbleSize val="0"/>
        </c:dLbls>
        <c:marker val="1"/>
        <c:smooth val="0"/>
        <c:axId val="216918272"/>
        <c:axId val="216989696"/>
      </c:lineChart>
      <c:catAx>
        <c:axId val="216918272"/>
        <c:scaling>
          <c:orientation val="minMax"/>
        </c:scaling>
        <c:delete val="0"/>
        <c:axPos val="b"/>
        <c:numFmt formatCode="General" sourceLinked="1"/>
        <c:majorTickMark val="out"/>
        <c:minorTickMark val="none"/>
        <c:tickLblPos val="nextTo"/>
        <c:crossAx val="216989696"/>
        <c:crosses val="autoZero"/>
        <c:auto val="1"/>
        <c:lblAlgn val="ctr"/>
        <c:lblOffset val="100"/>
        <c:noMultiLvlLbl val="0"/>
      </c:catAx>
      <c:valAx>
        <c:axId val="216989696"/>
        <c:scaling>
          <c:orientation val="minMax"/>
        </c:scaling>
        <c:delete val="0"/>
        <c:axPos val="l"/>
        <c:majorGridlines/>
        <c:numFmt formatCode="General" sourceLinked="1"/>
        <c:majorTickMark val="out"/>
        <c:minorTickMark val="none"/>
        <c:tickLblPos val="nextTo"/>
        <c:crossAx val="2169182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85739282589675E-2"/>
          <c:y val="5.1400554097404488E-2"/>
          <c:w val="0.79629046369203849"/>
          <c:h val="0.78278032954214061"/>
        </c:manualLayout>
      </c:layout>
      <c:lineChart>
        <c:grouping val="standard"/>
        <c:varyColors val="0"/>
        <c:ser>
          <c:idx val="0"/>
          <c:order val="0"/>
          <c:tx>
            <c:strRef>
              <c:f>AHS_tables!$CZ$423</c:f>
              <c:strCache>
                <c:ptCount val="1"/>
                <c:pt idx="0">
                  <c:v>Predicted </c:v>
                </c:pt>
              </c:strCache>
            </c:strRef>
          </c:tx>
          <c:cat>
            <c:numRef>
              <c:f>AHS_tables!$CY$424:$CY$457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AHS_tables!$CZ$424:$CZ$457</c:f>
              <c:numCache>
                <c:formatCode>General</c:formatCode>
                <c:ptCount val="34"/>
                <c:pt idx="0">
                  <c:v>1.0121500012960973</c:v>
                </c:pt>
                <c:pt idx="1">
                  <c:v>1.0107602536079088</c:v>
                </c:pt>
                <c:pt idx="2">
                  <c:v>1.0093705059197202</c:v>
                </c:pt>
                <c:pt idx="3">
                  <c:v>1.0079807582315317</c:v>
                </c:pt>
                <c:pt idx="4">
                  <c:v>1.0065910105433431</c:v>
                </c:pt>
                <c:pt idx="5">
                  <c:v>1.0052012628551545</c:v>
                </c:pt>
                <c:pt idx="6">
                  <c:v>1.003811515166966</c:v>
                </c:pt>
                <c:pt idx="7">
                  <c:v>1.0024217674787774</c:v>
                </c:pt>
                <c:pt idx="8">
                  <c:v>1.0010320197905889</c:v>
                </c:pt>
                <c:pt idx="9">
                  <c:v>0.99964227210240042</c:v>
                </c:pt>
                <c:pt idx="10">
                  <c:v>0.99825252441421186</c:v>
                </c:pt>
                <c:pt idx="11">
                  <c:v>0.9968627767260233</c:v>
                </c:pt>
                <c:pt idx="12">
                  <c:v>0.99547302903783486</c:v>
                </c:pt>
                <c:pt idx="13">
                  <c:v>0.9940832813496463</c:v>
                </c:pt>
                <c:pt idx="14">
                  <c:v>0.99269353366145774</c:v>
                </c:pt>
                <c:pt idx="15">
                  <c:v>0.99176703520266551</c:v>
                </c:pt>
                <c:pt idx="16">
                  <c:v>0.99084053674387307</c:v>
                </c:pt>
                <c:pt idx="17">
                  <c:v>0.98991403828508062</c:v>
                </c:pt>
                <c:pt idx="18">
                  <c:v>0.9889875398262884</c:v>
                </c:pt>
                <c:pt idx="19">
                  <c:v>0.98806104136749595</c:v>
                </c:pt>
                <c:pt idx="20">
                  <c:v>0.98713454290870373</c:v>
                </c:pt>
                <c:pt idx="21">
                  <c:v>0.98620804444991128</c:v>
                </c:pt>
                <c:pt idx="22">
                  <c:v>0.98528154599111883</c:v>
                </c:pt>
                <c:pt idx="23">
                  <c:v>0.98435504753232661</c:v>
                </c:pt>
                <c:pt idx="24">
                  <c:v>0.98342854907353416</c:v>
                </c:pt>
                <c:pt idx="25">
                  <c:v>0.98250205061474194</c:v>
                </c:pt>
                <c:pt idx="26">
                  <c:v>0.98157555215594949</c:v>
                </c:pt>
                <c:pt idx="27">
                  <c:v>0.98064905369715705</c:v>
                </c:pt>
                <c:pt idx="28">
                  <c:v>0.97972255523836482</c:v>
                </c:pt>
                <c:pt idx="29">
                  <c:v>0.97902768139427065</c:v>
                </c:pt>
                <c:pt idx="30">
                  <c:v>0.97850652601120003</c:v>
                </c:pt>
                <c:pt idx="31">
                  <c:v>0.97811565947389711</c:v>
                </c:pt>
                <c:pt idx="32">
                  <c:v>0.97782250957091987</c:v>
                </c:pt>
                <c:pt idx="33">
                  <c:v>0.97760264714368694</c:v>
                </c:pt>
              </c:numCache>
            </c:numRef>
          </c:val>
          <c:smooth val="0"/>
          <c:extLst>
            <c:ext xmlns:c16="http://schemas.microsoft.com/office/drawing/2014/chart" uri="{C3380CC4-5D6E-409C-BE32-E72D297353CC}">
              <c16:uniqueId val="{00000000-3003-4161-BDE6-4AF24282522F}"/>
            </c:ext>
          </c:extLst>
        </c:ser>
        <c:ser>
          <c:idx val="1"/>
          <c:order val="1"/>
          <c:tx>
            <c:strRef>
              <c:f>AHS_tables!$DA$423</c:f>
              <c:strCache>
                <c:ptCount val="1"/>
                <c:pt idx="0">
                  <c:v>Actual</c:v>
                </c:pt>
              </c:strCache>
            </c:strRef>
          </c:tx>
          <c:cat>
            <c:numRef>
              <c:f>AHS_tables!$CY$424:$CY$457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AHS_tables!$DA$424:$DA$457</c:f>
              <c:numCache>
                <c:formatCode>General</c:formatCode>
                <c:ptCount val="34"/>
                <c:pt idx="14">
                  <c:v>1.0320655114430108</c:v>
                </c:pt>
                <c:pt idx="16">
                  <c:v>0.97784113937894002</c:v>
                </c:pt>
                <c:pt idx="18">
                  <c:v>0.98548497759931308</c:v>
                </c:pt>
                <c:pt idx="20">
                  <c:v>0.942999163456825</c:v>
                </c:pt>
                <c:pt idx="22">
                  <c:v>0.96705351561020791</c:v>
                </c:pt>
                <c:pt idx="24">
                  <c:v>1.0040942780713134</c:v>
                </c:pt>
                <c:pt idx="26">
                  <c:v>0.99137505396423309</c:v>
                </c:pt>
                <c:pt idx="28">
                  <c:v>0.9887507160754444</c:v>
                </c:pt>
              </c:numCache>
            </c:numRef>
          </c:val>
          <c:smooth val="0"/>
          <c:extLst>
            <c:ext xmlns:c16="http://schemas.microsoft.com/office/drawing/2014/chart" uri="{C3380CC4-5D6E-409C-BE32-E72D297353CC}">
              <c16:uniqueId val="{00000001-3003-4161-BDE6-4AF24282522F}"/>
            </c:ext>
          </c:extLst>
        </c:ser>
        <c:dLbls>
          <c:showLegendKey val="0"/>
          <c:showVal val="0"/>
          <c:showCatName val="0"/>
          <c:showSerName val="0"/>
          <c:showPercent val="0"/>
          <c:showBubbleSize val="0"/>
        </c:dLbls>
        <c:marker val="1"/>
        <c:smooth val="0"/>
        <c:axId val="217014656"/>
        <c:axId val="217016192"/>
      </c:lineChart>
      <c:catAx>
        <c:axId val="217014656"/>
        <c:scaling>
          <c:orientation val="minMax"/>
        </c:scaling>
        <c:delete val="0"/>
        <c:axPos val="b"/>
        <c:numFmt formatCode="General" sourceLinked="1"/>
        <c:majorTickMark val="out"/>
        <c:minorTickMark val="none"/>
        <c:tickLblPos val="nextTo"/>
        <c:crossAx val="217016192"/>
        <c:crosses val="autoZero"/>
        <c:auto val="1"/>
        <c:lblAlgn val="ctr"/>
        <c:lblOffset val="100"/>
        <c:noMultiLvlLbl val="0"/>
      </c:catAx>
      <c:valAx>
        <c:axId val="217016192"/>
        <c:scaling>
          <c:orientation val="minMax"/>
        </c:scaling>
        <c:delete val="0"/>
        <c:axPos val="l"/>
        <c:majorGridlines/>
        <c:numFmt formatCode="General" sourceLinked="1"/>
        <c:majorTickMark val="out"/>
        <c:minorTickMark val="none"/>
        <c:tickLblPos val="nextTo"/>
        <c:crossAx val="217014656"/>
        <c:crosses val="autoZero"/>
        <c:crossBetween val="between"/>
      </c:valAx>
    </c:plotArea>
    <c:legend>
      <c:legendPos val="r"/>
      <c:layout>
        <c:manualLayout>
          <c:xMode val="edge"/>
          <c:yMode val="edge"/>
          <c:x val="0.16042979002624677"/>
          <c:y val="0.52276428988043167"/>
          <c:w val="0.19790354330708662"/>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AHS_tables!$DQ$507</c:f>
              <c:strCache>
                <c:ptCount val="1"/>
                <c:pt idx="0">
                  <c:v>  National</c:v>
                </c:pt>
              </c:strCache>
            </c:strRef>
          </c:tx>
          <c:val>
            <c:numRef>
              <c:f>AHS_tables!$DQ$508:$DQ$520</c:f>
              <c:numCache>
                <c:formatCode>General</c:formatCode>
                <c:ptCount val="13"/>
                <c:pt idx="0">
                  <c:v>59178.196109999197</c:v>
                </c:pt>
                <c:pt idx="1">
                  <c:v>61378.031859999668</c:v>
                </c:pt>
                <c:pt idx="2">
                  <c:v>63204.538720000448</c:v>
                </c:pt>
                <c:pt idx="3">
                  <c:v>62927</c:v>
                </c:pt>
                <c:pt idx="4">
                  <c:v>64292.825580001081</c:v>
                </c:pt>
                <c:pt idx="5">
                  <c:v>66371.689159998437</c:v>
                </c:pt>
                <c:pt idx="6">
                  <c:v>67951.38235187353</c:v>
                </c:pt>
                <c:pt idx="7">
                  <c:v>71499.011453219544</c:v>
                </c:pt>
                <c:pt idx="8">
                  <c:v>74433.828759211698</c:v>
                </c:pt>
                <c:pt idx="9">
                  <c:v>74025.57567727234</c:v>
                </c:pt>
                <c:pt idx="10">
                  <c:v>76147.117574834105</c:v>
                </c:pt>
                <c:pt idx="11">
                  <c:v>77490.956361530247</c:v>
                </c:pt>
                <c:pt idx="12">
                  <c:v>79051.852939674674</c:v>
                </c:pt>
              </c:numCache>
            </c:numRef>
          </c:val>
          <c:smooth val="0"/>
          <c:extLst>
            <c:ext xmlns:c16="http://schemas.microsoft.com/office/drawing/2014/chart" uri="{C3380CC4-5D6E-409C-BE32-E72D297353CC}">
              <c16:uniqueId val="{00000000-EB32-490F-97B2-C8C3110B0356}"/>
            </c:ext>
          </c:extLst>
        </c:ser>
        <c:ser>
          <c:idx val="1"/>
          <c:order val="1"/>
          <c:tx>
            <c:strRef>
              <c:f>AHS_tables!$DR$507</c:f>
              <c:strCache>
                <c:ptCount val="1"/>
                <c:pt idx="0">
                  <c:v>NE</c:v>
                </c:pt>
              </c:strCache>
            </c:strRef>
          </c:tx>
          <c:val>
            <c:numRef>
              <c:f>AHS_tables!$DR$508:$DR$520</c:f>
              <c:numCache>
                <c:formatCode>#,##0</c:formatCode>
                <c:ptCount val="13"/>
                <c:pt idx="0">
                  <c:v>10798.957009999976</c:v>
                </c:pt>
                <c:pt idx="1">
                  <c:v>11021.945950000056</c:v>
                </c:pt>
                <c:pt idx="2">
                  <c:v>11433.545650000004</c:v>
                </c:pt>
                <c:pt idx="3">
                  <c:v>11314.552662640299</c:v>
                </c:pt>
                <c:pt idx="4">
                  <c:v>11282.986240000118</c:v>
                </c:pt>
                <c:pt idx="5">
                  <c:v>11388.519919999959</c:v>
                </c:pt>
                <c:pt idx="6">
                  <c:v>11824.177886069361</c:v>
                </c:pt>
                <c:pt idx="7">
                  <c:v>12571.685165395969</c:v>
                </c:pt>
                <c:pt idx="8">
                  <c:v>13040.920271135181</c:v>
                </c:pt>
                <c:pt idx="9">
                  <c:v>12817.999632810663</c:v>
                </c:pt>
                <c:pt idx="10">
                  <c:v>12868.633017977834</c:v>
                </c:pt>
                <c:pt idx="11">
                  <c:v>12938.166107471912</c:v>
                </c:pt>
                <c:pt idx="12">
                  <c:v>13240.246517199967</c:v>
                </c:pt>
              </c:numCache>
            </c:numRef>
          </c:val>
          <c:smooth val="0"/>
          <c:extLst>
            <c:ext xmlns:c16="http://schemas.microsoft.com/office/drawing/2014/chart" uri="{C3380CC4-5D6E-409C-BE32-E72D297353CC}">
              <c16:uniqueId val="{00000001-EB32-490F-97B2-C8C3110B0356}"/>
            </c:ext>
          </c:extLst>
        </c:ser>
        <c:ser>
          <c:idx val="2"/>
          <c:order val="2"/>
          <c:tx>
            <c:strRef>
              <c:f>AHS_tables!$DS$507</c:f>
              <c:strCache>
                <c:ptCount val="1"/>
                <c:pt idx="0">
                  <c:v>MW</c:v>
                </c:pt>
              </c:strCache>
            </c:strRef>
          </c:tx>
          <c:val>
            <c:numRef>
              <c:f>AHS_tables!$DS$508:$DS$520</c:f>
              <c:numCache>
                <c:formatCode>#,##0</c:formatCode>
                <c:ptCount val="13"/>
                <c:pt idx="0">
                  <c:v>15771.292550000115</c:v>
                </c:pt>
                <c:pt idx="1">
                  <c:v>15974.214149999851</c:v>
                </c:pt>
                <c:pt idx="2">
                  <c:v>16381.496720000092</c:v>
                </c:pt>
                <c:pt idx="3">
                  <c:v>15993.013423496805</c:v>
                </c:pt>
                <c:pt idx="4">
                  <c:v>16380.7412099999</c:v>
                </c:pt>
                <c:pt idx="5">
                  <c:v>17228.19462000014</c:v>
                </c:pt>
                <c:pt idx="6">
                  <c:v>17476.919599727462</c:v>
                </c:pt>
                <c:pt idx="7">
                  <c:v>18110.998604174467</c:v>
                </c:pt>
                <c:pt idx="8">
                  <c:v>18472.364159925011</c:v>
                </c:pt>
                <c:pt idx="9">
                  <c:v>18354.302482319046</c:v>
                </c:pt>
                <c:pt idx="10">
                  <c:v>18745.506918015199</c:v>
                </c:pt>
                <c:pt idx="11">
                  <c:v>18736.008831012674</c:v>
                </c:pt>
                <c:pt idx="12">
                  <c:v>18998.81466958805</c:v>
                </c:pt>
              </c:numCache>
            </c:numRef>
          </c:val>
          <c:smooth val="0"/>
          <c:extLst>
            <c:ext xmlns:c16="http://schemas.microsoft.com/office/drawing/2014/chart" uri="{C3380CC4-5D6E-409C-BE32-E72D297353CC}">
              <c16:uniqueId val="{00000002-EB32-490F-97B2-C8C3110B0356}"/>
            </c:ext>
          </c:extLst>
        </c:ser>
        <c:ser>
          <c:idx val="3"/>
          <c:order val="3"/>
          <c:tx>
            <c:strRef>
              <c:f>AHS_tables!$DT$507</c:f>
              <c:strCache>
                <c:ptCount val="1"/>
                <c:pt idx="0">
                  <c:v>S</c:v>
                </c:pt>
              </c:strCache>
            </c:strRef>
          </c:tx>
          <c:val>
            <c:numRef>
              <c:f>AHS_tables!$DT$508:$DT$520</c:f>
              <c:numCache>
                <c:formatCode>#,##0</c:formatCode>
                <c:ptCount val="13"/>
                <c:pt idx="0">
                  <c:v>21196.610560000307</c:v>
                </c:pt>
                <c:pt idx="1">
                  <c:v>22313.15584999997</c:v>
                </c:pt>
                <c:pt idx="2">
                  <c:v>23045.313269999882</c:v>
                </c:pt>
                <c:pt idx="3">
                  <c:v>22757.262564602999</c:v>
                </c:pt>
                <c:pt idx="4">
                  <c:v>23446.966620000028</c:v>
                </c:pt>
                <c:pt idx="5">
                  <c:v>24272.693630000122</c:v>
                </c:pt>
                <c:pt idx="6">
                  <c:v>24670.327222746077</c:v>
                </c:pt>
                <c:pt idx="7">
                  <c:v>25811.776989188402</c:v>
                </c:pt>
                <c:pt idx="8">
                  <c:v>27158.593093568077</c:v>
                </c:pt>
                <c:pt idx="9">
                  <c:v>27114.627695065941</c:v>
                </c:pt>
                <c:pt idx="10">
                  <c:v>28270.629739553628</c:v>
                </c:pt>
                <c:pt idx="11">
                  <c:v>29137.213439016698</c:v>
                </c:pt>
                <c:pt idx="12">
                  <c:v>29998.788994055027</c:v>
                </c:pt>
              </c:numCache>
            </c:numRef>
          </c:val>
          <c:smooth val="0"/>
          <c:extLst>
            <c:ext xmlns:c16="http://schemas.microsoft.com/office/drawing/2014/chart" uri="{C3380CC4-5D6E-409C-BE32-E72D297353CC}">
              <c16:uniqueId val="{00000003-EB32-490F-97B2-C8C3110B0356}"/>
            </c:ext>
          </c:extLst>
        </c:ser>
        <c:ser>
          <c:idx val="4"/>
          <c:order val="4"/>
          <c:tx>
            <c:strRef>
              <c:f>AHS_tables!$DU$507</c:f>
              <c:strCache>
                <c:ptCount val="1"/>
                <c:pt idx="0">
                  <c:v>W</c:v>
                </c:pt>
              </c:strCache>
            </c:strRef>
          </c:tx>
          <c:val>
            <c:numRef>
              <c:f>AHS_tables!$DU$508:$DU$520</c:f>
              <c:numCache>
                <c:formatCode>#,##0</c:formatCode>
                <c:ptCount val="13"/>
                <c:pt idx="0">
                  <c:v>11411.335989999961</c:v>
                </c:pt>
                <c:pt idx="1">
                  <c:v>12068.715909999959</c:v>
                </c:pt>
                <c:pt idx="2">
                  <c:v>12344.183080000023</c:v>
                </c:pt>
                <c:pt idx="3">
                  <c:v>12862.171349258337</c:v>
                </c:pt>
                <c:pt idx="4">
                  <c:v>13182.131510000003</c:v>
                </c:pt>
                <c:pt idx="5">
                  <c:v>13482.280990000041</c:v>
                </c:pt>
                <c:pt idx="6">
                  <c:v>13979.957643330597</c:v>
                </c:pt>
                <c:pt idx="7">
                  <c:v>15004.55069446069</c:v>
                </c:pt>
                <c:pt idx="8">
                  <c:v>15761.951234583154</c:v>
                </c:pt>
                <c:pt idx="9">
                  <c:v>15738.645867075556</c:v>
                </c:pt>
                <c:pt idx="10">
                  <c:v>16262.347899287051</c:v>
                </c:pt>
                <c:pt idx="11">
                  <c:v>16679.5679840306</c:v>
                </c:pt>
                <c:pt idx="12">
                  <c:v>16814.002758831459</c:v>
                </c:pt>
              </c:numCache>
            </c:numRef>
          </c:val>
          <c:smooth val="0"/>
          <c:extLst>
            <c:ext xmlns:c16="http://schemas.microsoft.com/office/drawing/2014/chart" uri="{C3380CC4-5D6E-409C-BE32-E72D297353CC}">
              <c16:uniqueId val="{00000004-EB32-490F-97B2-C8C3110B0356}"/>
            </c:ext>
          </c:extLst>
        </c:ser>
        <c:ser>
          <c:idx val="5"/>
          <c:order val="5"/>
          <c:tx>
            <c:strRef>
              <c:f>AHS_tables!$DV$507</c:f>
              <c:strCache>
                <c:ptCount val="1"/>
                <c:pt idx="0">
                  <c:v>0</c:v>
                </c:pt>
              </c:strCache>
            </c:strRef>
          </c:tx>
          <c:val>
            <c:numRef>
              <c:f>AHS_tables!$DV$508:$DV$520</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5-EB32-490F-97B2-C8C3110B0356}"/>
            </c:ext>
          </c:extLst>
        </c:ser>
        <c:dLbls>
          <c:showLegendKey val="0"/>
          <c:showVal val="0"/>
          <c:showCatName val="0"/>
          <c:showSerName val="0"/>
          <c:showPercent val="0"/>
          <c:showBubbleSize val="0"/>
        </c:dLbls>
        <c:marker val="1"/>
        <c:smooth val="0"/>
        <c:axId val="217064960"/>
        <c:axId val="217066496"/>
      </c:lineChart>
      <c:catAx>
        <c:axId val="217064960"/>
        <c:scaling>
          <c:orientation val="minMax"/>
        </c:scaling>
        <c:delete val="0"/>
        <c:axPos val="b"/>
        <c:majorTickMark val="out"/>
        <c:minorTickMark val="none"/>
        <c:tickLblPos val="nextTo"/>
        <c:crossAx val="217066496"/>
        <c:crosses val="autoZero"/>
        <c:auto val="1"/>
        <c:lblAlgn val="ctr"/>
        <c:lblOffset val="100"/>
        <c:noMultiLvlLbl val="0"/>
      </c:catAx>
      <c:valAx>
        <c:axId val="217066496"/>
        <c:scaling>
          <c:orientation val="minMax"/>
        </c:scaling>
        <c:delete val="0"/>
        <c:axPos val="l"/>
        <c:majorGridlines/>
        <c:numFmt formatCode="General" sourceLinked="1"/>
        <c:majorTickMark val="out"/>
        <c:minorTickMark val="none"/>
        <c:tickLblPos val="nextTo"/>
        <c:crossAx val="217064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AHS_tables!$DZ$527</c:f>
              <c:strCache>
                <c:ptCount val="1"/>
                <c:pt idx="0">
                  <c:v>NE</c:v>
                </c:pt>
              </c:strCache>
            </c:strRef>
          </c:tx>
          <c:cat>
            <c:numRef>
              <c:f>AHS_tables!$DZ$528:$DZ$541</c:f>
              <c:numCache>
                <c:formatCode>0.0000</c:formatCode>
                <c:ptCount val="14"/>
                <c:pt idx="0">
                  <c:v>0.18248202412130138</c:v>
                </c:pt>
                <c:pt idx="1">
                  <c:v>0.17957476992974591</c:v>
                </c:pt>
                <c:pt idx="2">
                  <c:v>0.18089754124543547</c:v>
                </c:pt>
                <c:pt idx="3">
                  <c:v>0.17980441881291495</c:v>
                </c:pt>
                <c:pt idx="4">
                  <c:v>0.17549370615171411</c:v>
                </c:pt>
                <c:pt idx="5">
                  <c:v>0.17158701344102159</c:v>
                </c:pt>
                <c:pt idx="6">
                  <c:v>0.17400937960084559</c:v>
                </c:pt>
                <c:pt idx="7">
                  <c:v>0.17583019554922638</c:v>
                </c:pt>
                <c:pt idx="8">
                  <c:v>0.17520152447513695</c:v>
                </c:pt>
                <c:pt idx="9">
                  <c:v>0.17315636542555254</c:v>
                </c:pt>
                <c:pt idx="10">
                  <c:v>0.16899698147249101</c:v>
                </c:pt>
                <c:pt idx="11">
                  <c:v>0.16696356213632899</c:v>
                </c:pt>
                <c:pt idx="12">
                  <c:v>0.16748812361556842</c:v>
                </c:pt>
                <c:pt idx="13">
                  <c:v>0.16503815386453652</c:v>
                </c:pt>
              </c:numCache>
            </c:numRef>
          </c:cat>
          <c:val>
            <c:numRef>
              <c:f>AHS_tables!$EA$528:$EA$541</c:f>
              <c:numCache>
                <c:formatCode>0.0000</c:formatCode>
                <c:ptCount val="14"/>
                <c:pt idx="0">
                  <c:v>0.26650512497347445</c:v>
                </c:pt>
                <c:pt idx="1">
                  <c:v>0.26025947176729719</c:v>
                </c:pt>
                <c:pt idx="2">
                  <c:v>0.25918228424339929</c:v>
                </c:pt>
                <c:pt idx="3">
                  <c:v>0.25415184934124946</c:v>
                </c:pt>
                <c:pt idx="4">
                  <c:v>0.25478334576564776</c:v>
                </c:pt>
                <c:pt idx="5">
                  <c:v>0.26157143532190535</c:v>
                </c:pt>
                <c:pt idx="6">
                  <c:v>0.25719741077858432</c:v>
                </c:pt>
                <c:pt idx="7">
                  <c:v>0.25330418191899273</c:v>
                </c:pt>
                <c:pt idx="8">
                  <c:v>0.24817162394912984</c:v>
                </c:pt>
                <c:pt idx="9">
                  <c:v>0.24794542040899339</c:v>
                </c:pt>
                <c:pt idx="10">
                  <c:v>0.24617487194565077</c:v>
                </c:pt>
                <c:pt idx="11">
                  <c:v>0.24178316684595744</c:v>
                </c:pt>
                <c:pt idx="12">
                  <c:v>0.24033357806408726</c:v>
                </c:pt>
                <c:pt idx="13">
                  <c:v>0.23762637383520471</c:v>
                </c:pt>
              </c:numCache>
            </c:numRef>
          </c:val>
          <c:smooth val="0"/>
          <c:extLst>
            <c:ext xmlns:c16="http://schemas.microsoft.com/office/drawing/2014/chart" uri="{C3380CC4-5D6E-409C-BE32-E72D297353CC}">
              <c16:uniqueId val="{00000000-70A8-4672-9F9B-0472AD34BAF0}"/>
            </c:ext>
          </c:extLst>
        </c:ser>
        <c:ser>
          <c:idx val="1"/>
          <c:order val="1"/>
          <c:tx>
            <c:strRef>
              <c:f>AHS_tables!$EA$527</c:f>
              <c:strCache>
                <c:ptCount val="1"/>
                <c:pt idx="0">
                  <c:v>MW</c:v>
                </c:pt>
              </c:strCache>
            </c:strRef>
          </c:tx>
          <c:cat>
            <c:numRef>
              <c:f>AHS_tables!$DZ$528:$DZ$541</c:f>
              <c:numCache>
                <c:formatCode>0.0000</c:formatCode>
                <c:ptCount val="14"/>
                <c:pt idx="0">
                  <c:v>0.18248202412130138</c:v>
                </c:pt>
                <c:pt idx="1">
                  <c:v>0.17957476992974591</c:v>
                </c:pt>
                <c:pt idx="2">
                  <c:v>0.18089754124543547</c:v>
                </c:pt>
                <c:pt idx="3">
                  <c:v>0.17980441881291495</c:v>
                </c:pt>
                <c:pt idx="4">
                  <c:v>0.17549370615171411</c:v>
                </c:pt>
                <c:pt idx="5">
                  <c:v>0.17158701344102159</c:v>
                </c:pt>
                <c:pt idx="6">
                  <c:v>0.17400937960084559</c:v>
                </c:pt>
                <c:pt idx="7">
                  <c:v>0.17583019554922638</c:v>
                </c:pt>
                <c:pt idx="8">
                  <c:v>0.17520152447513695</c:v>
                </c:pt>
                <c:pt idx="9">
                  <c:v>0.17315636542555254</c:v>
                </c:pt>
                <c:pt idx="10">
                  <c:v>0.16899698147249101</c:v>
                </c:pt>
                <c:pt idx="11">
                  <c:v>0.16696356213632899</c:v>
                </c:pt>
                <c:pt idx="12">
                  <c:v>0.16748812361556842</c:v>
                </c:pt>
                <c:pt idx="13">
                  <c:v>0.16503815386453652</c:v>
                </c:pt>
              </c:numCache>
            </c:numRef>
          </c:cat>
          <c:val>
            <c:numRef>
              <c:f>AHS_tables!$EB$528:$EB$541</c:f>
              <c:numCache>
                <c:formatCode>0.0000</c:formatCode>
                <c:ptCount val="14"/>
                <c:pt idx="0">
                  <c:v>0.35818277597716036</c:v>
                </c:pt>
                <c:pt idx="1">
                  <c:v>0.36353651581554786</c:v>
                </c:pt>
                <c:pt idx="2">
                  <c:v>0.36461484786862974</c:v>
                </c:pt>
                <c:pt idx="3">
                  <c:v>0.36164543939172372</c:v>
                </c:pt>
                <c:pt idx="4">
                  <c:v>0.36469024978260467</c:v>
                </c:pt>
                <c:pt idx="5">
                  <c:v>0.36370854135544639</c:v>
                </c:pt>
                <c:pt idx="6">
                  <c:v>0.36305850401976225</c:v>
                </c:pt>
                <c:pt idx="7">
                  <c:v>0.36100886522153613</c:v>
                </c:pt>
                <c:pt idx="8">
                  <c:v>0.36486895201137981</c:v>
                </c:pt>
                <c:pt idx="9">
                  <c:v>0.36628729256057369</c:v>
                </c:pt>
                <c:pt idx="10">
                  <c:v>0.37126329452681478</c:v>
                </c:pt>
                <c:pt idx="11">
                  <c:v>0.37600792153188123</c:v>
                </c:pt>
                <c:pt idx="12">
                  <c:v>0.37948242676800287</c:v>
                </c:pt>
                <c:pt idx="13">
                  <c:v>0.38087208977606563</c:v>
                </c:pt>
              </c:numCache>
            </c:numRef>
          </c:val>
          <c:smooth val="0"/>
          <c:extLst>
            <c:ext xmlns:c16="http://schemas.microsoft.com/office/drawing/2014/chart" uri="{C3380CC4-5D6E-409C-BE32-E72D297353CC}">
              <c16:uniqueId val="{00000001-70A8-4672-9F9B-0472AD34BAF0}"/>
            </c:ext>
          </c:extLst>
        </c:ser>
        <c:ser>
          <c:idx val="2"/>
          <c:order val="2"/>
          <c:tx>
            <c:strRef>
              <c:f>AHS_tables!$EB$527</c:f>
              <c:strCache>
                <c:ptCount val="1"/>
                <c:pt idx="0">
                  <c:v>S</c:v>
                </c:pt>
              </c:strCache>
            </c:strRef>
          </c:tx>
          <c:cat>
            <c:numRef>
              <c:f>AHS_tables!$DZ$528:$DZ$541</c:f>
              <c:numCache>
                <c:formatCode>0.0000</c:formatCode>
                <c:ptCount val="14"/>
                <c:pt idx="0">
                  <c:v>0.18248202412130138</c:v>
                </c:pt>
                <c:pt idx="1">
                  <c:v>0.17957476992974591</c:v>
                </c:pt>
                <c:pt idx="2">
                  <c:v>0.18089754124543547</c:v>
                </c:pt>
                <c:pt idx="3">
                  <c:v>0.17980441881291495</c:v>
                </c:pt>
                <c:pt idx="4">
                  <c:v>0.17549370615171411</c:v>
                </c:pt>
                <c:pt idx="5">
                  <c:v>0.17158701344102159</c:v>
                </c:pt>
                <c:pt idx="6">
                  <c:v>0.17400937960084559</c:v>
                </c:pt>
                <c:pt idx="7">
                  <c:v>0.17583019554922638</c:v>
                </c:pt>
                <c:pt idx="8">
                  <c:v>0.17520152447513695</c:v>
                </c:pt>
                <c:pt idx="9">
                  <c:v>0.17315636542555254</c:v>
                </c:pt>
                <c:pt idx="10">
                  <c:v>0.16899698147249101</c:v>
                </c:pt>
                <c:pt idx="11">
                  <c:v>0.16696356213632899</c:v>
                </c:pt>
                <c:pt idx="12">
                  <c:v>0.16748812361556842</c:v>
                </c:pt>
                <c:pt idx="13">
                  <c:v>0.16503815386453652</c:v>
                </c:pt>
              </c:numCache>
            </c:numRef>
          </c:cat>
          <c:val>
            <c:numRef>
              <c:f>AHS_tables!$EC$528:$EC$541</c:f>
              <c:numCache>
                <c:formatCode>0.0000</c:formatCode>
                <c:ptCount val="14"/>
                <c:pt idx="0">
                  <c:v>0.19283007492808343</c:v>
                </c:pt>
                <c:pt idx="1">
                  <c:v>0.19662924248741176</c:v>
                </c:pt>
                <c:pt idx="2">
                  <c:v>0.19530532664252842</c:v>
                </c:pt>
                <c:pt idx="3">
                  <c:v>0.20439829245408705</c:v>
                </c:pt>
                <c:pt idx="4">
                  <c:v>0.20503269830001741</c:v>
                </c:pt>
                <c:pt idx="5">
                  <c:v>0.20313300988165417</c:v>
                </c:pt>
                <c:pt idx="6">
                  <c:v>0.20573470560080737</c:v>
                </c:pt>
                <c:pt idx="7">
                  <c:v>0.20985675731024456</c:v>
                </c:pt>
                <c:pt idx="8">
                  <c:v>0.21175789956434968</c:v>
                </c:pt>
                <c:pt idx="9">
                  <c:v>0.21261092160486508</c:v>
                </c:pt>
                <c:pt idx="10">
                  <c:v>0.21356485205503828</c:v>
                </c:pt>
                <c:pt idx="11">
                  <c:v>0.2152453494858535</c:v>
                </c:pt>
                <c:pt idx="12">
                  <c:v>0.21269587155233927</c:v>
                </c:pt>
                <c:pt idx="13">
                  <c:v>0.21646338252419947</c:v>
                </c:pt>
              </c:numCache>
            </c:numRef>
          </c:val>
          <c:smooth val="0"/>
          <c:extLst>
            <c:ext xmlns:c16="http://schemas.microsoft.com/office/drawing/2014/chart" uri="{C3380CC4-5D6E-409C-BE32-E72D297353CC}">
              <c16:uniqueId val="{00000002-70A8-4672-9F9B-0472AD34BAF0}"/>
            </c:ext>
          </c:extLst>
        </c:ser>
        <c:ser>
          <c:idx val="3"/>
          <c:order val="3"/>
          <c:tx>
            <c:strRef>
              <c:f>AHS_tables!$EC$527</c:f>
              <c:strCache>
                <c:ptCount val="1"/>
                <c:pt idx="0">
                  <c:v>W</c:v>
                </c:pt>
              </c:strCache>
            </c:strRef>
          </c:tx>
          <c:cat>
            <c:numRef>
              <c:f>AHS_tables!$DZ$528:$DZ$541</c:f>
              <c:numCache>
                <c:formatCode>0.0000</c:formatCode>
                <c:ptCount val="14"/>
                <c:pt idx="0">
                  <c:v>0.18248202412130138</c:v>
                </c:pt>
                <c:pt idx="1">
                  <c:v>0.17957476992974591</c:v>
                </c:pt>
                <c:pt idx="2">
                  <c:v>0.18089754124543547</c:v>
                </c:pt>
                <c:pt idx="3">
                  <c:v>0.17980441881291495</c:v>
                </c:pt>
                <c:pt idx="4">
                  <c:v>0.17549370615171411</c:v>
                </c:pt>
                <c:pt idx="5">
                  <c:v>0.17158701344102159</c:v>
                </c:pt>
                <c:pt idx="6">
                  <c:v>0.17400937960084559</c:v>
                </c:pt>
                <c:pt idx="7">
                  <c:v>0.17583019554922638</c:v>
                </c:pt>
                <c:pt idx="8">
                  <c:v>0.17520152447513695</c:v>
                </c:pt>
                <c:pt idx="9">
                  <c:v>0.17315636542555254</c:v>
                </c:pt>
                <c:pt idx="10">
                  <c:v>0.16899698147249101</c:v>
                </c:pt>
                <c:pt idx="11">
                  <c:v>0.16696356213632899</c:v>
                </c:pt>
                <c:pt idx="12">
                  <c:v>0.16748812361556842</c:v>
                </c:pt>
                <c:pt idx="13">
                  <c:v>0.16503815386453652</c:v>
                </c:pt>
              </c:numCache>
            </c:numRef>
          </c:cat>
          <c:val>
            <c:numRef>
              <c:f>AHS_tables!$ED$528:$ED$541</c:f>
              <c:numCache>
                <c:formatCode>0.000</c:formatCode>
                <c:ptCount val="14"/>
              </c:numCache>
            </c:numRef>
          </c:val>
          <c:smooth val="0"/>
          <c:extLst>
            <c:ext xmlns:c16="http://schemas.microsoft.com/office/drawing/2014/chart" uri="{C3380CC4-5D6E-409C-BE32-E72D297353CC}">
              <c16:uniqueId val="{00000003-70A8-4672-9F9B-0472AD34BAF0}"/>
            </c:ext>
          </c:extLst>
        </c:ser>
        <c:dLbls>
          <c:showLegendKey val="0"/>
          <c:showVal val="0"/>
          <c:showCatName val="0"/>
          <c:showSerName val="0"/>
          <c:showPercent val="0"/>
          <c:showBubbleSize val="0"/>
        </c:dLbls>
        <c:marker val="1"/>
        <c:smooth val="0"/>
        <c:axId val="217097344"/>
        <c:axId val="217098880"/>
      </c:lineChart>
      <c:catAx>
        <c:axId val="217097344"/>
        <c:scaling>
          <c:orientation val="minMax"/>
        </c:scaling>
        <c:delete val="0"/>
        <c:axPos val="b"/>
        <c:numFmt formatCode="0.0000" sourceLinked="1"/>
        <c:majorTickMark val="out"/>
        <c:minorTickMark val="none"/>
        <c:tickLblPos val="nextTo"/>
        <c:crossAx val="217098880"/>
        <c:crosses val="autoZero"/>
        <c:auto val="1"/>
        <c:lblAlgn val="ctr"/>
        <c:lblOffset val="100"/>
        <c:noMultiLvlLbl val="0"/>
      </c:catAx>
      <c:valAx>
        <c:axId val="217098880"/>
        <c:scaling>
          <c:orientation val="minMax"/>
        </c:scaling>
        <c:delete val="0"/>
        <c:axPos val="l"/>
        <c:majorGridlines/>
        <c:numFmt formatCode="0.0000" sourceLinked="1"/>
        <c:majorTickMark val="out"/>
        <c:minorTickMark val="none"/>
        <c:tickLblPos val="nextTo"/>
        <c:crossAx val="217097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41214881252425"/>
          <c:y val="6.3881146358233498E-2"/>
          <c:w val="0.76105659561433536"/>
          <c:h val="0.78278032954214061"/>
        </c:manualLayout>
      </c:layout>
      <c:lineChart>
        <c:grouping val="standard"/>
        <c:varyColors val="0"/>
        <c:ser>
          <c:idx val="0"/>
          <c:order val="0"/>
          <c:tx>
            <c:strRef>
              <c:f>AHS_tables!$EG$507</c:f>
              <c:strCache>
                <c:ptCount val="1"/>
                <c:pt idx="0">
                  <c:v>NE</c:v>
                </c:pt>
              </c:strCache>
            </c:strRef>
          </c:tx>
          <c:marker>
            <c:symbol val="diamond"/>
            <c:size val="4"/>
          </c:marker>
          <c:cat>
            <c:numRef>
              <c:f>AHS_tables!$EF$508:$EF$541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AHS_tables!$EG$508:$EG$541</c:f>
              <c:numCache>
                <c:formatCode>0.0000</c:formatCode>
                <c:ptCount val="34"/>
                <c:pt idx="0" formatCode="0.00000">
                  <c:v>0.18248202412130138</c:v>
                </c:pt>
                <c:pt idx="1">
                  <c:v>0.18102839702552365</c:v>
                </c:pt>
                <c:pt idx="2">
                  <c:v>0.17957476992974591</c:v>
                </c:pt>
                <c:pt idx="3">
                  <c:v>0.18023615558759071</c:v>
                </c:pt>
                <c:pt idx="4">
                  <c:v>0.18089754124543547</c:v>
                </c:pt>
                <c:pt idx="5">
                  <c:v>0.18035098002917521</c:v>
                </c:pt>
                <c:pt idx="6">
                  <c:v>0.17980441881291495</c:v>
                </c:pt>
                <c:pt idx="7">
                  <c:v>0.17764906248231455</c:v>
                </c:pt>
                <c:pt idx="8">
                  <c:v>0.17549370615171411</c:v>
                </c:pt>
                <c:pt idx="9">
                  <c:v>0.17354035979636784</c:v>
                </c:pt>
                <c:pt idx="10">
                  <c:v>0.17158701344102159</c:v>
                </c:pt>
                <c:pt idx="11">
                  <c:v>0.17279819652093359</c:v>
                </c:pt>
                <c:pt idx="12">
                  <c:v>0.17400937960084559</c:v>
                </c:pt>
                <c:pt idx="13">
                  <c:v>0.17491978757503598</c:v>
                </c:pt>
                <c:pt idx="14">
                  <c:v>0.17583019554922638</c:v>
                </c:pt>
                <c:pt idx="15">
                  <c:v>0.17551586001218167</c:v>
                </c:pt>
                <c:pt idx="16">
                  <c:v>0.17520152447513695</c:v>
                </c:pt>
                <c:pt idx="17">
                  <c:v>0.17417894495034475</c:v>
                </c:pt>
                <c:pt idx="18">
                  <c:v>0.17315636542555254</c:v>
                </c:pt>
                <c:pt idx="19">
                  <c:v>0.17107667344902178</c:v>
                </c:pt>
                <c:pt idx="20">
                  <c:v>0.16899698147249101</c:v>
                </c:pt>
                <c:pt idx="21">
                  <c:v>0.16798027180441</c:v>
                </c:pt>
                <c:pt idx="22">
                  <c:v>0.16696356213632899</c:v>
                </c:pt>
                <c:pt idx="23">
                  <c:v>0.16722584287594872</c:v>
                </c:pt>
                <c:pt idx="24">
                  <c:v>0.16748812361556842</c:v>
                </c:pt>
                <c:pt idx="25">
                  <c:v>0.16626313874005247</c:v>
                </c:pt>
                <c:pt idx="26">
                  <c:v>0.16503815386453652</c:v>
                </c:pt>
                <c:pt idx="27">
                  <c:v>0.16583794418793221</c:v>
                </c:pt>
                <c:pt idx="28">
                  <c:v>0.16663773451132791</c:v>
                </c:pt>
                <c:pt idx="29">
                  <c:v>0.16575689531058496</c:v>
                </c:pt>
                <c:pt idx="30">
                  <c:v>0.16487605610984199</c:v>
                </c:pt>
                <c:pt idx="31">
                  <c:v>0.16386198889618475</c:v>
                </c:pt>
                <c:pt idx="32">
                  <c:v>0.16284792168252749</c:v>
                </c:pt>
                <c:pt idx="33">
                  <c:v>0.16284792168252749</c:v>
                </c:pt>
              </c:numCache>
            </c:numRef>
          </c:val>
          <c:smooth val="0"/>
          <c:extLst>
            <c:ext xmlns:c16="http://schemas.microsoft.com/office/drawing/2014/chart" uri="{C3380CC4-5D6E-409C-BE32-E72D297353CC}">
              <c16:uniqueId val="{00000000-DC1B-46D8-9073-704F2BE7E8AE}"/>
            </c:ext>
          </c:extLst>
        </c:ser>
        <c:ser>
          <c:idx val="1"/>
          <c:order val="1"/>
          <c:tx>
            <c:strRef>
              <c:f>AHS_tables!$EH$507</c:f>
              <c:strCache>
                <c:ptCount val="1"/>
                <c:pt idx="0">
                  <c:v>MW</c:v>
                </c:pt>
              </c:strCache>
            </c:strRef>
          </c:tx>
          <c:marker>
            <c:symbol val="square"/>
            <c:size val="4"/>
          </c:marker>
          <c:cat>
            <c:numRef>
              <c:f>AHS_tables!$EF$508:$EF$541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AHS_tables!$EH$508:$EH$541</c:f>
              <c:numCache>
                <c:formatCode>0.0000</c:formatCode>
                <c:ptCount val="34"/>
                <c:pt idx="0">
                  <c:v>0.26650512497347445</c:v>
                </c:pt>
                <c:pt idx="1">
                  <c:v>0.26338229837038585</c:v>
                </c:pt>
                <c:pt idx="2">
                  <c:v>0.26025947176729719</c:v>
                </c:pt>
                <c:pt idx="3">
                  <c:v>0.25972087800534827</c:v>
                </c:pt>
                <c:pt idx="4">
                  <c:v>0.25918228424339929</c:v>
                </c:pt>
                <c:pt idx="5">
                  <c:v>0.25666706679232437</c:v>
                </c:pt>
                <c:pt idx="6">
                  <c:v>0.25415184934124946</c:v>
                </c:pt>
                <c:pt idx="7">
                  <c:v>0.25446759755344861</c:v>
                </c:pt>
                <c:pt idx="8">
                  <c:v>0.25478334576564776</c:v>
                </c:pt>
                <c:pt idx="9">
                  <c:v>0.25817739054377653</c:v>
                </c:pt>
                <c:pt idx="10">
                  <c:v>0.26157143532190535</c:v>
                </c:pt>
                <c:pt idx="11">
                  <c:v>0.25938442305024484</c:v>
                </c:pt>
                <c:pt idx="12">
                  <c:v>0.25719741077858432</c:v>
                </c:pt>
                <c:pt idx="13">
                  <c:v>0.25525079634878856</c:v>
                </c:pt>
                <c:pt idx="14">
                  <c:v>0.25330418191899273</c:v>
                </c:pt>
                <c:pt idx="15">
                  <c:v>0.25073790293406129</c:v>
                </c:pt>
                <c:pt idx="16">
                  <c:v>0.24817162394912984</c:v>
                </c:pt>
                <c:pt idx="17">
                  <c:v>0.2480585221790616</c:v>
                </c:pt>
                <c:pt idx="18">
                  <c:v>0.24794542040899339</c:v>
                </c:pt>
                <c:pt idx="19">
                  <c:v>0.24706014617732208</c:v>
                </c:pt>
                <c:pt idx="20">
                  <c:v>0.24617487194565077</c:v>
                </c:pt>
                <c:pt idx="21">
                  <c:v>0.2439790193958041</c:v>
                </c:pt>
                <c:pt idx="22">
                  <c:v>0.24178316684595744</c:v>
                </c:pt>
                <c:pt idx="23">
                  <c:v>0.24105837245502235</c:v>
                </c:pt>
                <c:pt idx="24">
                  <c:v>0.24033357806408726</c:v>
                </c:pt>
                <c:pt idx="25">
                  <c:v>0.23897997594964598</c:v>
                </c:pt>
                <c:pt idx="26">
                  <c:v>0.23762637383520471</c:v>
                </c:pt>
                <c:pt idx="27">
                  <c:v>0.23786606172881092</c:v>
                </c:pt>
                <c:pt idx="28">
                  <c:v>0.23810574962241712</c:v>
                </c:pt>
                <c:pt idx="29">
                  <c:v>0.2379675929004087</c:v>
                </c:pt>
                <c:pt idx="30">
                  <c:v>0.23782943617840027</c:v>
                </c:pt>
                <c:pt idx="31">
                  <c:v>0.238648588456816</c:v>
                </c:pt>
                <c:pt idx="32">
                  <c:v>0.23946774073523172</c:v>
                </c:pt>
                <c:pt idx="33">
                  <c:v>0.23946774073523172</c:v>
                </c:pt>
              </c:numCache>
            </c:numRef>
          </c:val>
          <c:smooth val="0"/>
          <c:extLst>
            <c:ext xmlns:c16="http://schemas.microsoft.com/office/drawing/2014/chart" uri="{C3380CC4-5D6E-409C-BE32-E72D297353CC}">
              <c16:uniqueId val="{00000001-DC1B-46D8-9073-704F2BE7E8AE}"/>
            </c:ext>
          </c:extLst>
        </c:ser>
        <c:ser>
          <c:idx val="2"/>
          <c:order val="2"/>
          <c:tx>
            <c:strRef>
              <c:f>AHS_tables!$EI$507</c:f>
              <c:strCache>
                <c:ptCount val="1"/>
                <c:pt idx="0">
                  <c:v>S</c:v>
                </c:pt>
              </c:strCache>
            </c:strRef>
          </c:tx>
          <c:marker>
            <c:symbol val="triangle"/>
            <c:size val="4"/>
          </c:marker>
          <c:cat>
            <c:numRef>
              <c:f>AHS_tables!$EF$508:$EF$541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AHS_tables!$EI$508:$EI$541</c:f>
              <c:numCache>
                <c:formatCode>0.0000</c:formatCode>
                <c:ptCount val="34"/>
                <c:pt idx="0">
                  <c:v>0.35818277597716036</c:v>
                </c:pt>
                <c:pt idx="1">
                  <c:v>0.36085964589635411</c:v>
                </c:pt>
                <c:pt idx="2">
                  <c:v>0.36353651581554786</c:v>
                </c:pt>
                <c:pt idx="3">
                  <c:v>0.36407568184208883</c:v>
                </c:pt>
                <c:pt idx="4">
                  <c:v>0.36461484786862974</c:v>
                </c:pt>
                <c:pt idx="5">
                  <c:v>0.3631301436301767</c:v>
                </c:pt>
                <c:pt idx="6">
                  <c:v>0.36164543939172372</c:v>
                </c:pt>
                <c:pt idx="7">
                  <c:v>0.36316784458716422</c:v>
                </c:pt>
                <c:pt idx="8">
                  <c:v>0.36469024978260467</c:v>
                </c:pt>
                <c:pt idx="9">
                  <c:v>0.36419939556902553</c:v>
                </c:pt>
                <c:pt idx="10">
                  <c:v>0.36370854135544639</c:v>
                </c:pt>
                <c:pt idx="11">
                  <c:v>0.36338352268760432</c:v>
                </c:pt>
                <c:pt idx="12">
                  <c:v>0.36305850401976225</c:v>
                </c:pt>
                <c:pt idx="13">
                  <c:v>0.36203368462064922</c:v>
                </c:pt>
                <c:pt idx="14">
                  <c:v>0.36100886522153613</c:v>
                </c:pt>
                <c:pt idx="15">
                  <c:v>0.36293890861645794</c:v>
                </c:pt>
                <c:pt idx="16">
                  <c:v>0.36486895201137981</c:v>
                </c:pt>
                <c:pt idx="17">
                  <c:v>0.36557812228597675</c:v>
                </c:pt>
                <c:pt idx="18">
                  <c:v>0.36628729256057369</c:v>
                </c:pt>
                <c:pt idx="19">
                  <c:v>0.3687752935436942</c:v>
                </c:pt>
                <c:pt idx="20">
                  <c:v>0.37126329452681478</c:v>
                </c:pt>
                <c:pt idx="21">
                  <c:v>0.37363560802934803</c:v>
                </c:pt>
                <c:pt idx="22">
                  <c:v>0.37600792153188123</c:v>
                </c:pt>
                <c:pt idx="23">
                  <c:v>0.37774517414994202</c:v>
                </c:pt>
                <c:pt idx="24">
                  <c:v>0.37948242676800287</c:v>
                </c:pt>
                <c:pt idx="25">
                  <c:v>0.38017725827203425</c:v>
                </c:pt>
                <c:pt idx="26">
                  <c:v>0.38087208977606563</c:v>
                </c:pt>
                <c:pt idx="27">
                  <c:v>0.38001645257638478</c:v>
                </c:pt>
                <c:pt idx="28">
                  <c:v>0.37916081537670393</c:v>
                </c:pt>
                <c:pt idx="29">
                  <c:v>0.37838963366170064</c:v>
                </c:pt>
                <c:pt idx="30">
                  <c:v>0.37761845194669741</c:v>
                </c:pt>
                <c:pt idx="31">
                  <c:v>0.3784972146158323</c:v>
                </c:pt>
                <c:pt idx="32">
                  <c:v>0.37937597728496719</c:v>
                </c:pt>
                <c:pt idx="33">
                  <c:v>0.37937597728496719</c:v>
                </c:pt>
              </c:numCache>
            </c:numRef>
          </c:val>
          <c:smooth val="0"/>
          <c:extLst>
            <c:ext xmlns:c16="http://schemas.microsoft.com/office/drawing/2014/chart" uri="{C3380CC4-5D6E-409C-BE32-E72D297353CC}">
              <c16:uniqueId val="{00000002-DC1B-46D8-9073-704F2BE7E8AE}"/>
            </c:ext>
          </c:extLst>
        </c:ser>
        <c:ser>
          <c:idx val="3"/>
          <c:order val="3"/>
          <c:tx>
            <c:strRef>
              <c:f>AHS_tables!$EJ$507</c:f>
              <c:strCache>
                <c:ptCount val="1"/>
                <c:pt idx="0">
                  <c:v>W</c:v>
                </c:pt>
              </c:strCache>
            </c:strRef>
          </c:tx>
          <c:marker>
            <c:symbol val="x"/>
            <c:size val="4"/>
          </c:marker>
          <c:cat>
            <c:numRef>
              <c:f>AHS_tables!$EF$508:$EF$541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AHS_tables!$EJ$508:$EJ$541</c:f>
              <c:numCache>
                <c:formatCode>0.0000</c:formatCode>
                <c:ptCount val="34"/>
                <c:pt idx="0">
                  <c:v>0.19283007492808343</c:v>
                </c:pt>
                <c:pt idx="1">
                  <c:v>0.19472965870774761</c:v>
                </c:pt>
                <c:pt idx="2">
                  <c:v>0.19662924248741176</c:v>
                </c:pt>
                <c:pt idx="3">
                  <c:v>0.19596728456497009</c:v>
                </c:pt>
                <c:pt idx="4">
                  <c:v>0.19530532664252842</c:v>
                </c:pt>
                <c:pt idx="5">
                  <c:v>0.19985180954830772</c:v>
                </c:pt>
                <c:pt idx="6">
                  <c:v>0.20439829245408705</c:v>
                </c:pt>
                <c:pt idx="7">
                  <c:v>0.20471549537705225</c:v>
                </c:pt>
                <c:pt idx="8">
                  <c:v>0.20503269830001741</c:v>
                </c:pt>
                <c:pt idx="9">
                  <c:v>0.20408285409083579</c:v>
                </c:pt>
                <c:pt idx="10">
                  <c:v>0.20313300988165417</c:v>
                </c:pt>
                <c:pt idx="11">
                  <c:v>0.20443385774123077</c:v>
                </c:pt>
                <c:pt idx="12">
                  <c:v>0.20573470560080737</c:v>
                </c:pt>
                <c:pt idx="13">
                  <c:v>0.20779573145552596</c:v>
                </c:pt>
                <c:pt idx="14">
                  <c:v>0.20985675731024456</c:v>
                </c:pt>
                <c:pt idx="15">
                  <c:v>0.2108073284372971</c:v>
                </c:pt>
                <c:pt idx="16">
                  <c:v>0.21175789956434968</c:v>
                </c:pt>
                <c:pt idx="17">
                  <c:v>0.21218441058460738</c:v>
                </c:pt>
                <c:pt idx="18">
                  <c:v>0.21261092160486508</c:v>
                </c:pt>
                <c:pt idx="19">
                  <c:v>0.21308788682995167</c:v>
                </c:pt>
                <c:pt idx="20">
                  <c:v>0.21356485205503828</c:v>
                </c:pt>
                <c:pt idx="21">
                  <c:v>0.21440510077044589</c:v>
                </c:pt>
                <c:pt idx="22">
                  <c:v>0.2152453494858535</c:v>
                </c:pt>
                <c:pt idx="23">
                  <c:v>0.21397061051909638</c:v>
                </c:pt>
                <c:pt idx="24">
                  <c:v>0.21269587155233927</c:v>
                </c:pt>
                <c:pt idx="25">
                  <c:v>0.21457962703826938</c:v>
                </c:pt>
                <c:pt idx="26">
                  <c:v>0.21646338252419947</c:v>
                </c:pt>
                <c:pt idx="27">
                  <c:v>0.21627954150687528</c:v>
                </c:pt>
                <c:pt idx="28">
                  <c:v>0.21609570048955107</c:v>
                </c:pt>
                <c:pt idx="29">
                  <c:v>0.21788587812730575</c:v>
                </c:pt>
                <c:pt idx="30">
                  <c:v>0.21967605576506047</c:v>
                </c:pt>
                <c:pt idx="31">
                  <c:v>0.21899220803116692</c:v>
                </c:pt>
                <c:pt idx="32">
                  <c:v>0.21830836029727341</c:v>
                </c:pt>
                <c:pt idx="33">
                  <c:v>0.21830836029727341</c:v>
                </c:pt>
              </c:numCache>
            </c:numRef>
          </c:val>
          <c:smooth val="0"/>
          <c:extLst>
            <c:ext xmlns:c16="http://schemas.microsoft.com/office/drawing/2014/chart" uri="{C3380CC4-5D6E-409C-BE32-E72D297353CC}">
              <c16:uniqueId val="{00000003-DC1B-46D8-9073-704F2BE7E8AE}"/>
            </c:ext>
          </c:extLst>
        </c:ser>
        <c:dLbls>
          <c:showLegendKey val="0"/>
          <c:showVal val="0"/>
          <c:showCatName val="0"/>
          <c:showSerName val="0"/>
          <c:showPercent val="0"/>
          <c:showBubbleSize val="0"/>
        </c:dLbls>
        <c:marker val="1"/>
        <c:smooth val="0"/>
        <c:axId val="217207936"/>
        <c:axId val="217209472"/>
      </c:lineChart>
      <c:catAx>
        <c:axId val="217207936"/>
        <c:scaling>
          <c:orientation val="minMax"/>
        </c:scaling>
        <c:delete val="0"/>
        <c:axPos val="b"/>
        <c:numFmt formatCode="General" sourceLinked="1"/>
        <c:majorTickMark val="out"/>
        <c:minorTickMark val="none"/>
        <c:tickLblPos val="nextTo"/>
        <c:txPr>
          <a:bodyPr/>
          <a:lstStyle/>
          <a:p>
            <a:pPr>
              <a:defRPr sz="860" baseline="0"/>
            </a:pPr>
            <a:endParaRPr lang="en-US"/>
          </a:p>
        </c:txPr>
        <c:crossAx val="217209472"/>
        <c:crosses val="autoZero"/>
        <c:auto val="1"/>
        <c:lblAlgn val="ctr"/>
        <c:lblOffset val="100"/>
        <c:noMultiLvlLbl val="0"/>
      </c:catAx>
      <c:valAx>
        <c:axId val="217209472"/>
        <c:scaling>
          <c:orientation val="minMax"/>
        </c:scaling>
        <c:delete val="0"/>
        <c:axPos val="l"/>
        <c:majorGridlines/>
        <c:title>
          <c:tx>
            <c:rich>
              <a:bodyPr rot="-5400000" vert="horz"/>
              <a:lstStyle/>
              <a:p>
                <a:pPr>
                  <a:defRPr sz="1100" baseline="0"/>
                </a:pPr>
                <a:r>
                  <a:rPr lang="en-US" sz="1100" baseline="0"/>
                  <a:t>Regional share</a:t>
                </a:r>
              </a:p>
            </c:rich>
          </c:tx>
          <c:overlay val="0"/>
        </c:title>
        <c:numFmt formatCode="0.00000" sourceLinked="1"/>
        <c:majorTickMark val="out"/>
        <c:minorTickMark val="none"/>
        <c:tickLblPos val="nextTo"/>
        <c:txPr>
          <a:bodyPr/>
          <a:lstStyle/>
          <a:p>
            <a:pPr>
              <a:defRPr sz="900" baseline="0"/>
            </a:pPr>
            <a:endParaRPr lang="en-US"/>
          </a:p>
        </c:txPr>
        <c:crossAx val="217207936"/>
        <c:crosses val="autoZero"/>
        <c:crossBetween val="midCat"/>
      </c:valAx>
    </c:plotArea>
    <c:legend>
      <c:legendPos val="r"/>
      <c:layout>
        <c:manualLayout>
          <c:xMode val="edge"/>
          <c:yMode val="edge"/>
          <c:x val="0.2178458470723196"/>
          <c:y val="0.55944141914670165"/>
          <c:w val="0.25902280521570958"/>
          <c:h val="0.2423241733055592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10503174282704"/>
          <c:y val="7.0393528677767742E-2"/>
          <c:w val="0.70647890167575211"/>
          <c:h val="0.79488765543651307"/>
        </c:manualLayout>
      </c:layout>
      <c:lineChart>
        <c:grouping val="standard"/>
        <c:varyColors val="0"/>
        <c:ser>
          <c:idx val="0"/>
          <c:order val="0"/>
          <c:tx>
            <c:strRef>
              <c:f>AHS_tables!$DD$586</c:f>
              <c:strCache>
                <c:ptCount val="1"/>
                <c:pt idx="0">
                  <c:v>NE</c:v>
                </c:pt>
              </c:strCache>
            </c:strRef>
          </c:tx>
          <c:cat>
            <c:numRef>
              <c:f>AHS_tables!$DC$587:$DC$599</c:f>
              <c:numCache>
                <c:formatCode>General</c:formatCode>
                <c:ptCount val="13"/>
                <c:pt idx="0">
                  <c:v>1985</c:v>
                </c:pt>
                <c:pt idx="1">
                  <c:v>1987</c:v>
                </c:pt>
                <c:pt idx="2">
                  <c:v>1989</c:v>
                </c:pt>
                <c:pt idx="3">
                  <c:v>1991</c:v>
                </c:pt>
                <c:pt idx="4">
                  <c:v>1993</c:v>
                </c:pt>
                <c:pt idx="5">
                  <c:v>1995</c:v>
                </c:pt>
                <c:pt idx="6">
                  <c:v>1997</c:v>
                </c:pt>
                <c:pt idx="7">
                  <c:v>1999</c:v>
                </c:pt>
                <c:pt idx="8">
                  <c:v>2001</c:v>
                </c:pt>
                <c:pt idx="9">
                  <c:v>2003</c:v>
                </c:pt>
                <c:pt idx="10">
                  <c:v>2005</c:v>
                </c:pt>
                <c:pt idx="11">
                  <c:v>2007</c:v>
                </c:pt>
                <c:pt idx="12">
                  <c:v>2009</c:v>
                </c:pt>
              </c:numCache>
            </c:numRef>
          </c:cat>
          <c:val>
            <c:numRef>
              <c:f>AHS_tables!$DD$587:$DD$599</c:f>
              <c:numCache>
                <c:formatCode>#,##0.000</c:formatCode>
                <c:ptCount val="13"/>
                <c:pt idx="0">
                  <c:v>0.30579694400057594</c:v>
                </c:pt>
                <c:pt idx="1">
                  <c:v>0.30668655784003024</c:v>
                </c:pt>
                <c:pt idx="2">
                  <c:v>0.29611895255230408</c:v>
                </c:pt>
                <c:pt idx="3">
                  <c:v>0.29096904121690526</c:v>
                </c:pt>
                <c:pt idx="4">
                  <c:v>0.2856058780981528</c:v>
                </c:pt>
                <c:pt idx="5">
                  <c:v>0.2863354684469353</c:v>
                </c:pt>
                <c:pt idx="6">
                  <c:v>0.28276490218297812</c:v>
                </c:pt>
                <c:pt idx="7">
                  <c:v>0.2782882994266857</c:v>
                </c:pt>
                <c:pt idx="8">
                  <c:v>0.27212511148828167</c:v>
                </c:pt>
                <c:pt idx="9">
                  <c:v>0.27031678276213938</c:v>
                </c:pt>
                <c:pt idx="10">
                  <c:v>0.27031904853289623</c:v>
                </c:pt>
                <c:pt idx="11">
                  <c:v>0.26279256689291453</c:v>
                </c:pt>
                <c:pt idx="12">
                  <c:v>0.25742781555070077</c:v>
                </c:pt>
              </c:numCache>
            </c:numRef>
          </c:val>
          <c:smooth val="0"/>
          <c:extLst>
            <c:ext xmlns:c16="http://schemas.microsoft.com/office/drawing/2014/chart" uri="{C3380CC4-5D6E-409C-BE32-E72D297353CC}">
              <c16:uniqueId val="{00000000-4ADF-454F-9CC5-4BAD6BD3968B}"/>
            </c:ext>
          </c:extLst>
        </c:ser>
        <c:ser>
          <c:idx val="1"/>
          <c:order val="1"/>
          <c:tx>
            <c:strRef>
              <c:f>AHS_tables!$DE$586</c:f>
              <c:strCache>
                <c:ptCount val="1"/>
                <c:pt idx="0">
                  <c:v>MW</c:v>
                </c:pt>
              </c:strCache>
            </c:strRef>
          </c:tx>
          <c:cat>
            <c:numRef>
              <c:f>AHS_tables!$DC$587:$DC$599</c:f>
              <c:numCache>
                <c:formatCode>General</c:formatCode>
                <c:ptCount val="13"/>
                <c:pt idx="0">
                  <c:v>1985</c:v>
                </c:pt>
                <c:pt idx="1">
                  <c:v>1987</c:v>
                </c:pt>
                <c:pt idx="2">
                  <c:v>1989</c:v>
                </c:pt>
                <c:pt idx="3">
                  <c:v>1991</c:v>
                </c:pt>
                <c:pt idx="4">
                  <c:v>1993</c:v>
                </c:pt>
                <c:pt idx="5">
                  <c:v>1995</c:v>
                </c:pt>
                <c:pt idx="6">
                  <c:v>1997</c:v>
                </c:pt>
                <c:pt idx="7">
                  <c:v>1999</c:v>
                </c:pt>
                <c:pt idx="8">
                  <c:v>2001</c:v>
                </c:pt>
                <c:pt idx="9">
                  <c:v>2003</c:v>
                </c:pt>
                <c:pt idx="10">
                  <c:v>2005</c:v>
                </c:pt>
                <c:pt idx="11">
                  <c:v>2007</c:v>
                </c:pt>
                <c:pt idx="12">
                  <c:v>2009</c:v>
                </c:pt>
              </c:numCache>
            </c:numRef>
          </c:cat>
          <c:val>
            <c:numRef>
              <c:f>AHS_tables!$DE$587:$DE$599</c:f>
              <c:numCache>
                <c:formatCode>#,##0.000</c:formatCode>
                <c:ptCount val="13"/>
                <c:pt idx="0">
                  <c:v>0.22501532568112706</c:v>
                </c:pt>
                <c:pt idx="1">
                  <c:v>0.21635553807366559</c:v>
                </c:pt>
                <c:pt idx="2">
                  <c:v>0.21784156043186259</c:v>
                </c:pt>
                <c:pt idx="3">
                  <c:v>0.22298931132882838</c:v>
                </c:pt>
                <c:pt idx="4">
                  <c:v>0.22360681165728397</c:v>
                </c:pt>
                <c:pt idx="5">
                  <c:v>0.2155894983901388</c:v>
                </c:pt>
                <c:pt idx="6">
                  <c:v>0.21282368625150697</c:v>
                </c:pt>
                <c:pt idx="7">
                  <c:v>0.20681186605573071</c:v>
                </c:pt>
                <c:pt idx="8">
                  <c:v>0.2060174553150666</c:v>
                </c:pt>
                <c:pt idx="9">
                  <c:v>0.20007736555711675</c:v>
                </c:pt>
                <c:pt idx="10">
                  <c:v>0.19600209834129623</c:v>
                </c:pt>
                <c:pt idx="11">
                  <c:v>0.19898471793044545</c:v>
                </c:pt>
                <c:pt idx="12">
                  <c:v>0.20163709406954133</c:v>
                </c:pt>
              </c:numCache>
            </c:numRef>
          </c:val>
          <c:smooth val="0"/>
          <c:extLst>
            <c:ext xmlns:c16="http://schemas.microsoft.com/office/drawing/2014/chart" uri="{C3380CC4-5D6E-409C-BE32-E72D297353CC}">
              <c16:uniqueId val="{00000001-4ADF-454F-9CC5-4BAD6BD3968B}"/>
            </c:ext>
          </c:extLst>
        </c:ser>
        <c:ser>
          <c:idx val="2"/>
          <c:order val="2"/>
          <c:tx>
            <c:strRef>
              <c:f>AHS_tables!$DF$586</c:f>
              <c:strCache>
                <c:ptCount val="1"/>
                <c:pt idx="0">
                  <c:v>S</c:v>
                </c:pt>
              </c:strCache>
            </c:strRef>
          </c:tx>
          <c:cat>
            <c:numRef>
              <c:f>AHS_tables!$DC$587:$DC$599</c:f>
              <c:numCache>
                <c:formatCode>General</c:formatCode>
                <c:ptCount val="13"/>
                <c:pt idx="0">
                  <c:v>1985</c:v>
                </c:pt>
                <c:pt idx="1">
                  <c:v>1987</c:v>
                </c:pt>
                <c:pt idx="2">
                  <c:v>1989</c:v>
                </c:pt>
                <c:pt idx="3">
                  <c:v>1991</c:v>
                </c:pt>
                <c:pt idx="4">
                  <c:v>1993</c:v>
                </c:pt>
                <c:pt idx="5">
                  <c:v>1995</c:v>
                </c:pt>
                <c:pt idx="6">
                  <c:v>1997</c:v>
                </c:pt>
                <c:pt idx="7">
                  <c:v>1999</c:v>
                </c:pt>
                <c:pt idx="8">
                  <c:v>2001</c:v>
                </c:pt>
                <c:pt idx="9">
                  <c:v>2003</c:v>
                </c:pt>
                <c:pt idx="10">
                  <c:v>2005</c:v>
                </c:pt>
                <c:pt idx="11">
                  <c:v>2007</c:v>
                </c:pt>
                <c:pt idx="12">
                  <c:v>2009</c:v>
                </c:pt>
              </c:numCache>
            </c:numRef>
          </c:cat>
          <c:val>
            <c:numRef>
              <c:f>AHS_tables!$DF$587:$DF$599</c:f>
              <c:numCache>
                <c:formatCode>#,##0.000</c:formatCode>
                <c:ptCount val="13"/>
                <c:pt idx="0">
                  <c:v>0.26240607148843675</c:v>
                </c:pt>
                <c:pt idx="1">
                  <c:v>0.2629358293257576</c:v>
                </c:pt>
                <c:pt idx="2">
                  <c:v>0.26817883476493076</c:v>
                </c:pt>
                <c:pt idx="3">
                  <c:v>0.26598698257718001</c:v>
                </c:pt>
                <c:pt idx="4">
                  <c:v>0.27136344339022195</c:v>
                </c:pt>
                <c:pt idx="5">
                  <c:v>0.26818773251841721</c:v>
                </c:pt>
                <c:pt idx="6">
                  <c:v>0.2665879063392303</c:v>
                </c:pt>
                <c:pt idx="7">
                  <c:v>0.27869472844077803</c:v>
                </c:pt>
                <c:pt idx="8">
                  <c:v>0.28071600584365958</c:v>
                </c:pt>
                <c:pt idx="9">
                  <c:v>0.28722345620986156</c:v>
                </c:pt>
                <c:pt idx="10">
                  <c:v>0.2907109785720039</c:v>
                </c:pt>
                <c:pt idx="11">
                  <c:v>0.29233172445455191</c:v>
                </c:pt>
                <c:pt idx="12">
                  <c:v>0.29585754976790107</c:v>
                </c:pt>
              </c:numCache>
            </c:numRef>
          </c:val>
          <c:smooth val="0"/>
          <c:extLst>
            <c:ext xmlns:c16="http://schemas.microsoft.com/office/drawing/2014/chart" uri="{C3380CC4-5D6E-409C-BE32-E72D297353CC}">
              <c16:uniqueId val="{00000002-4ADF-454F-9CC5-4BAD6BD3968B}"/>
            </c:ext>
          </c:extLst>
        </c:ser>
        <c:ser>
          <c:idx val="3"/>
          <c:order val="3"/>
          <c:tx>
            <c:strRef>
              <c:f>AHS_tables!$DG$586</c:f>
              <c:strCache>
                <c:ptCount val="1"/>
                <c:pt idx="0">
                  <c:v>W</c:v>
                </c:pt>
              </c:strCache>
            </c:strRef>
          </c:tx>
          <c:cat>
            <c:numRef>
              <c:f>AHS_tables!$DC$587:$DC$599</c:f>
              <c:numCache>
                <c:formatCode>General</c:formatCode>
                <c:ptCount val="13"/>
                <c:pt idx="0">
                  <c:v>1985</c:v>
                </c:pt>
                <c:pt idx="1">
                  <c:v>1987</c:v>
                </c:pt>
                <c:pt idx="2">
                  <c:v>1989</c:v>
                </c:pt>
                <c:pt idx="3">
                  <c:v>1991</c:v>
                </c:pt>
                <c:pt idx="4">
                  <c:v>1993</c:v>
                </c:pt>
                <c:pt idx="5">
                  <c:v>1995</c:v>
                </c:pt>
                <c:pt idx="6">
                  <c:v>1997</c:v>
                </c:pt>
                <c:pt idx="7">
                  <c:v>1999</c:v>
                </c:pt>
                <c:pt idx="8">
                  <c:v>2001</c:v>
                </c:pt>
                <c:pt idx="9">
                  <c:v>2003</c:v>
                </c:pt>
                <c:pt idx="10">
                  <c:v>2005</c:v>
                </c:pt>
                <c:pt idx="11">
                  <c:v>2007</c:v>
                </c:pt>
                <c:pt idx="12">
                  <c:v>2009</c:v>
                </c:pt>
              </c:numCache>
            </c:numRef>
          </c:cat>
          <c:val>
            <c:numRef>
              <c:f>AHS_tables!$DG$587:$DG$599</c:f>
              <c:numCache>
                <c:formatCode>#,##0.000</c:formatCode>
                <c:ptCount val="13"/>
                <c:pt idx="0">
                  <c:v>0.20678165882985078</c:v>
                </c:pt>
                <c:pt idx="1">
                  <c:v>0.21402207476055035</c:v>
                </c:pt>
                <c:pt idx="2">
                  <c:v>0.21786065225089565</c:v>
                </c:pt>
                <c:pt idx="3">
                  <c:v>0.22005466487707825</c:v>
                </c:pt>
                <c:pt idx="4">
                  <c:v>0.21942386685434273</c:v>
                </c:pt>
                <c:pt idx="5">
                  <c:v>0.22988730064450832</c:v>
                </c:pt>
                <c:pt idx="6">
                  <c:v>0.23782350522628701</c:v>
                </c:pt>
                <c:pt idx="7">
                  <c:v>0.23620510607680364</c:v>
                </c:pt>
                <c:pt idx="8">
                  <c:v>0.2411414273529966</c:v>
                </c:pt>
                <c:pt idx="9">
                  <c:v>0.24238239547088411</c:v>
                </c:pt>
                <c:pt idx="10">
                  <c:v>0.24296787455380389</c:v>
                </c:pt>
                <c:pt idx="11">
                  <c:v>0.24589099072208681</c:v>
                </c:pt>
                <c:pt idx="12">
                  <c:v>0.24507754061185338</c:v>
                </c:pt>
              </c:numCache>
            </c:numRef>
          </c:val>
          <c:smooth val="0"/>
          <c:extLst>
            <c:ext xmlns:c16="http://schemas.microsoft.com/office/drawing/2014/chart" uri="{C3380CC4-5D6E-409C-BE32-E72D297353CC}">
              <c16:uniqueId val="{00000003-4ADF-454F-9CC5-4BAD6BD3968B}"/>
            </c:ext>
          </c:extLst>
        </c:ser>
        <c:dLbls>
          <c:showLegendKey val="0"/>
          <c:showVal val="0"/>
          <c:showCatName val="0"/>
          <c:showSerName val="0"/>
          <c:showPercent val="0"/>
          <c:showBubbleSize val="0"/>
        </c:dLbls>
        <c:marker val="1"/>
        <c:smooth val="0"/>
        <c:axId val="217265280"/>
        <c:axId val="217266816"/>
      </c:lineChart>
      <c:catAx>
        <c:axId val="217265280"/>
        <c:scaling>
          <c:orientation val="minMax"/>
        </c:scaling>
        <c:delete val="0"/>
        <c:axPos val="b"/>
        <c:numFmt formatCode="General" sourceLinked="1"/>
        <c:majorTickMark val="out"/>
        <c:minorTickMark val="none"/>
        <c:tickLblPos val="nextTo"/>
        <c:crossAx val="217266816"/>
        <c:crosses val="autoZero"/>
        <c:auto val="1"/>
        <c:lblAlgn val="ctr"/>
        <c:lblOffset val="100"/>
        <c:noMultiLvlLbl val="0"/>
      </c:catAx>
      <c:valAx>
        <c:axId val="217266816"/>
        <c:scaling>
          <c:orientation val="minMax"/>
        </c:scaling>
        <c:delete val="0"/>
        <c:axPos val="l"/>
        <c:majorGridlines/>
        <c:numFmt formatCode="#,##0.000" sourceLinked="1"/>
        <c:majorTickMark val="out"/>
        <c:minorTickMark val="none"/>
        <c:tickLblPos val="nextTo"/>
        <c:crossAx val="217265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AHS_tables!$DL$565</c:f>
              <c:strCache>
                <c:ptCount val="1"/>
                <c:pt idx="0">
                  <c:v>NE</c:v>
                </c:pt>
              </c:strCache>
            </c:strRef>
          </c:tx>
          <c:cat>
            <c:numRef>
              <c:f>AHS_tables!$DK$566:$DK$599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AHS_tables!$DL$566:$DL$599</c:f>
              <c:numCache>
                <c:formatCode>0.000</c:formatCode>
                <c:ptCount val="34"/>
                <c:pt idx="0">
                  <c:v>0.30579694400057594</c:v>
                </c:pt>
                <c:pt idx="1">
                  <c:v>0.30624175092030309</c:v>
                </c:pt>
                <c:pt idx="2">
                  <c:v>0.30668655784003024</c:v>
                </c:pt>
                <c:pt idx="3">
                  <c:v>0.30140275519616716</c:v>
                </c:pt>
                <c:pt idx="4">
                  <c:v>0.29611895255230408</c:v>
                </c:pt>
                <c:pt idx="5">
                  <c:v>0.29354399688460464</c:v>
                </c:pt>
                <c:pt idx="6">
                  <c:v>0.29096904121690526</c:v>
                </c:pt>
                <c:pt idx="7">
                  <c:v>0.288287459657529</c:v>
                </c:pt>
                <c:pt idx="8">
                  <c:v>0.2856058780981528</c:v>
                </c:pt>
                <c:pt idx="9">
                  <c:v>0.28597067327254405</c:v>
                </c:pt>
                <c:pt idx="10">
                  <c:v>0.2863354684469353</c:v>
                </c:pt>
                <c:pt idx="11">
                  <c:v>0.28455018531495668</c:v>
                </c:pt>
                <c:pt idx="12">
                  <c:v>0.28276490218297812</c:v>
                </c:pt>
                <c:pt idx="13">
                  <c:v>0.28052660080483194</c:v>
                </c:pt>
                <c:pt idx="14">
                  <c:v>0.2782882994266857</c:v>
                </c:pt>
                <c:pt idx="15">
                  <c:v>0.27520670545748371</c:v>
                </c:pt>
                <c:pt idx="16">
                  <c:v>0.27212511148828167</c:v>
                </c:pt>
                <c:pt idx="17">
                  <c:v>0.2712209471252105</c:v>
                </c:pt>
                <c:pt idx="18">
                  <c:v>0.27031678276213938</c:v>
                </c:pt>
                <c:pt idx="19">
                  <c:v>0.27031791564751784</c:v>
                </c:pt>
                <c:pt idx="20">
                  <c:v>0.27031904853289623</c:v>
                </c:pt>
                <c:pt idx="21">
                  <c:v>0.26655580771290538</c:v>
                </c:pt>
                <c:pt idx="22">
                  <c:v>0.26279256689291453</c:v>
                </c:pt>
                <c:pt idx="23">
                  <c:v>0.26011019122180767</c:v>
                </c:pt>
                <c:pt idx="24">
                  <c:v>0.25742781555070077</c:v>
                </c:pt>
                <c:pt idx="25">
                  <c:v>0.25628646517677856</c:v>
                </c:pt>
                <c:pt idx="26">
                  <c:v>0.2551451148028564</c:v>
                </c:pt>
                <c:pt idx="27">
                  <c:v>0.25400376442893424</c:v>
                </c:pt>
                <c:pt idx="28">
                  <c:v>0.25286241405501203</c:v>
                </c:pt>
                <c:pt idx="29">
                  <c:v>0.25498990719292469</c:v>
                </c:pt>
                <c:pt idx="30">
                  <c:v>0.2571174003308373</c:v>
                </c:pt>
                <c:pt idx="31">
                  <c:v>0.25555052862024297</c:v>
                </c:pt>
                <c:pt idx="32">
                  <c:v>0.25398365690964864</c:v>
                </c:pt>
                <c:pt idx="33">
                  <c:v>0.25398365690964864</c:v>
                </c:pt>
              </c:numCache>
            </c:numRef>
          </c:val>
          <c:smooth val="0"/>
          <c:extLst>
            <c:ext xmlns:c16="http://schemas.microsoft.com/office/drawing/2014/chart" uri="{C3380CC4-5D6E-409C-BE32-E72D297353CC}">
              <c16:uniqueId val="{00000000-7D75-4E0A-A0C4-84190BBCD676}"/>
            </c:ext>
          </c:extLst>
        </c:ser>
        <c:ser>
          <c:idx val="1"/>
          <c:order val="1"/>
          <c:tx>
            <c:strRef>
              <c:f>AHS_tables!$DM$565</c:f>
              <c:strCache>
                <c:ptCount val="1"/>
                <c:pt idx="0">
                  <c:v>MW</c:v>
                </c:pt>
              </c:strCache>
            </c:strRef>
          </c:tx>
          <c:marker>
            <c:symbol val="square"/>
            <c:size val="5"/>
          </c:marker>
          <c:cat>
            <c:numRef>
              <c:f>AHS_tables!$DK$566:$DK$599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AHS_tables!$DM$566:$DM$599</c:f>
              <c:numCache>
                <c:formatCode>0.000</c:formatCode>
                <c:ptCount val="34"/>
                <c:pt idx="0">
                  <c:v>0.22501532568112706</c:v>
                </c:pt>
                <c:pt idx="1">
                  <c:v>0.22068543187739631</c:v>
                </c:pt>
                <c:pt idx="2">
                  <c:v>0.21635553807366559</c:v>
                </c:pt>
                <c:pt idx="3">
                  <c:v>0.21709854925276409</c:v>
                </c:pt>
                <c:pt idx="4">
                  <c:v>0.21784156043186259</c:v>
                </c:pt>
                <c:pt idx="5">
                  <c:v>0.22041543588034548</c:v>
                </c:pt>
                <c:pt idx="6">
                  <c:v>0.22298931132882838</c:v>
                </c:pt>
                <c:pt idx="7">
                  <c:v>0.22329806149305617</c:v>
                </c:pt>
                <c:pt idx="8">
                  <c:v>0.22360681165728397</c:v>
                </c:pt>
                <c:pt idx="9">
                  <c:v>0.21959815502371138</c:v>
                </c:pt>
                <c:pt idx="10">
                  <c:v>0.2155894983901388</c:v>
                </c:pt>
                <c:pt idx="11">
                  <c:v>0.2142065923208229</c:v>
                </c:pt>
                <c:pt idx="12">
                  <c:v>0.21282368625150697</c:v>
                </c:pt>
                <c:pt idx="13">
                  <c:v>0.20981777615361885</c:v>
                </c:pt>
                <c:pt idx="14">
                  <c:v>0.20681186605573071</c:v>
                </c:pt>
                <c:pt idx="15">
                  <c:v>0.20641466068539865</c:v>
                </c:pt>
                <c:pt idx="16">
                  <c:v>0.2060174553150666</c:v>
                </c:pt>
                <c:pt idx="17">
                  <c:v>0.20304741043609167</c:v>
                </c:pt>
                <c:pt idx="18">
                  <c:v>0.20007736555711675</c:v>
                </c:pt>
                <c:pt idx="19">
                  <c:v>0.19803973194920649</c:v>
                </c:pt>
                <c:pt idx="20">
                  <c:v>0.19600209834129623</c:v>
                </c:pt>
                <c:pt idx="21">
                  <c:v>0.19749340813587085</c:v>
                </c:pt>
                <c:pt idx="22">
                  <c:v>0.19898471793044545</c:v>
                </c:pt>
                <c:pt idx="23">
                  <c:v>0.2003109059999934</c:v>
                </c:pt>
                <c:pt idx="24">
                  <c:v>0.20163709406954133</c:v>
                </c:pt>
                <c:pt idx="25">
                  <c:v>0.20075981683509075</c:v>
                </c:pt>
                <c:pt idx="26">
                  <c:v>0.19988253960064017</c:v>
                </c:pt>
                <c:pt idx="27">
                  <c:v>0.19900526236618959</c:v>
                </c:pt>
                <c:pt idx="28">
                  <c:v>0.19812798513173904</c:v>
                </c:pt>
                <c:pt idx="29">
                  <c:v>0.19883904468616703</c:v>
                </c:pt>
                <c:pt idx="30">
                  <c:v>0.19955010424059502</c:v>
                </c:pt>
                <c:pt idx="31">
                  <c:v>0.19443009896776514</c:v>
                </c:pt>
                <c:pt idx="32">
                  <c:v>0.18931009369493523</c:v>
                </c:pt>
                <c:pt idx="33">
                  <c:v>0.18931009369493523</c:v>
                </c:pt>
              </c:numCache>
            </c:numRef>
          </c:val>
          <c:smooth val="0"/>
          <c:extLst>
            <c:ext xmlns:c16="http://schemas.microsoft.com/office/drawing/2014/chart" uri="{C3380CC4-5D6E-409C-BE32-E72D297353CC}">
              <c16:uniqueId val="{00000001-7D75-4E0A-A0C4-84190BBCD676}"/>
            </c:ext>
          </c:extLst>
        </c:ser>
        <c:ser>
          <c:idx val="2"/>
          <c:order val="2"/>
          <c:tx>
            <c:strRef>
              <c:f>AHS_tables!$DN$565</c:f>
              <c:strCache>
                <c:ptCount val="1"/>
                <c:pt idx="0">
                  <c:v>S</c:v>
                </c:pt>
              </c:strCache>
            </c:strRef>
          </c:tx>
          <c:cat>
            <c:numRef>
              <c:f>AHS_tables!$DK$566:$DK$599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AHS_tables!$DN$566:$DN$599</c:f>
              <c:numCache>
                <c:formatCode>0.000</c:formatCode>
                <c:ptCount val="34"/>
                <c:pt idx="0">
                  <c:v>0.26240607148843675</c:v>
                </c:pt>
                <c:pt idx="1">
                  <c:v>0.2626709504070972</c:v>
                </c:pt>
                <c:pt idx="2">
                  <c:v>0.2629358293257576</c:v>
                </c:pt>
                <c:pt idx="3">
                  <c:v>0.26555733204534415</c:v>
                </c:pt>
                <c:pt idx="4">
                  <c:v>0.26817883476493076</c:v>
                </c:pt>
                <c:pt idx="5">
                  <c:v>0.26708290867105539</c:v>
                </c:pt>
                <c:pt idx="6">
                  <c:v>0.26598698257718001</c:v>
                </c:pt>
                <c:pt idx="7">
                  <c:v>0.26867521298370101</c:v>
                </c:pt>
                <c:pt idx="8">
                  <c:v>0.27136344339022195</c:v>
                </c:pt>
                <c:pt idx="9">
                  <c:v>0.26977558795431955</c:v>
                </c:pt>
                <c:pt idx="10">
                  <c:v>0.26818773251841721</c:v>
                </c:pt>
                <c:pt idx="11">
                  <c:v>0.26738781942882373</c:v>
                </c:pt>
                <c:pt idx="12">
                  <c:v>0.2665879063392303</c:v>
                </c:pt>
                <c:pt idx="13">
                  <c:v>0.27264131739000419</c:v>
                </c:pt>
                <c:pt idx="14">
                  <c:v>0.27869472844077803</c:v>
                </c:pt>
                <c:pt idx="15">
                  <c:v>0.27970536714221883</c:v>
                </c:pt>
                <c:pt idx="16">
                  <c:v>0.28071600584365958</c:v>
                </c:pt>
                <c:pt idx="17">
                  <c:v>0.2839697310267606</c:v>
                </c:pt>
                <c:pt idx="18">
                  <c:v>0.28722345620986156</c:v>
                </c:pt>
                <c:pt idx="19">
                  <c:v>0.28896721739093273</c:v>
                </c:pt>
                <c:pt idx="20">
                  <c:v>0.2907109785720039</c:v>
                </c:pt>
                <c:pt idx="21">
                  <c:v>0.2915213515132779</c:v>
                </c:pt>
                <c:pt idx="22">
                  <c:v>0.29233172445455191</c:v>
                </c:pt>
                <c:pt idx="23">
                  <c:v>0.29409463711122652</c:v>
                </c:pt>
                <c:pt idx="24">
                  <c:v>0.29585754976790107</c:v>
                </c:pt>
                <c:pt idx="25">
                  <c:v>0.2965077245784804</c:v>
                </c:pt>
                <c:pt idx="26">
                  <c:v>0.29715789938905973</c:v>
                </c:pt>
                <c:pt idx="27">
                  <c:v>0.29780807419963906</c:v>
                </c:pt>
                <c:pt idx="28">
                  <c:v>0.29845824901021839</c:v>
                </c:pt>
                <c:pt idx="29">
                  <c:v>0.3017251943013346</c:v>
                </c:pt>
                <c:pt idx="30">
                  <c:v>0.30499213959245086</c:v>
                </c:pt>
                <c:pt idx="31">
                  <c:v>0.31025599590796304</c:v>
                </c:pt>
                <c:pt idx="32">
                  <c:v>0.31551985222347517</c:v>
                </c:pt>
                <c:pt idx="33">
                  <c:v>0.31551985222347517</c:v>
                </c:pt>
              </c:numCache>
            </c:numRef>
          </c:val>
          <c:smooth val="0"/>
          <c:extLst>
            <c:ext xmlns:c16="http://schemas.microsoft.com/office/drawing/2014/chart" uri="{C3380CC4-5D6E-409C-BE32-E72D297353CC}">
              <c16:uniqueId val="{00000002-7D75-4E0A-A0C4-84190BBCD676}"/>
            </c:ext>
          </c:extLst>
        </c:ser>
        <c:ser>
          <c:idx val="3"/>
          <c:order val="3"/>
          <c:tx>
            <c:strRef>
              <c:f>AHS_tables!$DO$565</c:f>
              <c:strCache>
                <c:ptCount val="1"/>
                <c:pt idx="0">
                  <c:v>W</c:v>
                </c:pt>
              </c:strCache>
            </c:strRef>
          </c:tx>
          <c:cat>
            <c:numRef>
              <c:f>AHS_tables!$DK$566:$DK$599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AHS_tables!$DO$566:$DO$599</c:f>
              <c:numCache>
                <c:formatCode>0.000</c:formatCode>
                <c:ptCount val="34"/>
                <c:pt idx="0">
                  <c:v>0.20678165882985078</c:v>
                </c:pt>
                <c:pt idx="1">
                  <c:v>0.21040186679520057</c:v>
                </c:pt>
                <c:pt idx="2">
                  <c:v>0.21402207476055035</c:v>
                </c:pt>
                <c:pt idx="3">
                  <c:v>0.21594136350572302</c:v>
                </c:pt>
                <c:pt idx="4">
                  <c:v>0.21786065225089565</c:v>
                </c:pt>
                <c:pt idx="5">
                  <c:v>0.21895765856398697</c:v>
                </c:pt>
                <c:pt idx="6">
                  <c:v>0.22005466487707825</c:v>
                </c:pt>
                <c:pt idx="7">
                  <c:v>0.21973926586571049</c:v>
                </c:pt>
                <c:pt idx="8">
                  <c:v>0.21942386685434273</c:v>
                </c:pt>
                <c:pt idx="9">
                  <c:v>0.22465558374942551</c:v>
                </c:pt>
                <c:pt idx="10">
                  <c:v>0.22988730064450832</c:v>
                </c:pt>
                <c:pt idx="11">
                  <c:v>0.23385540293539767</c:v>
                </c:pt>
                <c:pt idx="12">
                  <c:v>0.23782350522628701</c:v>
                </c:pt>
                <c:pt idx="13">
                  <c:v>0.23701430565154533</c:v>
                </c:pt>
                <c:pt idx="14">
                  <c:v>0.23620510607680364</c:v>
                </c:pt>
                <c:pt idx="15">
                  <c:v>0.23867326671490013</c:v>
                </c:pt>
                <c:pt idx="16">
                  <c:v>0.2411414273529966</c:v>
                </c:pt>
                <c:pt idx="17">
                  <c:v>0.24176191141194037</c:v>
                </c:pt>
                <c:pt idx="18">
                  <c:v>0.24238239547088411</c:v>
                </c:pt>
                <c:pt idx="19">
                  <c:v>0.242675135012344</c:v>
                </c:pt>
                <c:pt idx="20">
                  <c:v>0.24296787455380389</c:v>
                </c:pt>
                <c:pt idx="21">
                  <c:v>0.24442943263794537</c:v>
                </c:pt>
                <c:pt idx="22">
                  <c:v>0.24589099072208681</c:v>
                </c:pt>
                <c:pt idx="23">
                  <c:v>0.2454842656669701</c:v>
                </c:pt>
                <c:pt idx="24">
                  <c:v>0.24507754061185338</c:v>
                </c:pt>
                <c:pt idx="25">
                  <c:v>0.24644599340964768</c:v>
                </c:pt>
                <c:pt idx="26">
                  <c:v>0.24781444620744195</c:v>
                </c:pt>
                <c:pt idx="27">
                  <c:v>0.24918289900523621</c:v>
                </c:pt>
                <c:pt idx="28">
                  <c:v>0.25055135180303051</c:v>
                </c:pt>
                <c:pt idx="29">
                  <c:v>0.24444585381957373</c:v>
                </c:pt>
                <c:pt idx="30">
                  <c:v>0.23834035583611696</c:v>
                </c:pt>
                <c:pt idx="31">
                  <c:v>0.23976337650402885</c:v>
                </c:pt>
                <c:pt idx="32">
                  <c:v>0.24118639717194076</c:v>
                </c:pt>
                <c:pt idx="33">
                  <c:v>0.24118639717194076</c:v>
                </c:pt>
              </c:numCache>
            </c:numRef>
          </c:val>
          <c:smooth val="0"/>
          <c:extLst>
            <c:ext xmlns:c16="http://schemas.microsoft.com/office/drawing/2014/chart" uri="{C3380CC4-5D6E-409C-BE32-E72D297353CC}">
              <c16:uniqueId val="{00000003-7D75-4E0A-A0C4-84190BBCD676}"/>
            </c:ext>
          </c:extLst>
        </c:ser>
        <c:dLbls>
          <c:showLegendKey val="0"/>
          <c:showVal val="0"/>
          <c:showCatName val="0"/>
          <c:showSerName val="0"/>
          <c:showPercent val="0"/>
          <c:showBubbleSize val="0"/>
        </c:dLbls>
        <c:marker val="1"/>
        <c:smooth val="0"/>
        <c:axId val="217301376"/>
        <c:axId val="217302912"/>
      </c:lineChart>
      <c:catAx>
        <c:axId val="217301376"/>
        <c:scaling>
          <c:orientation val="minMax"/>
        </c:scaling>
        <c:delete val="0"/>
        <c:axPos val="b"/>
        <c:numFmt formatCode="General" sourceLinked="1"/>
        <c:majorTickMark val="out"/>
        <c:minorTickMark val="none"/>
        <c:tickLblPos val="nextTo"/>
        <c:crossAx val="217302912"/>
        <c:crosses val="autoZero"/>
        <c:auto val="1"/>
        <c:lblAlgn val="ctr"/>
        <c:lblOffset val="100"/>
        <c:noMultiLvlLbl val="0"/>
      </c:catAx>
      <c:valAx>
        <c:axId val="217302912"/>
        <c:scaling>
          <c:orientation val="minMax"/>
        </c:scaling>
        <c:delete val="0"/>
        <c:axPos val="l"/>
        <c:majorGridlines/>
        <c:numFmt formatCode="0.000" sourceLinked="1"/>
        <c:majorTickMark val="out"/>
        <c:minorTickMark val="none"/>
        <c:tickLblPos val="nextTo"/>
        <c:crossAx val="217301376"/>
        <c:crosses val="autoZero"/>
        <c:crossBetween val="between"/>
      </c:valAx>
    </c:plotArea>
    <c:legend>
      <c:legendPos val="r"/>
      <c:layout>
        <c:manualLayout>
          <c:xMode val="edge"/>
          <c:yMode val="edge"/>
          <c:x val="0.2210161534686213"/>
          <c:y val="0.4511874704186567"/>
          <c:w val="0.12857734246633806"/>
          <c:h val="0.31620394991609657"/>
        </c:manualLayout>
      </c:layout>
      <c:overlay val="0"/>
    </c:legend>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AHS_tables!$DB$651</c:f>
              <c:strCache>
                <c:ptCount val="1"/>
                <c:pt idx="0">
                  <c:v>NE</c:v>
                </c:pt>
              </c:strCache>
            </c:strRef>
          </c:tx>
          <c:cat>
            <c:numRef>
              <c:f>AHS_tables!$DA$652:$DA$665</c:f>
              <c:numCache>
                <c:formatCode>General</c:formatCode>
                <c:ptCount val="14"/>
                <c:pt idx="0">
                  <c:v>1987</c:v>
                </c:pt>
                <c:pt idx="1">
                  <c:v>1989</c:v>
                </c:pt>
                <c:pt idx="2">
                  <c:v>1991</c:v>
                </c:pt>
                <c:pt idx="3">
                  <c:v>1993</c:v>
                </c:pt>
                <c:pt idx="4">
                  <c:v>1995</c:v>
                </c:pt>
                <c:pt idx="5">
                  <c:v>1997</c:v>
                </c:pt>
                <c:pt idx="6">
                  <c:v>1999</c:v>
                </c:pt>
                <c:pt idx="7">
                  <c:v>2001</c:v>
                </c:pt>
                <c:pt idx="8">
                  <c:v>2003</c:v>
                </c:pt>
                <c:pt idx="9">
                  <c:v>2005</c:v>
                </c:pt>
                <c:pt idx="10">
                  <c:v>2007</c:v>
                </c:pt>
                <c:pt idx="11">
                  <c:v>2009</c:v>
                </c:pt>
                <c:pt idx="12">
                  <c:v>2011</c:v>
                </c:pt>
                <c:pt idx="13">
                  <c:v>2013</c:v>
                </c:pt>
              </c:numCache>
            </c:numRef>
          </c:cat>
          <c:val>
            <c:numRef>
              <c:f>AHS_tables!$DB$652:$DB$665</c:f>
              <c:numCache>
                <c:formatCode>0.000</c:formatCode>
                <c:ptCount val="14"/>
                <c:pt idx="0">
                  <c:v>9.4256073975091614E-2</c:v>
                </c:pt>
                <c:pt idx="1">
                  <c:v>9.9398299011692226E-2</c:v>
                </c:pt>
                <c:pt idx="2">
                  <c:v>9.10866497198035E-2</c:v>
                </c:pt>
                <c:pt idx="3">
                  <c:v>9.6700999628734158E-2</c:v>
                </c:pt>
                <c:pt idx="4">
                  <c:v>8.5418565627931389E-2</c:v>
                </c:pt>
                <c:pt idx="5">
                  <c:v>9.0596475557140774E-2</c:v>
                </c:pt>
                <c:pt idx="6">
                  <c:v>8.2985883732937568E-2</c:v>
                </c:pt>
                <c:pt idx="7">
                  <c:v>8.0940425970936966E-2</c:v>
                </c:pt>
                <c:pt idx="8">
                  <c:v>8.2828801186673143E-2</c:v>
                </c:pt>
                <c:pt idx="9">
                  <c:v>7.1380738439907207E-2</c:v>
                </c:pt>
                <c:pt idx="10">
                  <c:v>8.7387103281350381E-2</c:v>
                </c:pt>
                <c:pt idx="11">
                  <c:v>7.9029799559948072E-2</c:v>
                </c:pt>
                <c:pt idx="12">
                  <c:v>8.4594245954459871E-2</c:v>
                </c:pt>
                <c:pt idx="13">
                  <c:v>7.8563682984688951E-2</c:v>
                </c:pt>
              </c:numCache>
            </c:numRef>
          </c:val>
          <c:smooth val="0"/>
          <c:extLst>
            <c:ext xmlns:c16="http://schemas.microsoft.com/office/drawing/2014/chart" uri="{C3380CC4-5D6E-409C-BE32-E72D297353CC}">
              <c16:uniqueId val="{00000000-0D6B-4A4E-8F2F-EE37857BB8BB}"/>
            </c:ext>
          </c:extLst>
        </c:ser>
        <c:ser>
          <c:idx val="1"/>
          <c:order val="1"/>
          <c:tx>
            <c:strRef>
              <c:f>AHS_tables!$DC$651</c:f>
              <c:strCache>
                <c:ptCount val="1"/>
                <c:pt idx="0">
                  <c:v>MW</c:v>
                </c:pt>
              </c:strCache>
            </c:strRef>
          </c:tx>
          <c:marker>
            <c:symbol val="square"/>
            <c:size val="5"/>
          </c:marker>
          <c:cat>
            <c:numRef>
              <c:f>AHS_tables!$DA$652:$DA$665</c:f>
              <c:numCache>
                <c:formatCode>General</c:formatCode>
                <c:ptCount val="14"/>
                <c:pt idx="0">
                  <c:v>1987</c:v>
                </c:pt>
                <c:pt idx="1">
                  <c:v>1989</c:v>
                </c:pt>
                <c:pt idx="2">
                  <c:v>1991</c:v>
                </c:pt>
                <c:pt idx="3">
                  <c:v>1993</c:v>
                </c:pt>
                <c:pt idx="4">
                  <c:v>1995</c:v>
                </c:pt>
                <c:pt idx="5">
                  <c:v>1997</c:v>
                </c:pt>
                <c:pt idx="6">
                  <c:v>1999</c:v>
                </c:pt>
                <c:pt idx="7">
                  <c:v>2001</c:v>
                </c:pt>
                <c:pt idx="8">
                  <c:v>2003</c:v>
                </c:pt>
                <c:pt idx="9">
                  <c:v>2005</c:v>
                </c:pt>
                <c:pt idx="10">
                  <c:v>2007</c:v>
                </c:pt>
                <c:pt idx="11">
                  <c:v>2009</c:v>
                </c:pt>
                <c:pt idx="12">
                  <c:v>2011</c:v>
                </c:pt>
                <c:pt idx="13">
                  <c:v>2013</c:v>
                </c:pt>
              </c:numCache>
            </c:numRef>
          </c:cat>
          <c:val>
            <c:numRef>
              <c:f>AHS_tables!$DC$652:$DC$665</c:f>
              <c:numCache>
                <c:formatCode>0.000</c:formatCode>
                <c:ptCount val="14"/>
                <c:pt idx="0">
                  <c:v>0.2189674023156937</c:v>
                </c:pt>
                <c:pt idx="1">
                  <c:v>0.18991406671991357</c:v>
                </c:pt>
                <c:pt idx="2">
                  <c:v>0.19508809778593161</c:v>
                </c:pt>
                <c:pt idx="3">
                  <c:v>0.19634576279272681</c:v>
                </c:pt>
                <c:pt idx="4">
                  <c:v>0.18233632868613411</c:v>
                </c:pt>
                <c:pt idx="5">
                  <c:v>0.17697845206536963</c:v>
                </c:pt>
                <c:pt idx="6">
                  <c:v>0.17384017805519478</c:v>
                </c:pt>
                <c:pt idx="7">
                  <c:v>0.16852170423224425</c:v>
                </c:pt>
                <c:pt idx="8">
                  <c:v>0.16632404245105306</c:v>
                </c:pt>
                <c:pt idx="9">
                  <c:v>0.16701254595351342</c:v>
                </c:pt>
                <c:pt idx="10">
                  <c:v>0.16698453942106223</c:v>
                </c:pt>
                <c:pt idx="11">
                  <c:v>0.1673864811517565</c:v>
                </c:pt>
                <c:pt idx="12">
                  <c:v>0.15012530216916081</c:v>
                </c:pt>
                <c:pt idx="13">
                  <c:v>0.15810018744391582</c:v>
                </c:pt>
              </c:numCache>
            </c:numRef>
          </c:val>
          <c:smooth val="0"/>
          <c:extLst>
            <c:ext xmlns:c16="http://schemas.microsoft.com/office/drawing/2014/chart" uri="{C3380CC4-5D6E-409C-BE32-E72D297353CC}">
              <c16:uniqueId val="{00000001-0D6B-4A4E-8F2F-EE37857BB8BB}"/>
            </c:ext>
          </c:extLst>
        </c:ser>
        <c:ser>
          <c:idx val="2"/>
          <c:order val="2"/>
          <c:tx>
            <c:strRef>
              <c:f>AHS_tables!$DD$651</c:f>
              <c:strCache>
                <c:ptCount val="1"/>
                <c:pt idx="0">
                  <c:v>S</c:v>
                </c:pt>
              </c:strCache>
            </c:strRef>
          </c:tx>
          <c:cat>
            <c:numRef>
              <c:f>AHS_tables!$DA$652:$DA$665</c:f>
              <c:numCache>
                <c:formatCode>General</c:formatCode>
                <c:ptCount val="14"/>
                <c:pt idx="0">
                  <c:v>1987</c:v>
                </c:pt>
                <c:pt idx="1">
                  <c:v>1989</c:v>
                </c:pt>
                <c:pt idx="2">
                  <c:v>1991</c:v>
                </c:pt>
                <c:pt idx="3">
                  <c:v>1993</c:v>
                </c:pt>
                <c:pt idx="4">
                  <c:v>1995</c:v>
                </c:pt>
                <c:pt idx="5">
                  <c:v>1997</c:v>
                </c:pt>
                <c:pt idx="6">
                  <c:v>1999</c:v>
                </c:pt>
                <c:pt idx="7">
                  <c:v>2001</c:v>
                </c:pt>
                <c:pt idx="8">
                  <c:v>2003</c:v>
                </c:pt>
                <c:pt idx="9">
                  <c:v>2005</c:v>
                </c:pt>
                <c:pt idx="10">
                  <c:v>2007</c:v>
                </c:pt>
                <c:pt idx="11">
                  <c:v>2009</c:v>
                </c:pt>
                <c:pt idx="12">
                  <c:v>2011</c:v>
                </c:pt>
                <c:pt idx="13">
                  <c:v>2013</c:v>
                </c:pt>
              </c:numCache>
            </c:numRef>
          </c:cat>
          <c:val>
            <c:numRef>
              <c:f>AHS_tables!$DD$652:$DD$665</c:f>
              <c:numCache>
                <c:formatCode>0.000</c:formatCode>
                <c:ptCount val="14"/>
                <c:pt idx="0">
                  <c:v>0.47034866109643286</c:v>
                </c:pt>
                <c:pt idx="1">
                  <c:v>0.49061112572798099</c:v>
                </c:pt>
                <c:pt idx="2">
                  <c:v>0.50860295804945665</c:v>
                </c:pt>
                <c:pt idx="3">
                  <c:v>0.48908632275185138</c:v>
                </c:pt>
                <c:pt idx="4">
                  <c:v>0.53373781163916667</c:v>
                </c:pt>
                <c:pt idx="5">
                  <c:v>0.5308466786511179</c:v>
                </c:pt>
                <c:pt idx="6">
                  <c:v>0.55177552543878228</c:v>
                </c:pt>
                <c:pt idx="7">
                  <c:v>0.55440916614231872</c:v>
                </c:pt>
                <c:pt idx="8">
                  <c:v>0.56328883597617851</c:v>
                </c:pt>
                <c:pt idx="9">
                  <c:v>0.56845409508335198</c:v>
                </c:pt>
                <c:pt idx="10">
                  <c:v>0.56635125387258722</c:v>
                </c:pt>
                <c:pt idx="11">
                  <c:v>0.57284207084773786</c:v>
                </c:pt>
                <c:pt idx="12">
                  <c:v>0.56586627125607392</c:v>
                </c:pt>
                <c:pt idx="13">
                  <c:v>0.56469644428569821</c:v>
                </c:pt>
              </c:numCache>
            </c:numRef>
          </c:val>
          <c:smooth val="0"/>
          <c:extLst>
            <c:ext xmlns:c16="http://schemas.microsoft.com/office/drawing/2014/chart" uri="{C3380CC4-5D6E-409C-BE32-E72D297353CC}">
              <c16:uniqueId val="{00000002-0D6B-4A4E-8F2F-EE37857BB8BB}"/>
            </c:ext>
          </c:extLst>
        </c:ser>
        <c:ser>
          <c:idx val="3"/>
          <c:order val="3"/>
          <c:tx>
            <c:strRef>
              <c:f>AHS_tables!$DE$651</c:f>
              <c:strCache>
                <c:ptCount val="1"/>
                <c:pt idx="0">
                  <c:v>W</c:v>
                </c:pt>
              </c:strCache>
            </c:strRef>
          </c:tx>
          <c:cat>
            <c:numRef>
              <c:f>AHS_tables!$DA$652:$DA$665</c:f>
              <c:numCache>
                <c:formatCode>General</c:formatCode>
                <c:ptCount val="14"/>
                <c:pt idx="0">
                  <c:v>1987</c:v>
                </c:pt>
                <c:pt idx="1">
                  <c:v>1989</c:v>
                </c:pt>
                <c:pt idx="2">
                  <c:v>1991</c:v>
                </c:pt>
                <c:pt idx="3">
                  <c:v>1993</c:v>
                </c:pt>
                <c:pt idx="4">
                  <c:v>1995</c:v>
                </c:pt>
                <c:pt idx="5">
                  <c:v>1997</c:v>
                </c:pt>
                <c:pt idx="6">
                  <c:v>1999</c:v>
                </c:pt>
                <c:pt idx="7">
                  <c:v>2001</c:v>
                </c:pt>
                <c:pt idx="8">
                  <c:v>2003</c:v>
                </c:pt>
                <c:pt idx="9">
                  <c:v>2005</c:v>
                </c:pt>
                <c:pt idx="10">
                  <c:v>2007</c:v>
                </c:pt>
                <c:pt idx="11">
                  <c:v>2009</c:v>
                </c:pt>
                <c:pt idx="12">
                  <c:v>2011</c:v>
                </c:pt>
                <c:pt idx="13">
                  <c:v>2013</c:v>
                </c:pt>
              </c:numCache>
            </c:numRef>
          </c:cat>
          <c:val>
            <c:numRef>
              <c:f>AHS_tables!$DE$652:$DE$665</c:f>
              <c:numCache>
                <c:formatCode>0.000</c:formatCode>
                <c:ptCount val="14"/>
                <c:pt idx="0">
                  <c:v>0.21642786261278027</c:v>
                </c:pt>
                <c:pt idx="1">
                  <c:v>0.2200765085404135</c:v>
                </c:pt>
                <c:pt idx="2">
                  <c:v>0.20522229444481152</c:v>
                </c:pt>
                <c:pt idx="3">
                  <c:v>0.21786691482668508</c:v>
                </c:pt>
                <c:pt idx="4">
                  <c:v>0.19850729404676709</c:v>
                </c:pt>
                <c:pt idx="5">
                  <c:v>0.20157839372637085</c:v>
                </c:pt>
                <c:pt idx="6">
                  <c:v>0.19139841277308409</c:v>
                </c:pt>
                <c:pt idx="7">
                  <c:v>0.19612870365450036</c:v>
                </c:pt>
                <c:pt idx="8">
                  <c:v>0.18755832038609824</c:v>
                </c:pt>
                <c:pt idx="9">
                  <c:v>0.1931526205232264</c:v>
                </c:pt>
                <c:pt idx="10">
                  <c:v>0.17927710342499856</c:v>
                </c:pt>
                <c:pt idx="11">
                  <c:v>0.18074164844055685</c:v>
                </c:pt>
                <c:pt idx="12">
                  <c:v>0.19941418062030483</c:v>
                </c:pt>
                <c:pt idx="13">
                  <c:v>0.19863968528569709</c:v>
                </c:pt>
              </c:numCache>
            </c:numRef>
          </c:val>
          <c:smooth val="0"/>
          <c:extLst>
            <c:ext xmlns:c16="http://schemas.microsoft.com/office/drawing/2014/chart" uri="{C3380CC4-5D6E-409C-BE32-E72D297353CC}">
              <c16:uniqueId val="{00000003-0D6B-4A4E-8F2F-EE37857BB8BB}"/>
            </c:ext>
          </c:extLst>
        </c:ser>
        <c:dLbls>
          <c:showLegendKey val="0"/>
          <c:showVal val="0"/>
          <c:showCatName val="0"/>
          <c:showSerName val="0"/>
          <c:showPercent val="0"/>
          <c:showBubbleSize val="0"/>
        </c:dLbls>
        <c:marker val="1"/>
        <c:smooth val="0"/>
        <c:axId val="217350144"/>
        <c:axId val="217351680"/>
      </c:lineChart>
      <c:catAx>
        <c:axId val="217350144"/>
        <c:scaling>
          <c:orientation val="minMax"/>
        </c:scaling>
        <c:delete val="0"/>
        <c:axPos val="b"/>
        <c:numFmt formatCode="General" sourceLinked="1"/>
        <c:majorTickMark val="out"/>
        <c:minorTickMark val="none"/>
        <c:tickLblPos val="nextTo"/>
        <c:crossAx val="217351680"/>
        <c:crosses val="autoZero"/>
        <c:auto val="1"/>
        <c:lblAlgn val="ctr"/>
        <c:lblOffset val="100"/>
        <c:noMultiLvlLbl val="0"/>
      </c:catAx>
      <c:valAx>
        <c:axId val="217351680"/>
        <c:scaling>
          <c:orientation val="minMax"/>
        </c:scaling>
        <c:delete val="0"/>
        <c:axPos val="l"/>
        <c:majorGridlines/>
        <c:numFmt formatCode="0.000" sourceLinked="1"/>
        <c:majorTickMark val="out"/>
        <c:minorTickMark val="none"/>
        <c:tickLblPos val="nextTo"/>
        <c:crossAx val="2173501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AHS_tables!$DK$630</c:f>
              <c:strCache>
                <c:ptCount val="1"/>
                <c:pt idx="0">
                  <c:v>NE</c:v>
                </c:pt>
              </c:strCache>
            </c:strRef>
          </c:tx>
          <c:cat>
            <c:numRef>
              <c:f>AHS_tables!$DJ$631:$DJ$664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AHS_tables!$DK$631:$DK$664</c:f>
              <c:numCache>
                <c:formatCode>0.000</c:formatCode>
                <c:ptCount val="34"/>
                <c:pt idx="0">
                  <c:v>9.4256073975091614E-2</c:v>
                </c:pt>
                <c:pt idx="1">
                  <c:v>9.682718649339192E-2</c:v>
                </c:pt>
                <c:pt idx="2">
                  <c:v>9.9398299011692226E-2</c:v>
                </c:pt>
                <c:pt idx="3">
                  <c:v>9.524247436574787E-2</c:v>
                </c:pt>
                <c:pt idx="4">
                  <c:v>9.10866497198035E-2</c:v>
                </c:pt>
                <c:pt idx="5">
                  <c:v>9.3893824674268822E-2</c:v>
                </c:pt>
                <c:pt idx="6">
                  <c:v>9.6700999628734158E-2</c:v>
                </c:pt>
                <c:pt idx="7">
                  <c:v>9.105978262833278E-2</c:v>
                </c:pt>
                <c:pt idx="8">
                  <c:v>8.5418565627931389E-2</c:v>
                </c:pt>
                <c:pt idx="9">
                  <c:v>8.8007520592536082E-2</c:v>
                </c:pt>
                <c:pt idx="10">
                  <c:v>9.0596475557140774E-2</c:v>
                </c:pt>
                <c:pt idx="11">
                  <c:v>8.6791179645039171E-2</c:v>
                </c:pt>
                <c:pt idx="12">
                  <c:v>8.2985883732937568E-2</c:v>
                </c:pt>
                <c:pt idx="13">
                  <c:v>8.1963154851937267E-2</c:v>
                </c:pt>
                <c:pt idx="14">
                  <c:v>8.0940425970936966E-2</c:v>
                </c:pt>
                <c:pt idx="15">
                  <c:v>8.1884613578805054E-2</c:v>
                </c:pt>
                <c:pt idx="16">
                  <c:v>8.2828801186673143E-2</c:v>
                </c:pt>
                <c:pt idx="17">
                  <c:v>7.7104769813290175E-2</c:v>
                </c:pt>
                <c:pt idx="18">
                  <c:v>7.1380738439907207E-2</c:v>
                </c:pt>
                <c:pt idx="19">
                  <c:v>7.9383920860628787E-2</c:v>
                </c:pt>
                <c:pt idx="20">
                  <c:v>8.7387103281350381E-2</c:v>
                </c:pt>
                <c:pt idx="21">
                  <c:v>8.3208451420649227E-2</c:v>
                </c:pt>
                <c:pt idx="22">
                  <c:v>7.9029799559948072E-2</c:v>
                </c:pt>
                <c:pt idx="23">
                  <c:v>8.1812022757203978E-2</c:v>
                </c:pt>
                <c:pt idx="24">
                  <c:v>8.4594245954459871E-2</c:v>
                </c:pt>
                <c:pt idx="25">
                  <c:v>8.4594245954459871E-2</c:v>
                </c:pt>
                <c:pt idx="26">
                  <c:v>8.4594245954459871E-2</c:v>
                </c:pt>
                <c:pt idx="27">
                  <c:v>8.1578964469574411E-2</c:v>
                </c:pt>
                <c:pt idx="28">
                  <c:v>7.8563682984688951E-2</c:v>
                </c:pt>
                <c:pt idx="29">
                  <c:v>7.6584648218296941E-2</c:v>
                </c:pt>
                <c:pt idx="30">
                  <c:v>7.4605613451904945E-2</c:v>
                </c:pt>
                <c:pt idx="31">
                  <c:v>7.3991950891273528E-2</c:v>
                </c:pt>
                <c:pt idx="32">
                  <c:v>7.3378288330642125E-2</c:v>
                </c:pt>
                <c:pt idx="33">
                  <c:v>7.3378288330642125E-2</c:v>
                </c:pt>
              </c:numCache>
            </c:numRef>
          </c:val>
          <c:smooth val="0"/>
          <c:extLst>
            <c:ext xmlns:c16="http://schemas.microsoft.com/office/drawing/2014/chart" uri="{C3380CC4-5D6E-409C-BE32-E72D297353CC}">
              <c16:uniqueId val="{00000000-0BDE-42B0-8526-A789543B6F6A}"/>
            </c:ext>
          </c:extLst>
        </c:ser>
        <c:ser>
          <c:idx val="1"/>
          <c:order val="1"/>
          <c:tx>
            <c:strRef>
              <c:f>AHS_tables!$DL$630</c:f>
              <c:strCache>
                <c:ptCount val="1"/>
                <c:pt idx="0">
                  <c:v>MW</c:v>
                </c:pt>
              </c:strCache>
            </c:strRef>
          </c:tx>
          <c:marker>
            <c:symbol val="square"/>
            <c:size val="5"/>
          </c:marker>
          <c:cat>
            <c:numRef>
              <c:f>AHS_tables!$DJ$631:$DJ$664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AHS_tables!$DL$631:$DL$664</c:f>
              <c:numCache>
                <c:formatCode>0.000</c:formatCode>
                <c:ptCount val="34"/>
                <c:pt idx="0">
                  <c:v>0.2189674023156937</c:v>
                </c:pt>
                <c:pt idx="1">
                  <c:v>0.20444073451780365</c:v>
                </c:pt>
                <c:pt idx="2">
                  <c:v>0.18991406671991357</c:v>
                </c:pt>
                <c:pt idx="3">
                  <c:v>0.19250108225292259</c:v>
                </c:pt>
                <c:pt idx="4">
                  <c:v>0.19508809778593161</c:v>
                </c:pt>
                <c:pt idx="5">
                  <c:v>0.19571693028932921</c:v>
                </c:pt>
                <c:pt idx="6">
                  <c:v>0.19634576279272681</c:v>
                </c:pt>
                <c:pt idx="7">
                  <c:v>0.18934104573943045</c:v>
                </c:pt>
                <c:pt idx="8">
                  <c:v>0.18233632868613411</c:v>
                </c:pt>
                <c:pt idx="9">
                  <c:v>0.17965739037575187</c:v>
                </c:pt>
                <c:pt idx="10">
                  <c:v>0.17697845206536963</c:v>
                </c:pt>
                <c:pt idx="11">
                  <c:v>0.17540931506028221</c:v>
                </c:pt>
                <c:pt idx="12">
                  <c:v>0.17384017805519478</c:v>
                </c:pt>
                <c:pt idx="13">
                  <c:v>0.17118094114371951</c:v>
                </c:pt>
                <c:pt idx="14">
                  <c:v>0.16852170423224425</c:v>
                </c:pt>
                <c:pt idx="15">
                  <c:v>0.16742287334164865</c:v>
                </c:pt>
                <c:pt idx="16">
                  <c:v>0.16632404245105306</c:v>
                </c:pt>
                <c:pt idx="17">
                  <c:v>0.16666829420228324</c:v>
                </c:pt>
                <c:pt idx="18">
                  <c:v>0.16701254595351342</c:v>
                </c:pt>
                <c:pt idx="19">
                  <c:v>0.16699854268728781</c:v>
                </c:pt>
                <c:pt idx="20">
                  <c:v>0.16698453942106223</c:v>
                </c:pt>
                <c:pt idx="21">
                  <c:v>0.16718551028640938</c:v>
                </c:pt>
                <c:pt idx="22">
                  <c:v>0.1673864811517565</c:v>
                </c:pt>
                <c:pt idx="23">
                  <c:v>0.15875589166045867</c:v>
                </c:pt>
                <c:pt idx="24">
                  <c:v>0.15012530216916081</c:v>
                </c:pt>
                <c:pt idx="25">
                  <c:v>0.15012530216916081</c:v>
                </c:pt>
                <c:pt idx="26">
                  <c:v>0.15012530216916081</c:v>
                </c:pt>
                <c:pt idx="27">
                  <c:v>0.1541127448065383</c:v>
                </c:pt>
                <c:pt idx="28">
                  <c:v>0.15810018744391582</c:v>
                </c:pt>
                <c:pt idx="29">
                  <c:v>0.15075008267270448</c:v>
                </c:pt>
                <c:pt idx="30">
                  <c:v>0.14339997790149314</c:v>
                </c:pt>
                <c:pt idx="31">
                  <c:v>0.1471476360955839</c:v>
                </c:pt>
                <c:pt idx="32">
                  <c:v>0.15089529428967466</c:v>
                </c:pt>
                <c:pt idx="33">
                  <c:v>0.15089529428967466</c:v>
                </c:pt>
              </c:numCache>
            </c:numRef>
          </c:val>
          <c:smooth val="0"/>
          <c:extLst>
            <c:ext xmlns:c16="http://schemas.microsoft.com/office/drawing/2014/chart" uri="{C3380CC4-5D6E-409C-BE32-E72D297353CC}">
              <c16:uniqueId val="{00000001-0BDE-42B0-8526-A789543B6F6A}"/>
            </c:ext>
          </c:extLst>
        </c:ser>
        <c:ser>
          <c:idx val="2"/>
          <c:order val="2"/>
          <c:tx>
            <c:strRef>
              <c:f>AHS_tables!$DM$630</c:f>
              <c:strCache>
                <c:ptCount val="1"/>
                <c:pt idx="0">
                  <c:v>S</c:v>
                </c:pt>
              </c:strCache>
            </c:strRef>
          </c:tx>
          <c:cat>
            <c:numRef>
              <c:f>AHS_tables!$DJ$631:$DJ$664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AHS_tables!$DM$631:$DM$664</c:f>
              <c:numCache>
                <c:formatCode>0.000</c:formatCode>
                <c:ptCount val="34"/>
                <c:pt idx="0">
                  <c:v>0.47034866109643286</c:v>
                </c:pt>
                <c:pt idx="1">
                  <c:v>0.48047989341220693</c:v>
                </c:pt>
                <c:pt idx="2">
                  <c:v>0.49061112572798099</c:v>
                </c:pt>
                <c:pt idx="3">
                  <c:v>0.49960704188871885</c:v>
                </c:pt>
                <c:pt idx="4">
                  <c:v>0.50860295804945665</c:v>
                </c:pt>
                <c:pt idx="5">
                  <c:v>0.49884464040065402</c:v>
                </c:pt>
                <c:pt idx="6">
                  <c:v>0.48908632275185138</c:v>
                </c:pt>
                <c:pt idx="7">
                  <c:v>0.51141206719550902</c:v>
                </c:pt>
                <c:pt idx="8">
                  <c:v>0.53373781163916667</c:v>
                </c:pt>
                <c:pt idx="9">
                  <c:v>0.53229224514514228</c:v>
                </c:pt>
                <c:pt idx="10">
                  <c:v>0.5308466786511179</c:v>
                </c:pt>
                <c:pt idx="11">
                  <c:v>0.54131110204495014</c:v>
                </c:pt>
                <c:pt idx="12">
                  <c:v>0.55177552543878228</c:v>
                </c:pt>
                <c:pt idx="13">
                  <c:v>0.55309234579055055</c:v>
                </c:pt>
                <c:pt idx="14">
                  <c:v>0.55440916614231872</c:v>
                </c:pt>
                <c:pt idx="15">
                  <c:v>0.55884900105924862</c:v>
                </c:pt>
                <c:pt idx="16">
                  <c:v>0.56328883597617851</c:v>
                </c:pt>
                <c:pt idx="17">
                  <c:v>0.56587146552976519</c:v>
                </c:pt>
                <c:pt idx="18">
                  <c:v>0.56845409508335198</c:v>
                </c:pt>
                <c:pt idx="19">
                  <c:v>0.56740267447796966</c:v>
                </c:pt>
                <c:pt idx="20">
                  <c:v>0.56635125387258722</c:v>
                </c:pt>
                <c:pt idx="21">
                  <c:v>0.56959666236016249</c:v>
                </c:pt>
                <c:pt idx="22">
                  <c:v>0.57284207084773786</c:v>
                </c:pt>
                <c:pt idx="23">
                  <c:v>0.56935417105190589</c:v>
                </c:pt>
                <c:pt idx="24">
                  <c:v>0.56586627125607392</c:v>
                </c:pt>
                <c:pt idx="25">
                  <c:v>0.56586627125607392</c:v>
                </c:pt>
                <c:pt idx="26">
                  <c:v>0.56586627125607392</c:v>
                </c:pt>
                <c:pt idx="27">
                  <c:v>0.56528135777088606</c:v>
                </c:pt>
                <c:pt idx="28">
                  <c:v>0.56469644428569821</c:v>
                </c:pt>
                <c:pt idx="29">
                  <c:v>0.56698319648814821</c:v>
                </c:pt>
                <c:pt idx="30">
                  <c:v>0.56926994869059822</c:v>
                </c:pt>
                <c:pt idx="31">
                  <c:v>0.56334353996940378</c:v>
                </c:pt>
                <c:pt idx="32">
                  <c:v>0.55741713124820924</c:v>
                </c:pt>
                <c:pt idx="33">
                  <c:v>0.55741713124820924</c:v>
                </c:pt>
              </c:numCache>
            </c:numRef>
          </c:val>
          <c:smooth val="0"/>
          <c:extLst>
            <c:ext xmlns:c16="http://schemas.microsoft.com/office/drawing/2014/chart" uri="{C3380CC4-5D6E-409C-BE32-E72D297353CC}">
              <c16:uniqueId val="{00000002-0BDE-42B0-8526-A789543B6F6A}"/>
            </c:ext>
          </c:extLst>
        </c:ser>
        <c:ser>
          <c:idx val="3"/>
          <c:order val="3"/>
          <c:tx>
            <c:strRef>
              <c:f>AHS_tables!$DN$630</c:f>
              <c:strCache>
                <c:ptCount val="1"/>
                <c:pt idx="0">
                  <c:v>W</c:v>
                </c:pt>
              </c:strCache>
            </c:strRef>
          </c:tx>
          <c:marker>
            <c:symbol val="x"/>
            <c:size val="5"/>
          </c:marker>
          <c:cat>
            <c:numRef>
              <c:f>AHS_tables!$DJ$631:$DJ$664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AHS_tables!$DN$631:$DN$664</c:f>
              <c:numCache>
                <c:formatCode>0.000</c:formatCode>
                <c:ptCount val="34"/>
                <c:pt idx="0">
                  <c:v>0.21642786261278027</c:v>
                </c:pt>
                <c:pt idx="1">
                  <c:v>0.21825218557659687</c:v>
                </c:pt>
                <c:pt idx="2">
                  <c:v>0.2200765085404135</c:v>
                </c:pt>
                <c:pt idx="3">
                  <c:v>0.21264940149261252</c:v>
                </c:pt>
                <c:pt idx="4">
                  <c:v>0.20522229444481152</c:v>
                </c:pt>
                <c:pt idx="5">
                  <c:v>0.21154460463574831</c:v>
                </c:pt>
                <c:pt idx="6">
                  <c:v>0.21786691482668508</c:v>
                </c:pt>
                <c:pt idx="7">
                  <c:v>0.20818710443672608</c:v>
                </c:pt>
                <c:pt idx="8">
                  <c:v>0.19850729404676709</c:v>
                </c:pt>
                <c:pt idx="9">
                  <c:v>0.20004284388656896</c:v>
                </c:pt>
                <c:pt idx="10">
                  <c:v>0.20157839372637085</c:v>
                </c:pt>
                <c:pt idx="11">
                  <c:v>0.19648840324972747</c:v>
                </c:pt>
                <c:pt idx="12">
                  <c:v>0.19139841277308409</c:v>
                </c:pt>
                <c:pt idx="13">
                  <c:v>0.19376355821379221</c:v>
                </c:pt>
                <c:pt idx="14">
                  <c:v>0.19612870365450036</c:v>
                </c:pt>
                <c:pt idx="15">
                  <c:v>0.19184351202029931</c:v>
                </c:pt>
                <c:pt idx="16">
                  <c:v>0.18755832038609824</c:v>
                </c:pt>
                <c:pt idx="17">
                  <c:v>0.19035547045466233</c:v>
                </c:pt>
                <c:pt idx="18">
                  <c:v>0.1931526205232264</c:v>
                </c:pt>
                <c:pt idx="19">
                  <c:v>0.18621486197411247</c:v>
                </c:pt>
                <c:pt idx="20">
                  <c:v>0.17927710342499856</c:v>
                </c:pt>
                <c:pt idx="21">
                  <c:v>0.18000937593277772</c:v>
                </c:pt>
                <c:pt idx="22">
                  <c:v>0.18074164844055685</c:v>
                </c:pt>
                <c:pt idx="23">
                  <c:v>0.19007791453043082</c:v>
                </c:pt>
                <c:pt idx="24">
                  <c:v>0.19941418062030483</c:v>
                </c:pt>
                <c:pt idx="25">
                  <c:v>0.19941418062030483</c:v>
                </c:pt>
                <c:pt idx="26">
                  <c:v>0.19941418062030483</c:v>
                </c:pt>
                <c:pt idx="27">
                  <c:v>0.19902693295300095</c:v>
                </c:pt>
                <c:pt idx="28">
                  <c:v>0.19863968528569709</c:v>
                </c:pt>
                <c:pt idx="29">
                  <c:v>0.20568207262085042</c:v>
                </c:pt>
                <c:pt idx="30">
                  <c:v>0.21272445995600375</c:v>
                </c:pt>
                <c:pt idx="31">
                  <c:v>0.21551687304373879</c:v>
                </c:pt>
                <c:pt idx="32">
                  <c:v>0.21830928613147382</c:v>
                </c:pt>
                <c:pt idx="33">
                  <c:v>0.21830928613147382</c:v>
                </c:pt>
              </c:numCache>
            </c:numRef>
          </c:val>
          <c:smooth val="0"/>
          <c:extLst>
            <c:ext xmlns:c16="http://schemas.microsoft.com/office/drawing/2014/chart" uri="{C3380CC4-5D6E-409C-BE32-E72D297353CC}">
              <c16:uniqueId val="{00000003-0BDE-42B0-8526-A789543B6F6A}"/>
            </c:ext>
          </c:extLst>
        </c:ser>
        <c:dLbls>
          <c:showLegendKey val="0"/>
          <c:showVal val="0"/>
          <c:showCatName val="0"/>
          <c:showSerName val="0"/>
          <c:showPercent val="0"/>
          <c:showBubbleSize val="0"/>
        </c:dLbls>
        <c:marker val="1"/>
        <c:smooth val="0"/>
        <c:axId val="217378176"/>
        <c:axId val="217388160"/>
      </c:lineChart>
      <c:catAx>
        <c:axId val="217378176"/>
        <c:scaling>
          <c:orientation val="minMax"/>
        </c:scaling>
        <c:delete val="0"/>
        <c:axPos val="b"/>
        <c:numFmt formatCode="General" sourceLinked="1"/>
        <c:majorTickMark val="out"/>
        <c:minorTickMark val="none"/>
        <c:tickLblPos val="nextTo"/>
        <c:crossAx val="217388160"/>
        <c:crosses val="autoZero"/>
        <c:auto val="1"/>
        <c:lblAlgn val="ctr"/>
        <c:lblOffset val="100"/>
        <c:noMultiLvlLbl val="0"/>
      </c:catAx>
      <c:valAx>
        <c:axId val="217388160"/>
        <c:scaling>
          <c:orientation val="minMax"/>
        </c:scaling>
        <c:delete val="0"/>
        <c:axPos val="l"/>
        <c:majorGridlines/>
        <c:numFmt formatCode="0.000" sourceLinked="1"/>
        <c:majorTickMark val="out"/>
        <c:minorTickMark val="none"/>
        <c:tickLblPos val="nextTo"/>
        <c:crossAx val="217378176"/>
        <c:crosses val="autoZero"/>
        <c:crossBetween val="between"/>
      </c:valAx>
    </c:plotArea>
    <c:legend>
      <c:legendPos val="r"/>
      <c:layout>
        <c:manualLayout>
          <c:xMode val="edge"/>
          <c:yMode val="edge"/>
          <c:x val="0.55439885803748212"/>
          <c:y val="0.30478783902012246"/>
          <c:w val="0.26886300031209548"/>
          <c:h val="0.27468358121901426"/>
        </c:manualLayout>
      </c:layout>
      <c:overlay val="0"/>
    </c:legend>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85739282589675E-2"/>
          <c:y val="5.1400554097404488E-2"/>
          <c:w val="0.71178849518810139"/>
          <c:h val="0.79523549139690874"/>
        </c:manualLayout>
      </c:layout>
      <c:lineChart>
        <c:grouping val="standard"/>
        <c:varyColors val="0"/>
        <c:ser>
          <c:idx val="0"/>
          <c:order val="0"/>
          <c:tx>
            <c:strRef>
              <c:f>AHS_tables!$CT$301</c:f>
              <c:strCache>
                <c:ptCount val="1"/>
                <c:pt idx="0">
                  <c:v>Predicted </c:v>
                </c:pt>
              </c:strCache>
            </c:strRef>
          </c:tx>
          <c:cat>
            <c:numRef>
              <c:f>AHS_tables!$CS$302:$CS$335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AHS_tables!$CT$302:$CT$335</c:f>
              <c:numCache>
                <c:formatCode>General</c:formatCode>
                <c:ptCount val="34"/>
                <c:pt idx="0">
                  <c:v>1.0254626753510974</c:v>
                </c:pt>
                <c:pt idx="1">
                  <c:v>1.0254626753510974</c:v>
                </c:pt>
                <c:pt idx="2">
                  <c:v>1.0254626753510974</c:v>
                </c:pt>
                <c:pt idx="3">
                  <c:v>1.0254626753510974</c:v>
                </c:pt>
                <c:pt idx="4">
                  <c:v>1.0254626753510974</c:v>
                </c:pt>
                <c:pt idx="5">
                  <c:v>1.0254626753510974</c:v>
                </c:pt>
                <c:pt idx="6">
                  <c:v>1.0254626753510974</c:v>
                </c:pt>
                <c:pt idx="7">
                  <c:v>1.0254626753510974</c:v>
                </c:pt>
                <c:pt idx="8">
                  <c:v>1.0254626753510974</c:v>
                </c:pt>
                <c:pt idx="9">
                  <c:v>1.0254626753510974</c:v>
                </c:pt>
                <c:pt idx="10">
                  <c:v>1.0254626753510974</c:v>
                </c:pt>
                <c:pt idx="11">
                  <c:v>1.0254626753510974</c:v>
                </c:pt>
                <c:pt idx="12">
                  <c:v>1.0254626753510974</c:v>
                </c:pt>
                <c:pt idx="13">
                  <c:v>1.0254626753510974</c:v>
                </c:pt>
                <c:pt idx="14">
                  <c:v>1.0254626753510974</c:v>
                </c:pt>
                <c:pt idx="15">
                  <c:v>1.0246700511641058</c:v>
                </c:pt>
                <c:pt idx="16">
                  <c:v>1.0238774269771143</c:v>
                </c:pt>
                <c:pt idx="17">
                  <c:v>1.0230848027901227</c:v>
                </c:pt>
                <c:pt idx="18">
                  <c:v>1.0222921786031309</c:v>
                </c:pt>
                <c:pt idx="19">
                  <c:v>1.0214995544161394</c:v>
                </c:pt>
                <c:pt idx="20">
                  <c:v>1.0207069302291478</c:v>
                </c:pt>
                <c:pt idx="21">
                  <c:v>1.0199143060421563</c:v>
                </c:pt>
                <c:pt idx="22">
                  <c:v>1.0191216818551647</c:v>
                </c:pt>
                <c:pt idx="23">
                  <c:v>1.0183290576681732</c:v>
                </c:pt>
                <c:pt idx="24">
                  <c:v>1.0175364334811814</c:v>
                </c:pt>
                <c:pt idx="25">
                  <c:v>1.0167438092941898</c:v>
                </c:pt>
                <c:pt idx="26">
                  <c:v>1.0159511851071983</c:v>
                </c:pt>
                <c:pt idx="27">
                  <c:v>1.0151585609202067</c:v>
                </c:pt>
                <c:pt idx="28">
                  <c:v>1.0143659367332152</c:v>
                </c:pt>
                <c:pt idx="29">
                  <c:v>1.0137714685929715</c:v>
                </c:pt>
                <c:pt idx="30">
                  <c:v>1.0133256174877887</c:v>
                </c:pt>
                <c:pt idx="31">
                  <c:v>1.0129912291589016</c:v>
                </c:pt>
                <c:pt idx="32">
                  <c:v>1.0127404379122362</c:v>
                </c:pt>
                <c:pt idx="33">
                  <c:v>1.0125523444772373</c:v>
                </c:pt>
              </c:numCache>
            </c:numRef>
          </c:val>
          <c:smooth val="0"/>
          <c:extLst>
            <c:ext xmlns:c16="http://schemas.microsoft.com/office/drawing/2014/chart" uri="{C3380CC4-5D6E-409C-BE32-E72D297353CC}">
              <c16:uniqueId val="{00000000-B9EF-458A-A5AD-6473D0F7E169}"/>
            </c:ext>
          </c:extLst>
        </c:ser>
        <c:ser>
          <c:idx val="1"/>
          <c:order val="1"/>
          <c:tx>
            <c:strRef>
              <c:f>AHS_tables!$CU$301</c:f>
              <c:strCache>
                <c:ptCount val="1"/>
                <c:pt idx="0">
                  <c:v>Actual</c:v>
                </c:pt>
              </c:strCache>
            </c:strRef>
          </c:tx>
          <c:cat>
            <c:numRef>
              <c:f>AHS_tables!$CS$302:$CS$335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AHS_tables!$CU$302:$CU$335</c:f>
              <c:numCache>
                <c:formatCode>General</c:formatCode>
                <c:ptCount val="34"/>
                <c:pt idx="14">
                  <c:v>1.0237006304789464</c:v>
                </c:pt>
                <c:pt idx="16">
                  <c:v>1.0125319902940311</c:v>
                </c:pt>
                <c:pt idx="18">
                  <c:v>1.0327167855173622</c:v>
                </c:pt>
                <c:pt idx="20">
                  <c:v>1.0327419441931045</c:v>
                </c:pt>
                <c:pt idx="22">
                  <c:v>1.023124789897627</c:v>
                </c:pt>
                <c:pt idx="24">
                  <c:v>0.9872921447600741</c:v>
                </c:pt>
                <c:pt idx="26">
                  <c:v>1.044574282198605</c:v>
                </c:pt>
                <c:pt idx="28">
                  <c:v>1.0026318809975014</c:v>
                </c:pt>
              </c:numCache>
            </c:numRef>
          </c:val>
          <c:smooth val="0"/>
          <c:extLst>
            <c:ext xmlns:c16="http://schemas.microsoft.com/office/drawing/2014/chart" uri="{C3380CC4-5D6E-409C-BE32-E72D297353CC}">
              <c16:uniqueId val="{00000001-B9EF-458A-A5AD-6473D0F7E169}"/>
            </c:ext>
          </c:extLst>
        </c:ser>
        <c:dLbls>
          <c:showLegendKey val="0"/>
          <c:showVal val="0"/>
          <c:showCatName val="0"/>
          <c:showSerName val="0"/>
          <c:showPercent val="0"/>
          <c:showBubbleSize val="0"/>
        </c:dLbls>
        <c:marker val="1"/>
        <c:smooth val="0"/>
        <c:axId val="217409024"/>
        <c:axId val="217410560"/>
      </c:lineChart>
      <c:catAx>
        <c:axId val="217409024"/>
        <c:scaling>
          <c:orientation val="minMax"/>
        </c:scaling>
        <c:delete val="0"/>
        <c:axPos val="b"/>
        <c:numFmt formatCode="General" sourceLinked="1"/>
        <c:majorTickMark val="out"/>
        <c:minorTickMark val="none"/>
        <c:tickLblPos val="nextTo"/>
        <c:crossAx val="217410560"/>
        <c:crosses val="autoZero"/>
        <c:auto val="1"/>
        <c:lblAlgn val="ctr"/>
        <c:lblOffset val="100"/>
        <c:noMultiLvlLbl val="0"/>
      </c:catAx>
      <c:valAx>
        <c:axId val="217410560"/>
        <c:scaling>
          <c:orientation val="minMax"/>
        </c:scaling>
        <c:delete val="0"/>
        <c:axPos val="l"/>
        <c:majorGridlines/>
        <c:numFmt formatCode="General" sourceLinked="1"/>
        <c:majorTickMark val="out"/>
        <c:minorTickMark val="none"/>
        <c:tickLblPos val="nextTo"/>
        <c:crossAx val="2174090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Northeast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AHS_tables!$CI$301</c:f>
              <c:strCache>
                <c:ptCount val="1"/>
                <c:pt idx="0">
                  <c:v>Predicted </c:v>
                </c:pt>
              </c:strCache>
            </c:strRef>
          </c:tx>
          <c:cat>
            <c:numRef>
              <c:f>AHS_tables!$CH$302:$CH$335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AHS_tables!$CI$302:$CI$335</c:f>
              <c:numCache>
                <c:formatCode>General</c:formatCode>
                <c:ptCount val="34"/>
                <c:pt idx="0">
                  <c:v>1.0555144572991391</c:v>
                </c:pt>
                <c:pt idx="1">
                  <c:v>1.0563104711141584</c:v>
                </c:pt>
                <c:pt idx="2">
                  <c:v>1.0571064849291776</c:v>
                </c:pt>
                <c:pt idx="3">
                  <c:v>1.057902498744197</c:v>
                </c:pt>
                <c:pt idx="4">
                  <c:v>1.0586985125592161</c:v>
                </c:pt>
                <c:pt idx="5">
                  <c:v>1.0594945263742352</c:v>
                </c:pt>
                <c:pt idx="6">
                  <c:v>1.0602905401892546</c:v>
                </c:pt>
                <c:pt idx="7">
                  <c:v>1.0610865540042738</c:v>
                </c:pt>
                <c:pt idx="8">
                  <c:v>1.0618825678192931</c:v>
                </c:pt>
                <c:pt idx="9">
                  <c:v>1.0626785816343123</c:v>
                </c:pt>
                <c:pt idx="10">
                  <c:v>1.0634745954493314</c:v>
                </c:pt>
                <c:pt idx="11">
                  <c:v>1.0642706092643508</c:v>
                </c:pt>
                <c:pt idx="12">
                  <c:v>1.0650666230793699</c:v>
                </c:pt>
                <c:pt idx="13">
                  <c:v>1.0658626368943893</c:v>
                </c:pt>
                <c:pt idx="14">
                  <c:v>1.0666586507094085</c:v>
                </c:pt>
                <c:pt idx="15">
                  <c:v>1.0682506783394468</c:v>
                </c:pt>
                <c:pt idx="16">
                  <c:v>1.0698427059694851</c:v>
                </c:pt>
                <c:pt idx="17">
                  <c:v>1.0714347335995238</c:v>
                </c:pt>
                <c:pt idx="18">
                  <c:v>1.0730267612295621</c:v>
                </c:pt>
                <c:pt idx="19">
                  <c:v>1.0746187888596008</c:v>
                </c:pt>
                <c:pt idx="20">
                  <c:v>1.0762108164896391</c:v>
                </c:pt>
                <c:pt idx="21">
                  <c:v>1.0778028441196774</c:v>
                </c:pt>
                <c:pt idx="22">
                  <c:v>1.0793948717497162</c:v>
                </c:pt>
                <c:pt idx="23">
                  <c:v>1.0809868993797545</c:v>
                </c:pt>
                <c:pt idx="24">
                  <c:v>1.0825789270097932</c:v>
                </c:pt>
                <c:pt idx="25">
                  <c:v>1.0833749408248126</c:v>
                </c:pt>
                <c:pt idx="26">
                  <c:v>1.083971951186077</c:v>
                </c:pt>
                <c:pt idx="27">
                  <c:v>1.0844197089570253</c:v>
                </c:pt>
                <c:pt idx="28">
                  <c:v>1.0847555272852365</c:v>
                </c:pt>
                <c:pt idx="29">
                  <c:v>1.0850073910313949</c:v>
                </c:pt>
                <c:pt idx="30">
                  <c:v>1.0851962888410136</c:v>
                </c:pt>
                <c:pt idx="31">
                  <c:v>1.0853379621982278</c:v>
                </c:pt>
                <c:pt idx="32">
                  <c:v>1.0854442172161383</c:v>
                </c:pt>
                <c:pt idx="33">
                  <c:v>1.0855239084795711</c:v>
                </c:pt>
              </c:numCache>
            </c:numRef>
          </c:val>
          <c:smooth val="0"/>
          <c:extLst>
            <c:ext xmlns:c16="http://schemas.microsoft.com/office/drawing/2014/chart" uri="{C3380CC4-5D6E-409C-BE32-E72D297353CC}">
              <c16:uniqueId val="{00000000-93BD-463B-A1B6-15D10C969DB7}"/>
            </c:ext>
          </c:extLst>
        </c:ser>
        <c:ser>
          <c:idx val="1"/>
          <c:order val="1"/>
          <c:tx>
            <c:strRef>
              <c:f>AHS_tables!$CJ$301</c:f>
              <c:strCache>
                <c:ptCount val="1"/>
                <c:pt idx="0">
                  <c:v>Actual</c:v>
                </c:pt>
              </c:strCache>
            </c:strRef>
          </c:tx>
          <c:marker>
            <c:symbol val="square"/>
            <c:size val="6"/>
          </c:marker>
          <c:cat>
            <c:numRef>
              <c:f>AHS_tables!$CH$302:$CH$335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AHS_tables!$CJ$302:$CJ$335</c:f>
              <c:numCache>
                <c:formatCode>General</c:formatCode>
                <c:ptCount val="34"/>
                <c:pt idx="14">
                  <c:v>1.05525489562087</c:v>
                </c:pt>
                <c:pt idx="16">
                  <c:v>1.0872203962257243</c:v>
                </c:pt>
                <c:pt idx="18">
                  <c:v>1.0798856320420509</c:v>
                </c:pt>
                <c:pt idx="20">
                  <c:v>1.0619208889120009</c:v>
                </c:pt>
                <c:pt idx="22">
                  <c:v>1.0749061288852646</c:v>
                </c:pt>
                <c:pt idx="24">
                  <c:v>1.0885247914716945</c:v>
                </c:pt>
                <c:pt idx="26">
                  <c:v>1.0556099580014529</c:v>
                </c:pt>
                <c:pt idx="28">
                  <c:v>1.1476597068998629</c:v>
                </c:pt>
              </c:numCache>
            </c:numRef>
          </c:val>
          <c:smooth val="0"/>
          <c:extLst>
            <c:ext xmlns:c16="http://schemas.microsoft.com/office/drawing/2014/chart" uri="{C3380CC4-5D6E-409C-BE32-E72D297353CC}">
              <c16:uniqueId val="{00000001-93BD-463B-A1B6-15D10C969DB7}"/>
            </c:ext>
          </c:extLst>
        </c:ser>
        <c:dLbls>
          <c:showLegendKey val="0"/>
          <c:showVal val="0"/>
          <c:showCatName val="0"/>
          <c:showSerName val="0"/>
          <c:showPercent val="0"/>
          <c:showBubbleSize val="0"/>
        </c:dLbls>
        <c:marker val="1"/>
        <c:smooth val="0"/>
        <c:axId val="217439616"/>
        <c:axId val="217441408"/>
      </c:lineChart>
      <c:catAx>
        <c:axId val="217439616"/>
        <c:scaling>
          <c:orientation val="minMax"/>
        </c:scaling>
        <c:delete val="0"/>
        <c:axPos val="b"/>
        <c:numFmt formatCode="General" sourceLinked="1"/>
        <c:majorTickMark val="out"/>
        <c:minorTickMark val="none"/>
        <c:tickLblPos val="nextTo"/>
        <c:crossAx val="217441408"/>
        <c:crosses val="autoZero"/>
        <c:auto val="1"/>
        <c:lblAlgn val="ctr"/>
        <c:lblOffset val="100"/>
        <c:tickLblSkip val="4"/>
        <c:noMultiLvlLbl val="0"/>
      </c:catAx>
      <c:valAx>
        <c:axId val="217441408"/>
        <c:scaling>
          <c:orientation val="minMax"/>
        </c:scaling>
        <c:delete val="0"/>
        <c:axPos val="l"/>
        <c:majorGridlines/>
        <c:title>
          <c:tx>
            <c:rich>
              <a:bodyPr rot="-5400000" vert="horz"/>
              <a:lstStyle/>
              <a:p>
                <a:pPr>
                  <a:defRPr/>
                </a:pPr>
                <a:r>
                  <a:rPr lang="en-US"/>
                  <a:t>Size Ratio, Northeast/U.S.</a:t>
                </a:r>
              </a:p>
            </c:rich>
          </c:tx>
          <c:overlay val="0"/>
        </c:title>
        <c:numFmt formatCode="General" sourceLinked="1"/>
        <c:majorTickMark val="out"/>
        <c:minorTickMark val="none"/>
        <c:tickLblPos val="nextTo"/>
        <c:crossAx val="217439616"/>
        <c:crosses val="autoZero"/>
        <c:crossBetween val="midCat"/>
      </c:valAx>
    </c:plotArea>
    <c:legend>
      <c:legendPos val="r"/>
      <c:layout>
        <c:manualLayout>
          <c:xMode val="edge"/>
          <c:yMode val="edge"/>
          <c:x val="0.23971197187049956"/>
          <c:y val="0.23673738964447627"/>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Midwest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AHS_tables!$CN$301</c:f>
              <c:strCache>
                <c:ptCount val="1"/>
                <c:pt idx="0">
                  <c:v>Predicted </c:v>
                </c:pt>
              </c:strCache>
            </c:strRef>
          </c:tx>
          <c:cat>
            <c:numRef>
              <c:f>AHS_tables!$CM$302:$CM$335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AHS_tables!$CN$302:$CN$335</c:f>
              <c:numCache>
                <c:formatCode>General</c:formatCode>
                <c:ptCount val="34"/>
                <c:pt idx="0">
                  <c:v>1.01871954568356</c:v>
                </c:pt>
                <c:pt idx="1">
                  <c:v>1.01871954568356</c:v>
                </c:pt>
                <c:pt idx="2">
                  <c:v>1.01871954568356</c:v>
                </c:pt>
                <c:pt idx="3">
                  <c:v>1.01871954568356</c:v>
                </c:pt>
                <c:pt idx="4">
                  <c:v>1.01871954568356</c:v>
                </c:pt>
                <c:pt idx="5">
                  <c:v>1.01871954568356</c:v>
                </c:pt>
                <c:pt idx="6">
                  <c:v>1.01871954568356</c:v>
                </c:pt>
                <c:pt idx="7">
                  <c:v>1.01871954568356</c:v>
                </c:pt>
                <c:pt idx="8">
                  <c:v>1.01871954568356</c:v>
                </c:pt>
                <c:pt idx="9">
                  <c:v>1.01871954568356</c:v>
                </c:pt>
                <c:pt idx="10">
                  <c:v>1.01871954568356</c:v>
                </c:pt>
                <c:pt idx="11">
                  <c:v>1.01871954568356</c:v>
                </c:pt>
                <c:pt idx="12">
                  <c:v>1.01871954568356</c:v>
                </c:pt>
                <c:pt idx="13">
                  <c:v>1.01871954568356</c:v>
                </c:pt>
                <c:pt idx="14">
                  <c:v>1.01871954568356</c:v>
                </c:pt>
                <c:pt idx="15">
                  <c:v>1.018151386285175</c:v>
                </c:pt>
                <c:pt idx="16">
                  <c:v>1.0175832268867897</c:v>
                </c:pt>
                <c:pt idx="17">
                  <c:v>1.0170150674884046</c:v>
                </c:pt>
                <c:pt idx="18">
                  <c:v>1.0164469080900194</c:v>
                </c:pt>
                <c:pt idx="19">
                  <c:v>1.0158787486916341</c:v>
                </c:pt>
                <c:pt idx="20">
                  <c:v>1.015310589293249</c:v>
                </c:pt>
                <c:pt idx="21">
                  <c:v>1.0147424298948637</c:v>
                </c:pt>
                <c:pt idx="22">
                  <c:v>1.0141742704964785</c:v>
                </c:pt>
                <c:pt idx="23">
                  <c:v>1.0136061110980934</c:v>
                </c:pt>
                <c:pt idx="24">
                  <c:v>1.0130379516997081</c:v>
                </c:pt>
                <c:pt idx="25">
                  <c:v>1.0124697923013228</c:v>
                </c:pt>
                <c:pt idx="26">
                  <c:v>1.0119016329029378</c:v>
                </c:pt>
                <c:pt idx="27">
                  <c:v>1.0113334735045525</c:v>
                </c:pt>
                <c:pt idx="28">
                  <c:v>1.0107653141061672</c:v>
                </c:pt>
                <c:pt idx="29">
                  <c:v>1.0103391945573783</c:v>
                </c:pt>
                <c:pt idx="30">
                  <c:v>1.0100196048957866</c:v>
                </c:pt>
                <c:pt idx="31">
                  <c:v>1.0097799126495928</c:v>
                </c:pt>
                <c:pt idx="32">
                  <c:v>1.0096001434649473</c:v>
                </c:pt>
                <c:pt idx="33">
                  <c:v>1.0094653165764633</c:v>
                </c:pt>
              </c:numCache>
            </c:numRef>
          </c:val>
          <c:smooth val="0"/>
          <c:extLst>
            <c:ext xmlns:c16="http://schemas.microsoft.com/office/drawing/2014/chart" uri="{C3380CC4-5D6E-409C-BE32-E72D297353CC}">
              <c16:uniqueId val="{00000000-F7C2-4FD4-8736-2AC24BDD8946}"/>
            </c:ext>
          </c:extLst>
        </c:ser>
        <c:ser>
          <c:idx val="1"/>
          <c:order val="1"/>
          <c:tx>
            <c:strRef>
              <c:f>AHS_tables!$CO$301</c:f>
              <c:strCache>
                <c:ptCount val="1"/>
                <c:pt idx="0">
                  <c:v>Actual</c:v>
                </c:pt>
              </c:strCache>
            </c:strRef>
          </c:tx>
          <c:marker>
            <c:symbol val="square"/>
            <c:size val="6"/>
          </c:marker>
          <c:cat>
            <c:numRef>
              <c:f>AHS_tables!$CM$302:$CM$335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AHS_tables!$CO$302:$CO$335</c:f>
              <c:numCache>
                <c:formatCode>General</c:formatCode>
                <c:ptCount val="34"/>
                <c:pt idx="14">
                  <c:v>1.0179082817582092</c:v>
                </c:pt>
                <c:pt idx="16">
                  <c:v>1.0004600665216559</c:v>
                </c:pt>
                <c:pt idx="18">
                  <c:v>1.0141645812010365</c:v>
                </c:pt>
                <c:pt idx="20">
                  <c:v>1.0148449414122942</c:v>
                </c:pt>
                <c:pt idx="22">
                  <c:v>1.041690625918765</c:v>
                </c:pt>
                <c:pt idx="24">
                  <c:v>1.0375786497242296</c:v>
                </c:pt>
                <c:pt idx="26">
                  <c:v>1.00196320622402</c:v>
                </c:pt>
                <c:pt idx="28">
                  <c:v>0.9893290863986971</c:v>
                </c:pt>
              </c:numCache>
            </c:numRef>
          </c:val>
          <c:smooth val="0"/>
          <c:extLst>
            <c:ext xmlns:c16="http://schemas.microsoft.com/office/drawing/2014/chart" uri="{C3380CC4-5D6E-409C-BE32-E72D297353CC}">
              <c16:uniqueId val="{00000001-F7C2-4FD4-8736-2AC24BDD8946}"/>
            </c:ext>
          </c:extLst>
        </c:ser>
        <c:dLbls>
          <c:showLegendKey val="0"/>
          <c:showVal val="0"/>
          <c:showCatName val="0"/>
          <c:showSerName val="0"/>
          <c:showPercent val="0"/>
          <c:showBubbleSize val="0"/>
        </c:dLbls>
        <c:marker val="1"/>
        <c:smooth val="0"/>
        <c:axId val="217942272"/>
        <c:axId val="217952256"/>
      </c:lineChart>
      <c:catAx>
        <c:axId val="217942272"/>
        <c:scaling>
          <c:orientation val="minMax"/>
        </c:scaling>
        <c:delete val="0"/>
        <c:axPos val="b"/>
        <c:numFmt formatCode="General" sourceLinked="1"/>
        <c:majorTickMark val="out"/>
        <c:minorTickMark val="none"/>
        <c:tickLblPos val="nextTo"/>
        <c:crossAx val="217952256"/>
        <c:crosses val="autoZero"/>
        <c:auto val="1"/>
        <c:lblAlgn val="ctr"/>
        <c:lblOffset val="100"/>
        <c:tickLblSkip val="4"/>
        <c:noMultiLvlLbl val="0"/>
      </c:catAx>
      <c:valAx>
        <c:axId val="217952256"/>
        <c:scaling>
          <c:orientation val="minMax"/>
        </c:scaling>
        <c:delete val="0"/>
        <c:axPos val="l"/>
        <c:majorGridlines/>
        <c:title>
          <c:tx>
            <c:rich>
              <a:bodyPr rot="-5400000" vert="horz"/>
              <a:lstStyle/>
              <a:p>
                <a:pPr>
                  <a:defRPr/>
                </a:pPr>
                <a:r>
                  <a:rPr lang="en-US"/>
                  <a:t>Size Ratio, Midwest/U.S.</a:t>
                </a:r>
              </a:p>
            </c:rich>
          </c:tx>
          <c:overlay val="0"/>
        </c:title>
        <c:numFmt formatCode="General" sourceLinked="1"/>
        <c:majorTickMark val="out"/>
        <c:minorTickMark val="none"/>
        <c:tickLblPos val="nextTo"/>
        <c:crossAx val="217942272"/>
        <c:crosses val="autoZero"/>
        <c:crossBetween val="midCat"/>
      </c:valAx>
    </c:plotArea>
    <c:legend>
      <c:legendPos val="r"/>
      <c:layout>
        <c:manualLayout>
          <c:xMode val="edge"/>
          <c:yMode val="edge"/>
          <c:x val="0.23971197187049956"/>
          <c:y val="0.23673738964447627"/>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South</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AHS_tables!$CT$301</c:f>
              <c:strCache>
                <c:ptCount val="1"/>
                <c:pt idx="0">
                  <c:v>Predicted </c:v>
                </c:pt>
              </c:strCache>
            </c:strRef>
          </c:tx>
          <c:cat>
            <c:numRef>
              <c:f>AHS_tables!$CS$302:$CS$335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AHS_tables!$CT$302:$CT$335</c:f>
              <c:numCache>
                <c:formatCode>General</c:formatCode>
                <c:ptCount val="34"/>
                <c:pt idx="0">
                  <c:v>1.0254626753510974</c:v>
                </c:pt>
                <c:pt idx="1">
                  <c:v>1.0254626753510974</c:v>
                </c:pt>
                <c:pt idx="2">
                  <c:v>1.0254626753510974</c:v>
                </c:pt>
                <c:pt idx="3">
                  <c:v>1.0254626753510974</c:v>
                </c:pt>
                <c:pt idx="4">
                  <c:v>1.0254626753510974</c:v>
                </c:pt>
                <c:pt idx="5">
                  <c:v>1.0254626753510974</c:v>
                </c:pt>
                <c:pt idx="6">
                  <c:v>1.0254626753510974</c:v>
                </c:pt>
                <c:pt idx="7">
                  <c:v>1.0254626753510974</c:v>
                </c:pt>
                <c:pt idx="8">
                  <c:v>1.0254626753510974</c:v>
                </c:pt>
                <c:pt idx="9">
                  <c:v>1.0254626753510974</c:v>
                </c:pt>
                <c:pt idx="10">
                  <c:v>1.0254626753510974</c:v>
                </c:pt>
                <c:pt idx="11">
                  <c:v>1.0254626753510974</c:v>
                </c:pt>
                <c:pt idx="12">
                  <c:v>1.0254626753510974</c:v>
                </c:pt>
                <c:pt idx="13">
                  <c:v>1.0254626753510974</c:v>
                </c:pt>
                <c:pt idx="14">
                  <c:v>1.0254626753510974</c:v>
                </c:pt>
                <c:pt idx="15">
                  <c:v>1.0246700511641058</c:v>
                </c:pt>
                <c:pt idx="16">
                  <c:v>1.0238774269771143</c:v>
                </c:pt>
                <c:pt idx="17">
                  <c:v>1.0230848027901227</c:v>
                </c:pt>
                <c:pt idx="18">
                  <c:v>1.0222921786031309</c:v>
                </c:pt>
                <c:pt idx="19">
                  <c:v>1.0214995544161394</c:v>
                </c:pt>
                <c:pt idx="20">
                  <c:v>1.0207069302291478</c:v>
                </c:pt>
                <c:pt idx="21">
                  <c:v>1.0199143060421563</c:v>
                </c:pt>
                <c:pt idx="22">
                  <c:v>1.0191216818551647</c:v>
                </c:pt>
                <c:pt idx="23">
                  <c:v>1.0183290576681732</c:v>
                </c:pt>
                <c:pt idx="24">
                  <c:v>1.0175364334811814</c:v>
                </c:pt>
                <c:pt idx="25">
                  <c:v>1.0167438092941898</c:v>
                </c:pt>
                <c:pt idx="26">
                  <c:v>1.0159511851071983</c:v>
                </c:pt>
                <c:pt idx="27">
                  <c:v>1.0151585609202067</c:v>
                </c:pt>
                <c:pt idx="28">
                  <c:v>1.0143659367332152</c:v>
                </c:pt>
                <c:pt idx="29">
                  <c:v>1.0137714685929715</c:v>
                </c:pt>
                <c:pt idx="30">
                  <c:v>1.0133256174877887</c:v>
                </c:pt>
                <c:pt idx="31">
                  <c:v>1.0129912291589016</c:v>
                </c:pt>
                <c:pt idx="32">
                  <c:v>1.0127404379122362</c:v>
                </c:pt>
                <c:pt idx="33">
                  <c:v>1.0125523444772373</c:v>
                </c:pt>
              </c:numCache>
            </c:numRef>
          </c:val>
          <c:smooth val="0"/>
          <c:extLst>
            <c:ext xmlns:c16="http://schemas.microsoft.com/office/drawing/2014/chart" uri="{C3380CC4-5D6E-409C-BE32-E72D297353CC}">
              <c16:uniqueId val="{00000000-D6BB-433C-9432-B5F015B1A81F}"/>
            </c:ext>
          </c:extLst>
        </c:ser>
        <c:ser>
          <c:idx val="1"/>
          <c:order val="1"/>
          <c:tx>
            <c:strRef>
              <c:f>AHS_tables!$CU$301</c:f>
              <c:strCache>
                <c:ptCount val="1"/>
                <c:pt idx="0">
                  <c:v>Actual</c:v>
                </c:pt>
              </c:strCache>
            </c:strRef>
          </c:tx>
          <c:marker>
            <c:symbol val="square"/>
            <c:size val="6"/>
          </c:marker>
          <c:cat>
            <c:numRef>
              <c:f>AHS_tables!$CS$302:$CS$335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AHS_tables!$CU$302:$CU$335</c:f>
              <c:numCache>
                <c:formatCode>General</c:formatCode>
                <c:ptCount val="34"/>
                <c:pt idx="14">
                  <c:v>1.0237006304789464</c:v>
                </c:pt>
                <c:pt idx="16">
                  <c:v>1.0125319902940311</c:v>
                </c:pt>
                <c:pt idx="18">
                  <c:v>1.0327167855173622</c:v>
                </c:pt>
                <c:pt idx="20">
                  <c:v>1.0327419441931045</c:v>
                </c:pt>
                <c:pt idx="22">
                  <c:v>1.023124789897627</c:v>
                </c:pt>
                <c:pt idx="24">
                  <c:v>0.9872921447600741</c:v>
                </c:pt>
                <c:pt idx="26">
                  <c:v>1.044574282198605</c:v>
                </c:pt>
                <c:pt idx="28">
                  <c:v>1.0026318809975014</c:v>
                </c:pt>
              </c:numCache>
            </c:numRef>
          </c:val>
          <c:smooth val="0"/>
          <c:extLst>
            <c:ext xmlns:c16="http://schemas.microsoft.com/office/drawing/2014/chart" uri="{C3380CC4-5D6E-409C-BE32-E72D297353CC}">
              <c16:uniqueId val="{00000001-D6BB-433C-9432-B5F015B1A81F}"/>
            </c:ext>
          </c:extLst>
        </c:ser>
        <c:dLbls>
          <c:showLegendKey val="0"/>
          <c:showVal val="0"/>
          <c:showCatName val="0"/>
          <c:showSerName val="0"/>
          <c:showPercent val="0"/>
          <c:showBubbleSize val="0"/>
        </c:dLbls>
        <c:marker val="1"/>
        <c:smooth val="0"/>
        <c:axId val="217646208"/>
        <c:axId val="217647744"/>
      </c:lineChart>
      <c:catAx>
        <c:axId val="217646208"/>
        <c:scaling>
          <c:orientation val="minMax"/>
        </c:scaling>
        <c:delete val="0"/>
        <c:axPos val="b"/>
        <c:numFmt formatCode="General" sourceLinked="1"/>
        <c:majorTickMark val="out"/>
        <c:minorTickMark val="none"/>
        <c:tickLblPos val="nextTo"/>
        <c:crossAx val="217647744"/>
        <c:crosses val="autoZero"/>
        <c:auto val="1"/>
        <c:lblAlgn val="ctr"/>
        <c:lblOffset val="100"/>
        <c:tickLblSkip val="4"/>
        <c:noMultiLvlLbl val="0"/>
      </c:catAx>
      <c:valAx>
        <c:axId val="217647744"/>
        <c:scaling>
          <c:orientation val="minMax"/>
        </c:scaling>
        <c:delete val="0"/>
        <c:axPos val="l"/>
        <c:majorGridlines/>
        <c:title>
          <c:tx>
            <c:rich>
              <a:bodyPr rot="-5400000" vert="horz"/>
              <a:lstStyle/>
              <a:p>
                <a:pPr>
                  <a:defRPr/>
                </a:pPr>
                <a:r>
                  <a:rPr lang="en-US"/>
                  <a:t>Size Ratio, South/U.S.</a:t>
                </a:r>
              </a:p>
            </c:rich>
          </c:tx>
          <c:overlay val="0"/>
        </c:title>
        <c:numFmt formatCode="General" sourceLinked="1"/>
        <c:majorTickMark val="out"/>
        <c:minorTickMark val="none"/>
        <c:tickLblPos val="nextTo"/>
        <c:crossAx val="217646208"/>
        <c:crosses val="autoZero"/>
        <c:crossBetween val="midCat"/>
      </c:valAx>
    </c:plotArea>
    <c:legend>
      <c:legendPos val="r"/>
      <c:layout>
        <c:manualLayout>
          <c:xMode val="edge"/>
          <c:yMode val="edge"/>
          <c:x val="0.22376295068379615"/>
          <c:y val="0.47314383574393626"/>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AHS_tables!$CZ$301</c:f>
              <c:strCache>
                <c:ptCount val="1"/>
                <c:pt idx="0">
                  <c:v>Predicted </c:v>
                </c:pt>
              </c:strCache>
            </c:strRef>
          </c:tx>
          <c:cat>
            <c:numRef>
              <c:f>AHS_tables!$CY$302:$CY$335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AHS_tables!$CZ$302:$CZ$335</c:f>
              <c:numCache>
                <c:formatCode>General</c:formatCode>
                <c:ptCount val="34"/>
                <c:pt idx="0">
                  <c:v>0.93672428860112167</c:v>
                </c:pt>
                <c:pt idx="1">
                  <c:v>0.93544761581975344</c:v>
                </c:pt>
                <c:pt idx="2">
                  <c:v>0.9341709430383851</c:v>
                </c:pt>
                <c:pt idx="3">
                  <c:v>0.93289427025701677</c:v>
                </c:pt>
                <c:pt idx="4">
                  <c:v>0.93161759747564854</c:v>
                </c:pt>
                <c:pt idx="5">
                  <c:v>0.9303409246942802</c:v>
                </c:pt>
                <c:pt idx="6">
                  <c:v>0.92906425191291186</c:v>
                </c:pt>
                <c:pt idx="7">
                  <c:v>0.92778757913154364</c:v>
                </c:pt>
                <c:pt idx="8">
                  <c:v>0.9265109063501753</c:v>
                </c:pt>
                <c:pt idx="9">
                  <c:v>0.92523423356880696</c:v>
                </c:pt>
                <c:pt idx="10">
                  <c:v>0.92395756078743874</c:v>
                </c:pt>
                <c:pt idx="11">
                  <c:v>0.9226808880060704</c:v>
                </c:pt>
                <c:pt idx="12">
                  <c:v>0.92140421522470206</c:v>
                </c:pt>
                <c:pt idx="13">
                  <c:v>0.92012754244333383</c:v>
                </c:pt>
                <c:pt idx="14">
                  <c:v>0.9188508696619655</c:v>
                </c:pt>
                <c:pt idx="15">
                  <c:v>0.91629752409922904</c:v>
                </c:pt>
                <c:pt idx="16">
                  <c:v>0.91374417853649259</c:v>
                </c:pt>
                <c:pt idx="17">
                  <c:v>0.91119083297375614</c:v>
                </c:pt>
                <c:pt idx="18">
                  <c:v>0.9086374874110188</c:v>
                </c:pt>
                <c:pt idx="19">
                  <c:v>0.90608414184828234</c:v>
                </c:pt>
                <c:pt idx="20">
                  <c:v>0.90353079628554589</c:v>
                </c:pt>
                <c:pt idx="21">
                  <c:v>0.90097745072280944</c:v>
                </c:pt>
                <c:pt idx="22">
                  <c:v>0.89842410516007298</c:v>
                </c:pt>
                <c:pt idx="23">
                  <c:v>0.89587075959733653</c:v>
                </c:pt>
                <c:pt idx="24">
                  <c:v>0.89331741403459919</c:v>
                </c:pt>
                <c:pt idx="25">
                  <c:v>0.89076406847186274</c:v>
                </c:pt>
                <c:pt idx="26">
                  <c:v>0.88821072290912628</c:v>
                </c:pt>
                <c:pt idx="27">
                  <c:v>0.88565737734638983</c:v>
                </c:pt>
                <c:pt idx="28">
                  <c:v>0.88310403178365338</c:v>
                </c:pt>
                <c:pt idx="29">
                  <c:v>0.88118902261160104</c:v>
                </c:pt>
                <c:pt idx="30">
                  <c:v>0.87975276573256178</c:v>
                </c:pt>
                <c:pt idx="31">
                  <c:v>0.87867557307328237</c:v>
                </c:pt>
                <c:pt idx="32">
                  <c:v>0.87786767857882286</c:v>
                </c:pt>
                <c:pt idx="33">
                  <c:v>0.87726175770797821</c:v>
                </c:pt>
              </c:numCache>
            </c:numRef>
          </c:val>
          <c:smooth val="0"/>
          <c:extLst>
            <c:ext xmlns:c16="http://schemas.microsoft.com/office/drawing/2014/chart" uri="{C3380CC4-5D6E-409C-BE32-E72D297353CC}">
              <c16:uniqueId val="{00000000-18A9-47B7-BF24-9CDDD017EC41}"/>
            </c:ext>
          </c:extLst>
        </c:ser>
        <c:ser>
          <c:idx val="1"/>
          <c:order val="1"/>
          <c:tx>
            <c:strRef>
              <c:f>AHS_tables!$DA$301</c:f>
              <c:strCache>
                <c:ptCount val="1"/>
                <c:pt idx="0">
                  <c:v>Actual</c:v>
                </c:pt>
              </c:strCache>
            </c:strRef>
          </c:tx>
          <c:marker>
            <c:symbol val="square"/>
            <c:size val="6"/>
          </c:marker>
          <c:cat>
            <c:numRef>
              <c:f>AHS_tables!$CY$302:$CY$335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AHS_tables!$DA$302:$DA$335</c:f>
              <c:numCache>
                <c:formatCode>General</c:formatCode>
                <c:ptCount val="34"/>
                <c:pt idx="14">
                  <c:v>0.92698665713379114</c:v>
                </c:pt>
                <c:pt idx="16">
                  <c:v>0.92314476281541569</c:v>
                </c:pt>
                <c:pt idx="18">
                  <c:v>0.89084930113699312</c:v>
                </c:pt>
                <c:pt idx="20">
                  <c:v>0.89940715326923315</c:v>
                </c:pt>
                <c:pt idx="22">
                  <c:v>0.879035297168684</c:v>
                </c:pt>
                <c:pt idx="24">
                  <c:v>0.91627510195586948</c:v>
                </c:pt>
                <c:pt idx="26">
                  <c:v>0.89136793783948531</c:v>
                </c:pt>
                <c:pt idx="28">
                  <c:v>0.87820004890026515</c:v>
                </c:pt>
              </c:numCache>
            </c:numRef>
          </c:val>
          <c:smooth val="0"/>
          <c:extLst>
            <c:ext xmlns:c16="http://schemas.microsoft.com/office/drawing/2014/chart" uri="{C3380CC4-5D6E-409C-BE32-E72D297353CC}">
              <c16:uniqueId val="{00000001-18A9-47B7-BF24-9CDDD017EC41}"/>
            </c:ext>
          </c:extLst>
        </c:ser>
        <c:dLbls>
          <c:showLegendKey val="0"/>
          <c:showVal val="0"/>
          <c:showCatName val="0"/>
          <c:showSerName val="0"/>
          <c:showPercent val="0"/>
          <c:showBubbleSize val="0"/>
        </c:dLbls>
        <c:marker val="1"/>
        <c:smooth val="0"/>
        <c:axId val="217694208"/>
        <c:axId val="217695744"/>
      </c:lineChart>
      <c:catAx>
        <c:axId val="217694208"/>
        <c:scaling>
          <c:orientation val="minMax"/>
        </c:scaling>
        <c:delete val="0"/>
        <c:axPos val="b"/>
        <c:numFmt formatCode="General" sourceLinked="1"/>
        <c:majorTickMark val="out"/>
        <c:minorTickMark val="none"/>
        <c:tickLblPos val="nextTo"/>
        <c:crossAx val="217695744"/>
        <c:crosses val="autoZero"/>
        <c:auto val="1"/>
        <c:lblAlgn val="ctr"/>
        <c:lblOffset val="100"/>
        <c:tickLblSkip val="4"/>
        <c:noMultiLvlLbl val="0"/>
      </c:catAx>
      <c:valAx>
        <c:axId val="217695744"/>
        <c:scaling>
          <c:orientation val="minMax"/>
        </c:scaling>
        <c:delete val="0"/>
        <c:axPos val="l"/>
        <c:majorGridlines/>
        <c:title>
          <c:tx>
            <c:rich>
              <a:bodyPr rot="-5400000" vert="horz"/>
              <a:lstStyle/>
              <a:p>
                <a:pPr>
                  <a:defRPr/>
                </a:pPr>
                <a:r>
                  <a:rPr lang="en-US"/>
                  <a:t>Size Ratio, West/U.S.</a:t>
                </a:r>
              </a:p>
            </c:rich>
          </c:tx>
          <c:overlay val="0"/>
        </c:title>
        <c:numFmt formatCode="General" sourceLinked="1"/>
        <c:majorTickMark val="out"/>
        <c:minorTickMark val="none"/>
        <c:tickLblPos val="nextTo"/>
        <c:crossAx val="217694208"/>
        <c:crosses val="autoZero"/>
        <c:crossBetween val="midCat"/>
      </c:valAx>
    </c:plotArea>
    <c:legend>
      <c:legendPos val="r"/>
      <c:layout>
        <c:manualLayout>
          <c:xMode val="edge"/>
          <c:yMode val="edge"/>
          <c:x val="0.22376295068379615"/>
          <c:y val="0.47314383574393626"/>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Northeast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AHS_tables!$CI$423</c:f>
              <c:strCache>
                <c:ptCount val="1"/>
                <c:pt idx="0">
                  <c:v>Predicted </c:v>
                </c:pt>
              </c:strCache>
            </c:strRef>
          </c:tx>
          <c:cat>
            <c:numRef>
              <c:f>AHS_tables!$CH$424:$CH$449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AHS_tables!$CI$424:$CI$449</c:f>
              <c:numCache>
                <c:formatCode>General</c:formatCode>
                <c:ptCount val="26"/>
                <c:pt idx="0">
                  <c:v>0.91146445522698638</c:v>
                </c:pt>
                <c:pt idx="1">
                  <c:v>0.91379711929400487</c:v>
                </c:pt>
                <c:pt idx="2">
                  <c:v>0.91612978336102346</c:v>
                </c:pt>
                <c:pt idx="3">
                  <c:v>0.91846244742804195</c:v>
                </c:pt>
                <c:pt idx="4">
                  <c:v>0.92079511149506044</c:v>
                </c:pt>
                <c:pt idx="5">
                  <c:v>0.92312777556207903</c:v>
                </c:pt>
                <c:pt idx="6">
                  <c:v>0.92546043962909752</c:v>
                </c:pt>
                <c:pt idx="7">
                  <c:v>0.92779310369611601</c:v>
                </c:pt>
                <c:pt idx="8">
                  <c:v>0.93012576776313449</c:v>
                </c:pt>
                <c:pt idx="9">
                  <c:v>0.93245843183015309</c:v>
                </c:pt>
                <c:pt idx="10">
                  <c:v>0.93479109589717158</c:v>
                </c:pt>
                <c:pt idx="11">
                  <c:v>0.93712375996419006</c:v>
                </c:pt>
                <c:pt idx="12">
                  <c:v>0.93945642403120855</c:v>
                </c:pt>
                <c:pt idx="13">
                  <c:v>0.94178908809822715</c:v>
                </c:pt>
                <c:pt idx="14">
                  <c:v>0.94412175216524563</c:v>
                </c:pt>
                <c:pt idx="15">
                  <c:v>0.9464544162322639</c:v>
                </c:pt>
                <c:pt idx="16">
                  <c:v>0.94878708029928305</c:v>
                </c:pt>
                <c:pt idx="17">
                  <c:v>0.95111974436630131</c:v>
                </c:pt>
                <c:pt idx="18">
                  <c:v>0.95345240843331958</c:v>
                </c:pt>
                <c:pt idx="19">
                  <c:v>0.95578507250033784</c:v>
                </c:pt>
                <c:pt idx="20">
                  <c:v>0.95811773656735699</c:v>
                </c:pt>
                <c:pt idx="21">
                  <c:v>0.96045040063437526</c:v>
                </c:pt>
                <c:pt idx="22">
                  <c:v>0.96278306470139352</c:v>
                </c:pt>
                <c:pt idx="23">
                  <c:v>0.96511572876841267</c:v>
                </c:pt>
                <c:pt idx="24">
                  <c:v>0.96744839283543094</c:v>
                </c:pt>
                <c:pt idx="25">
                  <c:v>0.9697810569024492</c:v>
                </c:pt>
              </c:numCache>
            </c:numRef>
          </c:val>
          <c:smooth val="0"/>
          <c:extLst>
            <c:ext xmlns:c16="http://schemas.microsoft.com/office/drawing/2014/chart" uri="{C3380CC4-5D6E-409C-BE32-E72D297353CC}">
              <c16:uniqueId val="{00000000-02FA-4F57-85D4-99122AE44F52}"/>
            </c:ext>
          </c:extLst>
        </c:ser>
        <c:ser>
          <c:idx val="1"/>
          <c:order val="1"/>
          <c:tx>
            <c:strRef>
              <c:f>AHS_tables!$CJ$423</c:f>
              <c:strCache>
                <c:ptCount val="1"/>
                <c:pt idx="0">
                  <c:v>Actual</c:v>
                </c:pt>
              </c:strCache>
            </c:strRef>
          </c:tx>
          <c:marker>
            <c:symbol val="square"/>
            <c:size val="6"/>
          </c:marker>
          <c:cat>
            <c:numRef>
              <c:f>AHS_tables!$CH$424:$CH$449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AHS_tables!$CJ$424:$CJ$449</c:f>
              <c:numCache>
                <c:formatCode>General</c:formatCode>
                <c:ptCount val="26"/>
                <c:pt idx="14">
                  <c:v>0.94372693796642915</c:v>
                </c:pt>
                <c:pt idx="16">
                  <c:v>0.91781075467994877</c:v>
                </c:pt>
                <c:pt idx="18">
                  <c:v>0.90483785154397345</c:v>
                </c:pt>
                <c:pt idx="20">
                  <c:v>0.99865068136695256</c:v>
                </c:pt>
                <c:pt idx="22">
                  <c:v>1.0332779081028638</c:v>
                </c:pt>
                <c:pt idx="24">
                  <c:v>0.98545355755691122</c:v>
                </c:pt>
              </c:numCache>
            </c:numRef>
          </c:val>
          <c:smooth val="0"/>
          <c:extLst>
            <c:ext xmlns:c16="http://schemas.microsoft.com/office/drawing/2014/chart" uri="{C3380CC4-5D6E-409C-BE32-E72D297353CC}">
              <c16:uniqueId val="{00000001-02FA-4F57-85D4-99122AE44F52}"/>
            </c:ext>
          </c:extLst>
        </c:ser>
        <c:dLbls>
          <c:showLegendKey val="0"/>
          <c:showVal val="0"/>
          <c:showCatName val="0"/>
          <c:showSerName val="0"/>
          <c:showPercent val="0"/>
          <c:showBubbleSize val="0"/>
        </c:dLbls>
        <c:marker val="1"/>
        <c:smooth val="0"/>
        <c:axId val="217729280"/>
        <c:axId val="217735168"/>
      </c:lineChart>
      <c:catAx>
        <c:axId val="217729280"/>
        <c:scaling>
          <c:orientation val="minMax"/>
        </c:scaling>
        <c:delete val="0"/>
        <c:axPos val="b"/>
        <c:numFmt formatCode="General" sourceLinked="1"/>
        <c:majorTickMark val="out"/>
        <c:minorTickMark val="none"/>
        <c:tickLblPos val="nextTo"/>
        <c:crossAx val="217735168"/>
        <c:crosses val="autoZero"/>
        <c:auto val="1"/>
        <c:lblAlgn val="ctr"/>
        <c:lblOffset val="100"/>
        <c:tickLblSkip val="4"/>
        <c:noMultiLvlLbl val="0"/>
      </c:catAx>
      <c:valAx>
        <c:axId val="217735168"/>
        <c:scaling>
          <c:orientation val="minMax"/>
        </c:scaling>
        <c:delete val="0"/>
        <c:axPos val="l"/>
        <c:majorGridlines/>
        <c:title>
          <c:tx>
            <c:rich>
              <a:bodyPr rot="-5400000" vert="horz"/>
              <a:lstStyle/>
              <a:p>
                <a:pPr>
                  <a:defRPr/>
                </a:pPr>
                <a:r>
                  <a:rPr lang="en-US"/>
                  <a:t>Size Ratio, Northeast/U.S.</a:t>
                </a:r>
              </a:p>
            </c:rich>
          </c:tx>
          <c:overlay val="0"/>
        </c:title>
        <c:numFmt formatCode="General" sourceLinked="1"/>
        <c:majorTickMark val="out"/>
        <c:minorTickMark val="none"/>
        <c:tickLblPos val="nextTo"/>
        <c:crossAx val="217729280"/>
        <c:crosses val="autoZero"/>
        <c:crossBetween val="midCat"/>
      </c:valAx>
    </c:plotArea>
    <c:legend>
      <c:legendPos val="r"/>
      <c:layout>
        <c:manualLayout>
          <c:xMode val="edge"/>
          <c:yMode val="edge"/>
          <c:x val="0.23014253601074988"/>
          <c:y val="0.54879395394724595"/>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Midwest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AHS_tables!$CN$423</c:f>
              <c:strCache>
                <c:ptCount val="1"/>
                <c:pt idx="0">
                  <c:v>Predicted </c:v>
                </c:pt>
              </c:strCache>
            </c:strRef>
          </c:tx>
          <c:cat>
            <c:numRef>
              <c:f>AHS_tables!$CM$424:$CM$449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AHS_tables!$CN$424:$CN$449</c:f>
              <c:numCache>
                <c:formatCode>General</c:formatCode>
                <c:ptCount val="26"/>
                <c:pt idx="0">
                  <c:v>0.99812552827853174</c:v>
                </c:pt>
                <c:pt idx="1">
                  <c:v>0.99322952885574511</c:v>
                </c:pt>
                <c:pt idx="2">
                  <c:v>0.98833352943295849</c:v>
                </c:pt>
                <c:pt idx="3">
                  <c:v>0.98343753001017187</c:v>
                </c:pt>
                <c:pt idx="4">
                  <c:v>0.97854153058738524</c:v>
                </c:pt>
                <c:pt idx="5">
                  <c:v>0.97364553116459862</c:v>
                </c:pt>
                <c:pt idx="6">
                  <c:v>0.96874953174181211</c:v>
                </c:pt>
                <c:pt idx="7">
                  <c:v>0.96385353231902549</c:v>
                </c:pt>
                <c:pt idx="8">
                  <c:v>0.95895753289623886</c:v>
                </c:pt>
                <c:pt idx="9">
                  <c:v>0.95406153347345224</c:v>
                </c:pt>
                <c:pt idx="10">
                  <c:v>0.94916553405066562</c:v>
                </c:pt>
                <c:pt idx="11">
                  <c:v>0.94426953462787899</c:v>
                </c:pt>
                <c:pt idx="12">
                  <c:v>0.93937353520509248</c:v>
                </c:pt>
                <c:pt idx="13">
                  <c:v>0.93447753578230586</c:v>
                </c:pt>
                <c:pt idx="14">
                  <c:v>0.92958153635951923</c:v>
                </c:pt>
                <c:pt idx="15">
                  <c:v>0.92305353712913707</c:v>
                </c:pt>
                <c:pt idx="16">
                  <c:v>0.91652553789875491</c:v>
                </c:pt>
                <c:pt idx="17">
                  <c:v>0.90999753866837274</c:v>
                </c:pt>
                <c:pt idx="18">
                  <c:v>0.90346953943799058</c:v>
                </c:pt>
                <c:pt idx="19">
                  <c:v>0.89694154020760841</c:v>
                </c:pt>
                <c:pt idx="20">
                  <c:v>0.89041354097722625</c:v>
                </c:pt>
                <c:pt idx="21">
                  <c:v>0.88388554174684408</c:v>
                </c:pt>
                <c:pt idx="22">
                  <c:v>0.87735754251646192</c:v>
                </c:pt>
                <c:pt idx="23">
                  <c:v>0.87082954328607975</c:v>
                </c:pt>
                <c:pt idx="24">
                  <c:v>0.86430154405569759</c:v>
                </c:pt>
                <c:pt idx="25">
                  <c:v>0.85777354482531543</c:v>
                </c:pt>
              </c:numCache>
            </c:numRef>
          </c:val>
          <c:smooth val="0"/>
          <c:extLst>
            <c:ext xmlns:c16="http://schemas.microsoft.com/office/drawing/2014/chart" uri="{C3380CC4-5D6E-409C-BE32-E72D297353CC}">
              <c16:uniqueId val="{00000000-3B2D-47A6-897D-C22E68EC4563}"/>
            </c:ext>
          </c:extLst>
        </c:ser>
        <c:ser>
          <c:idx val="1"/>
          <c:order val="1"/>
          <c:tx>
            <c:strRef>
              <c:f>AHS_tables!$CO$423</c:f>
              <c:strCache>
                <c:ptCount val="1"/>
                <c:pt idx="0">
                  <c:v>Actual</c:v>
                </c:pt>
              </c:strCache>
            </c:strRef>
          </c:tx>
          <c:marker>
            <c:symbol val="square"/>
            <c:size val="6"/>
          </c:marker>
          <c:cat>
            <c:numRef>
              <c:f>AHS_tables!$CM$424:$CM$449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AHS_tables!$CO$424:$CO$449</c:f>
              <c:numCache>
                <c:formatCode>General</c:formatCode>
                <c:ptCount val="26"/>
                <c:pt idx="14">
                  <c:v>0.95034062259800089</c:v>
                </c:pt>
                <c:pt idx="16">
                  <c:v>0.89518115315092528</c:v>
                </c:pt>
                <c:pt idx="18">
                  <c:v>0.91504108994017974</c:v>
                </c:pt>
                <c:pt idx="20">
                  <c:v>0.86587882661014604</c:v>
                </c:pt>
                <c:pt idx="22">
                  <c:v>0.88218424673858398</c:v>
                </c:pt>
                <c:pt idx="24">
                  <c:v>0.84259654751152657</c:v>
                </c:pt>
              </c:numCache>
            </c:numRef>
          </c:val>
          <c:smooth val="0"/>
          <c:extLst>
            <c:ext xmlns:c16="http://schemas.microsoft.com/office/drawing/2014/chart" uri="{C3380CC4-5D6E-409C-BE32-E72D297353CC}">
              <c16:uniqueId val="{00000001-3B2D-47A6-897D-C22E68EC4563}"/>
            </c:ext>
          </c:extLst>
        </c:ser>
        <c:dLbls>
          <c:showLegendKey val="0"/>
          <c:showVal val="0"/>
          <c:showCatName val="0"/>
          <c:showSerName val="0"/>
          <c:showPercent val="0"/>
          <c:showBubbleSize val="0"/>
        </c:dLbls>
        <c:marker val="1"/>
        <c:smooth val="0"/>
        <c:axId val="217842816"/>
        <c:axId val="217844352"/>
      </c:lineChart>
      <c:catAx>
        <c:axId val="217842816"/>
        <c:scaling>
          <c:orientation val="minMax"/>
        </c:scaling>
        <c:delete val="0"/>
        <c:axPos val="b"/>
        <c:numFmt formatCode="General" sourceLinked="1"/>
        <c:majorTickMark val="out"/>
        <c:minorTickMark val="none"/>
        <c:tickLblPos val="nextTo"/>
        <c:crossAx val="217844352"/>
        <c:crosses val="autoZero"/>
        <c:auto val="1"/>
        <c:lblAlgn val="ctr"/>
        <c:lblOffset val="100"/>
        <c:tickLblSkip val="4"/>
        <c:noMultiLvlLbl val="0"/>
      </c:catAx>
      <c:valAx>
        <c:axId val="217844352"/>
        <c:scaling>
          <c:orientation val="minMax"/>
        </c:scaling>
        <c:delete val="0"/>
        <c:axPos val="l"/>
        <c:majorGridlines/>
        <c:title>
          <c:tx>
            <c:rich>
              <a:bodyPr rot="-5400000" vert="horz"/>
              <a:lstStyle/>
              <a:p>
                <a:pPr>
                  <a:defRPr/>
                </a:pPr>
                <a:r>
                  <a:rPr lang="en-US"/>
                  <a:t>Size Ratio, Midwest/U.S.</a:t>
                </a:r>
              </a:p>
            </c:rich>
          </c:tx>
          <c:overlay val="0"/>
        </c:title>
        <c:numFmt formatCode="General" sourceLinked="1"/>
        <c:majorTickMark val="out"/>
        <c:minorTickMark val="none"/>
        <c:tickLblPos val="nextTo"/>
        <c:crossAx val="217842816"/>
        <c:crosses val="autoZero"/>
        <c:crossBetween val="midCat"/>
      </c:valAx>
    </c:plotArea>
    <c:legend>
      <c:legendPos val="r"/>
      <c:layout>
        <c:manualLayout>
          <c:xMode val="edge"/>
          <c:yMode val="edge"/>
          <c:x val="0.2302107842220435"/>
          <c:y val="0.48732823290705685"/>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South</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AHS_tables!$CT$423</c:f>
              <c:strCache>
                <c:ptCount val="1"/>
                <c:pt idx="0">
                  <c:v>Predicted </c:v>
                </c:pt>
              </c:strCache>
            </c:strRef>
          </c:tx>
          <c:cat>
            <c:numRef>
              <c:f>AHS_tables!$CS$424:$CS$449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AHS_tables!$CT$424:$CT$449</c:f>
              <c:numCache>
                <c:formatCode>General</c:formatCode>
                <c:ptCount val="26"/>
                <c:pt idx="0">
                  <c:v>1.0001774275999564</c:v>
                </c:pt>
                <c:pt idx="1">
                  <c:v>1.0025830198663761</c:v>
                </c:pt>
                <c:pt idx="2">
                  <c:v>1.0049886121327958</c:v>
                </c:pt>
                <c:pt idx="3">
                  <c:v>1.0073942043992155</c:v>
                </c:pt>
                <c:pt idx="4">
                  <c:v>1.0097997966656351</c:v>
                </c:pt>
                <c:pt idx="5">
                  <c:v>1.0122053889320548</c:v>
                </c:pt>
                <c:pt idx="6">
                  <c:v>1.0146109811984745</c:v>
                </c:pt>
                <c:pt idx="7">
                  <c:v>1.0170165734648942</c:v>
                </c:pt>
                <c:pt idx="8">
                  <c:v>1.0194221657313138</c:v>
                </c:pt>
                <c:pt idx="9">
                  <c:v>1.0218277579977337</c:v>
                </c:pt>
                <c:pt idx="10">
                  <c:v>1.0242333502641534</c:v>
                </c:pt>
                <c:pt idx="11">
                  <c:v>1.0266389425305731</c:v>
                </c:pt>
                <c:pt idx="12">
                  <c:v>1.0290445347969928</c:v>
                </c:pt>
                <c:pt idx="13">
                  <c:v>1.0314501270634124</c:v>
                </c:pt>
                <c:pt idx="14">
                  <c:v>1.0338557193298321</c:v>
                </c:pt>
                <c:pt idx="15">
                  <c:v>1.0354594475074452</c:v>
                </c:pt>
                <c:pt idx="16">
                  <c:v>1.0370631756850583</c:v>
                </c:pt>
                <c:pt idx="17">
                  <c:v>1.0386669038626715</c:v>
                </c:pt>
                <c:pt idx="18">
                  <c:v>1.0402706320402846</c:v>
                </c:pt>
                <c:pt idx="19">
                  <c:v>1.0418743602178977</c:v>
                </c:pt>
                <c:pt idx="20">
                  <c:v>1.0434780883955108</c:v>
                </c:pt>
                <c:pt idx="21">
                  <c:v>1.0450818165731239</c:v>
                </c:pt>
                <c:pt idx="22">
                  <c:v>1.0466855447507371</c:v>
                </c:pt>
                <c:pt idx="23">
                  <c:v>1.0482892729283502</c:v>
                </c:pt>
                <c:pt idx="24">
                  <c:v>1.0498930011059633</c:v>
                </c:pt>
                <c:pt idx="25">
                  <c:v>1.0514967292835764</c:v>
                </c:pt>
              </c:numCache>
            </c:numRef>
          </c:val>
          <c:smooth val="0"/>
          <c:extLst>
            <c:ext xmlns:c16="http://schemas.microsoft.com/office/drawing/2014/chart" uri="{C3380CC4-5D6E-409C-BE32-E72D297353CC}">
              <c16:uniqueId val="{00000000-2718-49C7-9BB6-9FC3B13DEB17}"/>
            </c:ext>
          </c:extLst>
        </c:ser>
        <c:ser>
          <c:idx val="1"/>
          <c:order val="1"/>
          <c:tx>
            <c:strRef>
              <c:f>AHS_tables!$CU$423</c:f>
              <c:strCache>
                <c:ptCount val="1"/>
                <c:pt idx="0">
                  <c:v>Actual</c:v>
                </c:pt>
              </c:strCache>
            </c:strRef>
          </c:tx>
          <c:marker>
            <c:symbol val="square"/>
            <c:size val="6"/>
          </c:marker>
          <c:cat>
            <c:numRef>
              <c:f>AHS_tables!$CS$424:$CS$449</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AHS_tables!$CU$424:$CU$449</c:f>
              <c:numCache>
                <c:formatCode>General</c:formatCode>
                <c:ptCount val="26"/>
                <c:pt idx="14">
                  <c:v>1.0126212077548571</c:v>
                </c:pt>
                <c:pt idx="16">
                  <c:v>1.0515548936283186</c:v>
                </c:pt>
                <c:pt idx="18">
                  <c:v>1.0443077825662099</c:v>
                </c:pt>
                <c:pt idx="20">
                  <c:v>1.0631972721686132</c:v>
                </c:pt>
                <c:pt idx="22">
                  <c:v>1.0412508740281943</c:v>
                </c:pt>
                <c:pt idx="24">
                  <c:v>1.047414523424758</c:v>
                </c:pt>
              </c:numCache>
            </c:numRef>
          </c:val>
          <c:smooth val="0"/>
          <c:extLst>
            <c:ext xmlns:c16="http://schemas.microsoft.com/office/drawing/2014/chart" uri="{C3380CC4-5D6E-409C-BE32-E72D297353CC}">
              <c16:uniqueId val="{00000001-2718-49C7-9BB6-9FC3B13DEB17}"/>
            </c:ext>
          </c:extLst>
        </c:ser>
        <c:dLbls>
          <c:showLegendKey val="0"/>
          <c:showVal val="0"/>
          <c:showCatName val="0"/>
          <c:showSerName val="0"/>
          <c:showPercent val="0"/>
          <c:showBubbleSize val="0"/>
        </c:dLbls>
        <c:marker val="1"/>
        <c:smooth val="0"/>
        <c:axId val="217874432"/>
        <c:axId val="217875968"/>
      </c:lineChart>
      <c:catAx>
        <c:axId val="217874432"/>
        <c:scaling>
          <c:orientation val="minMax"/>
        </c:scaling>
        <c:delete val="0"/>
        <c:axPos val="b"/>
        <c:numFmt formatCode="General" sourceLinked="1"/>
        <c:majorTickMark val="out"/>
        <c:minorTickMark val="none"/>
        <c:tickLblPos val="nextTo"/>
        <c:crossAx val="217875968"/>
        <c:crosses val="autoZero"/>
        <c:auto val="1"/>
        <c:lblAlgn val="ctr"/>
        <c:lblOffset val="100"/>
        <c:tickLblSkip val="4"/>
        <c:noMultiLvlLbl val="0"/>
      </c:catAx>
      <c:valAx>
        <c:axId val="217875968"/>
        <c:scaling>
          <c:orientation val="minMax"/>
        </c:scaling>
        <c:delete val="0"/>
        <c:axPos val="l"/>
        <c:majorGridlines/>
        <c:title>
          <c:tx>
            <c:rich>
              <a:bodyPr rot="-5400000" vert="horz"/>
              <a:lstStyle/>
              <a:p>
                <a:pPr>
                  <a:defRPr/>
                </a:pPr>
                <a:r>
                  <a:rPr lang="en-US"/>
                  <a:t>Size Ratio, South/U.S.</a:t>
                </a:r>
              </a:p>
            </c:rich>
          </c:tx>
          <c:overlay val="0"/>
        </c:title>
        <c:numFmt formatCode="General" sourceLinked="1"/>
        <c:majorTickMark val="out"/>
        <c:minorTickMark val="none"/>
        <c:tickLblPos val="nextTo"/>
        <c:crossAx val="217874432"/>
        <c:crosses val="autoZero"/>
        <c:crossBetween val="midCat"/>
      </c:valAx>
    </c:plotArea>
    <c:legend>
      <c:legendPos val="r"/>
      <c:layout>
        <c:manualLayout>
          <c:xMode val="edge"/>
          <c:yMode val="edge"/>
          <c:x val="0.20781398736641177"/>
          <c:y val="0.19891215725693862"/>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West</a:t>
            </a:r>
          </a:p>
          <a:p>
            <a:pPr>
              <a:defRPr/>
            </a:pPr>
            <a:endParaRPr lang="en-US"/>
          </a:p>
        </c:rich>
      </c:tx>
      <c:overlay val="0"/>
    </c:title>
    <c:autoTitleDeleted val="0"/>
    <c:plotArea>
      <c:layout>
        <c:manualLayout>
          <c:layoutTarget val="inner"/>
          <c:xMode val="edge"/>
          <c:yMode val="edge"/>
          <c:x val="0.15959401749365654"/>
          <c:y val="0.1435216416129802"/>
          <c:w val="0.78693973229593328"/>
          <c:h val="0.7585378191362443"/>
        </c:manualLayout>
      </c:layout>
      <c:lineChart>
        <c:grouping val="standard"/>
        <c:varyColors val="0"/>
        <c:ser>
          <c:idx val="0"/>
          <c:order val="0"/>
          <c:tx>
            <c:strRef>
              <c:f>AHS_tables!$CZ$301</c:f>
              <c:strCache>
                <c:ptCount val="1"/>
                <c:pt idx="0">
                  <c:v>Predicted </c:v>
                </c:pt>
              </c:strCache>
            </c:strRef>
          </c:tx>
          <c:cat>
            <c:numRef>
              <c:f>AHS_tables!$CY$302:$CY$327</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AHS_tables!$CZ$302:$CZ$327</c:f>
              <c:numCache>
                <c:formatCode>General</c:formatCode>
                <c:ptCount val="26"/>
                <c:pt idx="0">
                  <c:v>0.93672428860112167</c:v>
                </c:pt>
                <c:pt idx="1">
                  <c:v>0.93544761581975344</c:v>
                </c:pt>
                <c:pt idx="2">
                  <c:v>0.9341709430383851</c:v>
                </c:pt>
                <c:pt idx="3">
                  <c:v>0.93289427025701677</c:v>
                </c:pt>
                <c:pt idx="4">
                  <c:v>0.93161759747564854</c:v>
                </c:pt>
                <c:pt idx="5">
                  <c:v>0.9303409246942802</c:v>
                </c:pt>
                <c:pt idx="6">
                  <c:v>0.92906425191291186</c:v>
                </c:pt>
                <c:pt idx="7">
                  <c:v>0.92778757913154364</c:v>
                </c:pt>
                <c:pt idx="8">
                  <c:v>0.9265109063501753</c:v>
                </c:pt>
                <c:pt idx="9">
                  <c:v>0.92523423356880696</c:v>
                </c:pt>
                <c:pt idx="10">
                  <c:v>0.92395756078743874</c:v>
                </c:pt>
                <c:pt idx="11">
                  <c:v>0.9226808880060704</c:v>
                </c:pt>
                <c:pt idx="12">
                  <c:v>0.92140421522470206</c:v>
                </c:pt>
                <c:pt idx="13">
                  <c:v>0.92012754244333383</c:v>
                </c:pt>
                <c:pt idx="14">
                  <c:v>0.9188508696619655</c:v>
                </c:pt>
                <c:pt idx="15">
                  <c:v>0.91629752409922904</c:v>
                </c:pt>
                <c:pt idx="16">
                  <c:v>0.91374417853649259</c:v>
                </c:pt>
                <c:pt idx="17">
                  <c:v>0.91119083297375614</c:v>
                </c:pt>
                <c:pt idx="18">
                  <c:v>0.9086374874110188</c:v>
                </c:pt>
                <c:pt idx="19">
                  <c:v>0.90608414184828234</c:v>
                </c:pt>
                <c:pt idx="20">
                  <c:v>0.90353079628554589</c:v>
                </c:pt>
                <c:pt idx="21">
                  <c:v>0.90097745072280944</c:v>
                </c:pt>
                <c:pt idx="22">
                  <c:v>0.89842410516007298</c:v>
                </c:pt>
                <c:pt idx="23">
                  <c:v>0.89587075959733653</c:v>
                </c:pt>
                <c:pt idx="24">
                  <c:v>0.89331741403459919</c:v>
                </c:pt>
                <c:pt idx="25">
                  <c:v>0.89076406847186274</c:v>
                </c:pt>
              </c:numCache>
            </c:numRef>
          </c:val>
          <c:smooth val="0"/>
          <c:extLst>
            <c:ext xmlns:c16="http://schemas.microsoft.com/office/drawing/2014/chart" uri="{C3380CC4-5D6E-409C-BE32-E72D297353CC}">
              <c16:uniqueId val="{00000000-58F6-4D45-99F2-402231170BE5}"/>
            </c:ext>
          </c:extLst>
        </c:ser>
        <c:ser>
          <c:idx val="1"/>
          <c:order val="1"/>
          <c:tx>
            <c:strRef>
              <c:f>AHS_tables!$DA$301</c:f>
              <c:strCache>
                <c:ptCount val="1"/>
                <c:pt idx="0">
                  <c:v>Actual</c:v>
                </c:pt>
              </c:strCache>
            </c:strRef>
          </c:tx>
          <c:marker>
            <c:symbol val="square"/>
            <c:size val="6"/>
          </c:marker>
          <c:cat>
            <c:numRef>
              <c:f>AHS_tables!$CY$302:$CY$327</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AHS_tables!$DA$302:$DA$327</c:f>
              <c:numCache>
                <c:formatCode>General</c:formatCode>
                <c:ptCount val="26"/>
                <c:pt idx="14">
                  <c:v>0.92698665713379114</c:v>
                </c:pt>
                <c:pt idx="16">
                  <c:v>0.92314476281541569</c:v>
                </c:pt>
                <c:pt idx="18">
                  <c:v>0.89084930113699312</c:v>
                </c:pt>
                <c:pt idx="20">
                  <c:v>0.89940715326923315</c:v>
                </c:pt>
                <c:pt idx="22">
                  <c:v>0.879035297168684</c:v>
                </c:pt>
                <c:pt idx="24">
                  <c:v>0.91627510195586948</c:v>
                </c:pt>
              </c:numCache>
            </c:numRef>
          </c:val>
          <c:smooth val="0"/>
          <c:extLst>
            <c:ext xmlns:c16="http://schemas.microsoft.com/office/drawing/2014/chart" uri="{C3380CC4-5D6E-409C-BE32-E72D297353CC}">
              <c16:uniqueId val="{00000001-58F6-4D45-99F2-402231170BE5}"/>
            </c:ext>
          </c:extLst>
        </c:ser>
        <c:dLbls>
          <c:showLegendKey val="0"/>
          <c:showVal val="0"/>
          <c:showCatName val="0"/>
          <c:showSerName val="0"/>
          <c:showPercent val="0"/>
          <c:showBubbleSize val="0"/>
        </c:dLbls>
        <c:marker val="1"/>
        <c:smooth val="0"/>
        <c:axId val="217889408"/>
        <c:axId val="217903488"/>
      </c:lineChart>
      <c:catAx>
        <c:axId val="217889408"/>
        <c:scaling>
          <c:orientation val="minMax"/>
        </c:scaling>
        <c:delete val="0"/>
        <c:axPos val="b"/>
        <c:numFmt formatCode="General" sourceLinked="1"/>
        <c:majorTickMark val="out"/>
        <c:minorTickMark val="none"/>
        <c:tickLblPos val="nextTo"/>
        <c:crossAx val="217903488"/>
        <c:crosses val="autoZero"/>
        <c:auto val="1"/>
        <c:lblAlgn val="ctr"/>
        <c:lblOffset val="100"/>
        <c:tickLblSkip val="4"/>
        <c:noMultiLvlLbl val="0"/>
      </c:catAx>
      <c:valAx>
        <c:axId val="217903488"/>
        <c:scaling>
          <c:orientation val="minMax"/>
        </c:scaling>
        <c:delete val="0"/>
        <c:axPos val="l"/>
        <c:majorGridlines/>
        <c:title>
          <c:tx>
            <c:rich>
              <a:bodyPr rot="-5400000" vert="horz"/>
              <a:lstStyle/>
              <a:p>
                <a:pPr>
                  <a:defRPr/>
                </a:pPr>
                <a:r>
                  <a:rPr lang="en-US"/>
                  <a:t>Size Ratio, West/U.S.</a:t>
                </a:r>
              </a:p>
            </c:rich>
          </c:tx>
          <c:overlay val="0"/>
        </c:title>
        <c:numFmt formatCode="General" sourceLinked="1"/>
        <c:majorTickMark val="out"/>
        <c:minorTickMark val="none"/>
        <c:tickLblPos val="nextTo"/>
        <c:crossAx val="217889408"/>
        <c:crosses val="autoZero"/>
        <c:crossBetween val="midCat"/>
      </c:valAx>
    </c:plotArea>
    <c:legend>
      <c:legendPos val="r"/>
      <c:layout>
        <c:manualLayout>
          <c:xMode val="edge"/>
          <c:yMode val="edge"/>
          <c:x val="0.22376295068379615"/>
          <c:y val="0.47314383574393626"/>
          <c:w val="0.26124475533194935"/>
          <c:h val="0.2062220949654020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AHS_tables!$CT$565</c:f>
              <c:strCache>
                <c:ptCount val="1"/>
                <c:pt idx="0">
                  <c:v> </c:v>
                </c:pt>
              </c:strCache>
            </c:strRef>
          </c:tx>
          <c:val>
            <c:numRef>
              <c:f>AHS_tables!$CT$566:$CT$579</c:f>
              <c:numCache>
                <c:formatCode>General</c:formatCode>
                <c:ptCount val="14"/>
                <c:pt idx="0">
                  <c:v>1985</c:v>
                </c:pt>
                <c:pt idx="1">
                  <c:v>1987</c:v>
                </c:pt>
                <c:pt idx="2">
                  <c:v>1989</c:v>
                </c:pt>
                <c:pt idx="3">
                  <c:v>1991</c:v>
                </c:pt>
                <c:pt idx="4">
                  <c:v>1993</c:v>
                </c:pt>
                <c:pt idx="5">
                  <c:v>1995</c:v>
                </c:pt>
                <c:pt idx="6">
                  <c:v>1997</c:v>
                </c:pt>
                <c:pt idx="7">
                  <c:v>1999</c:v>
                </c:pt>
                <c:pt idx="8">
                  <c:v>2001</c:v>
                </c:pt>
                <c:pt idx="9">
                  <c:v>2003</c:v>
                </c:pt>
                <c:pt idx="10">
                  <c:v>2005</c:v>
                </c:pt>
                <c:pt idx="11">
                  <c:v>2007</c:v>
                </c:pt>
                <c:pt idx="12">
                  <c:v>2009</c:v>
                </c:pt>
                <c:pt idx="13">
                  <c:v>2011</c:v>
                </c:pt>
              </c:numCache>
            </c:numRef>
          </c:val>
          <c:smooth val="0"/>
          <c:extLst>
            <c:ext xmlns:c16="http://schemas.microsoft.com/office/drawing/2014/chart" uri="{C3380CC4-5D6E-409C-BE32-E72D297353CC}">
              <c16:uniqueId val="{00000000-3956-4FA5-8574-D34F8701D8D5}"/>
            </c:ext>
          </c:extLst>
        </c:ser>
        <c:ser>
          <c:idx val="1"/>
          <c:order val="1"/>
          <c:tx>
            <c:strRef>
              <c:f>AHS_tables!$CU$565</c:f>
              <c:strCache>
                <c:ptCount val="1"/>
                <c:pt idx="0">
                  <c:v>  National</c:v>
                </c:pt>
              </c:strCache>
            </c:strRef>
          </c:tx>
          <c:val>
            <c:numRef>
              <c:f>AHS_tables!$CU$566:$CU$579</c:f>
              <c:numCache>
                <c:formatCode>General</c:formatCode>
                <c:ptCount val="14"/>
                <c:pt idx="0">
                  <c:v>24493.46276000014</c:v>
                </c:pt>
                <c:pt idx="1">
                  <c:v>24241.975299999896</c:v>
                </c:pt>
                <c:pt idx="2">
                  <c:v>25040.568380000201</c:v>
                </c:pt>
                <c:pt idx="3">
                  <c:v>24590</c:v>
                </c:pt>
                <c:pt idx="4">
                  <c:v>24775.763219999921</c:v>
                </c:pt>
                <c:pt idx="5">
                  <c:v>25157.958780000012</c:v>
                </c:pt>
                <c:pt idx="6">
                  <c:v>24988.46442277309</c:v>
                </c:pt>
                <c:pt idx="7">
                  <c:v>24515.622361986978</c:v>
                </c:pt>
                <c:pt idx="8">
                  <c:v>24605.197317302209</c:v>
                </c:pt>
                <c:pt idx="9">
                  <c:v>24960.163073076099</c:v>
                </c:pt>
                <c:pt idx="10">
                  <c:v>25778.631135162635</c:v>
                </c:pt>
                <c:pt idx="11">
                  <c:v>26256.707040919373</c:v>
                </c:pt>
                <c:pt idx="12">
                  <c:v>25912.126454108671</c:v>
                </c:pt>
                <c:pt idx="13">
                  <c:v>27293.661676223124</c:v>
                </c:pt>
              </c:numCache>
            </c:numRef>
          </c:val>
          <c:smooth val="0"/>
          <c:extLst>
            <c:ext xmlns:c16="http://schemas.microsoft.com/office/drawing/2014/chart" uri="{C3380CC4-5D6E-409C-BE32-E72D297353CC}">
              <c16:uniqueId val="{00000001-3956-4FA5-8574-D34F8701D8D5}"/>
            </c:ext>
          </c:extLst>
        </c:ser>
        <c:ser>
          <c:idx val="2"/>
          <c:order val="2"/>
          <c:tx>
            <c:strRef>
              <c:f>AHS_tables!$CV$565</c:f>
              <c:strCache>
                <c:ptCount val="1"/>
                <c:pt idx="0">
                  <c:v>NE</c:v>
                </c:pt>
              </c:strCache>
            </c:strRef>
          </c:tx>
          <c:val>
            <c:numRef>
              <c:f>AHS_tables!$CV$566:$CV$579</c:f>
              <c:numCache>
                <c:formatCode>General</c:formatCode>
                <c:ptCount val="14"/>
                <c:pt idx="0">
                  <c:v>7490.0260599999547</c:v>
                </c:pt>
                <c:pt idx="1">
                  <c:v>7434.687960000002</c:v>
                </c:pt>
                <c:pt idx="2">
                  <c:v>7414.9868800000049</c:v>
                </c:pt>
                <c:pt idx="3">
                  <c:v>7154.9287235237007</c:v>
                </c:pt>
                <c:pt idx="4">
                  <c:v>7076.1036099999956</c:v>
                </c:pt>
                <c:pt idx="5">
                  <c:v>7253.9318299999923</c:v>
                </c:pt>
                <c:pt idx="6">
                  <c:v>7065.8606982082611</c:v>
                </c:pt>
                <c:pt idx="7">
                  <c:v>6822.4108565041834</c:v>
                </c:pt>
                <c:pt idx="8">
                  <c:v>6695.6920631620333</c:v>
                </c:pt>
                <c:pt idx="9">
                  <c:v>6747.1509791322851</c:v>
                </c:pt>
                <c:pt idx="10">
                  <c:v>6968.4550409376579</c:v>
                </c:pt>
                <c:pt idx="11">
                  <c:v>6900.0674414384648</c:v>
                </c:pt>
                <c:pt idx="12">
                  <c:v>6670.5021093547202</c:v>
                </c:pt>
                <c:pt idx="13">
                  <c:v>7164.5821171349335</c:v>
                </c:pt>
              </c:numCache>
            </c:numRef>
          </c:val>
          <c:smooth val="0"/>
          <c:extLst>
            <c:ext xmlns:c16="http://schemas.microsoft.com/office/drawing/2014/chart" uri="{C3380CC4-5D6E-409C-BE32-E72D297353CC}">
              <c16:uniqueId val="{00000002-3956-4FA5-8574-D34F8701D8D5}"/>
            </c:ext>
          </c:extLst>
        </c:ser>
        <c:ser>
          <c:idx val="3"/>
          <c:order val="3"/>
          <c:tx>
            <c:strRef>
              <c:f>AHS_tables!$CW$565</c:f>
              <c:strCache>
                <c:ptCount val="1"/>
                <c:pt idx="0">
                  <c:v>MW</c:v>
                </c:pt>
              </c:strCache>
            </c:strRef>
          </c:tx>
          <c:val>
            <c:numRef>
              <c:f>AHS_tables!$CW$566:$CW$579</c:f>
              <c:numCache>
                <c:formatCode>General</c:formatCode>
                <c:ptCount val="14"/>
                <c:pt idx="0">
                  <c:v>5511.4044999999887</c:v>
                </c:pt>
                <c:pt idx="1">
                  <c:v>5244.8856099999884</c:v>
                </c:pt>
                <c:pt idx="2">
                  <c:v>5454.8764900000015</c:v>
                </c:pt>
                <c:pt idx="3">
                  <c:v>5483.3071655758895</c:v>
                </c:pt>
                <c:pt idx="4">
                  <c:v>5540.0294199999853</c:v>
                </c:pt>
                <c:pt idx="5">
                  <c:v>5298.0019199999906</c:v>
                </c:pt>
                <c:pt idx="6">
                  <c:v>5318.137112219204</c:v>
                </c:pt>
                <c:pt idx="7">
                  <c:v>5070.1216082001274</c:v>
                </c:pt>
                <c:pt idx="8">
                  <c:v>5069.1001388357045</c:v>
                </c:pt>
                <c:pt idx="9">
                  <c:v>4993.9636715370934</c:v>
                </c:pt>
                <c:pt idx="10">
                  <c:v>5052.6657948581478</c:v>
                </c:pt>
                <c:pt idx="11">
                  <c:v>5408.480393606118</c:v>
                </c:pt>
                <c:pt idx="12">
                  <c:v>5224.8458793689606</c:v>
                </c:pt>
                <c:pt idx="13">
                  <c:v>5474.8264820350378</c:v>
                </c:pt>
              </c:numCache>
            </c:numRef>
          </c:val>
          <c:smooth val="0"/>
          <c:extLst>
            <c:ext xmlns:c16="http://schemas.microsoft.com/office/drawing/2014/chart" uri="{C3380CC4-5D6E-409C-BE32-E72D297353CC}">
              <c16:uniqueId val="{00000003-3956-4FA5-8574-D34F8701D8D5}"/>
            </c:ext>
          </c:extLst>
        </c:ser>
        <c:ser>
          <c:idx val="4"/>
          <c:order val="4"/>
          <c:tx>
            <c:strRef>
              <c:f>AHS_tables!$CX$565</c:f>
              <c:strCache>
                <c:ptCount val="1"/>
                <c:pt idx="0">
                  <c:v>S</c:v>
                </c:pt>
              </c:strCache>
            </c:strRef>
          </c:tx>
          <c:val>
            <c:numRef>
              <c:f>AHS_tables!$CX$566:$CX$579</c:f>
              <c:numCache>
                <c:formatCode>General</c:formatCode>
                <c:ptCount val="14"/>
                <c:pt idx="0">
                  <c:v>6427.2333399999607</c:v>
                </c:pt>
                <c:pt idx="1">
                  <c:v>6374.0838800000047</c:v>
                </c:pt>
                <c:pt idx="2">
                  <c:v>6715.3504500000236</c:v>
                </c:pt>
                <c:pt idx="3">
                  <c:v>6540.6199015728562</c:v>
                </c:pt>
                <c:pt idx="4">
                  <c:v>6723.2364199999911</c:v>
                </c:pt>
                <c:pt idx="5">
                  <c:v>6747.0559200000089</c:v>
                </c:pt>
                <c:pt idx="6">
                  <c:v>6661.6224130994206</c:v>
                </c:pt>
                <c:pt idx="7">
                  <c:v>6832.3747167306265</c:v>
                </c:pt>
                <c:pt idx="8">
                  <c:v>6907.0727139082037</c:v>
                </c:pt>
                <c:pt idx="9">
                  <c:v>7169.1443054106767</c:v>
                </c:pt>
                <c:pt idx="10">
                  <c:v>7494.1310835498571</c:v>
                </c:pt>
                <c:pt idx="11">
                  <c:v>7491.8714984834996</c:v>
                </c:pt>
                <c:pt idx="12">
                  <c:v>7666.2982419886021</c:v>
                </c:pt>
                <c:pt idx="13">
                  <c:v>7965.0743396541338</c:v>
                </c:pt>
              </c:numCache>
            </c:numRef>
          </c:val>
          <c:smooth val="0"/>
          <c:extLst>
            <c:ext xmlns:c16="http://schemas.microsoft.com/office/drawing/2014/chart" uri="{C3380CC4-5D6E-409C-BE32-E72D297353CC}">
              <c16:uniqueId val="{00000004-3956-4FA5-8574-D34F8701D8D5}"/>
            </c:ext>
          </c:extLst>
        </c:ser>
        <c:ser>
          <c:idx val="5"/>
          <c:order val="5"/>
          <c:tx>
            <c:strRef>
              <c:f>AHS_tables!$CY$565</c:f>
              <c:strCache>
                <c:ptCount val="1"/>
                <c:pt idx="0">
                  <c:v>W</c:v>
                </c:pt>
              </c:strCache>
            </c:strRef>
          </c:tx>
          <c:val>
            <c:numRef>
              <c:f>AHS_tables!$CY$566:$CY$579</c:f>
              <c:numCache>
                <c:formatCode>General</c:formatCode>
                <c:ptCount val="14"/>
                <c:pt idx="0">
                  <c:v>5064.7988600000044</c:v>
                </c:pt>
                <c:pt idx="1">
                  <c:v>5188.3178499999931</c:v>
                </c:pt>
                <c:pt idx="2">
                  <c:v>5455.354559999997</c:v>
                </c:pt>
                <c:pt idx="3">
                  <c:v>5411.1442093273545</c:v>
                </c:pt>
                <c:pt idx="4">
                  <c:v>5436.3937699999842</c:v>
                </c:pt>
                <c:pt idx="5">
                  <c:v>5858.9691100000109</c:v>
                </c:pt>
                <c:pt idx="6">
                  <c:v>5942.8441992462631</c:v>
                </c:pt>
                <c:pt idx="7">
                  <c:v>5790.7151805519934</c:v>
                </c:pt>
                <c:pt idx="8">
                  <c:v>5933.3324013963775</c:v>
                </c:pt>
                <c:pt idx="9">
                  <c:v>6049.9041169960892</c:v>
                </c:pt>
                <c:pt idx="10">
                  <c:v>6263.3792158169781</c:v>
                </c:pt>
                <c:pt idx="11">
                  <c:v>6456.2877073912568</c:v>
                </c:pt>
                <c:pt idx="12">
                  <c:v>6350.4802233962982</c:v>
                </c:pt>
                <c:pt idx="13">
                  <c:v>6689.1787373989309</c:v>
                </c:pt>
              </c:numCache>
            </c:numRef>
          </c:val>
          <c:smooth val="0"/>
          <c:extLst>
            <c:ext xmlns:c16="http://schemas.microsoft.com/office/drawing/2014/chart" uri="{C3380CC4-5D6E-409C-BE32-E72D297353CC}">
              <c16:uniqueId val="{00000005-3956-4FA5-8574-D34F8701D8D5}"/>
            </c:ext>
          </c:extLst>
        </c:ser>
        <c:dLbls>
          <c:showLegendKey val="0"/>
          <c:showVal val="0"/>
          <c:showCatName val="0"/>
          <c:showSerName val="0"/>
          <c:showPercent val="0"/>
          <c:showBubbleSize val="0"/>
        </c:dLbls>
        <c:marker val="1"/>
        <c:smooth val="0"/>
        <c:axId val="218006272"/>
        <c:axId val="218007808"/>
      </c:lineChart>
      <c:catAx>
        <c:axId val="218006272"/>
        <c:scaling>
          <c:orientation val="minMax"/>
        </c:scaling>
        <c:delete val="0"/>
        <c:axPos val="b"/>
        <c:majorTickMark val="out"/>
        <c:minorTickMark val="none"/>
        <c:tickLblPos val="nextTo"/>
        <c:crossAx val="218007808"/>
        <c:crosses val="autoZero"/>
        <c:auto val="1"/>
        <c:lblAlgn val="ctr"/>
        <c:lblOffset val="100"/>
        <c:noMultiLvlLbl val="0"/>
      </c:catAx>
      <c:valAx>
        <c:axId val="218007808"/>
        <c:scaling>
          <c:orientation val="minMax"/>
        </c:scaling>
        <c:delete val="0"/>
        <c:axPos val="l"/>
        <c:majorGridlines/>
        <c:numFmt formatCode="General" sourceLinked="1"/>
        <c:majorTickMark val="out"/>
        <c:minorTickMark val="none"/>
        <c:tickLblPos val="nextTo"/>
        <c:crossAx val="2180062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AHS_tables!$CR$630</c:f>
              <c:strCache>
                <c:ptCount val="1"/>
                <c:pt idx="0">
                  <c:v>1985</c:v>
                </c:pt>
              </c:strCache>
            </c:strRef>
          </c:tx>
          <c:val>
            <c:numRef>
              <c:f>AHS_tables!$CR$631:$CR$644</c:f>
              <c:numCache>
                <c:formatCode>General</c:formatCode>
                <c:ptCount val="14"/>
                <c:pt idx="0">
                  <c:v>1987</c:v>
                </c:pt>
                <c:pt idx="1">
                  <c:v>1989</c:v>
                </c:pt>
                <c:pt idx="2">
                  <c:v>1991</c:v>
                </c:pt>
                <c:pt idx="3">
                  <c:v>1993</c:v>
                </c:pt>
                <c:pt idx="4">
                  <c:v>1995</c:v>
                </c:pt>
                <c:pt idx="5">
                  <c:v>1997</c:v>
                </c:pt>
                <c:pt idx="6">
                  <c:v>1999</c:v>
                </c:pt>
                <c:pt idx="7">
                  <c:v>2001</c:v>
                </c:pt>
                <c:pt idx="8">
                  <c:v>2003</c:v>
                </c:pt>
                <c:pt idx="9">
                  <c:v>2005</c:v>
                </c:pt>
                <c:pt idx="10">
                  <c:v>2007</c:v>
                </c:pt>
                <c:pt idx="11">
                  <c:v>2009</c:v>
                </c:pt>
                <c:pt idx="12">
                  <c:v>2011</c:v>
                </c:pt>
                <c:pt idx="13">
                  <c:v>2013</c:v>
                </c:pt>
              </c:numCache>
            </c:numRef>
          </c:val>
          <c:smooth val="0"/>
          <c:extLst>
            <c:ext xmlns:c16="http://schemas.microsoft.com/office/drawing/2014/chart" uri="{C3380CC4-5D6E-409C-BE32-E72D297353CC}">
              <c16:uniqueId val="{00000000-14A9-4F40-89A9-178C6AAD34ED}"/>
            </c:ext>
          </c:extLst>
        </c:ser>
        <c:ser>
          <c:idx val="1"/>
          <c:order val="1"/>
          <c:tx>
            <c:strRef>
              <c:f>AHS_tables!$CS$630</c:f>
              <c:strCache>
                <c:ptCount val="1"/>
                <c:pt idx="0">
                  <c:v>4753.57786</c:v>
                </c:pt>
              </c:strCache>
            </c:strRef>
          </c:tx>
          <c:val>
            <c:numRef>
              <c:f>AHS_tables!$CS$631:$CS$644</c:f>
              <c:numCache>
                <c:formatCode>General</c:formatCode>
                <c:ptCount val="14"/>
                <c:pt idx="0">
                  <c:v>5267.1956200000077</c:v>
                </c:pt>
                <c:pt idx="1">
                  <c:v>5438.3889400000007</c:v>
                </c:pt>
                <c:pt idx="2">
                  <c:v>5630</c:v>
                </c:pt>
                <c:pt idx="3">
                  <c:v>5655.1145500000102</c:v>
                </c:pt>
                <c:pt idx="4">
                  <c:v>6164.0563100000045</c:v>
                </c:pt>
                <c:pt idx="5">
                  <c:v>6532.7113192044417</c:v>
                </c:pt>
                <c:pt idx="6">
                  <c:v>6779.4300190765834</c:v>
                </c:pt>
                <c:pt idx="7">
                  <c:v>7218.7005156834057</c:v>
                </c:pt>
                <c:pt idx="8">
                  <c:v>6853.9366128595948</c:v>
                </c:pt>
                <c:pt idx="9">
                  <c:v>6928.8955659718604</c:v>
                </c:pt>
                <c:pt idx="10">
                  <c:v>6898.041791098909</c:v>
                </c:pt>
                <c:pt idx="11">
                  <c:v>6838.7752652862127</c:v>
                </c:pt>
                <c:pt idx="12">
                  <c:v>7013.3663910591431</c:v>
                </c:pt>
                <c:pt idx="13">
                  <c:v>6917166.333509963</c:v>
                </c:pt>
              </c:numCache>
            </c:numRef>
          </c:val>
          <c:smooth val="0"/>
          <c:extLst>
            <c:ext xmlns:c16="http://schemas.microsoft.com/office/drawing/2014/chart" uri="{C3380CC4-5D6E-409C-BE32-E72D297353CC}">
              <c16:uniqueId val="{00000001-14A9-4F40-89A9-178C6AAD34ED}"/>
            </c:ext>
          </c:extLst>
        </c:ser>
        <c:ser>
          <c:idx val="2"/>
          <c:order val="2"/>
          <c:tx>
            <c:strRef>
              <c:f>AHS_tables!$CT$630</c:f>
              <c:strCache>
                <c:ptCount val="1"/>
                <c:pt idx="0">
                  <c:v>440.37656</c:v>
                </c:pt>
              </c:strCache>
            </c:strRef>
          </c:tx>
          <c:val>
            <c:numRef>
              <c:f>AHS_tables!$CT$631:$CT$644</c:f>
              <c:numCache>
                <c:formatCode>General</c:formatCode>
                <c:ptCount val="14"/>
                <c:pt idx="0">
                  <c:v>496.46517999999929</c:v>
                </c:pt>
                <c:pt idx="1">
                  <c:v>540.56660999999997</c:v>
                </c:pt>
                <c:pt idx="2">
                  <c:v>512.81783792249371</c:v>
                </c:pt>
                <c:pt idx="3">
                  <c:v>546.85523000000012</c:v>
                </c:pt>
                <c:pt idx="4">
                  <c:v>557.34513000000004</c:v>
                </c:pt>
                <c:pt idx="5">
                  <c:v>591.84062135216209</c:v>
                </c:pt>
                <c:pt idx="6">
                  <c:v>562.59699133867605</c:v>
                </c:pt>
                <c:pt idx="7">
                  <c:v>584.28469469603715</c:v>
                </c:pt>
                <c:pt idx="8">
                  <c:v>567.70335305260733</c:v>
                </c:pt>
                <c:pt idx="9">
                  <c:v>494.58968207207022</c:v>
                </c:pt>
                <c:pt idx="10">
                  <c:v>547.61555610904031</c:v>
                </c:pt>
                <c:pt idx="11">
                  <c:v>540.46703845110005</c:v>
                </c:pt>
                <c:pt idx="12">
                  <c:v>593.29044145399973</c:v>
                </c:pt>
                <c:pt idx="13">
                  <c:v>543438.06297823996</c:v>
                </c:pt>
              </c:numCache>
            </c:numRef>
          </c:val>
          <c:smooth val="0"/>
          <c:extLst>
            <c:ext xmlns:c16="http://schemas.microsoft.com/office/drawing/2014/chart" uri="{C3380CC4-5D6E-409C-BE32-E72D297353CC}">
              <c16:uniqueId val="{00000002-14A9-4F40-89A9-178C6AAD34ED}"/>
            </c:ext>
          </c:extLst>
        </c:ser>
        <c:ser>
          <c:idx val="3"/>
          <c:order val="3"/>
          <c:tx>
            <c:strRef>
              <c:f>AHS_tables!$CU$630</c:f>
              <c:strCache>
                <c:ptCount val="1"/>
                <c:pt idx="0">
                  <c:v>859.5533</c:v>
                </c:pt>
              </c:strCache>
            </c:strRef>
          </c:tx>
          <c:val>
            <c:numRef>
              <c:f>AHS_tables!$CU$631:$CU$644</c:f>
              <c:numCache>
                <c:formatCode>General</c:formatCode>
                <c:ptCount val="14"/>
                <c:pt idx="0">
                  <c:v>1048.0002300000012</c:v>
                </c:pt>
                <c:pt idx="1">
                  <c:v>1032.8265600000002</c:v>
                </c:pt>
                <c:pt idx="2">
                  <c:v>1098.345990534795</c:v>
                </c:pt>
                <c:pt idx="3">
                  <c:v>1110.35778</c:v>
                </c:pt>
                <c:pt idx="4">
                  <c:v>1136.2595099999999</c:v>
                </c:pt>
                <c:pt idx="5">
                  <c:v>1156.1491370627209</c:v>
                </c:pt>
                <c:pt idx="6">
                  <c:v>1178.5373216290059</c:v>
                </c:pt>
                <c:pt idx="7">
                  <c:v>1216.5077132451479</c:v>
                </c:pt>
                <c:pt idx="8">
                  <c:v>1139.9744441540861</c:v>
                </c:pt>
                <c:pt idx="9">
                  <c:v>1157.2124891189708</c:v>
                </c:pt>
                <c:pt idx="10">
                  <c:v>1151.8663313938905</c:v>
                </c:pt>
                <c:pt idx="11">
                  <c:v>1144.7185270439293</c:v>
                </c:pt>
                <c:pt idx="12">
                  <c:v>1052.8837486807906</c:v>
                </c:pt>
                <c:pt idx="13">
                  <c:v>1093605.2939086691</c:v>
                </c:pt>
              </c:numCache>
            </c:numRef>
          </c:val>
          <c:smooth val="0"/>
          <c:extLst>
            <c:ext xmlns:c16="http://schemas.microsoft.com/office/drawing/2014/chart" uri="{C3380CC4-5D6E-409C-BE32-E72D297353CC}">
              <c16:uniqueId val="{00000003-14A9-4F40-89A9-178C6AAD34ED}"/>
            </c:ext>
          </c:extLst>
        </c:ser>
        <c:ser>
          <c:idx val="4"/>
          <c:order val="4"/>
          <c:tx>
            <c:strRef>
              <c:f>AHS_tables!$CV$630</c:f>
              <c:strCache>
                <c:ptCount val="1"/>
                <c:pt idx="0">
                  <c:v>2439.61339</c:v>
                </c:pt>
              </c:strCache>
            </c:strRef>
          </c:tx>
          <c:val>
            <c:numRef>
              <c:f>AHS_tables!$CV$631:$CV$644</c:f>
              <c:numCache>
                <c:formatCode>General</c:formatCode>
                <c:ptCount val="14"/>
                <c:pt idx="0">
                  <c:v>2582.7623199999994</c:v>
                </c:pt>
                <c:pt idx="1">
                  <c:v>2668.1341200000015</c:v>
                </c:pt>
                <c:pt idx="2">
                  <c:v>2863.4346538184409</c:v>
                </c:pt>
                <c:pt idx="3">
                  <c:v>2765.8391799999958</c:v>
                </c:pt>
                <c:pt idx="4">
                  <c:v>3216.0212499999989</c:v>
                </c:pt>
                <c:pt idx="5">
                  <c:v>3467.8681063862405</c:v>
                </c:pt>
                <c:pt idx="6">
                  <c:v>3740.7235609514355</c:v>
                </c:pt>
                <c:pt idx="7">
                  <c:v>4002.1137335311628</c:v>
                </c:pt>
                <c:pt idx="8">
                  <c:v>3860.745976512193</c:v>
                </c:pt>
                <c:pt idx="9">
                  <c:v>3938.7590588815838</c:v>
                </c:pt>
                <c:pt idx="10">
                  <c:v>3927.4087430276709</c:v>
                </c:pt>
                <c:pt idx="11">
                  <c:v>3917.5381850288422</c:v>
                </c:pt>
                <c:pt idx="12">
                  <c:v>3968.6274886613051</c:v>
                </c:pt>
                <c:pt idx="13">
                  <c:v>3906099.2330658161</c:v>
                </c:pt>
              </c:numCache>
            </c:numRef>
          </c:val>
          <c:smooth val="0"/>
          <c:extLst>
            <c:ext xmlns:c16="http://schemas.microsoft.com/office/drawing/2014/chart" uri="{C3380CC4-5D6E-409C-BE32-E72D297353CC}">
              <c16:uniqueId val="{00000004-14A9-4F40-89A9-178C6AAD34ED}"/>
            </c:ext>
          </c:extLst>
        </c:ser>
        <c:ser>
          <c:idx val="5"/>
          <c:order val="5"/>
          <c:tx>
            <c:strRef>
              <c:f>AHS_tables!$CW$630</c:f>
              <c:strCache>
                <c:ptCount val="1"/>
                <c:pt idx="0">
                  <c:v>1014.03461</c:v>
                </c:pt>
              </c:strCache>
            </c:strRef>
          </c:tx>
          <c:val>
            <c:numRef>
              <c:f>AHS_tables!$CW$631:$CW$644</c:f>
              <c:numCache>
                <c:formatCode>General</c:formatCode>
                <c:ptCount val="14"/>
                <c:pt idx="0">
                  <c:v>1139.9678899999997</c:v>
                </c:pt>
                <c:pt idx="1">
                  <c:v>1196.8616500000005</c:v>
                </c:pt>
                <c:pt idx="2">
                  <c:v>1155.4015177242889</c:v>
                </c:pt>
                <c:pt idx="3">
                  <c:v>1232.0623599999997</c:v>
                </c:pt>
                <c:pt idx="4">
                  <c:v>1254.430420000001</c:v>
                </c:pt>
                <c:pt idx="5">
                  <c:v>1316.8534544033125</c:v>
                </c:pt>
                <c:pt idx="6">
                  <c:v>1297.5721451574573</c:v>
                </c:pt>
                <c:pt idx="7">
                  <c:v>1415.7943742110597</c:v>
                </c:pt>
                <c:pt idx="8">
                  <c:v>1285.5128391407288</c:v>
                </c:pt>
                <c:pt idx="9">
                  <c:v>1338.3343358992288</c:v>
                </c:pt>
                <c:pt idx="10">
                  <c:v>1271.1511605682961</c:v>
                </c:pt>
                <c:pt idx="11">
                  <c:v>1236.0515147623366</c:v>
                </c:pt>
                <c:pt idx="12">
                  <c:v>1398.5647122630435</c:v>
                </c:pt>
                <c:pt idx="13">
                  <c:v>1374023.7435572383</c:v>
                </c:pt>
              </c:numCache>
            </c:numRef>
          </c:val>
          <c:smooth val="0"/>
          <c:extLst>
            <c:ext xmlns:c16="http://schemas.microsoft.com/office/drawing/2014/chart" uri="{C3380CC4-5D6E-409C-BE32-E72D297353CC}">
              <c16:uniqueId val="{00000005-14A9-4F40-89A9-178C6AAD34ED}"/>
            </c:ext>
          </c:extLst>
        </c:ser>
        <c:dLbls>
          <c:showLegendKey val="0"/>
          <c:showVal val="0"/>
          <c:showCatName val="0"/>
          <c:showSerName val="0"/>
          <c:showPercent val="0"/>
          <c:showBubbleSize val="0"/>
        </c:dLbls>
        <c:marker val="1"/>
        <c:smooth val="0"/>
        <c:axId val="218183552"/>
        <c:axId val="218185088"/>
      </c:lineChart>
      <c:catAx>
        <c:axId val="218183552"/>
        <c:scaling>
          <c:orientation val="minMax"/>
        </c:scaling>
        <c:delete val="0"/>
        <c:axPos val="b"/>
        <c:majorTickMark val="out"/>
        <c:minorTickMark val="none"/>
        <c:tickLblPos val="nextTo"/>
        <c:crossAx val="218185088"/>
        <c:crosses val="autoZero"/>
        <c:auto val="1"/>
        <c:lblAlgn val="ctr"/>
        <c:lblOffset val="100"/>
        <c:noMultiLvlLbl val="0"/>
      </c:catAx>
      <c:valAx>
        <c:axId val="218185088"/>
        <c:scaling>
          <c:orientation val="minMax"/>
        </c:scaling>
        <c:delete val="0"/>
        <c:axPos val="l"/>
        <c:majorGridlines/>
        <c:numFmt formatCode="General" sourceLinked="1"/>
        <c:majorTickMark val="out"/>
        <c:minorTickMark val="none"/>
        <c:tickLblPos val="nextTo"/>
        <c:crossAx val="218183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0287805164884"/>
          <c:y val="5.1400554097404488E-2"/>
          <c:w val="0.76105414521759118"/>
          <c:h val="0.8326195683872849"/>
        </c:manualLayout>
      </c:layout>
      <c:lineChart>
        <c:grouping val="standard"/>
        <c:varyColors val="0"/>
        <c:ser>
          <c:idx val="0"/>
          <c:order val="0"/>
          <c:tx>
            <c:strRef>
              <c:f>AHS_tables!$BX$166</c:f>
              <c:strCache>
                <c:ptCount val="1"/>
                <c:pt idx="0">
                  <c:v>Northeast</c:v>
                </c:pt>
              </c:strCache>
            </c:strRef>
          </c:tx>
          <c:cat>
            <c:numRef>
              <c:f>AHS_tables!$BZ$165:$CG$165</c:f>
              <c:numCache>
                <c:formatCode>General</c:formatCode>
                <c:ptCount val="8"/>
                <c:pt idx="0">
                  <c:v>1999</c:v>
                </c:pt>
                <c:pt idx="1">
                  <c:v>2001</c:v>
                </c:pt>
                <c:pt idx="2">
                  <c:v>2003</c:v>
                </c:pt>
                <c:pt idx="3">
                  <c:v>2005</c:v>
                </c:pt>
                <c:pt idx="4">
                  <c:v>2007</c:v>
                </c:pt>
                <c:pt idx="5">
                  <c:v>2009</c:v>
                </c:pt>
                <c:pt idx="6">
                  <c:v>2011</c:v>
                </c:pt>
                <c:pt idx="7">
                  <c:v>2013</c:v>
                </c:pt>
              </c:numCache>
            </c:numRef>
          </c:cat>
          <c:val>
            <c:numRef>
              <c:f>AHS_tables!$BZ$166:$CG$166</c:f>
              <c:numCache>
                <c:formatCode>0.000</c:formatCode>
                <c:ptCount val="8"/>
                <c:pt idx="0">
                  <c:v>1.1363743686067762</c:v>
                </c:pt>
                <c:pt idx="1">
                  <c:v>1.1452745101312254</c:v>
                </c:pt>
                <c:pt idx="2">
                  <c:v>1.1353104139742185</c:v>
                </c:pt>
                <c:pt idx="3">
                  <c:v>1.1215023460933342</c:v>
                </c:pt>
                <c:pt idx="4">
                  <c:v>1.092282913841194</c:v>
                </c:pt>
                <c:pt idx="5">
                  <c:v>1.0827500406563184</c:v>
                </c:pt>
                <c:pt idx="6">
                  <c:v>1.0757016079371986</c:v>
                </c:pt>
                <c:pt idx="7">
                  <c:v>1.0716511180550967</c:v>
                </c:pt>
              </c:numCache>
            </c:numRef>
          </c:val>
          <c:smooth val="0"/>
          <c:extLst>
            <c:ext xmlns:c16="http://schemas.microsoft.com/office/drawing/2014/chart" uri="{C3380CC4-5D6E-409C-BE32-E72D297353CC}">
              <c16:uniqueId val="{00000000-F90C-48D9-9F6C-1AC563ABD592}"/>
            </c:ext>
          </c:extLst>
        </c:ser>
        <c:ser>
          <c:idx val="1"/>
          <c:order val="1"/>
          <c:tx>
            <c:strRef>
              <c:f>AHS_tables!$BX$167</c:f>
              <c:strCache>
                <c:ptCount val="1"/>
                <c:pt idx="0">
                  <c:v>Midwest</c:v>
                </c:pt>
              </c:strCache>
            </c:strRef>
          </c:tx>
          <c:marker>
            <c:symbol val="square"/>
            <c:size val="5"/>
          </c:marker>
          <c:cat>
            <c:numRef>
              <c:f>AHS_tables!$BZ$165:$CG$165</c:f>
              <c:numCache>
                <c:formatCode>General</c:formatCode>
                <c:ptCount val="8"/>
                <c:pt idx="0">
                  <c:v>1999</c:v>
                </c:pt>
                <c:pt idx="1">
                  <c:v>2001</c:v>
                </c:pt>
                <c:pt idx="2">
                  <c:v>2003</c:v>
                </c:pt>
                <c:pt idx="3">
                  <c:v>2005</c:v>
                </c:pt>
                <c:pt idx="4">
                  <c:v>2007</c:v>
                </c:pt>
                <c:pt idx="5">
                  <c:v>2009</c:v>
                </c:pt>
                <c:pt idx="6">
                  <c:v>2011</c:v>
                </c:pt>
                <c:pt idx="7">
                  <c:v>2013</c:v>
                </c:pt>
              </c:numCache>
            </c:numRef>
          </c:cat>
          <c:val>
            <c:numRef>
              <c:f>AHS_tables!$BZ$167:$CG$167</c:f>
              <c:numCache>
                <c:formatCode>0.000</c:formatCode>
                <c:ptCount val="8"/>
                <c:pt idx="0">
                  <c:v>1.0157727890522283</c:v>
                </c:pt>
                <c:pt idx="1">
                  <c:v>1.014418917719891</c:v>
                </c:pt>
                <c:pt idx="2">
                  <c:v>1.0137896844705008</c:v>
                </c:pt>
                <c:pt idx="3">
                  <c:v>1.0036129730424035</c:v>
                </c:pt>
                <c:pt idx="4">
                  <c:v>1.0017744473622305</c:v>
                </c:pt>
                <c:pt idx="5">
                  <c:v>0.99468064159847136</c:v>
                </c:pt>
                <c:pt idx="6">
                  <c:v>0.99824281095797784</c:v>
                </c:pt>
                <c:pt idx="7">
                  <c:v>0.98136228507416834</c:v>
                </c:pt>
              </c:numCache>
            </c:numRef>
          </c:val>
          <c:smooth val="0"/>
          <c:extLst>
            <c:ext xmlns:c16="http://schemas.microsoft.com/office/drawing/2014/chart" uri="{C3380CC4-5D6E-409C-BE32-E72D297353CC}">
              <c16:uniqueId val="{00000001-F90C-48D9-9F6C-1AC563ABD592}"/>
            </c:ext>
          </c:extLst>
        </c:ser>
        <c:ser>
          <c:idx val="2"/>
          <c:order val="2"/>
          <c:tx>
            <c:strRef>
              <c:f>AHS_tables!$BX$168</c:f>
              <c:strCache>
                <c:ptCount val="1"/>
                <c:pt idx="0">
                  <c:v>South</c:v>
                </c:pt>
              </c:strCache>
            </c:strRef>
          </c:tx>
          <c:cat>
            <c:numRef>
              <c:f>AHS_tables!$BZ$165:$CG$165</c:f>
              <c:numCache>
                <c:formatCode>General</c:formatCode>
                <c:ptCount val="8"/>
                <c:pt idx="0">
                  <c:v>1999</c:v>
                </c:pt>
                <c:pt idx="1">
                  <c:v>2001</c:v>
                </c:pt>
                <c:pt idx="2">
                  <c:v>2003</c:v>
                </c:pt>
                <c:pt idx="3">
                  <c:v>2005</c:v>
                </c:pt>
                <c:pt idx="4">
                  <c:v>2007</c:v>
                </c:pt>
                <c:pt idx="5">
                  <c:v>2009</c:v>
                </c:pt>
                <c:pt idx="6">
                  <c:v>2011</c:v>
                </c:pt>
                <c:pt idx="7">
                  <c:v>2013</c:v>
                </c:pt>
              </c:numCache>
            </c:numRef>
          </c:cat>
          <c:val>
            <c:numRef>
              <c:f>AHS_tables!$BZ$168:$CG$168</c:f>
              <c:numCache>
                <c:formatCode>0.000</c:formatCode>
                <c:ptCount val="8"/>
                <c:pt idx="0">
                  <c:v>0.97245259957697916</c:v>
                </c:pt>
                <c:pt idx="1">
                  <c:v>0.96772827453725085</c:v>
                </c:pt>
                <c:pt idx="2">
                  <c:v>0.97117636102040794</c:v>
                </c:pt>
                <c:pt idx="3">
                  <c:v>0.97839242138219162</c:v>
                </c:pt>
                <c:pt idx="4">
                  <c:v>0.98797780514256739</c:v>
                </c:pt>
                <c:pt idx="5">
                  <c:v>0.99190532840125822</c:v>
                </c:pt>
                <c:pt idx="6">
                  <c:v>0.99640930427178398</c:v>
                </c:pt>
                <c:pt idx="7">
                  <c:v>0.99853618257928711</c:v>
                </c:pt>
              </c:numCache>
            </c:numRef>
          </c:val>
          <c:smooth val="0"/>
          <c:extLst>
            <c:ext xmlns:c16="http://schemas.microsoft.com/office/drawing/2014/chart" uri="{C3380CC4-5D6E-409C-BE32-E72D297353CC}">
              <c16:uniqueId val="{00000002-F90C-48D9-9F6C-1AC563ABD592}"/>
            </c:ext>
          </c:extLst>
        </c:ser>
        <c:ser>
          <c:idx val="3"/>
          <c:order val="3"/>
          <c:tx>
            <c:strRef>
              <c:f>AHS_tables!$BX$169</c:f>
              <c:strCache>
                <c:ptCount val="1"/>
                <c:pt idx="0">
                  <c:v>West</c:v>
                </c:pt>
              </c:strCache>
            </c:strRef>
          </c:tx>
          <c:cat>
            <c:numRef>
              <c:f>AHS_tables!$BZ$165:$CG$165</c:f>
              <c:numCache>
                <c:formatCode>General</c:formatCode>
                <c:ptCount val="8"/>
                <c:pt idx="0">
                  <c:v>1999</c:v>
                </c:pt>
                <c:pt idx="1">
                  <c:v>2001</c:v>
                </c:pt>
                <c:pt idx="2">
                  <c:v>2003</c:v>
                </c:pt>
                <c:pt idx="3">
                  <c:v>2005</c:v>
                </c:pt>
                <c:pt idx="4">
                  <c:v>2007</c:v>
                </c:pt>
                <c:pt idx="5">
                  <c:v>2009</c:v>
                </c:pt>
                <c:pt idx="6">
                  <c:v>2011</c:v>
                </c:pt>
                <c:pt idx="7">
                  <c:v>2013</c:v>
                </c:pt>
              </c:numCache>
            </c:numRef>
          </c:cat>
          <c:val>
            <c:numRef>
              <c:f>AHS_tables!$BZ$169:$CG$169</c:f>
              <c:numCache>
                <c:formatCode>0.000</c:formatCode>
                <c:ptCount val="8"/>
                <c:pt idx="0">
                  <c:v>0.92806445946845162</c:v>
                </c:pt>
                <c:pt idx="1">
                  <c:v>0.93333585362789573</c:v>
                </c:pt>
                <c:pt idx="2">
                  <c:v>0.93505053878621425</c:v>
                </c:pt>
                <c:pt idx="3">
                  <c:v>0.94566923596356411</c:v>
                </c:pt>
                <c:pt idx="4">
                  <c:v>0.9534368547764317</c:v>
                </c:pt>
                <c:pt idx="5">
                  <c:v>0.96262996583916038</c:v>
                </c:pt>
                <c:pt idx="6">
                  <c:v>0.95424139217469239</c:v>
                </c:pt>
                <c:pt idx="7">
                  <c:v>0.97288694646587082</c:v>
                </c:pt>
              </c:numCache>
            </c:numRef>
          </c:val>
          <c:smooth val="0"/>
          <c:extLst>
            <c:ext xmlns:c16="http://schemas.microsoft.com/office/drawing/2014/chart" uri="{C3380CC4-5D6E-409C-BE32-E72D297353CC}">
              <c16:uniqueId val="{00000003-F90C-48D9-9F6C-1AC563ABD592}"/>
            </c:ext>
          </c:extLst>
        </c:ser>
        <c:dLbls>
          <c:showLegendKey val="0"/>
          <c:showVal val="0"/>
          <c:showCatName val="0"/>
          <c:showSerName val="0"/>
          <c:showPercent val="0"/>
          <c:showBubbleSize val="0"/>
        </c:dLbls>
        <c:marker val="1"/>
        <c:smooth val="0"/>
        <c:axId val="218236416"/>
        <c:axId val="218237952"/>
      </c:lineChart>
      <c:catAx>
        <c:axId val="218236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8237952"/>
        <c:crosses val="autoZero"/>
        <c:auto val="1"/>
        <c:lblAlgn val="ctr"/>
        <c:lblOffset val="100"/>
        <c:noMultiLvlLbl val="0"/>
      </c:catAx>
      <c:valAx>
        <c:axId val="218237952"/>
        <c:scaling>
          <c:orientation val="minMax"/>
          <c:min val="0.5"/>
        </c:scaling>
        <c:delete val="0"/>
        <c:axPos val="l"/>
        <c:majorGridlines/>
        <c:title>
          <c:tx>
            <c:rich>
              <a:bodyPr rot="-5400000" vert="horz"/>
              <a:lstStyle/>
              <a:p>
                <a:pPr>
                  <a:defRPr sz="1050" b="1" i="0" baseline="0"/>
                </a:pPr>
                <a:r>
                  <a:rPr lang="en-US" sz="1050" b="1" i="0" baseline="0"/>
                  <a:t>Regional size/National size</a:t>
                </a:r>
              </a:p>
            </c:rich>
          </c:tx>
          <c:overlay val="0"/>
        </c:title>
        <c:numFmt formatCode="0.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8236416"/>
        <c:crosses val="autoZero"/>
        <c:crossBetween val="midCat"/>
      </c:valAx>
    </c:plotArea>
    <c:legend>
      <c:legendPos val="r"/>
      <c:layout>
        <c:manualLayout>
          <c:xMode val="edge"/>
          <c:yMode val="edge"/>
          <c:x val="0.20738521737735938"/>
          <c:y val="0.48039297171186934"/>
          <c:w val="0.17791688538932637"/>
          <c:h val="0.3216214639836687"/>
        </c:manualLayout>
      </c:layout>
      <c:overlay val="0"/>
      <c:spPr>
        <a:solidFill>
          <a:schemeClr val="bg1"/>
        </a:solidFill>
        <a:ln>
          <a:solidFill>
            <a:schemeClr val="tx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59951881014873"/>
          <c:y val="4.214129483814523E-2"/>
          <c:w val="0.77006824146981623"/>
          <c:h val="0.78278032954214061"/>
        </c:manualLayout>
      </c:layout>
      <c:lineChart>
        <c:grouping val="standard"/>
        <c:varyColors val="0"/>
        <c:ser>
          <c:idx val="0"/>
          <c:order val="0"/>
          <c:tx>
            <c:strRef>
              <c:f>Overall_graphics!$D$5</c:f>
              <c:strCache>
                <c:ptCount val="1"/>
                <c:pt idx="0">
                  <c:v>Single-family</c:v>
                </c:pt>
              </c:strCache>
            </c:strRef>
          </c:tx>
          <c:cat>
            <c:numRef>
              <c:f>Overall_graphics!$C$6:$C$39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Overall_graphics!$D$6:$D$39</c:f>
              <c:numCache>
                <c:formatCode>#,##0</c:formatCode>
                <c:ptCount val="34"/>
                <c:pt idx="0">
                  <c:v>1849.0897575916233</c:v>
                </c:pt>
                <c:pt idx="1">
                  <c:v>1845.3032226028363</c:v>
                </c:pt>
                <c:pt idx="2">
                  <c:v>1858.8984015399869</c:v>
                </c:pt>
                <c:pt idx="3">
                  <c:v>1873.0173648555019</c:v>
                </c:pt>
                <c:pt idx="4">
                  <c:v>1886.7306152316403</c:v>
                </c:pt>
                <c:pt idx="5">
                  <c:v>1900.3434366128959</c:v>
                </c:pt>
                <c:pt idx="6">
                  <c:v>1911.5195446207103</c:v>
                </c:pt>
                <c:pt idx="7">
                  <c:v>1927.3581296870789</c:v>
                </c:pt>
                <c:pt idx="8">
                  <c:v>1942.5931442659185</c:v>
                </c:pt>
                <c:pt idx="9">
                  <c:v>1958.9665470585048</c:v>
                </c:pt>
                <c:pt idx="10">
                  <c:v>1971.0324425429283</c:v>
                </c:pt>
                <c:pt idx="11">
                  <c:v>1985.8302610578116</c:v>
                </c:pt>
                <c:pt idx="12">
                  <c:v>1999.5975694016099</c:v>
                </c:pt>
                <c:pt idx="13">
                  <c:v>2014.7570219038193</c:v>
                </c:pt>
                <c:pt idx="14">
                  <c:v>2031.8227956659466</c:v>
                </c:pt>
                <c:pt idx="15">
                  <c:v>2047.063356998982</c:v>
                </c:pt>
                <c:pt idx="16">
                  <c:v>2063.6263714567831</c:v>
                </c:pt>
                <c:pt idx="17">
                  <c:v>2080.8927473426156</c:v>
                </c:pt>
                <c:pt idx="18">
                  <c:v>2098.1730969428168</c:v>
                </c:pt>
                <c:pt idx="19">
                  <c:v>2117.5026549267072</c:v>
                </c:pt>
                <c:pt idx="20">
                  <c:v>2138.3776791572573</c:v>
                </c:pt>
                <c:pt idx="21">
                  <c:v>2158.3309177961414</c:v>
                </c:pt>
                <c:pt idx="22">
                  <c:v>2168.9358849751275</c:v>
                </c:pt>
                <c:pt idx="23">
                  <c:v>2176.1427273015274</c:v>
                </c:pt>
                <c:pt idx="24">
                  <c:v>2181.3182757931095</c:v>
                </c:pt>
                <c:pt idx="25">
                  <c:v>2184.4367550310162</c:v>
                </c:pt>
                <c:pt idx="26">
                  <c:v>2188.3259705873934</c:v>
                </c:pt>
                <c:pt idx="27">
                  <c:v>2195.6739625779692</c:v>
                </c:pt>
                <c:pt idx="28">
                  <c:v>2204.949636600667</c:v>
                </c:pt>
                <c:pt idx="29">
                  <c:v>2216.5775967088935</c:v>
                </c:pt>
                <c:pt idx="30">
                  <c:v>2228.3029555662597</c:v>
                </c:pt>
                <c:pt idx="31">
                  <c:v>2241.0865690417086</c:v>
                </c:pt>
                <c:pt idx="32">
                  <c:v>2253.6687918388634</c:v>
                </c:pt>
                <c:pt idx="33">
                  <c:v>2265.8145288234605</c:v>
                </c:pt>
              </c:numCache>
            </c:numRef>
          </c:val>
          <c:smooth val="0"/>
          <c:extLst>
            <c:ext xmlns:c16="http://schemas.microsoft.com/office/drawing/2014/chart" uri="{C3380CC4-5D6E-409C-BE32-E72D297353CC}">
              <c16:uniqueId val="{00000000-44DA-453A-AC8C-4DD7C6632BE0}"/>
            </c:ext>
          </c:extLst>
        </c:ser>
        <c:ser>
          <c:idx val="1"/>
          <c:order val="1"/>
          <c:tx>
            <c:strRef>
              <c:f>Overall_graphics!$E$5</c:f>
              <c:strCache>
                <c:ptCount val="1"/>
                <c:pt idx="0">
                  <c:v>Multi-family</c:v>
                </c:pt>
              </c:strCache>
            </c:strRef>
          </c:tx>
          <c:marker>
            <c:symbol val="square"/>
            <c:size val="5"/>
          </c:marker>
          <c:cat>
            <c:numRef>
              <c:f>Overall_graphics!$C$6:$C$39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Overall_graphics!$E$6:$E$39</c:f>
              <c:numCache>
                <c:formatCode>#,##0</c:formatCode>
                <c:ptCount val="34"/>
                <c:pt idx="0">
                  <c:v>847.17455014596089</c:v>
                </c:pt>
                <c:pt idx="1">
                  <c:v>867.25899899585625</c:v>
                </c:pt>
                <c:pt idx="2">
                  <c:v>883.13736990518328</c:v>
                </c:pt>
                <c:pt idx="3">
                  <c:v>894.45311193939119</c:v>
                </c:pt>
                <c:pt idx="4">
                  <c:v>903.78044777109062</c:v>
                </c:pt>
                <c:pt idx="5">
                  <c:v>910.86068802259297</c:v>
                </c:pt>
                <c:pt idx="6">
                  <c:v>914.03321049776605</c:v>
                </c:pt>
                <c:pt idx="7">
                  <c:v>914.61950593224753</c:v>
                </c:pt>
                <c:pt idx="8">
                  <c:v>913.45934998677967</c:v>
                </c:pt>
                <c:pt idx="9">
                  <c:v>914.16276925399563</c:v>
                </c:pt>
                <c:pt idx="10">
                  <c:v>918.17019983377509</c:v>
                </c:pt>
                <c:pt idx="11">
                  <c:v>924.51141197744323</c:v>
                </c:pt>
                <c:pt idx="12">
                  <c:v>931.19828673268592</c:v>
                </c:pt>
                <c:pt idx="13">
                  <c:v>936.21496110839507</c:v>
                </c:pt>
                <c:pt idx="14">
                  <c:v>942.66151268699832</c:v>
                </c:pt>
                <c:pt idx="15">
                  <c:v>951.64999479274809</c:v>
                </c:pt>
                <c:pt idx="16">
                  <c:v>960.01747310049757</c:v>
                </c:pt>
                <c:pt idx="17">
                  <c:v>969.41461258826155</c:v>
                </c:pt>
                <c:pt idx="18">
                  <c:v>977.25919521001674</c:v>
                </c:pt>
                <c:pt idx="19">
                  <c:v>986.73207856651766</c:v>
                </c:pt>
                <c:pt idx="20">
                  <c:v>995.71121877915243</c:v>
                </c:pt>
                <c:pt idx="21">
                  <c:v>1007.0899704272231</c:v>
                </c:pt>
                <c:pt idx="22">
                  <c:v>1016.2657695437792</c:v>
                </c:pt>
                <c:pt idx="23">
                  <c:v>1020.6068117505304</c:v>
                </c:pt>
                <c:pt idx="24">
                  <c:v>1023.2875299659321</c:v>
                </c:pt>
                <c:pt idx="25">
                  <c:v>1027</c:v>
                </c:pt>
                <c:pt idx="26">
                  <c:v>1032.1483018307779</c:v>
                </c:pt>
                <c:pt idx="27">
                  <c:v>1032.1483018307779</c:v>
                </c:pt>
                <c:pt idx="28">
                  <c:v>1032.1483018307779</c:v>
                </c:pt>
                <c:pt idx="29">
                  <c:v>1032.1483018307779</c:v>
                </c:pt>
                <c:pt idx="30">
                  <c:v>1032.1483018307779</c:v>
                </c:pt>
                <c:pt idx="31">
                  <c:v>1032.1483018307779</c:v>
                </c:pt>
                <c:pt idx="32">
                  <c:v>1032.1483018307779</c:v>
                </c:pt>
                <c:pt idx="33">
                  <c:v>1032.1483018307779</c:v>
                </c:pt>
              </c:numCache>
            </c:numRef>
          </c:val>
          <c:smooth val="0"/>
          <c:extLst>
            <c:ext xmlns:c16="http://schemas.microsoft.com/office/drawing/2014/chart" uri="{C3380CC4-5D6E-409C-BE32-E72D297353CC}">
              <c16:uniqueId val="{00000001-44DA-453A-AC8C-4DD7C6632BE0}"/>
            </c:ext>
          </c:extLst>
        </c:ser>
        <c:ser>
          <c:idx val="2"/>
          <c:order val="2"/>
          <c:tx>
            <c:strRef>
              <c:f>Overall_graphics!$F$5</c:f>
              <c:strCache>
                <c:ptCount val="1"/>
                <c:pt idx="0">
                  <c:v>Man. Home</c:v>
                </c:pt>
              </c:strCache>
            </c:strRef>
          </c:tx>
          <c:marker>
            <c:symbol val="triangle"/>
            <c:size val="6"/>
          </c:marker>
          <c:cat>
            <c:numRef>
              <c:f>Overall_graphics!$C$6:$C$39</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Overall_graphics!$F$6:$F$39</c:f>
              <c:numCache>
                <c:formatCode>#,##0</c:formatCode>
                <c:ptCount val="34"/>
                <c:pt idx="0">
                  <c:v>857.51633986928107</c:v>
                </c:pt>
                <c:pt idx="1">
                  <c:v>864.70588235294122</c:v>
                </c:pt>
                <c:pt idx="2">
                  <c:v>864.70588235294122</c:v>
                </c:pt>
                <c:pt idx="3">
                  <c:v>890.57315233785823</c:v>
                </c:pt>
                <c:pt idx="4">
                  <c:v>916.44042232277525</c:v>
                </c:pt>
                <c:pt idx="5">
                  <c:v>942.30769230769226</c:v>
                </c:pt>
                <c:pt idx="6">
                  <c:v>957.90209790209792</c:v>
                </c:pt>
                <c:pt idx="7">
                  <c:v>973.49650349650358</c:v>
                </c:pt>
                <c:pt idx="8">
                  <c:v>989.09090909090912</c:v>
                </c:pt>
                <c:pt idx="9">
                  <c:v>998.20392109726617</c:v>
                </c:pt>
                <c:pt idx="10">
                  <c:v>1007.3169331036232</c:v>
                </c:pt>
                <c:pt idx="11">
                  <c:v>1016.4299451099803</c:v>
                </c:pt>
                <c:pt idx="12">
                  <c:v>1025.5429571163374</c:v>
                </c:pt>
                <c:pt idx="13">
                  <c:v>1034.6559691226946</c:v>
                </c:pt>
                <c:pt idx="14">
                  <c:v>1043.7689811290518</c:v>
                </c:pt>
                <c:pt idx="15">
                  <c:v>1052.8819931354089</c:v>
                </c:pt>
                <c:pt idx="16">
                  <c:v>1061.9950051417659</c:v>
                </c:pt>
                <c:pt idx="17">
                  <c:v>1061.9984984170167</c:v>
                </c:pt>
                <c:pt idx="18">
                  <c:v>1062.0019916922674</c:v>
                </c:pt>
                <c:pt idx="19">
                  <c:v>1062.0054849675182</c:v>
                </c:pt>
                <c:pt idx="20">
                  <c:v>1062.008978242769</c:v>
                </c:pt>
                <c:pt idx="21">
                  <c:v>1068.2567336820766</c:v>
                </c:pt>
                <c:pt idx="22">
                  <c:v>1074.5044891213843</c:v>
                </c:pt>
                <c:pt idx="23">
                  <c:v>1080.7522445606919</c:v>
                </c:pt>
                <c:pt idx="24">
                  <c:v>1087</c:v>
                </c:pt>
                <c:pt idx="25">
                  <c:v>1104.3627450980393</c:v>
                </c:pt>
                <c:pt idx="26">
                  <c:v>1121.7254901960787</c:v>
                </c:pt>
                <c:pt idx="27">
                  <c:v>1139.088235294118</c:v>
                </c:pt>
                <c:pt idx="28">
                  <c:v>1156.4509803921574</c:v>
                </c:pt>
                <c:pt idx="29">
                  <c:v>1173.8137254901967</c:v>
                </c:pt>
                <c:pt idx="30">
                  <c:v>1191.1764705882354</c:v>
                </c:pt>
                <c:pt idx="31">
                  <c:v>1196</c:v>
                </c:pt>
                <c:pt idx="32">
                  <c:v>1201</c:v>
                </c:pt>
                <c:pt idx="33">
                  <c:v>1201</c:v>
                </c:pt>
              </c:numCache>
            </c:numRef>
          </c:val>
          <c:smooth val="0"/>
          <c:extLst>
            <c:ext xmlns:c16="http://schemas.microsoft.com/office/drawing/2014/chart" uri="{C3380CC4-5D6E-409C-BE32-E72D297353CC}">
              <c16:uniqueId val="{00000002-44DA-453A-AC8C-4DD7C6632BE0}"/>
            </c:ext>
          </c:extLst>
        </c:ser>
        <c:dLbls>
          <c:showLegendKey val="0"/>
          <c:showVal val="0"/>
          <c:showCatName val="0"/>
          <c:showSerName val="0"/>
          <c:showPercent val="0"/>
          <c:showBubbleSize val="0"/>
        </c:dLbls>
        <c:marker val="1"/>
        <c:smooth val="0"/>
        <c:axId val="218347392"/>
        <c:axId val="218348928"/>
      </c:lineChart>
      <c:catAx>
        <c:axId val="218347392"/>
        <c:scaling>
          <c:orientation val="minMax"/>
        </c:scaling>
        <c:delete val="0"/>
        <c:axPos val="b"/>
        <c:numFmt formatCode="General" sourceLinked="1"/>
        <c:majorTickMark val="out"/>
        <c:minorTickMark val="none"/>
        <c:tickLblPos val="nextTo"/>
        <c:crossAx val="218348928"/>
        <c:crosses val="autoZero"/>
        <c:auto val="1"/>
        <c:lblAlgn val="ctr"/>
        <c:lblOffset val="100"/>
        <c:noMultiLvlLbl val="0"/>
      </c:catAx>
      <c:valAx>
        <c:axId val="218348928"/>
        <c:scaling>
          <c:orientation val="minMax"/>
        </c:scaling>
        <c:delete val="0"/>
        <c:axPos val="l"/>
        <c:majorGridlines/>
        <c:title>
          <c:tx>
            <c:rich>
              <a:bodyPr rot="-5400000" vert="horz"/>
              <a:lstStyle/>
              <a:p>
                <a:pPr>
                  <a:defRPr sz="1100" baseline="0"/>
                </a:pPr>
                <a:r>
                  <a:rPr lang="en-US" sz="1100" baseline="0"/>
                  <a:t>Square feet per unit</a:t>
                </a:r>
              </a:p>
            </c:rich>
          </c:tx>
          <c:overlay val="0"/>
        </c:title>
        <c:numFmt formatCode="#,##0" sourceLinked="0"/>
        <c:majorTickMark val="out"/>
        <c:minorTickMark val="none"/>
        <c:tickLblPos val="nextTo"/>
        <c:crossAx val="218347392"/>
        <c:crosses val="autoZero"/>
        <c:crossBetween val="midCat"/>
      </c:valAx>
    </c:plotArea>
    <c:legend>
      <c:legendPos val="r"/>
      <c:layout>
        <c:manualLayout>
          <c:xMode val="edge"/>
          <c:yMode val="edge"/>
          <c:x val="0.67742957130358705"/>
          <c:y val="0.56886847477398661"/>
          <c:w val="0.22812598425196851"/>
          <c:h val="0.21411453776611256"/>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84951881014873"/>
          <c:y val="5.1400554097404488E-2"/>
          <c:w val="0.81631714785651799"/>
          <c:h val="0.78278032954214061"/>
        </c:manualLayout>
      </c:layout>
      <c:areaChart>
        <c:grouping val="stacked"/>
        <c:varyColors val="0"/>
        <c:ser>
          <c:idx val="0"/>
          <c:order val="0"/>
          <c:tx>
            <c:strRef>
              <c:f>Overall_graphics!$D$44</c:f>
              <c:strCache>
                <c:ptCount val="1"/>
                <c:pt idx="0">
                  <c:v>Single-family</c:v>
                </c:pt>
              </c:strCache>
            </c:strRef>
          </c:tx>
          <c:spPr>
            <a:pattFill prst="pct60">
              <a:fgClr>
                <a:schemeClr val="accent6">
                  <a:lumMod val="60000"/>
                  <a:lumOff val="40000"/>
                </a:schemeClr>
              </a:fgClr>
              <a:bgClr>
                <a:schemeClr val="bg1"/>
              </a:bgClr>
            </a:pattFill>
          </c:spPr>
          <c:cat>
            <c:numRef>
              <c:f>Overall_graphics!$C$45:$C$78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Overall_graphics!$D$45:$D$78</c:f>
              <c:numCache>
                <c:formatCode>#,##0</c:formatCode>
                <c:ptCount val="34"/>
                <c:pt idx="0">
                  <c:v>108.03747267576522</c:v>
                </c:pt>
                <c:pt idx="1">
                  <c:v>109.73397740185293</c:v>
                </c:pt>
                <c:pt idx="2">
                  <c:v>112.51927535964501</c:v>
                </c:pt>
                <c:pt idx="3">
                  <c:v>115.09427508559475</c:v>
                </c:pt>
                <c:pt idx="4">
                  <c:v>117.58880948552878</c:v>
                </c:pt>
                <c:pt idx="5">
                  <c:v>119.31670987327701</c:v>
                </c:pt>
                <c:pt idx="6">
                  <c:v>120.7298805053244</c:v>
                </c:pt>
                <c:pt idx="7">
                  <c:v>123.99117357647596</c:v>
                </c:pt>
                <c:pt idx="8">
                  <c:v>127.43586188845045</c:v>
                </c:pt>
                <c:pt idx="9">
                  <c:v>130.51959822161481</c:v>
                </c:pt>
                <c:pt idx="10">
                  <c:v>133.37110644407292</c:v>
                </c:pt>
                <c:pt idx="11">
                  <c:v>135.5001584899133</c:v>
                </c:pt>
                <c:pt idx="12">
                  <c:v>137.59738305138623</c:v>
                </c:pt>
                <c:pt idx="13">
                  <c:v>140.9052333973365</c:v>
                </c:pt>
                <c:pt idx="14">
                  <c:v>144.52380076185449</c:v>
                </c:pt>
                <c:pt idx="15">
                  <c:v>147.51150081215135</c:v>
                </c:pt>
                <c:pt idx="16">
                  <c:v>150.60150728970891</c:v>
                </c:pt>
                <c:pt idx="17">
                  <c:v>153.38791254831452</c:v>
                </c:pt>
                <c:pt idx="18">
                  <c:v>156.29264756912559</c:v>
                </c:pt>
                <c:pt idx="19">
                  <c:v>160.02434242162172</c:v>
                </c:pt>
                <c:pt idx="20">
                  <c:v>164.12906772619303</c:v>
                </c:pt>
                <c:pt idx="21">
                  <c:v>167.31277157534649</c:v>
                </c:pt>
                <c:pt idx="22">
                  <c:v>169.37270627869484</c:v>
                </c:pt>
                <c:pt idx="23">
                  <c:v>171.47322949288872</c:v>
                </c:pt>
                <c:pt idx="24">
                  <c:v>172.7981515553783</c:v>
                </c:pt>
                <c:pt idx="25">
                  <c:v>174.32551067644999</c:v>
                </c:pt>
                <c:pt idx="26">
                  <c:v>175.85758757328446</c:v>
                </c:pt>
                <c:pt idx="27">
                  <c:v>177.45802050188004</c:v>
                </c:pt>
                <c:pt idx="28">
                  <c:v>179.33185847857769</c:v>
                </c:pt>
                <c:pt idx="29">
                  <c:v>181.88336246002353</c:v>
                </c:pt>
                <c:pt idx="30">
                  <c:v>184.53691348889114</c:v>
                </c:pt>
                <c:pt idx="31">
                  <c:v>187.7274103895904</c:v>
                </c:pt>
                <c:pt idx="32">
                  <c:v>191.07288879056753</c:v>
                </c:pt>
                <c:pt idx="33">
                  <c:v>193.57193114176764</c:v>
                </c:pt>
              </c:numCache>
            </c:numRef>
          </c:val>
          <c:extLst>
            <c:ext xmlns:c16="http://schemas.microsoft.com/office/drawing/2014/chart" uri="{C3380CC4-5D6E-409C-BE32-E72D297353CC}">
              <c16:uniqueId val="{00000000-B566-4454-8D95-37B78A6CA510}"/>
            </c:ext>
          </c:extLst>
        </c:ser>
        <c:ser>
          <c:idx val="1"/>
          <c:order val="1"/>
          <c:tx>
            <c:strRef>
              <c:f>Overall_graphics!$E$44</c:f>
              <c:strCache>
                <c:ptCount val="1"/>
                <c:pt idx="0">
                  <c:v>Multi-family</c:v>
                </c:pt>
              </c:strCache>
            </c:strRef>
          </c:tx>
          <c:spPr>
            <a:pattFill prst="pct75">
              <a:fgClr>
                <a:schemeClr val="accent1"/>
              </a:fgClr>
              <a:bgClr>
                <a:schemeClr val="bg1"/>
              </a:bgClr>
            </a:pattFill>
          </c:spPr>
          <c:cat>
            <c:numRef>
              <c:f>Overall_graphics!$C$45:$C$78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Overall_graphics!$E$45:$E$78</c:f>
              <c:numCache>
                <c:formatCode>#,##0</c:formatCode>
                <c:ptCount val="34"/>
                <c:pt idx="0">
                  <c:v>19.903149932090489</c:v>
                </c:pt>
                <c:pt idx="1">
                  <c:v>20.494510757708937</c:v>
                </c:pt>
                <c:pt idx="2">
                  <c:v>20.965041252879754</c:v>
                </c:pt>
                <c:pt idx="3">
                  <c:v>21.596035768359464</c:v>
                </c:pt>
                <c:pt idx="4">
                  <c:v>22.153032386297642</c:v>
                </c:pt>
                <c:pt idx="5">
                  <c:v>22.28629396189687</c:v>
                </c:pt>
                <c:pt idx="6">
                  <c:v>22.285985655320136</c:v>
                </c:pt>
                <c:pt idx="7">
                  <c:v>22.595608821951643</c:v>
                </c:pt>
                <c:pt idx="8">
                  <c:v>22.840126480404724</c:v>
                </c:pt>
                <c:pt idx="9">
                  <c:v>23.014610209119567</c:v>
                </c:pt>
                <c:pt idx="10">
                  <c:v>23.295526591041533</c:v>
                </c:pt>
                <c:pt idx="11">
                  <c:v>23.592635770548199</c:v>
                </c:pt>
                <c:pt idx="12">
                  <c:v>23.90942247406716</c:v>
                </c:pt>
                <c:pt idx="13">
                  <c:v>23.896009832963838</c:v>
                </c:pt>
                <c:pt idx="14">
                  <c:v>23.926083971019246</c:v>
                </c:pt>
                <c:pt idx="15">
                  <c:v>24.254056396230322</c:v>
                </c:pt>
                <c:pt idx="16">
                  <c:v>24.562193823960062</c:v>
                </c:pt>
                <c:pt idx="17">
                  <c:v>25.066973719859199</c:v>
                </c:pt>
                <c:pt idx="18">
                  <c:v>25.531687627903242</c:v>
                </c:pt>
                <c:pt idx="19">
                  <c:v>25.768675543414918</c:v>
                </c:pt>
                <c:pt idx="20">
                  <c:v>25.991417398721062</c:v>
                </c:pt>
                <c:pt idx="21">
                  <c:v>26.363562677884445</c:v>
                </c:pt>
                <c:pt idx="22">
                  <c:v>26.675638339898605</c:v>
                </c:pt>
                <c:pt idx="23">
                  <c:v>26.715200363481735</c:v>
                </c:pt>
                <c:pt idx="24">
                  <c:v>26.705824739061658</c:v>
                </c:pt>
                <c:pt idx="25">
                  <c:v>27.21030998076985</c:v>
                </c:pt>
                <c:pt idx="26">
                  <c:v>27.724645253925367</c:v>
                </c:pt>
                <c:pt idx="27">
                  <c:v>27.931244201661563</c:v>
                </c:pt>
                <c:pt idx="28">
                  <c:v>28.152604654108508</c:v>
                </c:pt>
                <c:pt idx="29">
                  <c:v>28.37621745393173</c:v>
                </c:pt>
                <c:pt idx="30">
                  <c:v>28.632855810386392</c:v>
                </c:pt>
                <c:pt idx="31">
                  <c:v>28.813587190131734</c:v>
                </c:pt>
                <c:pt idx="32">
                  <c:v>29.004017985051057</c:v>
                </c:pt>
                <c:pt idx="33">
                  <c:v>29.173410525279472</c:v>
                </c:pt>
              </c:numCache>
            </c:numRef>
          </c:val>
          <c:extLst>
            <c:ext xmlns:c16="http://schemas.microsoft.com/office/drawing/2014/chart" uri="{C3380CC4-5D6E-409C-BE32-E72D297353CC}">
              <c16:uniqueId val="{00000001-B566-4454-8D95-37B78A6CA510}"/>
            </c:ext>
          </c:extLst>
        </c:ser>
        <c:ser>
          <c:idx val="2"/>
          <c:order val="2"/>
          <c:tx>
            <c:strRef>
              <c:f>Overall_graphics!$F$44</c:f>
              <c:strCache>
                <c:ptCount val="1"/>
                <c:pt idx="0">
                  <c:v>Man. Home</c:v>
                </c:pt>
              </c:strCache>
            </c:strRef>
          </c:tx>
          <c:cat>
            <c:numRef>
              <c:f>Overall_graphics!$C$45:$C$78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Overall_graphics!$F$45:$F$78</c:f>
              <c:numCache>
                <c:formatCode>#,##0</c:formatCode>
                <c:ptCount val="34"/>
                <c:pt idx="0">
                  <c:v>4.2217387561696782</c:v>
                </c:pt>
                <c:pt idx="1">
                  <c:v>4.3907030215967708</c:v>
                </c:pt>
                <c:pt idx="2">
                  <c:v>4.5108420447274842</c:v>
                </c:pt>
                <c:pt idx="3">
                  <c:v>4.7362921935915869</c:v>
                </c:pt>
                <c:pt idx="4">
                  <c:v>4.9548983361743613</c:v>
                </c:pt>
                <c:pt idx="5">
                  <c:v>5.2318699442184364</c:v>
                </c:pt>
                <c:pt idx="6">
                  <c:v>5.449988356564254</c:v>
                </c:pt>
                <c:pt idx="7">
                  <c:v>5.5887115226741395</c:v>
                </c:pt>
                <c:pt idx="8">
                  <c:v>5.7481515508317544</c:v>
                </c:pt>
                <c:pt idx="9">
                  <c:v>5.9423968778654164</c:v>
                </c:pt>
                <c:pt idx="10">
                  <c:v>6.1631104740613374</c:v>
                </c:pt>
                <c:pt idx="11">
                  <c:v>6.3052013732803776</c:v>
                </c:pt>
                <c:pt idx="12">
                  <c:v>6.4477651156542306</c:v>
                </c:pt>
                <c:pt idx="13">
                  <c:v>6.7405960979039365</c:v>
                </c:pt>
                <c:pt idx="14">
                  <c:v>7.0381060369659156</c:v>
                </c:pt>
                <c:pt idx="15">
                  <c:v>7.2743910668244904</c:v>
                </c:pt>
                <c:pt idx="16">
                  <c:v>7.4657867893058469</c:v>
                </c:pt>
                <c:pt idx="17">
                  <c:v>7.2921515484700654</c:v>
                </c:pt>
                <c:pt idx="18">
                  <c:v>7.0989551393318022</c:v>
                </c:pt>
                <c:pt idx="19">
                  <c:v>7.30729015201306</c:v>
                </c:pt>
                <c:pt idx="20">
                  <c:v>7.5120114014767934</c:v>
                </c:pt>
                <c:pt idx="21">
                  <c:v>7.526607963954139</c:v>
                </c:pt>
                <c:pt idx="22">
                  <c:v>7.5335478785395242</c:v>
                </c:pt>
                <c:pt idx="23">
                  <c:v>7.5058604938505376</c:v>
                </c:pt>
                <c:pt idx="24">
                  <c:v>7.4690163000943945</c:v>
                </c:pt>
                <c:pt idx="25">
                  <c:v>7.6454501672499671</c:v>
                </c:pt>
                <c:pt idx="26">
                  <c:v>7.822424047961027</c:v>
                </c:pt>
                <c:pt idx="27">
                  <c:v>7.975397490137456</c:v>
                </c:pt>
                <c:pt idx="28">
                  <c:v>8.1307890613963156</c:v>
                </c:pt>
                <c:pt idx="29">
                  <c:v>8.1885218893576646</c:v>
                </c:pt>
                <c:pt idx="30">
                  <c:v>8.2429395789228224</c:v>
                </c:pt>
                <c:pt idx="31">
                  <c:v>8.2930039383479812</c:v>
                </c:pt>
                <c:pt idx="32">
                  <c:v>8.3458902048168007</c:v>
                </c:pt>
                <c:pt idx="33">
                  <c:v>8.3319758180318662</c:v>
                </c:pt>
              </c:numCache>
            </c:numRef>
          </c:val>
          <c:extLst>
            <c:ext xmlns:c16="http://schemas.microsoft.com/office/drawing/2014/chart" uri="{C3380CC4-5D6E-409C-BE32-E72D297353CC}">
              <c16:uniqueId val="{00000002-B566-4454-8D95-37B78A6CA510}"/>
            </c:ext>
          </c:extLst>
        </c:ser>
        <c:dLbls>
          <c:showLegendKey val="0"/>
          <c:showVal val="0"/>
          <c:showCatName val="0"/>
          <c:showSerName val="0"/>
          <c:showPercent val="0"/>
          <c:showBubbleSize val="0"/>
        </c:dLbls>
        <c:axId val="218543232"/>
        <c:axId val="218544768"/>
      </c:areaChart>
      <c:catAx>
        <c:axId val="218543232"/>
        <c:scaling>
          <c:orientation val="minMax"/>
        </c:scaling>
        <c:delete val="0"/>
        <c:axPos val="b"/>
        <c:numFmt formatCode="General" sourceLinked="1"/>
        <c:majorTickMark val="out"/>
        <c:minorTickMark val="none"/>
        <c:tickLblPos val="nextTo"/>
        <c:crossAx val="218544768"/>
        <c:crosses val="autoZero"/>
        <c:auto val="1"/>
        <c:lblAlgn val="ctr"/>
        <c:lblOffset val="100"/>
        <c:noMultiLvlLbl val="0"/>
      </c:catAx>
      <c:valAx>
        <c:axId val="218544768"/>
        <c:scaling>
          <c:orientation val="minMax"/>
        </c:scaling>
        <c:delete val="0"/>
        <c:axPos val="l"/>
        <c:majorGridlines/>
        <c:title>
          <c:tx>
            <c:rich>
              <a:bodyPr rot="-5400000" vert="horz"/>
              <a:lstStyle/>
              <a:p>
                <a:pPr>
                  <a:defRPr/>
                </a:pPr>
                <a:r>
                  <a:rPr lang="en-US"/>
                  <a:t>Billions of square feet</a:t>
                </a:r>
              </a:p>
            </c:rich>
          </c:tx>
          <c:overlay val="0"/>
        </c:title>
        <c:numFmt formatCode="#,##0" sourceLinked="1"/>
        <c:majorTickMark val="out"/>
        <c:minorTickMark val="none"/>
        <c:tickLblPos val="nextTo"/>
        <c:crossAx val="218543232"/>
        <c:crosses val="autoZero"/>
        <c:crossBetween val="midCat"/>
      </c:valAx>
    </c:plotArea>
    <c:legend>
      <c:legendPos val="r"/>
      <c:layout>
        <c:manualLayout>
          <c:xMode val="edge"/>
          <c:yMode val="edge"/>
          <c:x val="0.16636154855643046"/>
          <c:y val="7.3498104403616218E-2"/>
          <c:w val="0.19197178477690291"/>
          <c:h val="0.25115157480314959"/>
        </c:manualLayout>
      </c:layout>
      <c:overlay val="0"/>
      <c:spPr>
        <a:solidFill>
          <a:schemeClr val="bg1"/>
        </a:solidFill>
        <a:ln>
          <a:solidFill>
            <a:schemeClr val="tx1"/>
          </a:solidFill>
        </a:ln>
      </c:spPr>
    </c:legend>
    <c:plotVisOnly val="1"/>
    <c:dispBlanksAs val="zero"/>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628018372703412"/>
          <c:y val="4.6770924467774859E-2"/>
          <c:w val="0.74924890178201409"/>
          <c:h val="0.79523549139690874"/>
        </c:manualLayout>
      </c:layout>
      <c:lineChart>
        <c:grouping val="standard"/>
        <c:varyColors val="0"/>
        <c:ser>
          <c:idx val="0"/>
          <c:order val="0"/>
          <c:tx>
            <c:strRef>
              <c:f>Overall_graphics!$D$81</c:f>
              <c:strCache>
                <c:ptCount val="1"/>
                <c:pt idx="0">
                  <c:v>Single-family</c:v>
                </c:pt>
              </c:strCache>
            </c:strRef>
          </c:tx>
          <c:marker>
            <c:symbol val="diamond"/>
            <c:size val="5"/>
          </c:marker>
          <c:cat>
            <c:numRef>
              <c:f>Overall_graphics!$C$82:$C$115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Overall_graphics!$D$82:$D$115</c:f>
              <c:numCache>
                <c:formatCode>0.0%</c:formatCode>
                <c:ptCount val="34"/>
                <c:pt idx="0">
                  <c:v>0.81746021757426801</c:v>
                </c:pt>
                <c:pt idx="1">
                  <c:v>0.81514363917238675</c:v>
                </c:pt>
                <c:pt idx="2">
                  <c:v>0.81538567334174816</c:v>
                </c:pt>
                <c:pt idx="3">
                  <c:v>0.81380923111687509</c:v>
                </c:pt>
                <c:pt idx="4">
                  <c:v>0.81265693557778496</c:v>
                </c:pt>
                <c:pt idx="5">
                  <c:v>0.81259108822159554</c:v>
                </c:pt>
                <c:pt idx="6">
                  <c:v>0.81318280824854916</c:v>
                </c:pt>
                <c:pt idx="7">
                  <c:v>0.81479067609112887</c:v>
                </c:pt>
                <c:pt idx="8">
                  <c:v>0.81677016104077083</c:v>
                </c:pt>
                <c:pt idx="9">
                  <c:v>0.81842473364070611</c:v>
                </c:pt>
                <c:pt idx="10">
                  <c:v>0.81908319432166388</c:v>
                </c:pt>
                <c:pt idx="11">
                  <c:v>0.8192370044795797</c:v>
                </c:pt>
                <c:pt idx="12">
                  <c:v>0.81925357866806792</c:v>
                </c:pt>
                <c:pt idx="13">
                  <c:v>0.82140446872408801</c:v>
                </c:pt>
                <c:pt idx="14">
                  <c:v>0.82355379492266179</c:v>
                </c:pt>
                <c:pt idx="15">
                  <c:v>0.82390272245503704</c:v>
                </c:pt>
                <c:pt idx="16">
                  <c:v>0.82462864578429229</c:v>
                </c:pt>
                <c:pt idx="17">
                  <c:v>0.82578927961009063</c:v>
                </c:pt>
                <c:pt idx="18">
                  <c:v>0.8272809947934997</c:v>
                </c:pt>
                <c:pt idx="19">
                  <c:v>0.82871096365429597</c:v>
                </c:pt>
                <c:pt idx="20">
                  <c:v>0.83047611405483623</c:v>
                </c:pt>
                <c:pt idx="21">
                  <c:v>0.83156225118588756</c:v>
                </c:pt>
                <c:pt idx="22">
                  <c:v>0.83196351208435737</c:v>
                </c:pt>
                <c:pt idx="23">
                  <c:v>0.83363144986150794</c:v>
                </c:pt>
                <c:pt idx="24">
                  <c:v>0.83488260661087565</c:v>
                </c:pt>
                <c:pt idx="25">
                  <c:v>0.83337054980764347</c:v>
                </c:pt>
                <c:pt idx="26">
                  <c:v>0.83185295051056496</c:v>
                </c:pt>
                <c:pt idx="27">
                  <c:v>0.83171233079259754</c:v>
                </c:pt>
                <c:pt idx="28">
                  <c:v>0.83172158116697181</c:v>
                </c:pt>
                <c:pt idx="29">
                  <c:v>0.8326158980488112</c:v>
                </c:pt>
                <c:pt idx="30">
                  <c:v>0.83345221881732778</c:v>
                </c:pt>
                <c:pt idx="31">
                  <c:v>0.83496005551679231</c:v>
                </c:pt>
                <c:pt idx="32">
                  <c:v>0.83648782571790803</c:v>
                </c:pt>
                <c:pt idx="33">
                  <c:v>0.83769334545034635</c:v>
                </c:pt>
              </c:numCache>
            </c:numRef>
          </c:val>
          <c:smooth val="0"/>
          <c:extLst>
            <c:ext xmlns:c16="http://schemas.microsoft.com/office/drawing/2014/chart" uri="{C3380CC4-5D6E-409C-BE32-E72D297353CC}">
              <c16:uniqueId val="{00000000-2312-4B40-932A-82582A294B29}"/>
            </c:ext>
          </c:extLst>
        </c:ser>
        <c:ser>
          <c:idx val="1"/>
          <c:order val="1"/>
          <c:tx>
            <c:strRef>
              <c:f>Overall_graphics!$E$81</c:f>
              <c:strCache>
                <c:ptCount val="1"/>
                <c:pt idx="0">
                  <c:v>Multi-family</c:v>
                </c:pt>
              </c:strCache>
            </c:strRef>
          </c:tx>
          <c:marker>
            <c:symbol val="square"/>
            <c:size val="4"/>
          </c:marker>
          <c:cat>
            <c:numRef>
              <c:f>Overall_graphics!$C$82:$C$115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Overall_graphics!$E$82:$E$115</c:f>
              <c:numCache>
                <c:formatCode>0.0%</c:formatCode>
                <c:ptCount val="34"/>
                <c:pt idx="0">
                  <c:v>0.15059620399237306</c:v>
                </c:pt>
                <c:pt idx="1">
                  <c:v>0.15224063209627542</c:v>
                </c:pt>
                <c:pt idx="2">
                  <c:v>0.15192591868350991</c:v>
                </c:pt>
                <c:pt idx="3">
                  <c:v>0.15270136808065138</c:v>
                </c:pt>
                <c:pt idx="4">
                  <c:v>0.15309973365296811</c:v>
                </c:pt>
                <c:pt idx="5">
                  <c:v>0.15177793522933966</c:v>
                </c:pt>
                <c:pt idx="6">
                  <c:v>0.15010849280995414</c:v>
                </c:pt>
                <c:pt idx="7">
                  <c:v>0.14848388685806904</c:v>
                </c:pt>
                <c:pt idx="8">
                  <c:v>0.14638841458867602</c:v>
                </c:pt>
                <c:pt idx="9">
                  <c:v>0.14431339420966782</c:v>
                </c:pt>
                <c:pt idx="10">
                  <c:v>0.14306677692290773</c:v>
                </c:pt>
                <c:pt idx="11">
                  <c:v>0.14264160626705444</c:v>
                </c:pt>
                <c:pt idx="12">
                  <c:v>0.14235648594022379</c:v>
                </c:pt>
                <c:pt idx="13">
                  <c:v>0.13930135019273368</c:v>
                </c:pt>
                <c:pt idx="14">
                  <c:v>0.13634029238159878</c:v>
                </c:pt>
                <c:pt idx="15">
                  <c:v>0.13546728889213536</c:v>
                </c:pt>
                <c:pt idx="16">
                  <c:v>0.1344919383282133</c:v>
                </c:pt>
                <c:pt idx="17">
                  <c:v>0.13495221250636324</c:v>
                </c:pt>
                <c:pt idx="18">
                  <c:v>0.13514314504287114</c:v>
                </c:pt>
                <c:pt idx="19">
                  <c:v>0.13344709697612173</c:v>
                </c:pt>
                <c:pt idx="20">
                  <c:v>0.13151388489013138</c:v>
                </c:pt>
                <c:pt idx="21">
                  <c:v>0.13102970755480675</c:v>
                </c:pt>
                <c:pt idx="22">
                  <c:v>0.1310314881775366</c:v>
                </c:pt>
                <c:pt idx="23">
                  <c:v>0.12987818144099025</c:v>
                </c:pt>
                <c:pt idx="24">
                  <c:v>0.12903048076122225</c:v>
                </c:pt>
                <c:pt idx="25">
                  <c:v>0.13008004910536575</c:v>
                </c:pt>
                <c:pt idx="26">
                  <c:v>0.13114491262269626</c:v>
                </c:pt>
                <c:pt idx="27">
                  <c:v>0.13090848275665878</c:v>
                </c:pt>
                <c:pt idx="28">
                  <c:v>0.13056870684068031</c:v>
                </c:pt>
                <c:pt idx="29">
                  <c:v>0.1298991257863216</c:v>
                </c:pt>
                <c:pt idx="30">
                  <c:v>0.12931893546425735</c:v>
                </c:pt>
                <c:pt idx="31">
                  <c:v>0.12815493651130858</c:v>
                </c:pt>
                <c:pt idx="32">
                  <c:v>0.12697514595067003</c:v>
                </c:pt>
                <c:pt idx="33">
                  <c:v>0.12624956375115978</c:v>
                </c:pt>
              </c:numCache>
            </c:numRef>
          </c:val>
          <c:smooth val="0"/>
          <c:extLst>
            <c:ext xmlns:c16="http://schemas.microsoft.com/office/drawing/2014/chart" uri="{C3380CC4-5D6E-409C-BE32-E72D297353CC}">
              <c16:uniqueId val="{00000001-2312-4B40-932A-82582A294B29}"/>
            </c:ext>
          </c:extLst>
        </c:ser>
        <c:ser>
          <c:idx val="2"/>
          <c:order val="2"/>
          <c:tx>
            <c:strRef>
              <c:f>Overall_graphics!$F$81</c:f>
              <c:strCache>
                <c:ptCount val="1"/>
                <c:pt idx="0">
                  <c:v>Man. Home</c:v>
                </c:pt>
              </c:strCache>
            </c:strRef>
          </c:tx>
          <c:marker>
            <c:symbol val="triangle"/>
            <c:size val="5"/>
          </c:marker>
          <c:cat>
            <c:numRef>
              <c:f>Overall_graphics!$C$82:$C$115</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Overall_graphics!$F$82:$F$115</c:f>
              <c:numCache>
                <c:formatCode>0.0%</c:formatCode>
                <c:ptCount val="34"/>
                <c:pt idx="0">
                  <c:v>3.1943578433358988E-2</c:v>
                </c:pt>
                <c:pt idx="1">
                  <c:v>3.2615728731337792E-2</c:v>
                </c:pt>
                <c:pt idx="2">
                  <c:v>3.2688407974741797E-2</c:v>
                </c:pt>
                <c:pt idx="3">
                  <c:v>3.3489400802473542E-2</c:v>
                </c:pt>
                <c:pt idx="4">
                  <c:v>3.4243330769246919E-2</c:v>
                </c:pt>
                <c:pt idx="5">
                  <c:v>3.5630976549064934E-2</c:v>
                </c:pt>
                <c:pt idx="6">
                  <c:v>3.6708698941496615E-2</c:v>
                </c:pt>
                <c:pt idx="7">
                  <c:v>3.6725437050802098E-2</c:v>
                </c:pt>
                <c:pt idx="8">
                  <c:v>3.684142437055319E-2</c:v>
                </c:pt>
                <c:pt idx="9">
                  <c:v>3.7261872149626021E-2</c:v>
                </c:pt>
                <c:pt idx="10">
                  <c:v>3.7850028755428422E-2</c:v>
                </c:pt>
                <c:pt idx="11">
                  <c:v>3.8121389253365834E-2</c:v>
                </c:pt>
                <c:pt idx="12">
                  <c:v>3.8389935391708312E-2</c:v>
                </c:pt>
                <c:pt idx="13">
                  <c:v>3.9294181083178302E-2</c:v>
                </c:pt>
                <c:pt idx="14">
                  <c:v>4.0105912695739425E-2</c:v>
                </c:pt>
                <c:pt idx="15">
                  <c:v>4.0629988652827735E-2</c:v>
                </c:pt>
                <c:pt idx="16">
                  <c:v>4.0879415887494469E-2</c:v>
                </c:pt>
                <c:pt idx="17">
                  <c:v>3.9258507883546213E-2</c:v>
                </c:pt>
                <c:pt idx="18">
                  <c:v>3.7575860163629175E-2</c:v>
                </c:pt>
                <c:pt idx="19">
                  <c:v>3.7841939369582321E-2</c:v>
                </c:pt>
                <c:pt idx="20">
                  <c:v>3.8010001055032341E-2</c:v>
                </c:pt>
                <c:pt idx="21">
                  <c:v>3.7408041259305594E-2</c:v>
                </c:pt>
                <c:pt idx="22">
                  <c:v>3.7004999738105976E-2</c:v>
                </c:pt>
                <c:pt idx="23">
                  <c:v>3.6490368697501739E-2</c:v>
                </c:pt>
                <c:pt idx="24">
                  <c:v>3.6086912627902125E-2</c:v>
                </c:pt>
                <c:pt idx="25">
                  <c:v>3.6549401086990667E-2</c:v>
                </c:pt>
                <c:pt idx="26">
                  <c:v>3.7002136866738811E-2</c:v>
                </c:pt>
                <c:pt idx="27">
                  <c:v>3.7379186450743611E-2</c:v>
                </c:pt>
                <c:pt idx="28">
                  <c:v>3.7709711992347926E-2</c:v>
                </c:pt>
                <c:pt idx="29">
                  <c:v>3.7484976164867179E-2</c:v>
                </c:pt>
                <c:pt idx="30">
                  <c:v>3.7228845718414845E-2</c:v>
                </c:pt>
                <c:pt idx="31">
                  <c:v>3.6885007971899059E-2</c:v>
                </c:pt>
                <c:pt idx="32">
                  <c:v>3.6537028331421896E-2</c:v>
                </c:pt>
                <c:pt idx="33">
                  <c:v>3.6057090798493771E-2</c:v>
                </c:pt>
              </c:numCache>
            </c:numRef>
          </c:val>
          <c:smooth val="0"/>
          <c:extLst>
            <c:ext xmlns:c16="http://schemas.microsoft.com/office/drawing/2014/chart" uri="{C3380CC4-5D6E-409C-BE32-E72D297353CC}">
              <c16:uniqueId val="{00000002-2312-4B40-932A-82582A294B29}"/>
            </c:ext>
          </c:extLst>
        </c:ser>
        <c:dLbls>
          <c:showLegendKey val="0"/>
          <c:showVal val="0"/>
          <c:showCatName val="0"/>
          <c:showSerName val="0"/>
          <c:showPercent val="0"/>
          <c:showBubbleSize val="0"/>
        </c:dLbls>
        <c:marker val="1"/>
        <c:smooth val="0"/>
        <c:axId val="218993024"/>
        <c:axId val="218994560"/>
      </c:lineChart>
      <c:catAx>
        <c:axId val="218993024"/>
        <c:scaling>
          <c:orientation val="minMax"/>
        </c:scaling>
        <c:delete val="0"/>
        <c:axPos val="b"/>
        <c:numFmt formatCode="General" sourceLinked="1"/>
        <c:majorTickMark val="out"/>
        <c:minorTickMark val="none"/>
        <c:tickLblPos val="nextTo"/>
        <c:txPr>
          <a:bodyPr/>
          <a:lstStyle/>
          <a:p>
            <a:pPr>
              <a:defRPr sz="900" baseline="0"/>
            </a:pPr>
            <a:endParaRPr lang="en-US"/>
          </a:p>
        </c:txPr>
        <c:crossAx val="218994560"/>
        <c:crosses val="autoZero"/>
        <c:auto val="1"/>
        <c:lblAlgn val="ctr"/>
        <c:lblOffset val="100"/>
        <c:noMultiLvlLbl val="0"/>
      </c:catAx>
      <c:valAx>
        <c:axId val="218994560"/>
        <c:scaling>
          <c:orientation val="minMax"/>
        </c:scaling>
        <c:delete val="0"/>
        <c:axPos val="l"/>
        <c:majorGridlines/>
        <c:title>
          <c:tx>
            <c:rich>
              <a:bodyPr rot="-5400000" vert="horz"/>
              <a:lstStyle/>
              <a:p>
                <a:pPr>
                  <a:defRPr/>
                </a:pPr>
                <a:r>
                  <a:rPr lang="en-US"/>
                  <a:t>Percentage of total floor space</a:t>
                </a:r>
              </a:p>
            </c:rich>
          </c:tx>
          <c:layout>
            <c:manualLayout>
              <c:xMode val="edge"/>
              <c:yMode val="edge"/>
              <c:x val="4.9554910899295486E-2"/>
              <c:y val="0.14142427281845538"/>
            </c:manualLayout>
          </c:layout>
          <c:overlay val="0"/>
        </c:title>
        <c:numFmt formatCode="0%" sourceLinked="0"/>
        <c:majorTickMark val="out"/>
        <c:minorTickMark val="none"/>
        <c:tickLblPos val="nextTo"/>
        <c:crossAx val="218993024"/>
        <c:crosses val="autoZero"/>
        <c:crossBetween val="midCat"/>
      </c:valAx>
    </c:plotArea>
    <c:legend>
      <c:legendPos val="r"/>
      <c:layout>
        <c:manualLayout>
          <c:xMode val="edge"/>
          <c:yMode val="edge"/>
          <c:x val="0.63783903854123503"/>
          <c:y val="0.24120578568801984"/>
          <c:w val="0.23052731040198923"/>
          <c:h val="0.24644511279916784"/>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877473193312543"/>
          <c:y val="5.1400488672918167E-2"/>
          <c:w val="0.7197683727034121"/>
          <c:h val="0.80592847769028875"/>
        </c:manualLayout>
      </c:layout>
      <c:lineChart>
        <c:grouping val="standard"/>
        <c:varyColors val="0"/>
        <c:ser>
          <c:idx val="0"/>
          <c:order val="0"/>
          <c:tx>
            <c:strRef>
              <c:f>Overall_graphics!$D$157</c:f>
              <c:strCache>
                <c:ptCount val="1"/>
                <c:pt idx="0">
                  <c:v>South</c:v>
                </c:pt>
              </c:strCache>
            </c:strRef>
          </c:tx>
          <c:marker>
            <c:symbol val="diamond"/>
            <c:size val="5"/>
          </c:marker>
          <c:cat>
            <c:numRef>
              <c:f>Overall_graphics!$C$158:$C$191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Overall_graphics!$D$158:$D$191</c:f>
              <c:numCache>
                <c:formatCode>0.0%</c:formatCode>
                <c:ptCount val="34"/>
                <c:pt idx="0">
                  <c:v>0.3294499654793106</c:v>
                </c:pt>
                <c:pt idx="1">
                  <c:v>0.33254328602610911</c:v>
                </c:pt>
                <c:pt idx="2">
                  <c:v>0.33569283172204079</c:v>
                </c:pt>
                <c:pt idx="3">
                  <c:v>0.33738140922227083</c:v>
                </c:pt>
                <c:pt idx="4">
                  <c:v>0.33910672530599822</c:v>
                </c:pt>
                <c:pt idx="5">
                  <c:v>0.33842603008012345</c:v>
                </c:pt>
                <c:pt idx="6">
                  <c:v>0.33769270324855427</c:v>
                </c:pt>
                <c:pt idx="7">
                  <c:v>0.34086698392367071</c:v>
                </c:pt>
                <c:pt idx="8">
                  <c:v>0.34409165439606976</c:v>
                </c:pt>
                <c:pt idx="9">
                  <c:v>0.34423959316894792</c:v>
                </c:pt>
                <c:pt idx="10">
                  <c:v>0.34435667924594215</c:v>
                </c:pt>
                <c:pt idx="11">
                  <c:v>0.34497614539333016</c:v>
                </c:pt>
                <c:pt idx="12">
                  <c:v>0.34559217328509617</c:v>
                </c:pt>
                <c:pt idx="13">
                  <c:v>0.34663443244898107</c:v>
                </c:pt>
                <c:pt idx="14">
                  <c:v>0.34761327694399807</c:v>
                </c:pt>
                <c:pt idx="15">
                  <c:v>0.3504552702081567</c:v>
                </c:pt>
                <c:pt idx="16">
                  <c:v>0.35324914469608815</c:v>
                </c:pt>
                <c:pt idx="17">
                  <c:v>0.35476999078267363</c:v>
                </c:pt>
                <c:pt idx="18">
                  <c:v>0.35629121045066098</c:v>
                </c:pt>
                <c:pt idx="19">
                  <c:v>0.35951551002634768</c:v>
                </c:pt>
                <c:pt idx="20">
                  <c:v>0.36273757893864778</c:v>
                </c:pt>
                <c:pt idx="21">
                  <c:v>0.36562491566901267</c:v>
                </c:pt>
                <c:pt idx="22">
                  <c:v>0.36852151508980618</c:v>
                </c:pt>
                <c:pt idx="23">
                  <c:v>0.37074848704547653</c:v>
                </c:pt>
                <c:pt idx="24">
                  <c:v>0.37299017143165558</c:v>
                </c:pt>
                <c:pt idx="25">
                  <c:v>0.37440445476712825</c:v>
                </c:pt>
                <c:pt idx="26">
                  <c:v>0.37576619641158077</c:v>
                </c:pt>
                <c:pt idx="27">
                  <c:v>0.37581643089345595</c:v>
                </c:pt>
                <c:pt idx="28">
                  <c:v>0.37585707706928695</c:v>
                </c:pt>
                <c:pt idx="29">
                  <c:v>0.37602724633022544</c:v>
                </c:pt>
                <c:pt idx="30">
                  <c:v>0.37602585264137461</c:v>
                </c:pt>
                <c:pt idx="31">
                  <c:v>0.37733750816874606</c:v>
                </c:pt>
                <c:pt idx="32">
                  <c:v>0.3786068081816103</c:v>
                </c:pt>
                <c:pt idx="33">
                  <c:v>0.37857771195591744</c:v>
                </c:pt>
              </c:numCache>
            </c:numRef>
          </c:val>
          <c:smooth val="0"/>
          <c:extLst>
            <c:ext xmlns:c16="http://schemas.microsoft.com/office/drawing/2014/chart" uri="{C3380CC4-5D6E-409C-BE32-E72D297353CC}">
              <c16:uniqueId val="{00000000-FB82-44FB-9A2C-D88BB0E148A2}"/>
            </c:ext>
          </c:extLst>
        </c:ser>
        <c:ser>
          <c:idx val="1"/>
          <c:order val="1"/>
          <c:tx>
            <c:strRef>
              <c:f>Overall_graphics!$E$157</c:f>
              <c:strCache>
                <c:ptCount val="1"/>
                <c:pt idx="0">
                  <c:v>Midwest</c:v>
                </c:pt>
              </c:strCache>
            </c:strRef>
          </c:tx>
          <c:marker>
            <c:symbol val="square"/>
            <c:size val="5"/>
          </c:marker>
          <c:cat>
            <c:numRef>
              <c:f>Overall_graphics!$C$158:$C$191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Overall_graphics!$E$158:$E$191</c:f>
              <c:numCache>
                <c:formatCode>0.0%</c:formatCode>
                <c:ptCount val="34"/>
                <c:pt idx="0">
                  <c:v>0.2601961048266429</c:v>
                </c:pt>
                <c:pt idx="1">
                  <c:v>0.25661834164983904</c:v>
                </c:pt>
                <c:pt idx="2">
                  <c:v>0.25315232713201602</c:v>
                </c:pt>
                <c:pt idx="3">
                  <c:v>0.25285287421524255</c:v>
                </c:pt>
                <c:pt idx="4">
                  <c:v>0.25258088847059368</c:v>
                </c:pt>
                <c:pt idx="5">
                  <c:v>0.25103922053917554</c:v>
                </c:pt>
                <c:pt idx="6">
                  <c:v>0.24952451668251022</c:v>
                </c:pt>
                <c:pt idx="7">
                  <c:v>0.24980058134684752</c:v>
                </c:pt>
                <c:pt idx="8">
                  <c:v>0.25008056145580548</c:v>
                </c:pt>
                <c:pt idx="9">
                  <c:v>0.25236941414945541</c:v>
                </c:pt>
                <c:pt idx="10">
                  <c:v>0.25462686312291238</c:v>
                </c:pt>
                <c:pt idx="11">
                  <c:v>0.25260631766155489</c:v>
                </c:pt>
                <c:pt idx="12">
                  <c:v>0.25058111696280794</c:v>
                </c:pt>
                <c:pt idx="13">
                  <c:v>0.24855660367214835</c:v>
                </c:pt>
                <c:pt idx="14">
                  <c:v>0.2465438315657891</c:v>
                </c:pt>
                <c:pt idx="15">
                  <c:v>0.24390636957662765</c:v>
                </c:pt>
                <c:pt idx="16">
                  <c:v>0.24129879251087039</c:v>
                </c:pt>
                <c:pt idx="17">
                  <c:v>0.24054230273904126</c:v>
                </c:pt>
                <c:pt idx="18">
                  <c:v>0.23979580347562462</c:v>
                </c:pt>
                <c:pt idx="19">
                  <c:v>0.23846276313406303</c:v>
                </c:pt>
                <c:pt idx="20">
                  <c:v>0.2371469249076833</c:v>
                </c:pt>
                <c:pt idx="21">
                  <c:v>0.23519542444386554</c:v>
                </c:pt>
                <c:pt idx="22">
                  <c:v>0.23320012674912538</c:v>
                </c:pt>
                <c:pt idx="23">
                  <c:v>0.23209851369125184</c:v>
                </c:pt>
                <c:pt idx="24">
                  <c:v>0.2309794400852187</c:v>
                </c:pt>
                <c:pt idx="25">
                  <c:v>0.22942253286404471</c:v>
                </c:pt>
                <c:pt idx="26">
                  <c:v>0.22795010430697357</c:v>
                </c:pt>
                <c:pt idx="27">
                  <c:v>0.22798376875998283</c:v>
                </c:pt>
                <c:pt idx="28">
                  <c:v>0.22805271188615858</c:v>
                </c:pt>
                <c:pt idx="29">
                  <c:v>0.22774647514894644</c:v>
                </c:pt>
                <c:pt idx="30">
                  <c:v>0.22747470543031584</c:v>
                </c:pt>
                <c:pt idx="31">
                  <c:v>0.22769654925696925</c:v>
                </c:pt>
                <c:pt idx="32">
                  <c:v>0.2279390031788211</c:v>
                </c:pt>
                <c:pt idx="33">
                  <c:v>0.22801513747718657</c:v>
                </c:pt>
              </c:numCache>
            </c:numRef>
          </c:val>
          <c:smooth val="0"/>
          <c:extLst>
            <c:ext xmlns:c16="http://schemas.microsoft.com/office/drawing/2014/chart" uri="{C3380CC4-5D6E-409C-BE32-E72D297353CC}">
              <c16:uniqueId val="{00000001-FB82-44FB-9A2C-D88BB0E148A2}"/>
            </c:ext>
          </c:extLst>
        </c:ser>
        <c:ser>
          <c:idx val="2"/>
          <c:order val="2"/>
          <c:tx>
            <c:strRef>
              <c:f>Overall_graphics!$F$157</c:f>
              <c:strCache>
                <c:ptCount val="1"/>
                <c:pt idx="0">
                  <c:v>Northeast</c:v>
                </c:pt>
              </c:strCache>
            </c:strRef>
          </c:tx>
          <c:marker>
            <c:symbol val="triangle"/>
            <c:size val="5"/>
          </c:marker>
          <c:cat>
            <c:numRef>
              <c:f>Overall_graphics!$C$158:$C$191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Overall_graphics!$F$158:$F$191</c:f>
              <c:numCache>
                <c:formatCode>0.0%</c:formatCode>
                <c:ptCount val="34"/>
                <c:pt idx="0">
                  <c:v>0.22922602997727198</c:v>
                </c:pt>
                <c:pt idx="1">
                  <c:v>0.22762932528476354</c:v>
                </c:pt>
                <c:pt idx="2">
                  <c:v>0.22591572386401729</c:v>
                </c:pt>
                <c:pt idx="3">
                  <c:v>0.22502903622019588</c:v>
                </c:pt>
                <c:pt idx="4">
                  <c:v>0.22409347397045978</c:v>
                </c:pt>
                <c:pt idx="5">
                  <c:v>0.22251008117199109</c:v>
                </c:pt>
                <c:pt idx="6">
                  <c:v>0.22094810058816608</c:v>
                </c:pt>
                <c:pt idx="7">
                  <c:v>0.21766849548276582</c:v>
                </c:pt>
                <c:pt idx="8">
                  <c:v>0.21433865365493826</c:v>
                </c:pt>
                <c:pt idx="9">
                  <c:v>0.21191098227568267</c:v>
                </c:pt>
                <c:pt idx="10">
                  <c:v>0.20954908015468127</c:v>
                </c:pt>
                <c:pt idx="11">
                  <c:v>0.20971048324973871</c:v>
                </c:pt>
                <c:pt idx="12">
                  <c:v>0.20988046100972618</c:v>
                </c:pt>
                <c:pt idx="13">
                  <c:v>0.20945118783645472</c:v>
                </c:pt>
                <c:pt idx="14">
                  <c:v>0.20905133011097521</c:v>
                </c:pt>
                <c:pt idx="15">
                  <c:v>0.20749811148501035</c:v>
                </c:pt>
                <c:pt idx="16">
                  <c:v>0.20596890932306922</c:v>
                </c:pt>
                <c:pt idx="17">
                  <c:v>0.20416592721047738</c:v>
                </c:pt>
                <c:pt idx="18">
                  <c:v>0.20236445245328627</c:v>
                </c:pt>
                <c:pt idx="19">
                  <c:v>0.19983684059882892</c:v>
                </c:pt>
                <c:pt idx="20">
                  <c:v>0.19729989823663252</c:v>
                </c:pt>
                <c:pt idx="21">
                  <c:v>0.19498753232431487</c:v>
                </c:pt>
                <c:pt idx="22">
                  <c:v>0.19270765210892971</c:v>
                </c:pt>
                <c:pt idx="23">
                  <c:v>0.19185261889218369</c:v>
                </c:pt>
                <c:pt idx="24">
                  <c:v>0.19101211115930175</c:v>
                </c:pt>
                <c:pt idx="25">
                  <c:v>0.18902141550567117</c:v>
                </c:pt>
                <c:pt idx="26">
                  <c:v>0.18702232299791061</c:v>
                </c:pt>
                <c:pt idx="27">
                  <c:v>0.18656134295188223</c:v>
                </c:pt>
                <c:pt idx="28">
                  <c:v>0.18608018675952501</c:v>
                </c:pt>
                <c:pt idx="29">
                  <c:v>0.18505163810689787</c:v>
                </c:pt>
                <c:pt idx="30">
                  <c:v>0.18424843824428916</c:v>
                </c:pt>
                <c:pt idx="31">
                  <c:v>0.18294980533883345</c:v>
                </c:pt>
                <c:pt idx="32">
                  <c:v>0.18170199212768126</c:v>
                </c:pt>
                <c:pt idx="33">
                  <c:v>0.18165683935583282</c:v>
                </c:pt>
              </c:numCache>
            </c:numRef>
          </c:val>
          <c:smooth val="0"/>
          <c:extLst>
            <c:ext xmlns:c16="http://schemas.microsoft.com/office/drawing/2014/chart" uri="{C3380CC4-5D6E-409C-BE32-E72D297353CC}">
              <c16:uniqueId val="{00000002-FB82-44FB-9A2C-D88BB0E148A2}"/>
            </c:ext>
          </c:extLst>
        </c:ser>
        <c:ser>
          <c:idx val="3"/>
          <c:order val="3"/>
          <c:tx>
            <c:strRef>
              <c:f>Overall_graphics!$G$157</c:f>
              <c:strCache>
                <c:ptCount val="1"/>
                <c:pt idx="0">
                  <c:v>West</c:v>
                </c:pt>
              </c:strCache>
            </c:strRef>
          </c:tx>
          <c:marker>
            <c:symbol val="circle"/>
            <c:size val="5"/>
          </c:marker>
          <c:cat>
            <c:numRef>
              <c:f>Overall_graphics!$C$158:$C$191</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Overall_graphics!$G$158:$G$191</c:f>
              <c:numCache>
                <c:formatCode>0.0%</c:formatCode>
                <c:ptCount val="34"/>
                <c:pt idx="0">
                  <c:v>0.18112789971677445</c:v>
                </c:pt>
                <c:pt idx="1">
                  <c:v>0.18320904703928825</c:v>
                </c:pt>
                <c:pt idx="2">
                  <c:v>0.18523911728192588</c:v>
                </c:pt>
                <c:pt idx="3">
                  <c:v>0.18473668034229088</c:v>
                </c:pt>
                <c:pt idx="4">
                  <c:v>0.18421891225294837</c:v>
                </c:pt>
                <c:pt idx="5">
                  <c:v>0.18802466820870989</c:v>
                </c:pt>
                <c:pt idx="6">
                  <c:v>0.19183467948076938</c:v>
                </c:pt>
                <c:pt idx="7">
                  <c:v>0.19166393924671601</c:v>
                </c:pt>
                <c:pt idx="8">
                  <c:v>0.1914891304931865</c:v>
                </c:pt>
                <c:pt idx="9">
                  <c:v>0.19148001040591403</c:v>
                </c:pt>
                <c:pt idx="10">
                  <c:v>0.1914673774764642</c:v>
                </c:pt>
                <c:pt idx="11">
                  <c:v>0.19270705369537622</c:v>
                </c:pt>
                <c:pt idx="12">
                  <c:v>0.19394624874236965</c:v>
                </c:pt>
                <c:pt idx="13">
                  <c:v>0.19535777604241589</c:v>
                </c:pt>
                <c:pt idx="14">
                  <c:v>0.19679156137923753</c:v>
                </c:pt>
                <c:pt idx="15">
                  <c:v>0.19814024873020528</c:v>
                </c:pt>
                <c:pt idx="16">
                  <c:v>0.19948315346997225</c:v>
                </c:pt>
                <c:pt idx="17">
                  <c:v>0.20052177926780759</c:v>
                </c:pt>
                <c:pt idx="18">
                  <c:v>0.20154853362042816</c:v>
                </c:pt>
                <c:pt idx="19">
                  <c:v>0.20218488624076048</c:v>
                </c:pt>
                <c:pt idx="20">
                  <c:v>0.20281559791703641</c:v>
                </c:pt>
                <c:pt idx="21">
                  <c:v>0.20419212756280691</c:v>
                </c:pt>
                <c:pt idx="22">
                  <c:v>0.20557070605213879</c:v>
                </c:pt>
                <c:pt idx="23">
                  <c:v>0.20530038037108791</c:v>
                </c:pt>
                <c:pt idx="24">
                  <c:v>0.20501827732382394</c:v>
                </c:pt>
                <c:pt idx="25">
                  <c:v>0.20715159686315585</c:v>
                </c:pt>
                <c:pt idx="26">
                  <c:v>0.20926137628353492</c:v>
                </c:pt>
                <c:pt idx="27">
                  <c:v>0.20963845739467912</c:v>
                </c:pt>
                <c:pt idx="28">
                  <c:v>0.21001002428502949</c:v>
                </c:pt>
                <c:pt idx="29">
                  <c:v>0.21117464041393022</c:v>
                </c:pt>
                <c:pt idx="30">
                  <c:v>0.21225100368402036</c:v>
                </c:pt>
                <c:pt idx="31">
                  <c:v>0.21201613723545129</c:v>
                </c:pt>
                <c:pt idx="32">
                  <c:v>0.21175219651188731</c:v>
                </c:pt>
                <c:pt idx="33">
                  <c:v>0.21175031121106319</c:v>
                </c:pt>
              </c:numCache>
            </c:numRef>
          </c:val>
          <c:smooth val="0"/>
          <c:extLst>
            <c:ext xmlns:c16="http://schemas.microsoft.com/office/drawing/2014/chart" uri="{C3380CC4-5D6E-409C-BE32-E72D297353CC}">
              <c16:uniqueId val="{00000003-FB82-44FB-9A2C-D88BB0E148A2}"/>
            </c:ext>
          </c:extLst>
        </c:ser>
        <c:dLbls>
          <c:showLegendKey val="0"/>
          <c:showVal val="0"/>
          <c:showCatName val="0"/>
          <c:showSerName val="0"/>
          <c:showPercent val="0"/>
          <c:showBubbleSize val="0"/>
        </c:dLbls>
        <c:marker val="1"/>
        <c:smooth val="0"/>
        <c:axId val="218722688"/>
        <c:axId val="218724224"/>
      </c:lineChart>
      <c:catAx>
        <c:axId val="218722688"/>
        <c:scaling>
          <c:orientation val="minMax"/>
        </c:scaling>
        <c:delete val="0"/>
        <c:axPos val="b"/>
        <c:numFmt formatCode="General" sourceLinked="1"/>
        <c:majorTickMark val="out"/>
        <c:minorTickMark val="none"/>
        <c:tickLblPos val="nextTo"/>
        <c:txPr>
          <a:bodyPr/>
          <a:lstStyle/>
          <a:p>
            <a:pPr>
              <a:defRPr sz="900" baseline="0"/>
            </a:pPr>
            <a:endParaRPr lang="en-US"/>
          </a:p>
        </c:txPr>
        <c:crossAx val="218724224"/>
        <c:crosses val="autoZero"/>
        <c:auto val="1"/>
        <c:lblAlgn val="ctr"/>
        <c:lblOffset val="100"/>
        <c:noMultiLvlLbl val="0"/>
      </c:catAx>
      <c:valAx>
        <c:axId val="218724224"/>
        <c:scaling>
          <c:orientation val="minMax"/>
        </c:scaling>
        <c:delete val="0"/>
        <c:axPos val="l"/>
        <c:majorGridlines/>
        <c:title>
          <c:tx>
            <c:rich>
              <a:bodyPr rot="-5400000" vert="horz"/>
              <a:lstStyle/>
              <a:p>
                <a:pPr>
                  <a:defRPr/>
                </a:pPr>
                <a:r>
                  <a:rPr lang="en-US"/>
                  <a:t>Percentage of total floor space</a:t>
                </a:r>
              </a:p>
            </c:rich>
          </c:tx>
          <c:layout>
            <c:manualLayout>
              <c:xMode val="edge"/>
              <c:yMode val="edge"/>
              <c:x val="3.9133456239195487E-2"/>
              <c:y val="0.14329962675789146"/>
            </c:manualLayout>
          </c:layout>
          <c:overlay val="0"/>
        </c:title>
        <c:numFmt formatCode="0%" sourceLinked="0"/>
        <c:majorTickMark val="out"/>
        <c:minorTickMark val="none"/>
        <c:tickLblPos val="nextTo"/>
        <c:crossAx val="218722688"/>
        <c:crosses val="autoZero"/>
        <c:crossBetween val="midCat"/>
      </c:valAx>
    </c:plotArea>
    <c:legend>
      <c:legendPos val="r"/>
      <c:layout>
        <c:manualLayout>
          <c:xMode val="edge"/>
          <c:yMode val="edge"/>
          <c:x val="0.24487445319335083"/>
          <c:y val="0.58719524642752985"/>
          <c:w val="0.30234776902887139"/>
          <c:h val="0.22838728492271798"/>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Regional_stock_by_type!$E$4</c:f>
              <c:strCache>
                <c:ptCount val="1"/>
                <c:pt idx="0">
                  <c:v>Northeast</c:v>
                </c:pt>
              </c:strCache>
            </c:strRef>
          </c:tx>
          <c:cat>
            <c:numRef>
              <c:f>Regional_stock_by_type!$D$5:$D$38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Regional_stock_by_type!$E$5:$E$38</c:f>
              <c:numCache>
                <c:formatCode>#,##0</c:formatCode>
                <c:ptCount val="34"/>
                <c:pt idx="0">
                  <c:v>10661.946838373824</c:v>
                </c:pt>
                <c:pt idx="1">
                  <c:v>10765.150022483866</c:v>
                </c:pt>
                <c:pt idx="2">
                  <c:v>10869.675808334023</c:v>
                </c:pt>
                <c:pt idx="3">
                  <c:v>11075.257528735498</c:v>
                </c:pt>
                <c:pt idx="4">
                  <c:v>11274.278554757284</c:v>
                </c:pt>
                <c:pt idx="5">
                  <c:v>11323.682417035505</c:v>
                </c:pt>
                <c:pt idx="6">
                  <c:v>11356.287754787172</c:v>
                </c:pt>
                <c:pt idx="7">
                  <c:v>11428.553626159308</c:v>
                </c:pt>
                <c:pt idx="8">
                  <c:v>11512.545365176451</c:v>
                </c:pt>
                <c:pt idx="9">
                  <c:v>11562.432278319018</c:v>
                </c:pt>
                <c:pt idx="10">
                  <c:v>11610.539400629194</c:v>
                </c:pt>
                <c:pt idx="11">
                  <c:v>11790.626557823442</c:v>
                </c:pt>
                <c:pt idx="12">
                  <c:v>11974.026987158602</c:v>
                </c:pt>
                <c:pt idx="13">
                  <c:v>12233.293258748883</c:v>
                </c:pt>
                <c:pt idx="14">
                  <c:v>12506.823037756811</c:v>
                </c:pt>
                <c:pt idx="15">
                  <c:v>12647.682758919735</c:v>
                </c:pt>
                <c:pt idx="16">
                  <c:v>12786.042100626948</c:v>
                </c:pt>
                <c:pt idx="17">
                  <c:v>12839.174344722856</c:v>
                </c:pt>
                <c:pt idx="18">
                  <c:v>12898.395673473922</c:v>
                </c:pt>
                <c:pt idx="19">
                  <c:v>12928.641250419496</c:v>
                </c:pt>
                <c:pt idx="20">
                  <c:v>12971.196476644878</c:v>
                </c:pt>
                <c:pt idx="21">
                  <c:v>13021.749637110312</c:v>
                </c:pt>
                <c:pt idx="22">
                  <c:v>13038.223289521238</c:v>
                </c:pt>
                <c:pt idx="23">
                  <c:v>13176.872533616734</c:v>
                </c:pt>
                <c:pt idx="24">
                  <c:v>13267.957495898203</c:v>
                </c:pt>
                <c:pt idx="25">
                  <c:v>13268.366090606991</c:v>
                </c:pt>
                <c:pt idx="26">
                  <c:v>13262.746037956804</c:v>
                </c:pt>
                <c:pt idx="27">
                  <c:v>13403.29839551334</c:v>
                </c:pt>
                <c:pt idx="28">
                  <c:v>13552.896685952008</c:v>
                </c:pt>
                <c:pt idx="29">
                  <c:v>13601.338168709615</c:v>
                </c:pt>
                <c:pt idx="30">
                  <c:v>13654.210899253439</c:v>
                </c:pt>
                <c:pt idx="31">
                  <c:v>13726.103784523679</c:v>
                </c:pt>
                <c:pt idx="32">
                  <c:v>13806.74167477463</c:v>
                </c:pt>
                <c:pt idx="33">
                  <c:v>13912.342021603421</c:v>
                </c:pt>
              </c:numCache>
            </c:numRef>
          </c:val>
          <c:smooth val="0"/>
          <c:extLst>
            <c:ext xmlns:c16="http://schemas.microsoft.com/office/drawing/2014/chart" uri="{C3380CC4-5D6E-409C-BE32-E72D297353CC}">
              <c16:uniqueId val="{00000000-B41D-418E-A020-DACD6CD5D437}"/>
            </c:ext>
          </c:extLst>
        </c:ser>
        <c:ser>
          <c:idx val="1"/>
          <c:order val="1"/>
          <c:tx>
            <c:strRef>
              <c:f>Regional_stock_by_type!$F$4</c:f>
              <c:strCache>
                <c:ptCount val="1"/>
                <c:pt idx="0">
                  <c:v>Midwest</c:v>
                </c:pt>
              </c:strCache>
            </c:strRef>
          </c:tx>
          <c:marker>
            <c:symbol val="square"/>
            <c:size val="5"/>
          </c:marker>
          <c:cat>
            <c:numRef>
              <c:f>Regional_stock_by_type!$D$5:$D$38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Regional_stock_by_type!$F$5:$F$38</c:f>
              <c:numCache>
                <c:formatCode>#,##0</c:formatCode>
                <c:ptCount val="34"/>
                <c:pt idx="0">
                  <c:v>15571.196605823206</c:v>
                </c:pt>
                <c:pt idx="1">
                  <c:v>15662.459601981938</c:v>
                </c:pt>
                <c:pt idx="2">
                  <c:v>15753.527543237458</c:v>
                </c:pt>
                <c:pt idx="3">
                  <c:v>15959.481604125898</c:v>
                </c:pt>
                <c:pt idx="4">
                  <c:v>16153.305616541074</c:v>
                </c:pt>
                <c:pt idx="5">
                  <c:v>16115.33439296062</c:v>
                </c:pt>
                <c:pt idx="6">
                  <c:v>16052.005582430296</c:v>
                </c:pt>
                <c:pt idx="7">
                  <c:v>16370.458386455215</c:v>
                </c:pt>
                <c:pt idx="8">
                  <c:v>16714.017218843761</c:v>
                </c:pt>
                <c:pt idx="9">
                  <c:v>17201.523596345658</c:v>
                </c:pt>
                <c:pt idx="10">
                  <c:v>17699.389918736448</c:v>
                </c:pt>
                <c:pt idx="11">
                  <c:v>17698.708254350502</c:v>
                </c:pt>
                <c:pt idx="12">
                  <c:v>17698.406515525097</c:v>
                </c:pt>
                <c:pt idx="13">
                  <c:v>17851.36998822631</c:v>
                </c:pt>
                <c:pt idx="14">
                  <c:v>18017.557041831653</c:v>
                </c:pt>
                <c:pt idx="15">
                  <c:v>18068.187408970996</c:v>
                </c:pt>
                <c:pt idx="16">
                  <c:v>18111.331174203544</c:v>
                </c:pt>
                <c:pt idx="17">
                  <c:v>18285.026441394628</c:v>
                </c:pt>
                <c:pt idx="18">
                  <c:v>18469.422882614355</c:v>
                </c:pt>
                <c:pt idx="19">
                  <c:v>18670.879745359354</c:v>
                </c:pt>
                <c:pt idx="20">
                  <c:v>18894.909268777141</c:v>
                </c:pt>
                <c:pt idx="21">
                  <c:v>18913.135888832599</c:v>
                </c:pt>
                <c:pt idx="22">
                  <c:v>18880.903573506337</c:v>
                </c:pt>
                <c:pt idx="23">
                  <c:v>18994.644561948757</c:v>
                </c:pt>
                <c:pt idx="24">
                  <c:v>19038.577958580951</c:v>
                </c:pt>
                <c:pt idx="25">
                  <c:v>19071.417953813114</c:v>
                </c:pt>
                <c:pt idx="26">
                  <c:v>19096.058543430641</c:v>
                </c:pt>
                <c:pt idx="27">
                  <c:v>19224.730619573424</c:v>
                </c:pt>
                <c:pt idx="28">
                  <c:v>19365.497463267569</c:v>
                </c:pt>
                <c:pt idx="29">
                  <c:v>19526.654973644352</c:v>
                </c:pt>
                <c:pt idx="30">
                  <c:v>19695.845207911709</c:v>
                </c:pt>
                <c:pt idx="31">
                  <c:v>19990.696532212085</c:v>
                </c:pt>
                <c:pt idx="32">
                  <c:v>20302.802772139959</c:v>
                </c:pt>
                <c:pt idx="33">
                  <c:v>20458.087999084681</c:v>
                </c:pt>
              </c:numCache>
            </c:numRef>
          </c:val>
          <c:smooth val="0"/>
          <c:extLst>
            <c:ext xmlns:c16="http://schemas.microsoft.com/office/drawing/2014/chart" uri="{C3380CC4-5D6E-409C-BE32-E72D297353CC}">
              <c16:uniqueId val="{00000001-B41D-418E-A020-DACD6CD5D437}"/>
            </c:ext>
          </c:extLst>
        </c:ser>
        <c:ser>
          <c:idx val="2"/>
          <c:order val="2"/>
          <c:tx>
            <c:strRef>
              <c:f>Regional_stock_by_type!$G$4</c:f>
              <c:strCache>
                <c:ptCount val="1"/>
                <c:pt idx="0">
                  <c:v>South</c:v>
                </c:pt>
              </c:strCache>
            </c:strRef>
          </c:tx>
          <c:marker>
            <c:symbol val="triangle"/>
            <c:size val="5"/>
          </c:marker>
          <c:cat>
            <c:numRef>
              <c:f>Regional_stock_by_type!$D$5:$D$38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Regional_stock_by_type!$G$5:$G$38</c:f>
              <c:numCache>
                <c:formatCode>#,##0</c:formatCode>
                <c:ptCount val="34"/>
                <c:pt idx="0">
                  <c:v>20927.68169510816</c:v>
                </c:pt>
                <c:pt idx="1">
                  <c:v>21459.109669887544</c:v>
                </c:pt>
                <c:pt idx="2">
                  <c:v>22004.895637356145</c:v>
                </c:pt>
                <c:pt idx="3">
                  <c:v>22371.937102217707</c:v>
                </c:pt>
                <c:pt idx="4">
                  <c:v>22724.296481697525</c:v>
                </c:pt>
                <c:pt idx="5">
                  <c:v>22799.822999882894</c:v>
                </c:pt>
                <c:pt idx="6">
                  <c:v>22841.205472331061</c:v>
                </c:pt>
                <c:pt idx="7">
                  <c:v>23363.38356738746</c:v>
                </c:pt>
                <c:pt idx="8">
                  <c:v>23924.009224753379</c:v>
                </c:pt>
                <c:pt idx="9">
                  <c:v>24265.426509503603</c:v>
                </c:pt>
                <c:pt idx="10">
                  <c:v>24610.559185496135</c:v>
                </c:pt>
                <c:pt idx="11">
                  <c:v>24794.931310274744</c:v>
                </c:pt>
                <c:pt idx="12">
                  <c:v>24982.976981023257</c:v>
                </c:pt>
                <c:pt idx="13">
                  <c:v>25319.400937472219</c:v>
                </c:pt>
                <c:pt idx="14">
                  <c:v>25678.604168549009</c:v>
                </c:pt>
                <c:pt idx="15">
                  <c:v>26153.39819849288</c:v>
                </c:pt>
                <c:pt idx="16">
                  <c:v>26627.792170217013</c:v>
                </c:pt>
                <c:pt idx="17">
                  <c:v>26947.695945592975</c:v>
                </c:pt>
                <c:pt idx="18">
                  <c:v>27284.693912353203</c:v>
                </c:pt>
                <c:pt idx="19">
                  <c:v>27869.161681269678</c:v>
                </c:pt>
                <c:pt idx="20">
                  <c:v>28495.947654885684</c:v>
                </c:pt>
                <c:pt idx="21">
                  <c:v>28964.052093764512</c:v>
                </c:pt>
                <c:pt idx="22">
                  <c:v>29362.545796420432</c:v>
                </c:pt>
                <c:pt idx="23">
                  <c:v>29765.13632318806</c:v>
                </c:pt>
                <c:pt idx="24">
                  <c:v>30061.574517097004</c:v>
                </c:pt>
                <c:pt idx="25">
                  <c:v>30339.443127939852</c:v>
                </c:pt>
                <c:pt idx="26">
                  <c:v>30607.527298154608</c:v>
                </c:pt>
                <c:pt idx="27">
                  <c:v>30713.561567753532</c:v>
                </c:pt>
                <c:pt idx="28">
                  <c:v>30837.717358744245</c:v>
                </c:pt>
                <c:pt idx="29">
                  <c:v>31049.117789782133</c:v>
                </c:pt>
                <c:pt idx="30">
                  <c:v>31272.472813728491</c:v>
                </c:pt>
                <c:pt idx="31">
                  <c:v>31705.291049906267</c:v>
                </c:pt>
                <c:pt idx="32">
                  <c:v>32164.648230513507</c:v>
                </c:pt>
                <c:pt idx="33">
                  <c:v>32410.658338385227</c:v>
                </c:pt>
              </c:numCache>
            </c:numRef>
          </c:val>
          <c:smooth val="0"/>
          <c:extLst>
            <c:ext xmlns:c16="http://schemas.microsoft.com/office/drawing/2014/chart" uri="{C3380CC4-5D6E-409C-BE32-E72D297353CC}">
              <c16:uniqueId val="{00000002-B41D-418E-A020-DACD6CD5D437}"/>
            </c:ext>
          </c:extLst>
        </c:ser>
        <c:ser>
          <c:idx val="3"/>
          <c:order val="3"/>
          <c:tx>
            <c:strRef>
              <c:f>Regional_stock_by_type!$H$4</c:f>
              <c:strCache>
                <c:ptCount val="1"/>
                <c:pt idx="0">
                  <c:v>West</c:v>
                </c:pt>
              </c:strCache>
            </c:strRef>
          </c:tx>
          <c:marker>
            <c:symbol val="x"/>
            <c:size val="5"/>
          </c:marker>
          <c:cat>
            <c:numRef>
              <c:f>Regional_stock_by_type!$D$5:$D$38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Regional_stock_by_type!$H$5:$H$38</c:f>
              <c:numCache>
                <c:formatCode>#,##0</c:formatCode>
                <c:ptCount val="34"/>
                <c:pt idx="0">
                  <c:v>11266.556350537945</c:v>
                </c:pt>
                <c:pt idx="1">
                  <c:v>11579.917981157525</c:v>
                </c:pt>
                <c:pt idx="2">
                  <c:v>11901.984455347636</c:v>
                </c:pt>
                <c:pt idx="3">
                  <c:v>12041.913214850374</c:v>
                </c:pt>
                <c:pt idx="4">
                  <c:v>12172.23098023332</c:v>
                </c:pt>
                <c:pt idx="5">
                  <c:v>12548.079425067765</c:v>
                </c:pt>
                <c:pt idx="6">
                  <c:v>12909.615019589437</c:v>
                </c:pt>
                <c:pt idx="7">
                  <c:v>13169.796588458346</c:v>
                </c:pt>
                <c:pt idx="8">
                  <c:v>13450.329885237492</c:v>
                </c:pt>
                <c:pt idx="9">
                  <c:v>13597.379781626672</c:v>
                </c:pt>
                <c:pt idx="10">
                  <c:v>13745.118395046897</c:v>
                </c:pt>
                <c:pt idx="11">
                  <c:v>13949.238597001486</c:v>
                </c:pt>
                <c:pt idx="12">
                  <c:v>14157.127177339964</c:v>
                </c:pt>
                <c:pt idx="13">
                  <c:v>14532.524627730963</c:v>
                </c:pt>
                <c:pt idx="14">
                  <c:v>14927.136483914663</c:v>
                </c:pt>
                <c:pt idx="15">
                  <c:v>15190.787961528284</c:v>
                </c:pt>
                <c:pt idx="16">
                  <c:v>15453.891894384393</c:v>
                </c:pt>
                <c:pt idx="17">
                  <c:v>15640.654164627489</c:v>
                </c:pt>
                <c:pt idx="18">
                  <c:v>15837.360553404236</c:v>
                </c:pt>
                <c:pt idx="19">
                  <c:v>16103.52123461977</c:v>
                </c:pt>
                <c:pt idx="20">
                  <c:v>16391.959385158741</c:v>
                </c:pt>
                <c:pt idx="21">
                  <c:v>16620.579983362408</c:v>
                </c:pt>
                <c:pt idx="22">
                  <c:v>16808.559261188377</c:v>
                </c:pt>
                <c:pt idx="23">
                  <c:v>16860.213781920156</c:v>
                </c:pt>
                <c:pt idx="24">
                  <c:v>16849.193377954507</c:v>
                </c:pt>
                <c:pt idx="25">
                  <c:v>17124.186808364411</c:v>
                </c:pt>
                <c:pt idx="26">
                  <c:v>17395.364657871723</c:v>
                </c:pt>
                <c:pt idx="27">
                  <c:v>17480.072162353834</c:v>
                </c:pt>
                <c:pt idx="28">
                  <c:v>17575.387181072256</c:v>
                </c:pt>
                <c:pt idx="29">
                  <c:v>17878.830953263448</c:v>
                </c:pt>
                <c:pt idx="30">
                  <c:v>18192.472974571865</c:v>
                </c:pt>
                <c:pt idx="31">
                  <c:v>18344.155320500839</c:v>
                </c:pt>
                <c:pt idx="32">
                  <c:v>18508.846197890874</c:v>
                </c:pt>
                <c:pt idx="33">
                  <c:v>18650.410415136212</c:v>
                </c:pt>
              </c:numCache>
            </c:numRef>
          </c:val>
          <c:smooth val="0"/>
          <c:extLst>
            <c:ext xmlns:c16="http://schemas.microsoft.com/office/drawing/2014/chart" uri="{C3380CC4-5D6E-409C-BE32-E72D297353CC}">
              <c16:uniqueId val="{00000003-B41D-418E-A020-DACD6CD5D437}"/>
            </c:ext>
          </c:extLst>
        </c:ser>
        <c:dLbls>
          <c:showLegendKey val="0"/>
          <c:showVal val="0"/>
          <c:showCatName val="0"/>
          <c:showSerName val="0"/>
          <c:showPercent val="0"/>
          <c:showBubbleSize val="0"/>
        </c:dLbls>
        <c:marker val="1"/>
        <c:smooth val="0"/>
        <c:axId val="218776704"/>
        <c:axId val="218778240"/>
      </c:lineChart>
      <c:catAx>
        <c:axId val="218776704"/>
        <c:scaling>
          <c:orientation val="minMax"/>
        </c:scaling>
        <c:delete val="0"/>
        <c:axPos val="b"/>
        <c:numFmt formatCode="General" sourceLinked="1"/>
        <c:majorTickMark val="out"/>
        <c:minorTickMark val="none"/>
        <c:tickLblPos val="nextTo"/>
        <c:txPr>
          <a:bodyPr/>
          <a:lstStyle/>
          <a:p>
            <a:pPr>
              <a:defRPr sz="900" baseline="0"/>
            </a:pPr>
            <a:endParaRPr lang="en-US"/>
          </a:p>
        </c:txPr>
        <c:crossAx val="218778240"/>
        <c:crosses val="autoZero"/>
        <c:auto val="1"/>
        <c:lblAlgn val="ctr"/>
        <c:lblOffset val="100"/>
        <c:noMultiLvlLbl val="0"/>
      </c:catAx>
      <c:valAx>
        <c:axId val="218778240"/>
        <c:scaling>
          <c:orientation val="minMax"/>
        </c:scaling>
        <c:delete val="0"/>
        <c:axPos val="l"/>
        <c:majorGridlines/>
        <c:title>
          <c:tx>
            <c:rich>
              <a:bodyPr rot="-5400000" vert="horz"/>
              <a:lstStyle/>
              <a:p>
                <a:pPr>
                  <a:defRPr sz="1200" baseline="0"/>
                </a:pPr>
                <a:r>
                  <a:rPr lang="en-US" sz="1200" baseline="0"/>
                  <a:t>Thousands of units</a:t>
                </a:r>
              </a:p>
            </c:rich>
          </c:tx>
          <c:overlay val="0"/>
        </c:title>
        <c:numFmt formatCode="#,##0" sourceLinked="1"/>
        <c:majorTickMark val="out"/>
        <c:minorTickMark val="none"/>
        <c:tickLblPos val="nextTo"/>
        <c:crossAx val="218776704"/>
        <c:crosses val="autoZero"/>
        <c:crossBetween val="midCat"/>
      </c:valAx>
    </c:plotArea>
    <c:legend>
      <c:legendPos val="r"/>
      <c:layout>
        <c:manualLayout>
          <c:xMode val="edge"/>
          <c:yMode val="edge"/>
          <c:x val="0.4563092340730136"/>
          <c:y val="0.66036982587952398"/>
          <c:w val="0.42247864471486518"/>
          <c:h val="0.1780329760790762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Regional_stock_by_type!$E$43</c:f>
              <c:strCache>
                <c:ptCount val="1"/>
                <c:pt idx="0">
                  <c:v>Northeast</c:v>
                </c:pt>
              </c:strCache>
            </c:strRef>
          </c:tx>
          <c:cat>
            <c:numRef>
              <c:f>Regional_stock_by_type!$D$44:$D$77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Regional_stock_by_type!$E$44:$E$77</c:f>
              <c:numCache>
                <c:formatCode>#,##0</c:formatCode>
                <c:ptCount val="34"/>
                <c:pt idx="0">
                  <c:v>7184.2602261481088</c:v>
                </c:pt>
                <c:pt idx="1">
                  <c:v>7236.9094652954536</c:v>
                </c:pt>
                <c:pt idx="2">
                  <c:v>7280.5166624420408</c:v>
                </c:pt>
                <c:pt idx="3">
                  <c:v>7277.1893741698768</c:v>
                </c:pt>
                <c:pt idx="4">
                  <c:v>7258.3255836811659</c:v>
                </c:pt>
                <c:pt idx="5">
                  <c:v>7182.2265373233122</c:v>
                </c:pt>
                <c:pt idx="6">
                  <c:v>7094.4160499057189</c:v>
                </c:pt>
                <c:pt idx="7">
                  <c:v>7122.1208649558721</c:v>
                </c:pt>
                <c:pt idx="8">
                  <c:v>7141.2859033117056</c:v>
                </c:pt>
                <c:pt idx="9">
                  <c:v>7199.4876601438691</c:v>
                </c:pt>
                <c:pt idx="10">
                  <c:v>7264.8137789393613</c:v>
                </c:pt>
                <c:pt idx="11">
                  <c:v>7261.4451196645268</c:v>
                </c:pt>
                <c:pt idx="12">
                  <c:v>7260.2641171652749</c:v>
                </c:pt>
                <c:pt idx="13">
                  <c:v>7160.1786872791254</c:v>
                </c:pt>
                <c:pt idx="14">
                  <c:v>7063.351086919648</c:v>
                </c:pt>
                <c:pt idx="15">
                  <c:v>7014.006190627073</c:v>
                </c:pt>
                <c:pt idx="16">
                  <c:v>6962.362581959188</c:v>
                </c:pt>
                <c:pt idx="17">
                  <c:v>7013.1894708199261</c:v>
                </c:pt>
                <c:pt idx="18">
                  <c:v>7062.2447881695625</c:v>
                </c:pt>
                <c:pt idx="19">
                  <c:v>7059.3982026130261</c:v>
                </c:pt>
                <c:pt idx="20">
                  <c:v>7056.2378817607714</c:v>
                </c:pt>
                <c:pt idx="21">
                  <c:v>6977.8877261702655</c:v>
                </c:pt>
                <c:pt idx="22">
                  <c:v>6897.9588636503922</c:v>
                </c:pt>
                <c:pt idx="23">
                  <c:v>6808.5924913194467</c:v>
                </c:pt>
                <c:pt idx="24">
                  <c:v>6718.367930551628</c:v>
                </c:pt>
                <c:pt idx="25">
                  <c:v>6790.2961648840528</c:v>
                </c:pt>
                <c:pt idx="26">
                  <c:v>6853.480050913281</c:v>
                </c:pt>
                <c:pt idx="27">
                  <c:v>6873.6645303990972</c:v>
                </c:pt>
                <c:pt idx="28">
                  <c:v>6897.0084649147357</c:v>
                </c:pt>
                <c:pt idx="29">
                  <c:v>7010.2804434498757</c:v>
                </c:pt>
                <c:pt idx="30">
                  <c:v>7132.7012183771149</c:v>
                </c:pt>
                <c:pt idx="31">
                  <c:v>7133.9820303176293</c:v>
                </c:pt>
                <c:pt idx="32">
                  <c:v>7137.1008796410742</c:v>
                </c:pt>
                <c:pt idx="33">
                  <c:v>7178.7837819373008</c:v>
                </c:pt>
              </c:numCache>
            </c:numRef>
          </c:val>
          <c:smooth val="0"/>
          <c:extLst>
            <c:ext xmlns:c16="http://schemas.microsoft.com/office/drawing/2014/chart" uri="{C3380CC4-5D6E-409C-BE32-E72D297353CC}">
              <c16:uniqueId val="{00000000-3623-499C-B5F9-3216E9E7AA03}"/>
            </c:ext>
          </c:extLst>
        </c:ser>
        <c:ser>
          <c:idx val="1"/>
          <c:order val="1"/>
          <c:tx>
            <c:strRef>
              <c:f>Regional_stock_by_type!$F$43</c:f>
              <c:strCache>
                <c:ptCount val="1"/>
                <c:pt idx="0">
                  <c:v>Midwest</c:v>
                </c:pt>
              </c:strCache>
            </c:strRef>
          </c:tx>
          <c:marker>
            <c:symbol val="square"/>
            <c:size val="5"/>
          </c:marker>
          <c:cat>
            <c:numRef>
              <c:f>Regional_stock_by_type!$D$44:$D$77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Regional_stock_by_type!$F$44:$F$77</c:f>
              <c:numCache>
                <c:formatCode>#,##0</c:formatCode>
                <c:ptCount val="34"/>
                <c:pt idx="0">
                  <c:v>5286.4120661769584</c:v>
                </c:pt>
                <c:pt idx="1">
                  <c:v>5215.0971773341626</c:v>
                </c:pt>
                <c:pt idx="2">
                  <c:v>5136.1237057496346</c:v>
                </c:pt>
                <c:pt idx="3">
                  <c:v>5241.7147107419714</c:v>
                </c:pt>
                <c:pt idx="4">
                  <c:v>5339.6277328528331</c:v>
                </c:pt>
                <c:pt idx="5">
                  <c:v>5392.9687188862044</c:v>
                </c:pt>
                <c:pt idx="6">
                  <c:v>5436.9321994959737</c:v>
                </c:pt>
                <c:pt idx="7">
                  <c:v>5516.5624781360848</c:v>
                </c:pt>
                <c:pt idx="8">
                  <c:v>5591.0619998649299</c:v>
                </c:pt>
                <c:pt idx="9">
                  <c:v>5528.5186735802299</c:v>
                </c:pt>
                <c:pt idx="10">
                  <c:v>5469.8691957177589</c:v>
                </c:pt>
                <c:pt idx="11">
                  <c:v>5466.34475984033</c:v>
                </c:pt>
                <c:pt idx="12">
                  <c:v>5464.4553148070008</c:v>
                </c:pt>
                <c:pt idx="13">
                  <c:v>5355.4021783219323</c:v>
                </c:pt>
                <c:pt idx="14">
                  <c:v>5249.1779995855195</c:v>
                </c:pt>
                <c:pt idx="15">
                  <c:v>5260.7501168144336</c:v>
                </c:pt>
                <c:pt idx="16">
                  <c:v>5270.9880917323426</c:v>
                </c:pt>
                <c:pt idx="17">
                  <c:v>5250.3686608330027</c:v>
                </c:pt>
                <c:pt idx="18">
                  <c:v>5227.1831504438451</c:v>
                </c:pt>
                <c:pt idx="19">
                  <c:v>5171.8411797432454</c:v>
                </c:pt>
                <c:pt idx="20">
                  <c:v>5116.3151051567384</c:v>
                </c:pt>
                <c:pt idx="21">
                  <c:v>5169.9748748866132</c:v>
                </c:pt>
                <c:pt idx="22">
                  <c:v>5223.0868437713698</c:v>
                </c:pt>
                <c:pt idx="23">
                  <c:v>5243.298327199901</c:v>
                </c:pt>
                <c:pt idx="24">
                  <c:v>5262.3380403102701</c:v>
                </c:pt>
                <c:pt idx="25">
                  <c:v>5319.1205917871439</c:v>
                </c:pt>
                <c:pt idx="26">
                  <c:v>5369.0661439367486</c:v>
                </c:pt>
                <c:pt idx="27">
                  <c:v>5385.3351991244081</c:v>
                </c:pt>
                <c:pt idx="28">
                  <c:v>5404.0866282832185</c:v>
                </c:pt>
                <c:pt idx="29">
                  <c:v>5466.5593697520681</c:v>
                </c:pt>
                <c:pt idx="30">
                  <c:v>5535.7251971774294</c:v>
                </c:pt>
                <c:pt idx="31">
                  <c:v>5427.736110263093</c:v>
                </c:pt>
                <c:pt idx="32">
                  <c:v>5319.7329807551423</c:v>
                </c:pt>
                <c:pt idx="33">
                  <c:v>5350.8018858775786</c:v>
                </c:pt>
              </c:numCache>
            </c:numRef>
          </c:val>
          <c:smooth val="0"/>
          <c:extLst>
            <c:ext xmlns:c16="http://schemas.microsoft.com/office/drawing/2014/chart" uri="{C3380CC4-5D6E-409C-BE32-E72D297353CC}">
              <c16:uniqueId val="{00000001-3623-499C-B5F9-3216E9E7AA03}"/>
            </c:ext>
          </c:extLst>
        </c:ser>
        <c:ser>
          <c:idx val="2"/>
          <c:order val="2"/>
          <c:tx>
            <c:strRef>
              <c:f>Regional_stock_by_type!$G$43</c:f>
              <c:strCache>
                <c:ptCount val="1"/>
                <c:pt idx="0">
                  <c:v>South</c:v>
                </c:pt>
              </c:strCache>
            </c:strRef>
          </c:tx>
          <c:marker>
            <c:symbol val="triangle"/>
            <c:size val="5"/>
          </c:marker>
          <c:cat>
            <c:numRef>
              <c:f>Regional_stock_by_type!$D$44:$D$77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Regional_stock_by_type!$G$44:$G$77</c:f>
              <c:numCache>
                <c:formatCode>#,##0</c:formatCode>
                <c:ptCount val="34"/>
                <c:pt idx="0">
                  <c:v>6164.8539643045051</c:v>
                </c:pt>
                <c:pt idx="1">
                  <c:v>6207.2721356467646</c:v>
                </c:pt>
                <c:pt idx="2">
                  <c:v>6241.9060686634693</c:v>
                </c:pt>
                <c:pt idx="3">
                  <c:v>6411.7230571947184</c:v>
                </c:pt>
                <c:pt idx="4">
                  <c:v>6573.4708319025331</c:v>
                </c:pt>
                <c:pt idx="5">
                  <c:v>6534.795378823017</c:v>
                </c:pt>
                <c:pt idx="6">
                  <c:v>6485.302733134562</c:v>
                </c:pt>
                <c:pt idx="7">
                  <c:v>6637.6017276674665</c:v>
                </c:pt>
                <c:pt idx="8">
                  <c:v>6785.1682390470014</c:v>
                </c:pt>
                <c:pt idx="9">
                  <c:v>6791.7664222657022</c:v>
                </c:pt>
                <c:pt idx="10">
                  <c:v>6804.3751097617633</c:v>
                </c:pt>
                <c:pt idx="11">
                  <c:v>6823.4781653720302</c:v>
                </c:pt>
                <c:pt idx="12">
                  <c:v>6844.9040016022327</c:v>
                </c:pt>
                <c:pt idx="13">
                  <c:v>6958.9142150757007</c:v>
                </c:pt>
                <c:pt idx="14">
                  <c:v>7073.6668307879991</c:v>
                </c:pt>
                <c:pt idx="15">
                  <c:v>7128.6605223731558</c:v>
                </c:pt>
                <c:pt idx="16">
                  <c:v>7182.1619274820032</c:v>
                </c:pt>
                <c:pt idx="17">
                  <c:v>7342.8455610732844</c:v>
                </c:pt>
                <c:pt idx="18">
                  <c:v>7503.9453190112745</c:v>
                </c:pt>
                <c:pt idx="19">
                  <c:v>7546.4278798435962</c:v>
                </c:pt>
                <c:pt idx="20">
                  <c:v>7588.5359569615512</c:v>
                </c:pt>
                <c:pt idx="21">
                  <c:v>7631.4347756849984</c:v>
                </c:pt>
                <c:pt idx="22">
                  <c:v>7673.3228556239264</c:v>
                </c:pt>
                <c:pt idx="23">
                  <c:v>7698.1625693600863</c:v>
                </c:pt>
                <c:pt idx="24">
                  <c:v>7721.3096421616974</c:v>
                </c:pt>
                <c:pt idx="25">
                  <c:v>7855.9562779680455</c:v>
                </c:pt>
                <c:pt idx="26">
                  <c:v>7981.9899236864285</c:v>
                </c:pt>
                <c:pt idx="27">
                  <c:v>8059.0647980937511</c:v>
                </c:pt>
                <c:pt idx="28">
                  <c:v>8140.6684245261995</c:v>
                </c:pt>
                <c:pt idx="29">
                  <c:v>8295.1449027604904</c:v>
                </c:pt>
                <c:pt idx="30">
                  <c:v>8460.7957410403596</c:v>
                </c:pt>
                <c:pt idx="31">
                  <c:v>8661.1470207320126</c:v>
                </c:pt>
                <c:pt idx="32">
                  <c:v>8866.306762601931</c:v>
                </c:pt>
                <c:pt idx="33">
                  <c:v>8918.0887683135406</c:v>
                </c:pt>
              </c:numCache>
            </c:numRef>
          </c:val>
          <c:smooth val="0"/>
          <c:extLst>
            <c:ext xmlns:c16="http://schemas.microsoft.com/office/drawing/2014/chart" uri="{C3380CC4-5D6E-409C-BE32-E72D297353CC}">
              <c16:uniqueId val="{00000002-3623-499C-B5F9-3216E9E7AA03}"/>
            </c:ext>
          </c:extLst>
        </c:ser>
        <c:ser>
          <c:idx val="3"/>
          <c:order val="3"/>
          <c:tx>
            <c:strRef>
              <c:f>Regional_stock_by_type!$H$43</c:f>
              <c:strCache>
                <c:ptCount val="1"/>
                <c:pt idx="0">
                  <c:v>West</c:v>
                </c:pt>
              </c:strCache>
            </c:strRef>
          </c:tx>
          <c:marker>
            <c:symbol val="x"/>
            <c:size val="5"/>
          </c:marker>
          <c:cat>
            <c:numRef>
              <c:f>Regional_stock_by_type!$D$44:$D$77</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Regional_stock_by_type!$H$44:$H$77</c:f>
              <c:numCache>
                <c:formatCode>#,##0</c:formatCode>
                <c:ptCount val="34"/>
                <c:pt idx="0">
                  <c:v>4858.0382380323163</c:v>
                </c:pt>
                <c:pt idx="1">
                  <c:v>4972.082535285268</c:v>
                </c:pt>
                <c:pt idx="2">
                  <c:v>5080.7289774903211</c:v>
                </c:pt>
                <c:pt idx="3">
                  <c:v>5213.7751525357853</c:v>
                </c:pt>
                <c:pt idx="4">
                  <c:v>5340.0957023540495</c:v>
                </c:pt>
                <c:pt idx="5">
                  <c:v>5357.3008563573239</c:v>
                </c:pt>
                <c:pt idx="6">
                  <c:v>5365.3795600776275</c:v>
                </c:pt>
                <c:pt idx="7">
                  <c:v>5428.6426892498721</c:v>
                </c:pt>
                <c:pt idx="8">
                  <c:v>5486.4716988722121</c:v>
                </c:pt>
                <c:pt idx="9">
                  <c:v>5655.8425536346531</c:v>
                </c:pt>
                <c:pt idx="10">
                  <c:v>5832.628554135641</c:v>
                </c:pt>
                <c:pt idx="11">
                  <c:v>5967.7633752824231</c:v>
                </c:pt>
                <c:pt idx="12">
                  <c:v>6106.3500027155114</c:v>
                </c:pt>
                <c:pt idx="13">
                  <c:v>6049.5681159560963</c:v>
                </c:pt>
                <c:pt idx="14">
                  <c:v>5995.2200512228046</c:v>
                </c:pt>
                <c:pt idx="15">
                  <c:v>6082.9032762579927</c:v>
                </c:pt>
                <c:pt idx="16">
                  <c:v>6169.6402863395106</c:v>
                </c:pt>
                <c:pt idx="17">
                  <c:v>6251.4422633321674</c:v>
                </c:pt>
                <c:pt idx="18">
                  <c:v>6332.4363055346894</c:v>
                </c:pt>
                <c:pt idx="19">
                  <c:v>6337.5022991775031</c:v>
                </c:pt>
                <c:pt idx="20">
                  <c:v>6342.2800937715374</c:v>
                </c:pt>
                <c:pt idx="21">
                  <c:v>6398.6643268193311</c:v>
                </c:pt>
                <c:pt idx="22">
                  <c:v>6454.3147433631884</c:v>
                </c:pt>
                <c:pt idx="23">
                  <c:v>6425.747180862747</c:v>
                </c:pt>
                <c:pt idx="24">
                  <c:v>6396.0496491912909</c:v>
                </c:pt>
                <c:pt idx="25">
                  <c:v>6529.5733925952063</c:v>
                </c:pt>
                <c:pt idx="26">
                  <c:v>6656.5701825140804</c:v>
                </c:pt>
                <c:pt idx="27">
                  <c:v>6743.2057880131288</c:v>
                </c:pt>
                <c:pt idx="28">
                  <c:v>6833.972540914604</c:v>
                </c:pt>
                <c:pt idx="29">
                  <c:v>6720.3992792437621</c:v>
                </c:pt>
                <c:pt idx="30">
                  <c:v>6611.8066854801509</c:v>
                </c:pt>
                <c:pt idx="31">
                  <c:v>6693.2658239570173</c:v>
                </c:pt>
                <c:pt idx="32">
                  <c:v>6777.4898131562668</c:v>
                </c:pt>
                <c:pt idx="33">
                  <c:v>6817.0724743039218</c:v>
                </c:pt>
              </c:numCache>
            </c:numRef>
          </c:val>
          <c:smooth val="0"/>
          <c:extLst>
            <c:ext xmlns:c16="http://schemas.microsoft.com/office/drawing/2014/chart" uri="{C3380CC4-5D6E-409C-BE32-E72D297353CC}">
              <c16:uniqueId val="{00000003-3623-499C-B5F9-3216E9E7AA03}"/>
            </c:ext>
          </c:extLst>
        </c:ser>
        <c:dLbls>
          <c:showLegendKey val="0"/>
          <c:showVal val="0"/>
          <c:showCatName val="0"/>
          <c:showSerName val="0"/>
          <c:showPercent val="0"/>
          <c:showBubbleSize val="0"/>
        </c:dLbls>
        <c:marker val="1"/>
        <c:smooth val="0"/>
        <c:axId val="211100800"/>
        <c:axId val="211102336"/>
      </c:lineChart>
      <c:catAx>
        <c:axId val="211100800"/>
        <c:scaling>
          <c:orientation val="minMax"/>
        </c:scaling>
        <c:delete val="0"/>
        <c:axPos val="b"/>
        <c:numFmt formatCode="General" sourceLinked="1"/>
        <c:majorTickMark val="out"/>
        <c:minorTickMark val="none"/>
        <c:tickLblPos val="nextTo"/>
        <c:txPr>
          <a:bodyPr/>
          <a:lstStyle/>
          <a:p>
            <a:pPr>
              <a:defRPr sz="900" baseline="0"/>
            </a:pPr>
            <a:endParaRPr lang="en-US"/>
          </a:p>
        </c:txPr>
        <c:crossAx val="211102336"/>
        <c:crosses val="autoZero"/>
        <c:auto val="1"/>
        <c:lblAlgn val="ctr"/>
        <c:lblOffset val="100"/>
        <c:noMultiLvlLbl val="0"/>
      </c:catAx>
      <c:valAx>
        <c:axId val="211102336"/>
        <c:scaling>
          <c:orientation val="minMax"/>
        </c:scaling>
        <c:delete val="0"/>
        <c:axPos val="l"/>
        <c:majorGridlines/>
        <c:title>
          <c:tx>
            <c:rich>
              <a:bodyPr rot="-5400000" vert="horz"/>
              <a:lstStyle/>
              <a:p>
                <a:pPr>
                  <a:defRPr sz="1200" baseline="0"/>
                </a:pPr>
                <a:r>
                  <a:rPr lang="en-US"/>
                  <a:t>Thousands of units</a:t>
                </a:r>
              </a:p>
            </c:rich>
          </c:tx>
          <c:overlay val="0"/>
        </c:title>
        <c:numFmt formatCode="#,##0" sourceLinked="1"/>
        <c:majorTickMark val="out"/>
        <c:minorTickMark val="none"/>
        <c:tickLblPos val="nextTo"/>
        <c:crossAx val="211100800"/>
        <c:crosses val="autoZero"/>
        <c:crossBetween val="midCat"/>
      </c:valAx>
    </c:plotArea>
    <c:legend>
      <c:legendPos val="r"/>
      <c:layout>
        <c:manualLayout>
          <c:xMode val="edge"/>
          <c:yMode val="edge"/>
          <c:x val="0.28733224188560591"/>
          <c:y val="0.61432080094590358"/>
          <c:w val="0.42247864471486518"/>
          <c:h val="0.1780329760790762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914144564905833"/>
          <c:y val="4.3603408810484953E-2"/>
          <c:w val="0.74117879804638986"/>
          <c:h val="0.81573120642426811"/>
        </c:manualLayout>
      </c:layout>
      <c:lineChart>
        <c:grouping val="standard"/>
        <c:varyColors val="0"/>
        <c:ser>
          <c:idx val="0"/>
          <c:order val="0"/>
          <c:tx>
            <c:strRef>
              <c:f>Regional_stock_by_type!$E$86</c:f>
              <c:strCache>
                <c:ptCount val="1"/>
                <c:pt idx="0">
                  <c:v>Northeast</c:v>
                </c:pt>
              </c:strCache>
            </c:strRef>
          </c:tx>
          <c:cat>
            <c:numRef>
              <c:f>Regional_stock_by_type!$D$87:$D$112</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Regional_stock_by_type!$E$87:$E$112</c:f>
              <c:numCache>
                <c:formatCode>#,##0</c:formatCode>
                <c:ptCount val="26"/>
                <c:pt idx="0">
                  <c:v>464.04307650359141</c:v>
                </c:pt>
                <c:pt idx="1">
                  <c:v>491.65783301069712</c:v>
                </c:pt>
                <c:pt idx="2">
                  <c:v>518.52315973181669</c:v>
                </c:pt>
                <c:pt idx="3">
                  <c:v>506.52345251219231</c:v>
                </c:pt>
                <c:pt idx="4">
                  <c:v>492.47619174243727</c:v>
                </c:pt>
                <c:pt idx="5">
                  <c:v>521.31621472598306</c:v>
                </c:pt>
                <c:pt idx="6">
                  <c:v>550.18077859830441</c:v>
                </c:pt>
                <c:pt idx="7">
                  <c:v>522.76187392489555</c:v>
                </c:pt>
                <c:pt idx="8">
                  <c:v>496.41428909229745</c:v>
                </c:pt>
                <c:pt idx="9">
                  <c:v>523.91661116987689</c:v>
                </c:pt>
                <c:pt idx="10">
                  <c:v>554.300309137976</c:v>
                </c:pt>
                <c:pt idx="11">
                  <c:v>538.39014456359087</c:v>
                </c:pt>
                <c:pt idx="12">
                  <c:v>521.74653680964639</c:v>
                </c:pt>
                <c:pt idx="13">
                  <c:v>533.97509728313241</c:v>
                </c:pt>
                <c:pt idx="14">
                  <c:v>545.77910530013207</c:v>
                </c:pt>
                <c:pt idx="15">
                  <c:v>565.74307986234908</c:v>
                </c:pt>
                <c:pt idx="16">
                  <c:v>582.28350103299863</c:v>
                </c:pt>
                <c:pt idx="17">
                  <c:v>529.43546288106768</c:v>
                </c:pt>
                <c:pt idx="18">
                  <c:v>477.14473603747382</c:v>
                </c:pt>
                <c:pt idx="19">
                  <c:v>546.2131329300986</c:v>
                </c:pt>
                <c:pt idx="20">
                  <c:v>618.12369729465024</c:v>
                </c:pt>
                <c:pt idx="21">
                  <c:v>586.26112373969431</c:v>
                </c:pt>
                <c:pt idx="22">
                  <c:v>554.09240709928076</c:v>
                </c:pt>
                <c:pt idx="23">
                  <c:v>568.1872349799354</c:v>
                </c:pt>
                <c:pt idx="24">
                  <c:v>581.26568714632481</c:v>
                </c:pt>
                <c:pt idx="25">
                  <c:v>585.64189597277129</c:v>
                </c:pt>
              </c:numCache>
            </c:numRef>
          </c:val>
          <c:smooth val="0"/>
          <c:extLst>
            <c:ext xmlns:c16="http://schemas.microsoft.com/office/drawing/2014/chart" uri="{C3380CC4-5D6E-409C-BE32-E72D297353CC}">
              <c16:uniqueId val="{00000000-43DE-4971-AE54-E39B77FF6F9E}"/>
            </c:ext>
          </c:extLst>
        </c:ser>
        <c:ser>
          <c:idx val="1"/>
          <c:order val="1"/>
          <c:tx>
            <c:strRef>
              <c:f>Regional_stock_by_type!$F$86</c:f>
              <c:strCache>
                <c:ptCount val="1"/>
                <c:pt idx="0">
                  <c:v>Midwest</c:v>
                </c:pt>
              </c:strCache>
            </c:strRef>
          </c:tx>
          <c:marker>
            <c:symbol val="square"/>
            <c:size val="5"/>
          </c:marker>
          <c:cat>
            <c:numRef>
              <c:f>Regional_stock_by_type!$D$87:$D$112</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Regional_stock_by_type!$F$87:$F$112</c:f>
              <c:numCache>
                <c:formatCode>#,##0</c:formatCode>
                <c:ptCount val="26"/>
                <c:pt idx="0">
                  <c:v>1078.0239695897578</c:v>
                </c:pt>
                <c:pt idx="1">
                  <c:v>1038.0853988667566</c:v>
                </c:pt>
                <c:pt idx="2">
                  <c:v>990.70952855586631</c:v>
                </c:pt>
                <c:pt idx="3">
                  <c:v>1023.7692105797508</c:v>
                </c:pt>
                <c:pt idx="4">
                  <c:v>1054.7785405154</c:v>
                </c:pt>
                <c:pt idx="5">
                  <c:v>1086.6572920016877</c:v>
                </c:pt>
                <c:pt idx="6">
                  <c:v>1117.110113261758</c:v>
                </c:pt>
                <c:pt idx="7">
                  <c:v>1086.9812888269164</c:v>
                </c:pt>
                <c:pt idx="8">
                  <c:v>1059.6567422437383</c:v>
                </c:pt>
                <c:pt idx="9">
                  <c:v>1069.5164515891424</c:v>
                </c:pt>
                <c:pt idx="10">
                  <c:v>1082.8148676569872</c:v>
                </c:pt>
                <c:pt idx="11">
                  <c:v>1088.1134105947567</c:v>
                </c:pt>
                <c:pt idx="12">
                  <c:v>1092.9631255185466</c:v>
                </c:pt>
                <c:pt idx="13">
                  <c:v>1115.2128034280433</c:v>
                </c:pt>
                <c:pt idx="14">
                  <c:v>1136.3372981574516</c:v>
                </c:pt>
                <c:pt idx="15">
                  <c:v>1156.7293031498789</c:v>
                </c:pt>
                <c:pt idx="16">
                  <c:v>1169.2520519051377</c:v>
                </c:pt>
                <c:pt idx="17">
                  <c:v>1144.4182467862613</c:v>
                </c:pt>
                <c:pt idx="18">
                  <c:v>1116.395807827387</c:v>
                </c:pt>
                <c:pt idx="19">
                  <c:v>1149.0588548294309</c:v>
                </c:pt>
                <c:pt idx="20">
                  <c:v>1181.147984339003</c:v>
                </c:pt>
                <c:pt idx="21">
                  <c:v>1177.9376188364092</c:v>
                </c:pt>
                <c:pt idx="22">
                  <c:v>1173.5772932955681</c:v>
                </c:pt>
                <c:pt idx="23">
                  <c:v>1102.5649785854653</c:v>
                </c:pt>
                <c:pt idx="24">
                  <c:v>1031.5440008813787</c:v>
                </c:pt>
                <c:pt idx="25">
                  <c:v>1039.3102462685565</c:v>
                </c:pt>
              </c:numCache>
            </c:numRef>
          </c:val>
          <c:smooth val="0"/>
          <c:extLst>
            <c:ext xmlns:c16="http://schemas.microsoft.com/office/drawing/2014/chart" uri="{C3380CC4-5D6E-409C-BE32-E72D297353CC}">
              <c16:uniqueId val="{00000001-43DE-4971-AE54-E39B77FF6F9E}"/>
            </c:ext>
          </c:extLst>
        </c:ser>
        <c:ser>
          <c:idx val="2"/>
          <c:order val="2"/>
          <c:tx>
            <c:strRef>
              <c:f>Regional_stock_by_type!$G$86</c:f>
              <c:strCache>
                <c:ptCount val="1"/>
                <c:pt idx="0">
                  <c:v>South</c:v>
                </c:pt>
              </c:strCache>
            </c:strRef>
          </c:tx>
          <c:marker>
            <c:symbol val="triangle"/>
            <c:size val="5"/>
          </c:marker>
          <c:cat>
            <c:numRef>
              <c:f>Regional_stock_by_type!$D$87:$D$112</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Regional_stock_by_type!$G$87:$G$112</c:f>
              <c:numCache>
                <c:formatCode>#,##0</c:formatCode>
                <c:ptCount val="26"/>
                <c:pt idx="0">
                  <c:v>2315.6283783070826</c:v>
                </c:pt>
                <c:pt idx="1">
                  <c:v>2439.7249548955788</c:v>
                </c:pt>
                <c:pt idx="2">
                  <c:v>2559.3318360722856</c:v>
                </c:pt>
                <c:pt idx="3">
                  <c:v>2657.0360066987769</c:v>
                </c:pt>
                <c:pt idx="4">
                  <c:v>2749.8524609219244</c:v>
                </c:pt>
                <c:pt idx="5">
                  <c:v>2769.6794818209196</c:v>
                </c:pt>
                <c:pt idx="6">
                  <c:v>2782.6588648152697</c:v>
                </c:pt>
                <c:pt idx="7">
                  <c:v>2935.9473839963389</c:v>
                </c:pt>
                <c:pt idx="8">
                  <c:v>3101.8441293036258</c:v>
                </c:pt>
                <c:pt idx="9">
                  <c:v>3168.7831602439192</c:v>
                </c:pt>
                <c:pt idx="10">
                  <c:v>3247.9020433371584</c:v>
                </c:pt>
                <c:pt idx="11">
                  <c:v>3357.9053041539732</c:v>
                </c:pt>
                <c:pt idx="12">
                  <c:v>3469.1077149997695</c:v>
                </c:pt>
                <c:pt idx="13">
                  <c:v>3603.2963797401289</c:v>
                </c:pt>
                <c:pt idx="14">
                  <c:v>3738.3660270826249</c:v>
                </c:pt>
                <c:pt idx="15">
                  <c:v>3861.1033406536385</c:v>
                </c:pt>
                <c:pt idx="16">
                  <c:v>3959.9003101083731</c:v>
                </c:pt>
                <c:pt idx="17">
                  <c:v>3885.5238399570458</c:v>
                </c:pt>
                <c:pt idx="18">
                  <c:v>3799.8329111754651</c:v>
                </c:pt>
                <c:pt idx="19">
                  <c:v>3904.1003404662756</c:v>
                </c:pt>
                <c:pt idx="20">
                  <c:v>4006.0274098351492</c:v>
                </c:pt>
                <c:pt idx="21">
                  <c:v>4013.2026693478224</c:v>
                </c:pt>
                <c:pt idx="22">
                  <c:v>4016.3007332821376</c:v>
                </c:pt>
                <c:pt idx="23">
                  <c:v>3954.1837650724719</c:v>
                </c:pt>
                <c:pt idx="24">
                  <c:v>3888.1917237214834</c:v>
                </c:pt>
                <c:pt idx="25">
                  <c:v>3917.4649791647944</c:v>
                </c:pt>
              </c:numCache>
            </c:numRef>
          </c:val>
          <c:smooth val="0"/>
          <c:extLst>
            <c:ext xmlns:c16="http://schemas.microsoft.com/office/drawing/2014/chart" uri="{C3380CC4-5D6E-409C-BE32-E72D297353CC}">
              <c16:uniqueId val="{00000002-43DE-4971-AE54-E39B77FF6F9E}"/>
            </c:ext>
          </c:extLst>
        </c:ser>
        <c:ser>
          <c:idx val="3"/>
          <c:order val="3"/>
          <c:tx>
            <c:strRef>
              <c:f>Regional_stock_by_type!$H$86</c:f>
              <c:strCache>
                <c:ptCount val="1"/>
                <c:pt idx="0">
                  <c:v>West</c:v>
                </c:pt>
              </c:strCache>
            </c:strRef>
          </c:tx>
          <c:marker>
            <c:symbol val="x"/>
            <c:size val="5"/>
          </c:marker>
          <c:cat>
            <c:numRef>
              <c:f>Regional_stock_by_type!$D$87:$D$112</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Regional_stock_by_type!$H$87:$H$112</c:f>
              <c:numCache>
                <c:formatCode>#,##0</c:formatCode>
                <c:ptCount val="26"/>
                <c:pt idx="0">
                  <c:v>1065.5212653401156</c:v>
                </c:pt>
                <c:pt idx="1">
                  <c:v>1108.2155796994198</c:v>
                </c:pt>
                <c:pt idx="2">
                  <c:v>1148.0555273656948</c:v>
                </c:pt>
                <c:pt idx="3">
                  <c:v>1130.923043904306</c:v>
                </c:pt>
                <c:pt idx="4">
                  <c:v>1109.5708793739125</c:v>
                </c:pt>
                <c:pt idx="5">
                  <c:v>1174.5355236832218</c:v>
                </c:pt>
                <c:pt idx="6">
                  <c:v>1239.5548059519595</c:v>
                </c:pt>
                <c:pt idx="7">
                  <c:v>1195.1739582615505</c:v>
                </c:pt>
                <c:pt idx="8">
                  <c:v>1153.6351205321446</c:v>
                </c:pt>
                <c:pt idx="9">
                  <c:v>1190.8728725931689</c:v>
                </c:pt>
                <c:pt idx="10">
                  <c:v>1233.3257477283519</c:v>
                </c:pt>
                <c:pt idx="11">
                  <c:v>1218.8729345924557</c:v>
                </c:pt>
                <c:pt idx="12">
                  <c:v>1203.3547697894098</c:v>
                </c:pt>
                <c:pt idx="13">
                  <c:v>1262.3344603320879</c:v>
                </c:pt>
                <c:pt idx="14">
                  <c:v>1322.4905493166484</c:v>
                </c:pt>
                <c:pt idx="15">
                  <c:v>1325.4521771360792</c:v>
                </c:pt>
                <c:pt idx="16">
                  <c:v>1318.5282640533733</c:v>
                </c:pt>
                <c:pt idx="17">
                  <c:v>1307.0648788155311</c:v>
                </c:pt>
                <c:pt idx="18">
                  <c:v>1291.1292058443578</c:v>
                </c:pt>
                <c:pt idx="19">
                  <c:v>1281.2796603433001</c:v>
                </c:pt>
                <c:pt idx="20">
                  <c:v>1268.0981729369792</c:v>
                </c:pt>
                <c:pt idx="21">
                  <c:v>1268.2906269283378</c:v>
                </c:pt>
                <c:pt idx="22">
                  <c:v>1267.2128185211091</c:v>
                </c:pt>
                <c:pt idx="23">
                  <c:v>1320.0974752612142</c:v>
                </c:pt>
                <c:pt idx="24">
                  <c:v>1370.2187355317612</c:v>
                </c:pt>
                <c:pt idx="25">
                  <c:v>1380.5347811150386</c:v>
                </c:pt>
              </c:numCache>
            </c:numRef>
          </c:val>
          <c:smooth val="0"/>
          <c:extLst>
            <c:ext xmlns:c16="http://schemas.microsoft.com/office/drawing/2014/chart" uri="{C3380CC4-5D6E-409C-BE32-E72D297353CC}">
              <c16:uniqueId val="{00000003-43DE-4971-AE54-E39B77FF6F9E}"/>
            </c:ext>
          </c:extLst>
        </c:ser>
        <c:dLbls>
          <c:showLegendKey val="0"/>
          <c:showVal val="0"/>
          <c:showCatName val="0"/>
          <c:showSerName val="0"/>
          <c:showPercent val="0"/>
          <c:showBubbleSize val="0"/>
        </c:dLbls>
        <c:marker val="1"/>
        <c:smooth val="0"/>
        <c:axId val="211137664"/>
        <c:axId val="211139200"/>
      </c:lineChart>
      <c:catAx>
        <c:axId val="211137664"/>
        <c:scaling>
          <c:orientation val="minMax"/>
        </c:scaling>
        <c:delete val="0"/>
        <c:axPos val="b"/>
        <c:numFmt formatCode="General" sourceLinked="1"/>
        <c:majorTickMark val="out"/>
        <c:minorTickMark val="none"/>
        <c:tickLblPos val="nextTo"/>
        <c:crossAx val="211139200"/>
        <c:crosses val="autoZero"/>
        <c:auto val="1"/>
        <c:lblAlgn val="ctr"/>
        <c:lblOffset val="100"/>
        <c:noMultiLvlLbl val="0"/>
      </c:catAx>
      <c:valAx>
        <c:axId val="211139200"/>
        <c:scaling>
          <c:orientation val="minMax"/>
        </c:scaling>
        <c:delete val="0"/>
        <c:axPos val="l"/>
        <c:majorGridlines/>
        <c:title>
          <c:tx>
            <c:rich>
              <a:bodyPr rot="-5400000" vert="horz"/>
              <a:lstStyle/>
              <a:p>
                <a:pPr>
                  <a:defRPr sz="1100" baseline="0"/>
                </a:pPr>
                <a:r>
                  <a:rPr lang="en-US" sz="1100" baseline="0"/>
                  <a:t>Thousands of units</a:t>
                </a:r>
              </a:p>
            </c:rich>
          </c:tx>
          <c:overlay val="0"/>
        </c:title>
        <c:numFmt formatCode="#,##0" sourceLinked="1"/>
        <c:majorTickMark val="out"/>
        <c:minorTickMark val="none"/>
        <c:tickLblPos val="nextTo"/>
        <c:crossAx val="211137664"/>
        <c:crosses val="autoZero"/>
        <c:crossBetween val="midCat"/>
      </c:valAx>
    </c:plotArea>
    <c:legend>
      <c:legendPos val="r"/>
      <c:layout>
        <c:manualLayout>
          <c:xMode val="edge"/>
          <c:yMode val="edge"/>
          <c:x val="0.47575371828521434"/>
          <c:y val="0.36870333916593756"/>
          <c:w val="0.42247864471486518"/>
          <c:h val="0.17803297607907628"/>
        </c:manualLayout>
      </c:layout>
      <c:overlay val="0"/>
      <c:spPr>
        <a:solidFill>
          <a:schemeClr val="bg1"/>
        </a:solidFill>
        <a:ln>
          <a:solidFill>
            <a:schemeClr val="accent1"/>
          </a:solidFill>
        </a:ln>
      </c:spPr>
    </c:legend>
    <c:plotVisOnly val="1"/>
    <c:dispBlanksAs val="gap"/>
    <c:showDLblsOverMax val="0"/>
  </c:chart>
  <c:txPr>
    <a:bodyPr/>
    <a:lstStyle/>
    <a:p>
      <a:pPr>
        <a:defRPr sz="900" baseline="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Compare_PWT!$CF$6</c:f>
              <c:strCache>
                <c:ptCount val="1"/>
                <c:pt idx="0">
                  <c:v>&lt;1940</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Compare_PWT!$CF$7:$CF$13</c:f>
              <c:numCache>
                <c:formatCode>#,##0</c:formatCode>
                <c:ptCount val="7"/>
                <c:pt idx="0">
                  <c:v>13238.675573965274</c:v>
                </c:pt>
                <c:pt idx="1">
                  <c:v>13731.725805588263</c:v>
                </c:pt>
                <c:pt idx="2">
                  <c:v>13789.339534451954</c:v>
                </c:pt>
                <c:pt idx="3">
                  <c:v>11401.696009983711</c:v>
                </c:pt>
                <c:pt idx="4">
                  <c:v>10753.951476837317</c:v>
                </c:pt>
                <c:pt idx="5">
                  <c:v>12078.063377388717</c:v>
                </c:pt>
                <c:pt idx="6">
                  <c:v>12070.971824672715</c:v>
                </c:pt>
              </c:numCache>
            </c:numRef>
          </c:val>
          <c:smooth val="0"/>
          <c:extLst>
            <c:ext xmlns:c16="http://schemas.microsoft.com/office/drawing/2014/chart" uri="{C3380CC4-5D6E-409C-BE32-E72D297353CC}">
              <c16:uniqueId val="{00000000-8C09-4E3B-9514-7DA562FACFDF}"/>
            </c:ext>
          </c:extLst>
        </c:ser>
        <c:ser>
          <c:idx val="1"/>
          <c:order val="1"/>
          <c:tx>
            <c:strRef>
              <c:f>Compare_PWT!$CG$6</c:f>
              <c:strCache>
                <c:ptCount val="1"/>
                <c:pt idx="0">
                  <c:v>1940-49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Compare_PWT!$CG$7:$CG$13</c:f>
              <c:numCache>
                <c:formatCode>#,##0</c:formatCode>
                <c:ptCount val="7"/>
                <c:pt idx="0">
                  <c:v>5697.0200151893705</c:v>
                </c:pt>
                <c:pt idx="1">
                  <c:v>5890.630524605147</c:v>
                </c:pt>
                <c:pt idx="2">
                  <c:v>5828.8465457168131</c:v>
                </c:pt>
                <c:pt idx="3">
                  <c:v>4827.8687214986767</c:v>
                </c:pt>
                <c:pt idx="4">
                  <c:v>4674.4401837973646</c:v>
                </c:pt>
                <c:pt idx="5">
                  <c:v>5429.1595781670403</c:v>
                </c:pt>
                <c:pt idx="6">
                  <c:v>5406.101715699635</c:v>
                </c:pt>
              </c:numCache>
            </c:numRef>
          </c:val>
          <c:smooth val="0"/>
          <c:extLst>
            <c:ext xmlns:c16="http://schemas.microsoft.com/office/drawing/2014/chart" uri="{C3380CC4-5D6E-409C-BE32-E72D297353CC}">
              <c16:uniqueId val="{00000001-8C09-4E3B-9514-7DA562FACFDF}"/>
            </c:ext>
          </c:extLst>
        </c:ser>
        <c:ser>
          <c:idx val="2"/>
          <c:order val="2"/>
          <c:tx>
            <c:strRef>
              <c:f>Compare_PWT!$CH$6</c:f>
              <c:strCache>
                <c:ptCount val="1"/>
                <c:pt idx="0">
                  <c:v>1950-59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Compare_PWT!$CH$7:$CH$13</c:f>
              <c:numCache>
                <c:formatCode>#,##0</c:formatCode>
                <c:ptCount val="7"/>
                <c:pt idx="0">
                  <c:v>10383.325308685691</c:v>
                </c:pt>
                <c:pt idx="1">
                  <c:v>10393.762094314892</c:v>
                </c:pt>
                <c:pt idx="2">
                  <c:v>10535.531481864553</c:v>
                </c:pt>
                <c:pt idx="3">
                  <c:v>8665.2082190328711</c:v>
                </c:pt>
                <c:pt idx="4">
                  <c:v>8413.825297271027</c:v>
                </c:pt>
                <c:pt idx="5">
                  <c:v>9802.8829778502059</c:v>
                </c:pt>
                <c:pt idx="6">
                  <c:v>10035.850078851259</c:v>
                </c:pt>
              </c:numCache>
            </c:numRef>
          </c:val>
          <c:smooth val="0"/>
          <c:extLst>
            <c:ext xmlns:c16="http://schemas.microsoft.com/office/drawing/2014/chart" uri="{C3380CC4-5D6E-409C-BE32-E72D297353CC}">
              <c16:uniqueId val="{00000002-8C09-4E3B-9514-7DA562FACFDF}"/>
            </c:ext>
          </c:extLst>
        </c:ser>
        <c:ser>
          <c:idx val="3"/>
          <c:order val="3"/>
          <c:tx>
            <c:strRef>
              <c:f>Compare_PWT!$CI$6</c:f>
              <c:strCache>
                <c:ptCount val="1"/>
                <c:pt idx="0">
                  <c:v>1960-1969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Compare_PWT!$CI$7:$CI$13</c:f>
              <c:numCache>
                <c:formatCode>#,##0</c:formatCode>
                <c:ptCount val="7"/>
                <c:pt idx="0">
                  <c:v>10044.144882481836</c:v>
                </c:pt>
                <c:pt idx="1">
                  <c:v>10272.317825172686</c:v>
                </c:pt>
                <c:pt idx="2">
                  <c:v>10345.51575882086</c:v>
                </c:pt>
                <c:pt idx="3">
                  <c:v>8551.3783304057306</c:v>
                </c:pt>
                <c:pt idx="4">
                  <c:v>8345.6027434721782</c:v>
                </c:pt>
                <c:pt idx="5">
                  <c:v>9557.115396180654</c:v>
                </c:pt>
                <c:pt idx="6">
                  <c:v>9691.9670145747459</c:v>
                </c:pt>
              </c:numCache>
            </c:numRef>
          </c:val>
          <c:smooth val="0"/>
          <c:extLst>
            <c:ext xmlns:c16="http://schemas.microsoft.com/office/drawing/2014/chart" uri="{C3380CC4-5D6E-409C-BE32-E72D297353CC}">
              <c16:uniqueId val="{00000003-8C09-4E3B-9514-7DA562FACFDF}"/>
            </c:ext>
          </c:extLst>
        </c:ser>
        <c:ser>
          <c:idx val="4"/>
          <c:order val="4"/>
          <c:tx>
            <c:strRef>
              <c:f>Compare_PWT!$CJ$6</c:f>
              <c:strCache>
                <c:ptCount val="1"/>
                <c:pt idx="0">
                  <c:v>1970-1979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Compare_PWT!$CJ$7:$CJ$13</c:f>
              <c:numCache>
                <c:formatCode>#,##0</c:formatCode>
                <c:ptCount val="7"/>
                <c:pt idx="0">
                  <c:v>12384.14874034989</c:v>
                </c:pt>
                <c:pt idx="1">
                  <c:v>12848.628085373453</c:v>
                </c:pt>
                <c:pt idx="2">
                  <c:v>13273.609398621491</c:v>
                </c:pt>
                <c:pt idx="3">
                  <c:v>11094.551894367072</c:v>
                </c:pt>
                <c:pt idx="4">
                  <c:v>11576.563220518887</c:v>
                </c:pt>
                <c:pt idx="5">
                  <c:v>13360.712287146218</c:v>
                </c:pt>
                <c:pt idx="6">
                  <c:v>13131.638337768671</c:v>
                </c:pt>
              </c:numCache>
            </c:numRef>
          </c:val>
          <c:smooth val="0"/>
          <c:extLst>
            <c:ext xmlns:c16="http://schemas.microsoft.com/office/drawing/2014/chart" uri="{C3380CC4-5D6E-409C-BE32-E72D297353CC}">
              <c16:uniqueId val="{00000004-8C09-4E3B-9514-7DA562FACFDF}"/>
            </c:ext>
          </c:extLst>
        </c:ser>
        <c:ser>
          <c:idx val="5"/>
          <c:order val="5"/>
          <c:tx>
            <c:strRef>
              <c:f>Compare_PWT!$CK$6</c:f>
              <c:strCache>
                <c:ptCount val="1"/>
                <c:pt idx="0">
                  <c:v>1980-1989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Compare_PWT!$CK$7:$CK$13</c:f>
              <c:numCache>
                <c:formatCode>#,##0</c:formatCode>
                <c:ptCount val="7"/>
                <c:pt idx="0">
                  <c:v>8876.9727430982784</c:v>
                </c:pt>
                <c:pt idx="1">
                  <c:v>8834.1477718180067</c:v>
                </c:pt>
                <c:pt idx="2">
                  <c:v>8932.7566775058731</c:v>
                </c:pt>
                <c:pt idx="3">
                  <c:v>7727.0187700456236</c:v>
                </c:pt>
                <c:pt idx="4">
                  <c:v>7327.6660439064726</c:v>
                </c:pt>
                <c:pt idx="5">
                  <c:v>8673.202046190574</c:v>
                </c:pt>
                <c:pt idx="6">
                  <c:v>8634.0608837270975</c:v>
                </c:pt>
              </c:numCache>
            </c:numRef>
          </c:val>
          <c:smooth val="0"/>
          <c:extLst>
            <c:ext xmlns:c16="http://schemas.microsoft.com/office/drawing/2014/chart" uri="{C3380CC4-5D6E-409C-BE32-E72D297353CC}">
              <c16:uniqueId val="{00000005-8C09-4E3B-9514-7DA562FACFDF}"/>
            </c:ext>
          </c:extLst>
        </c:ser>
        <c:ser>
          <c:idx val="6"/>
          <c:order val="6"/>
          <c:tx>
            <c:strRef>
              <c:f>Compare_PWT!$CL$6</c:f>
              <c:strCache>
                <c:ptCount val="1"/>
                <c:pt idx="0">
                  <c:v>1990-1999</c:v>
                </c:pt>
              </c:strCache>
            </c:strRef>
          </c:tx>
          <c:cat>
            <c:numRef>
              <c:f>Compare_PWT!$CE$7:$CE$13</c:f>
              <c:numCache>
                <c:formatCode>0</c:formatCode>
                <c:ptCount val="7"/>
                <c:pt idx="0">
                  <c:v>1997</c:v>
                </c:pt>
                <c:pt idx="1">
                  <c:v>1999</c:v>
                </c:pt>
                <c:pt idx="2">
                  <c:v>2001</c:v>
                </c:pt>
                <c:pt idx="3">
                  <c:v>2003</c:v>
                </c:pt>
                <c:pt idx="4">
                  <c:v>2005</c:v>
                </c:pt>
                <c:pt idx="5">
                  <c:v>2007</c:v>
                </c:pt>
                <c:pt idx="6">
                  <c:v>2009</c:v>
                </c:pt>
              </c:numCache>
            </c:numRef>
          </c:cat>
          <c:val>
            <c:numRef>
              <c:f>Compare_PWT!$CL$7:$CL$13</c:f>
              <c:numCache>
                <c:formatCode>#,##0</c:formatCode>
                <c:ptCount val="7"/>
                <c:pt idx="0">
                  <c:v>7327.0950881031804</c:v>
                </c:pt>
                <c:pt idx="1">
                  <c:v>9527.7993463470375</c:v>
                </c:pt>
                <c:pt idx="2">
                  <c:v>9912.1062027953794</c:v>
                </c:pt>
                <c:pt idx="3">
                  <c:v>10365.44176412544</c:v>
                </c:pt>
                <c:pt idx="4">
                  <c:v>8829.9476182295457</c:v>
                </c:pt>
                <c:pt idx="5">
                  <c:v>9576.7934702747243</c:v>
                </c:pt>
                <c:pt idx="6">
                  <c:v>9439.5839263324015</c:v>
                </c:pt>
              </c:numCache>
            </c:numRef>
          </c:val>
          <c:smooth val="0"/>
          <c:extLst>
            <c:ext xmlns:c16="http://schemas.microsoft.com/office/drawing/2014/chart" uri="{C3380CC4-5D6E-409C-BE32-E72D297353CC}">
              <c16:uniqueId val="{00000006-8C09-4E3B-9514-7DA562FACFDF}"/>
            </c:ext>
          </c:extLst>
        </c:ser>
        <c:dLbls>
          <c:showLegendKey val="0"/>
          <c:showVal val="0"/>
          <c:showCatName val="0"/>
          <c:showSerName val="0"/>
          <c:showPercent val="0"/>
          <c:showBubbleSize val="0"/>
        </c:dLbls>
        <c:marker val="1"/>
        <c:smooth val="0"/>
        <c:axId val="67646976"/>
        <c:axId val="67648512"/>
      </c:lineChart>
      <c:catAx>
        <c:axId val="6764697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48512"/>
        <c:crosses val="autoZero"/>
        <c:auto val="1"/>
        <c:lblAlgn val="ctr"/>
        <c:lblOffset val="100"/>
        <c:noMultiLvlLbl val="0"/>
      </c:catAx>
      <c:valAx>
        <c:axId val="6764851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4697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Compare_PWT!$CO$6</c:f>
              <c:strCache>
                <c:ptCount val="1"/>
                <c:pt idx="0">
                  <c:v>Actual</c:v>
                </c:pt>
              </c:strCache>
            </c:strRef>
          </c:tx>
          <c:cat>
            <c:numRef>
              <c:f>Compare_PWT!$CN$7:$CN$13</c:f>
              <c:numCache>
                <c:formatCode>0</c:formatCode>
                <c:ptCount val="7"/>
                <c:pt idx="0">
                  <c:v>1997</c:v>
                </c:pt>
                <c:pt idx="1">
                  <c:v>1999</c:v>
                </c:pt>
                <c:pt idx="2">
                  <c:v>2001</c:v>
                </c:pt>
                <c:pt idx="3">
                  <c:v>2003</c:v>
                </c:pt>
                <c:pt idx="4">
                  <c:v>2005</c:v>
                </c:pt>
                <c:pt idx="5">
                  <c:v>2007</c:v>
                </c:pt>
                <c:pt idx="6">
                  <c:v>2009</c:v>
                </c:pt>
              </c:numCache>
            </c:numRef>
          </c:cat>
          <c:val>
            <c:numRef>
              <c:f>Compare_PWT!$CO$7:$CO$13</c:f>
              <c:numCache>
                <c:formatCode>#,##0</c:formatCode>
                <c:ptCount val="7"/>
                <c:pt idx="0">
                  <c:v>60624.28726377034</c:v>
                </c:pt>
                <c:pt idx="1">
                  <c:v>61971.212106872452</c:v>
                </c:pt>
                <c:pt idx="2">
                  <c:v>62705.599396981546</c:v>
                </c:pt>
                <c:pt idx="3">
                  <c:v>52267.72194533368</c:v>
                </c:pt>
                <c:pt idx="4">
                  <c:v>51092.048965803246</c:v>
                </c:pt>
                <c:pt idx="5">
                  <c:v>58901.135662923407</c:v>
                </c:pt>
                <c:pt idx="6">
                  <c:v>58970.589855294129</c:v>
                </c:pt>
              </c:numCache>
            </c:numRef>
          </c:val>
          <c:smooth val="0"/>
          <c:extLst>
            <c:ext xmlns:c16="http://schemas.microsoft.com/office/drawing/2014/chart" uri="{C3380CC4-5D6E-409C-BE32-E72D297353CC}">
              <c16:uniqueId val="{00000000-D43F-4FB2-8871-908A69E307BA}"/>
            </c:ext>
          </c:extLst>
        </c:ser>
        <c:ser>
          <c:idx val="1"/>
          <c:order val="1"/>
          <c:tx>
            <c:strRef>
              <c:f>Compare_PWT!$CP$6</c:f>
              <c:strCache>
                <c:ptCount val="1"/>
                <c:pt idx="0">
                  <c:v>Predicted</c:v>
                </c:pt>
              </c:strCache>
            </c:strRef>
          </c:tx>
          <c:cat>
            <c:numRef>
              <c:f>Compare_PWT!$CN$7:$CN$13</c:f>
              <c:numCache>
                <c:formatCode>0</c:formatCode>
                <c:ptCount val="7"/>
                <c:pt idx="0">
                  <c:v>1997</c:v>
                </c:pt>
                <c:pt idx="1">
                  <c:v>1999</c:v>
                </c:pt>
                <c:pt idx="2">
                  <c:v>2001</c:v>
                </c:pt>
                <c:pt idx="3">
                  <c:v>2003</c:v>
                </c:pt>
                <c:pt idx="4">
                  <c:v>2005</c:v>
                </c:pt>
                <c:pt idx="5">
                  <c:v>2007</c:v>
                </c:pt>
                <c:pt idx="6">
                  <c:v>2009</c:v>
                </c:pt>
              </c:numCache>
            </c:numRef>
          </c:cat>
          <c:val>
            <c:numRef>
              <c:f>Compare_PWT!$CP$7:$CP$13</c:f>
              <c:numCache>
                <c:formatCode>General</c:formatCode>
                <c:ptCount val="7"/>
                <c:pt idx="0">
                  <c:v>60381.521584820293</c:v>
                </c:pt>
                <c:pt idx="1">
                  <c:v>59547.575326879902</c:v>
                </c:pt>
                <c:pt idx="2">
                  <c:v>58725.146936374324</c:v>
                </c:pt>
                <c:pt idx="3">
                  <c:v>57914.077336781775</c:v>
                </c:pt>
                <c:pt idx="4">
                  <c:v>57114.209648630946</c:v>
                </c:pt>
                <c:pt idx="5">
                  <c:v>56325.389159157239</c:v>
                </c:pt>
                <c:pt idx="6">
                  <c:v>55547.463292378088</c:v>
                </c:pt>
              </c:numCache>
            </c:numRef>
          </c:val>
          <c:smooth val="0"/>
          <c:extLst>
            <c:ext xmlns:c16="http://schemas.microsoft.com/office/drawing/2014/chart" uri="{C3380CC4-5D6E-409C-BE32-E72D297353CC}">
              <c16:uniqueId val="{00000001-D43F-4FB2-8871-908A69E307BA}"/>
            </c:ext>
          </c:extLst>
        </c:ser>
        <c:dLbls>
          <c:showLegendKey val="0"/>
          <c:showVal val="0"/>
          <c:showCatName val="0"/>
          <c:showSerName val="0"/>
          <c:showPercent val="0"/>
          <c:showBubbleSize val="0"/>
        </c:dLbls>
        <c:marker val="1"/>
        <c:smooth val="0"/>
        <c:axId val="67689856"/>
        <c:axId val="67691648"/>
      </c:lineChart>
      <c:catAx>
        <c:axId val="6768985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91648"/>
        <c:crosses val="autoZero"/>
        <c:auto val="1"/>
        <c:lblAlgn val="ctr"/>
        <c:lblOffset val="100"/>
        <c:noMultiLvlLbl val="0"/>
      </c:catAx>
      <c:valAx>
        <c:axId val="67691648"/>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985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Compare_PWT!$DA$6</c:f>
              <c:strCache>
                <c:ptCount val="1"/>
                <c:pt idx="0">
                  <c:v>&lt;1940</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Compare_PWT!$DA$7:$DA$13</c:f>
              <c:numCache>
                <c:formatCode>#,##0</c:formatCode>
                <c:ptCount val="7"/>
                <c:pt idx="0">
                  <c:v>6166.0808005615136</c:v>
                </c:pt>
                <c:pt idx="1">
                  <c:v>5759.8137758875009</c:v>
                </c:pt>
                <c:pt idx="2">
                  <c:v>5375.390605161022</c:v>
                </c:pt>
                <c:pt idx="3">
                  <c:v>4488.3721785049784</c:v>
                </c:pt>
                <c:pt idx="4">
                  <c:v>4388.1954489065183</c:v>
                </c:pt>
                <c:pt idx="5">
                  <c:v>5135.8761804665846</c:v>
                </c:pt>
                <c:pt idx="6">
                  <c:v>4762.2398021134541</c:v>
                </c:pt>
              </c:numCache>
            </c:numRef>
          </c:val>
          <c:smooth val="0"/>
          <c:extLst>
            <c:ext xmlns:c16="http://schemas.microsoft.com/office/drawing/2014/chart" uri="{C3380CC4-5D6E-409C-BE32-E72D297353CC}">
              <c16:uniqueId val="{00000000-F216-4619-A78E-A184806C62C1}"/>
            </c:ext>
          </c:extLst>
        </c:ser>
        <c:ser>
          <c:idx val="1"/>
          <c:order val="1"/>
          <c:tx>
            <c:strRef>
              <c:f>Compare_PWT!$DB$6</c:f>
              <c:strCache>
                <c:ptCount val="1"/>
                <c:pt idx="0">
                  <c:v>1940-49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Compare_PWT!$DB$7:$DB$13</c:f>
              <c:numCache>
                <c:formatCode>#,##0</c:formatCode>
                <c:ptCount val="7"/>
                <c:pt idx="0">
                  <c:v>1608.0287468728714</c:v>
                </c:pt>
                <c:pt idx="1">
                  <c:v>1519.3258619064379</c:v>
                </c:pt>
                <c:pt idx="2">
                  <c:v>1425.8982580970769</c:v>
                </c:pt>
                <c:pt idx="3">
                  <c:v>1249.9864695576634</c:v>
                </c:pt>
                <c:pt idx="4">
                  <c:v>1131.6410754208607</c:v>
                </c:pt>
                <c:pt idx="5">
                  <c:v>1352.8438240596797</c:v>
                </c:pt>
                <c:pt idx="6">
                  <c:v>1285.1783581023469</c:v>
                </c:pt>
              </c:numCache>
            </c:numRef>
          </c:val>
          <c:smooth val="0"/>
          <c:extLst>
            <c:ext xmlns:c16="http://schemas.microsoft.com/office/drawing/2014/chart" uri="{C3380CC4-5D6E-409C-BE32-E72D297353CC}">
              <c16:uniqueId val="{00000001-F216-4619-A78E-A184806C62C1}"/>
            </c:ext>
          </c:extLst>
        </c:ser>
        <c:ser>
          <c:idx val="2"/>
          <c:order val="2"/>
          <c:tx>
            <c:strRef>
              <c:f>Compare_PWT!$DC$6</c:f>
              <c:strCache>
                <c:ptCount val="1"/>
                <c:pt idx="0">
                  <c:v>1950-59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Compare_PWT!$DC$7:$DC$13</c:f>
              <c:numCache>
                <c:formatCode>#,##0</c:formatCode>
                <c:ptCount val="7"/>
                <c:pt idx="0">
                  <c:v>1974.0038961175023</c:v>
                </c:pt>
                <c:pt idx="1">
                  <c:v>1797.9806068493858</c:v>
                </c:pt>
                <c:pt idx="2">
                  <c:v>1864.9057159787992</c:v>
                </c:pt>
                <c:pt idx="3">
                  <c:v>1553.3023987212409</c:v>
                </c:pt>
                <c:pt idx="4">
                  <c:v>1431.8067089736855</c:v>
                </c:pt>
                <c:pt idx="5">
                  <c:v>1652.183367812502</c:v>
                </c:pt>
                <c:pt idx="6">
                  <c:v>1679.7863224350169</c:v>
                </c:pt>
              </c:numCache>
            </c:numRef>
          </c:val>
          <c:smooth val="0"/>
          <c:extLst>
            <c:ext xmlns:c16="http://schemas.microsoft.com/office/drawing/2014/chart" uri="{C3380CC4-5D6E-409C-BE32-E72D297353CC}">
              <c16:uniqueId val="{00000002-F216-4619-A78E-A184806C62C1}"/>
            </c:ext>
          </c:extLst>
        </c:ser>
        <c:ser>
          <c:idx val="3"/>
          <c:order val="3"/>
          <c:tx>
            <c:strRef>
              <c:f>Compare_PWT!$DD$6</c:f>
              <c:strCache>
                <c:ptCount val="1"/>
                <c:pt idx="0">
                  <c:v>1960-1969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Compare_PWT!$DD$7:$DD$13</c:f>
              <c:numCache>
                <c:formatCode>#,##0</c:formatCode>
                <c:ptCount val="7"/>
                <c:pt idx="0">
                  <c:v>3537.2808487035782</c:v>
                </c:pt>
                <c:pt idx="1">
                  <c:v>3354.406284914096</c:v>
                </c:pt>
                <c:pt idx="2">
                  <c:v>3456.4629761369074</c:v>
                </c:pt>
                <c:pt idx="3">
                  <c:v>2918.2275341376289</c:v>
                </c:pt>
                <c:pt idx="4">
                  <c:v>2824.3241485444996</c:v>
                </c:pt>
                <c:pt idx="5">
                  <c:v>3453.8515442937687</c:v>
                </c:pt>
                <c:pt idx="6">
                  <c:v>3232.2716333262219</c:v>
                </c:pt>
              </c:numCache>
            </c:numRef>
          </c:val>
          <c:smooth val="0"/>
          <c:extLst>
            <c:ext xmlns:c16="http://schemas.microsoft.com/office/drawing/2014/chart" uri="{C3380CC4-5D6E-409C-BE32-E72D297353CC}">
              <c16:uniqueId val="{00000003-F216-4619-A78E-A184806C62C1}"/>
            </c:ext>
          </c:extLst>
        </c:ser>
        <c:ser>
          <c:idx val="4"/>
          <c:order val="4"/>
          <c:tx>
            <c:strRef>
              <c:f>Compare_PWT!$DE$6</c:f>
              <c:strCache>
                <c:ptCount val="1"/>
                <c:pt idx="0">
                  <c:v>1970-1979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Compare_PWT!$DE$7:$DE$13</c:f>
              <c:numCache>
                <c:formatCode>#,##0</c:formatCode>
                <c:ptCount val="7"/>
                <c:pt idx="0">
                  <c:v>5814.3768939900547</c:v>
                </c:pt>
                <c:pt idx="1">
                  <c:v>5659.8456081821523</c:v>
                </c:pt>
                <c:pt idx="2">
                  <c:v>5550.1231868986506</c:v>
                </c:pt>
                <c:pt idx="3">
                  <c:v>4959.0302202475896</c:v>
                </c:pt>
                <c:pt idx="4">
                  <c:v>5765.2767027017117</c:v>
                </c:pt>
                <c:pt idx="5">
                  <c:v>6890.5215294910695</c:v>
                </c:pt>
                <c:pt idx="6">
                  <c:v>6620.0929300840835</c:v>
                </c:pt>
              </c:numCache>
            </c:numRef>
          </c:val>
          <c:smooth val="0"/>
          <c:extLst>
            <c:ext xmlns:c16="http://schemas.microsoft.com/office/drawing/2014/chart" uri="{C3380CC4-5D6E-409C-BE32-E72D297353CC}">
              <c16:uniqueId val="{00000004-F216-4619-A78E-A184806C62C1}"/>
            </c:ext>
          </c:extLst>
        </c:ser>
        <c:ser>
          <c:idx val="5"/>
          <c:order val="5"/>
          <c:tx>
            <c:strRef>
              <c:f>Compare_PWT!$DF$6</c:f>
              <c:strCache>
                <c:ptCount val="1"/>
                <c:pt idx="0">
                  <c:v>1980-1989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Compare_PWT!$DF$7:$DF$13</c:f>
              <c:numCache>
                <c:formatCode>#,##0</c:formatCode>
                <c:ptCount val="7"/>
                <c:pt idx="0">
                  <c:v>4331.8750069505513</c:v>
                </c:pt>
                <c:pt idx="1">
                  <c:v>4403.1582061558338</c:v>
                </c:pt>
                <c:pt idx="2">
                  <c:v>4365.8980092340289</c:v>
                </c:pt>
                <c:pt idx="3">
                  <c:v>3518.266219058396</c:v>
                </c:pt>
                <c:pt idx="4">
                  <c:v>3607.2213862492631</c:v>
                </c:pt>
                <c:pt idx="5">
                  <c:v>4017.0437280411384</c:v>
                </c:pt>
                <c:pt idx="6">
                  <c:v>4024.5158034563065</c:v>
                </c:pt>
              </c:numCache>
            </c:numRef>
          </c:val>
          <c:smooth val="0"/>
          <c:extLst>
            <c:ext xmlns:c16="http://schemas.microsoft.com/office/drawing/2014/chart" uri="{C3380CC4-5D6E-409C-BE32-E72D297353CC}">
              <c16:uniqueId val="{00000005-F216-4619-A78E-A184806C62C1}"/>
            </c:ext>
          </c:extLst>
        </c:ser>
        <c:ser>
          <c:idx val="6"/>
          <c:order val="6"/>
          <c:tx>
            <c:strRef>
              <c:f>Compare_PWT!$DG$6</c:f>
              <c:strCache>
                <c:ptCount val="1"/>
                <c:pt idx="0">
                  <c:v>1990-1999</c:v>
                </c:pt>
              </c:strCache>
            </c:strRef>
          </c:tx>
          <c:cat>
            <c:numRef>
              <c:f>Compare_PWT!$CZ$7:$CZ$13</c:f>
              <c:numCache>
                <c:formatCode>0</c:formatCode>
                <c:ptCount val="7"/>
                <c:pt idx="0">
                  <c:v>1997</c:v>
                </c:pt>
                <c:pt idx="1">
                  <c:v>1999</c:v>
                </c:pt>
                <c:pt idx="2">
                  <c:v>2001</c:v>
                </c:pt>
                <c:pt idx="3">
                  <c:v>2003</c:v>
                </c:pt>
                <c:pt idx="4">
                  <c:v>2005</c:v>
                </c:pt>
                <c:pt idx="5">
                  <c:v>2007</c:v>
                </c:pt>
                <c:pt idx="6">
                  <c:v>2009</c:v>
                </c:pt>
              </c:numCache>
            </c:numRef>
          </c:cat>
          <c:val>
            <c:numRef>
              <c:f>Compare_PWT!$DG$7:$DG$13</c:f>
              <c:numCache>
                <c:formatCode>#,##0</c:formatCode>
                <c:ptCount val="7"/>
                <c:pt idx="0">
                  <c:v>1556.818229577101</c:v>
                </c:pt>
                <c:pt idx="1">
                  <c:v>2021.0920180915298</c:v>
                </c:pt>
                <c:pt idx="2">
                  <c:v>2190.3728615456898</c:v>
                </c:pt>
                <c:pt idx="3">
                  <c:v>2142.8868165171134</c:v>
                </c:pt>
                <c:pt idx="4">
                  <c:v>1892.6034517285993</c:v>
                </c:pt>
                <c:pt idx="5">
                  <c:v>2099.5647129915405</c:v>
                </c:pt>
                <c:pt idx="6">
                  <c:v>2109.8537334612402</c:v>
                </c:pt>
              </c:numCache>
            </c:numRef>
          </c:val>
          <c:smooth val="0"/>
          <c:extLst>
            <c:ext xmlns:c16="http://schemas.microsoft.com/office/drawing/2014/chart" uri="{C3380CC4-5D6E-409C-BE32-E72D297353CC}">
              <c16:uniqueId val="{00000006-F216-4619-A78E-A184806C62C1}"/>
            </c:ext>
          </c:extLst>
        </c:ser>
        <c:dLbls>
          <c:showLegendKey val="0"/>
          <c:showVal val="0"/>
          <c:showCatName val="0"/>
          <c:showSerName val="0"/>
          <c:showPercent val="0"/>
          <c:showBubbleSize val="0"/>
        </c:dLbls>
        <c:marker val="1"/>
        <c:smooth val="0"/>
        <c:axId val="219813376"/>
        <c:axId val="219814912"/>
      </c:lineChart>
      <c:catAx>
        <c:axId val="21981337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9814912"/>
        <c:crosses val="autoZero"/>
        <c:auto val="1"/>
        <c:lblAlgn val="ctr"/>
        <c:lblOffset val="100"/>
        <c:noMultiLvlLbl val="0"/>
      </c:catAx>
      <c:valAx>
        <c:axId val="21981491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981337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Compare_PWT!$DJ$6</c:f>
              <c:strCache>
                <c:ptCount val="1"/>
                <c:pt idx="0">
                  <c:v>Actual</c:v>
                </c:pt>
              </c:strCache>
            </c:strRef>
          </c:tx>
          <c:cat>
            <c:numRef>
              <c:f>Compare_PWT!$DI$7:$DI$13</c:f>
              <c:numCache>
                <c:formatCode>0</c:formatCode>
                <c:ptCount val="7"/>
                <c:pt idx="0">
                  <c:v>1997</c:v>
                </c:pt>
                <c:pt idx="1">
                  <c:v>1999</c:v>
                </c:pt>
                <c:pt idx="2">
                  <c:v>2001</c:v>
                </c:pt>
                <c:pt idx="3">
                  <c:v>2003</c:v>
                </c:pt>
                <c:pt idx="4">
                  <c:v>2005</c:v>
                </c:pt>
                <c:pt idx="5">
                  <c:v>2007</c:v>
                </c:pt>
                <c:pt idx="6">
                  <c:v>2009</c:v>
                </c:pt>
              </c:numCache>
            </c:numRef>
          </c:cat>
          <c:val>
            <c:numRef>
              <c:f>Compare_PWT!$DJ$7:$DJ$13</c:f>
              <c:numCache>
                <c:formatCode>#,##0</c:formatCode>
                <c:ptCount val="7"/>
                <c:pt idx="0">
                  <c:v>23431.646193196069</c:v>
                </c:pt>
                <c:pt idx="1">
                  <c:v>22494.530343895407</c:v>
                </c:pt>
                <c:pt idx="2">
                  <c:v>22038.678751506486</c:v>
                </c:pt>
                <c:pt idx="3">
                  <c:v>18687.185020227495</c:v>
                </c:pt>
                <c:pt idx="4">
                  <c:v>19148.465470796542</c:v>
                </c:pt>
                <c:pt idx="5">
                  <c:v>22502.320174164743</c:v>
                </c:pt>
                <c:pt idx="6">
                  <c:v>21604.084849517429</c:v>
                </c:pt>
              </c:numCache>
            </c:numRef>
          </c:val>
          <c:smooth val="0"/>
          <c:extLst>
            <c:ext xmlns:c16="http://schemas.microsoft.com/office/drawing/2014/chart" uri="{C3380CC4-5D6E-409C-BE32-E72D297353CC}">
              <c16:uniqueId val="{00000000-40B2-4607-AFED-3CEDB2A1BD9E}"/>
            </c:ext>
          </c:extLst>
        </c:ser>
        <c:ser>
          <c:idx val="1"/>
          <c:order val="1"/>
          <c:tx>
            <c:strRef>
              <c:f>Compare_PWT!$DK$6</c:f>
              <c:strCache>
                <c:ptCount val="1"/>
                <c:pt idx="0">
                  <c:v>Predicted</c:v>
                </c:pt>
              </c:strCache>
            </c:strRef>
          </c:tx>
          <c:cat>
            <c:numRef>
              <c:f>Compare_PWT!$DI$7:$DI$13</c:f>
              <c:numCache>
                <c:formatCode>0</c:formatCode>
                <c:ptCount val="7"/>
                <c:pt idx="0">
                  <c:v>1997</c:v>
                </c:pt>
                <c:pt idx="1">
                  <c:v>1999</c:v>
                </c:pt>
                <c:pt idx="2">
                  <c:v>2001</c:v>
                </c:pt>
                <c:pt idx="3">
                  <c:v>2003</c:v>
                </c:pt>
                <c:pt idx="4">
                  <c:v>2005</c:v>
                </c:pt>
                <c:pt idx="5">
                  <c:v>2007</c:v>
                </c:pt>
                <c:pt idx="6">
                  <c:v>2009</c:v>
                </c:pt>
              </c:numCache>
            </c:numRef>
          </c:cat>
          <c:val>
            <c:numRef>
              <c:f>Compare_PWT!$DK$7:$DK$13</c:f>
              <c:numCache>
                <c:formatCode>General</c:formatCode>
                <c:ptCount val="7"/>
                <c:pt idx="0">
                  <c:v>22243.486581976871</c:v>
                </c:pt>
                <c:pt idx="1">
                  <c:v>21940.907683092912</c:v>
                </c:pt>
                <c:pt idx="2">
                  <c:v>21642.444775185111</c:v>
                </c:pt>
                <c:pt idx="3">
                  <c:v>21348.041868289278</c:v>
                </c:pt>
                <c:pt idx="4">
                  <c:v>21057.643734074547</c:v>
                </c:pt>
                <c:pt idx="5">
                  <c:v>20771.195895483015</c:v>
                </c:pt>
                <c:pt idx="6">
                  <c:v>20488.644616509926</c:v>
                </c:pt>
              </c:numCache>
            </c:numRef>
          </c:val>
          <c:smooth val="0"/>
          <c:extLst>
            <c:ext xmlns:c16="http://schemas.microsoft.com/office/drawing/2014/chart" uri="{C3380CC4-5D6E-409C-BE32-E72D297353CC}">
              <c16:uniqueId val="{00000001-40B2-4607-AFED-3CEDB2A1BD9E}"/>
            </c:ext>
          </c:extLst>
        </c:ser>
        <c:dLbls>
          <c:showLegendKey val="0"/>
          <c:showVal val="0"/>
          <c:showCatName val="0"/>
          <c:showSerName val="0"/>
          <c:showPercent val="0"/>
          <c:showBubbleSize val="0"/>
        </c:dLbls>
        <c:marker val="1"/>
        <c:smooth val="0"/>
        <c:axId val="219823488"/>
        <c:axId val="219849856"/>
      </c:lineChart>
      <c:catAx>
        <c:axId val="219823488"/>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9849856"/>
        <c:crosses val="autoZero"/>
        <c:auto val="1"/>
        <c:lblAlgn val="ctr"/>
        <c:lblOffset val="100"/>
        <c:noMultiLvlLbl val="0"/>
      </c:catAx>
      <c:valAx>
        <c:axId val="21984985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982348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Compare_PWT!$EE$6</c:f>
              <c:strCache>
                <c:ptCount val="1"/>
                <c:pt idx="0">
                  <c:v>Actual</c:v>
                </c:pt>
              </c:strCache>
            </c:strRef>
          </c:tx>
          <c:cat>
            <c:numRef>
              <c:f>Compare_PWT!$ED$7:$ED$13</c:f>
              <c:numCache>
                <c:formatCode>0</c:formatCode>
                <c:ptCount val="7"/>
                <c:pt idx="0">
                  <c:v>1997</c:v>
                </c:pt>
                <c:pt idx="1">
                  <c:v>1999</c:v>
                </c:pt>
                <c:pt idx="2">
                  <c:v>2001</c:v>
                </c:pt>
                <c:pt idx="3">
                  <c:v>2003</c:v>
                </c:pt>
                <c:pt idx="4">
                  <c:v>2005</c:v>
                </c:pt>
                <c:pt idx="5">
                  <c:v>2007</c:v>
                </c:pt>
                <c:pt idx="6">
                  <c:v>2009</c:v>
                </c:pt>
              </c:numCache>
            </c:numRef>
          </c:cat>
          <c:val>
            <c:numRef>
              <c:f>Compare_PWT!$EE$7:$EE$13</c:f>
              <c:numCache>
                <c:formatCode>#,##0</c:formatCode>
                <c:ptCount val="7"/>
                <c:pt idx="0">
                  <c:v>4787.2641679774697</c:v>
                </c:pt>
                <c:pt idx="1">
                  <c:v>4379.0428044752971</c:v>
                </c:pt>
                <c:pt idx="2">
                  <c:v>4398.4146063346143</c:v>
                </c:pt>
                <c:pt idx="3">
                  <c:v>3482.0602405790114</c:v>
                </c:pt>
                <c:pt idx="4">
                  <c:v>3039.8982453687777</c:v>
                </c:pt>
                <c:pt idx="5">
                  <c:v>3600.4735918744636</c:v>
                </c:pt>
                <c:pt idx="6">
                  <c:v>3422.8391429166159</c:v>
                </c:pt>
              </c:numCache>
            </c:numRef>
          </c:val>
          <c:smooth val="0"/>
          <c:extLst>
            <c:ext xmlns:c16="http://schemas.microsoft.com/office/drawing/2014/chart" uri="{C3380CC4-5D6E-409C-BE32-E72D297353CC}">
              <c16:uniqueId val="{00000000-9C32-4EDB-8F66-0FEFFF6BC971}"/>
            </c:ext>
          </c:extLst>
        </c:ser>
        <c:ser>
          <c:idx val="1"/>
          <c:order val="1"/>
          <c:tx>
            <c:strRef>
              <c:f>Compare_PWT!$EF$6</c:f>
              <c:strCache>
                <c:ptCount val="1"/>
                <c:pt idx="0">
                  <c:v>Predicted</c:v>
                </c:pt>
              </c:strCache>
            </c:strRef>
          </c:tx>
          <c:cat>
            <c:numRef>
              <c:f>Compare_PWT!$ED$7:$ED$13</c:f>
              <c:numCache>
                <c:formatCode>0</c:formatCode>
                <c:ptCount val="7"/>
                <c:pt idx="0">
                  <c:v>1997</c:v>
                </c:pt>
                <c:pt idx="1">
                  <c:v>1999</c:v>
                </c:pt>
                <c:pt idx="2">
                  <c:v>2001</c:v>
                </c:pt>
                <c:pt idx="3">
                  <c:v>2003</c:v>
                </c:pt>
                <c:pt idx="4">
                  <c:v>2005</c:v>
                </c:pt>
                <c:pt idx="5">
                  <c:v>2007</c:v>
                </c:pt>
                <c:pt idx="6">
                  <c:v>2009</c:v>
                </c:pt>
              </c:numCache>
            </c:numRef>
          </c:cat>
          <c:val>
            <c:numRef>
              <c:f>Compare_PWT!$EF$7:$EF$13</c:f>
              <c:numCache>
                <c:formatCode>General</c:formatCode>
                <c:ptCount val="7"/>
                <c:pt idx="0">
                  <c:v>4625.1616417792984</c:v>
                </c:pt>
                <c:pt idx="1">
                  <c:v>4342.235577250005</c:v>
                </c:pt>
                <c:pt idx="2">
                  <c:v>4076.6164014717979</c:v>
                </c:pt>
                <c:pt idx="3">
                  <c:v>3827.2454336237897</c:v>
                </c:pt>
                <c:pt idx="4">
                  <c:v>3593.1287535186757</c:v>
                </c:pt>
                <c:pt idx="5">
                  <c:v>3373.3332401257635</c:v>
                </c:pt>
                <c:pt idx="6">
                  <c:v>3166.9828524218115</c:v>
                </c:pt>
              </c:numCache>
            </c:numRef>
          </c:val>
          <c:smooth val="0"/>
          <c:extLst>
            <c:ext xmlns:c16="http://schemas.microsoft.com/office/drawing/2014/chart" uri="{C3380CC4-5D6E-409C-BE32-E72D297353CC}">
              <c16:uniqueId val="{00000001-9C32-4EDB-8F66-0FEFFF6BC971}"/>
            </c:ext>
          </c:extLst>
        </c:ser>
        <c:dLbls>
          <c:showLegendKey val="0"/>
          <c:showVal val="0"/>
          <c:showCatName val="0"/>
          <c:showSerName val="0"/>
          <c:showPercent val="0"/>
          <c:showBubbleSize val="0"/>
        </c:dLbls>
        <c:marker val="1"/>
        <c:smooth val="0"/>
        <c:axId val="220083712"/>
        <c:axId val="220085248"/>
      </c:lineChart>
      <c:catAx>
        <c:axId val="22008371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085248"/>
        <c:crosses val="autoZero"/>
        <c:auto val="1"/>
        <c:lblAlgn val="ctr"/>
        <c:lblOffset val="100"/>
        <c:noMultiLvlLbl val="0"/>
      </c:catAx>
      <c:valAx>
        <c:axId val="22008524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08371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Compare_PWT!$DV$6</c:f>
              <c:strCache>
                <c:ptCount val="1"/>
                <c:pt idx="0">
                  <c:v>&lt;1940</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Compare_PWT!$DV$7:$DV$13</c:f>
              <c:numCache>
                <c:formatCode>#,##0</c:formatCode>
                <c:ptCount val="7"/>
                <c:pt idx="0">
                  <c:v>35.429437008300006</c:v>
                </c:pt>
                <c:pt idx="1">
                  <c:v>37.513102551499998</c:v>
                </c:pt>
                <c:pt idx="2">
                  <c:v>56.140796059100005</c:v>
                </c:pt>
                <c:pt idx="3">
                  <c:v>39.075224819400006</c:v>
                </c:pt>
                <c:pt idx="4">
                  <c:v>45.82645404940002</c:v>
                </c:pt>
                <c:pt idx="5">
                  <c:v>55.675212703299998</c:v>
                </c:pt>
                <c:pt idx="6">
                  <c:v>49.254241721900001</c:v>
                </c:pt>
              </c:numCache>
            </c:numRef>
          </c:val>
          <c:smooth val="0"/>
          <c:extLst>
            <c:ext xmlns:c16="http://schemas.microsoft.com/office/drawing/2014/chart" uri="{C3380CC4-5D6E-409C-BE32-E72D297353CC}">
              <c16:uniqueId val="{00000000-CAA8-4625-88A6-DAD12C580641}"/>
            </c:ext>
          </c:extLst>
        </c:ser>
        <c:ser>
          <c:idx val="1"/>
          <c:order val="1"/>
          <c:tx>
            <c:strRef>
              <c:f>Compare_PWT!$DW$6</c:f>
              <c:strCache>
                <c:ptCount val="1"/>
                <c:pt idx="0">
                  <c:v>1940-49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Compare_PWT!$DW$7:$DW$13</c:f>
              <c:numCache>
                <c:formatCode>#,##0</c:formatCode>
                <c:ptCount val="7"/>
                <c:pt idx="0">
                  <c:v>16.209391437699999</c:v>
                </c:pt>
                <c:pt idx="1">
                  <c:v>16.261309679299998</c:v>
                </c:pt>
                <c:pt idx="2">
                  <c:v>23.506495982300002</c:v>
                </c:pt>
                <c:pt idx="3">
                  <c:v>15.46645241</c:v>
                </c:pt>
                <c:pt idx="4">
                  <c:v>25.777420679999999</c:v>
                </c:pt>
                <c:pt idx="5">
                  <c:v>37.758586712099998</c:v>
                </c:pt>
                <c:pt idx="6">
                  <c:v>53.767133913800009</c:v>
                </c:pt>
              </c:numCache>
            </c:numRef>
          </c:val>
          <c:smooth val="0"/>
          <c:extLst>
            <c:ext xmlns:c16="http://schemas.microsoft.com/office/drawing/2014/chart" uri="{C3380CC4-5D6E-409C-BE32-E72D297353CC}">
              <c16:uniqueId val="{00000001-CAA8-4625-88A6-DAD12C580641}"/>
            </c:ext>
          </c:extLst>
        </c:ser>
        <c:ser>
          <c:idx val="2"/>
          <c:order val="2"/>
          <c:tx>
            <c:strRef>
              <c:f>Compare_PWT!$DX$6</c:f>
              <c:strCache>
                <c:ptCount val="1"/>
                <c:pt idx="0">
                  <c:v>1950-59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Compare_PWT!$DX$7:$DX$13</c:f>
              <c:numCache>
                <c:formatCode>#,##0</c:formatCode>
                <c:ptCount val="7"/>
                <c:pt idx="0">
                  <c:v>117.80943427634</c:v>
                </c:pt>
                <c:pt idx="1">
                  <c:v>102.40729552607998</c:v>
                </c:pt>
                <c:pt idx="2">
                  <c:v>100.69828062954001</c:v>
                </c:pt>
                <c:pt idx="3">
                  <c:v>70.004623397520035</c:v>
                </c:pt>
                <c:pt idx="4">
                  <c:v>43.947485479400015</c:v>
                </c:pt>
                <c:pt idx="5">
                  <c:v>41.692448847599998</c:v>
                </c:pt>
                <c:pt idx="6">
                  <c:v>55.596116218799999</c:v>
                </c:pt>
              </c:numCache>
            </c:numRef>
          </c:val>
          <c:smooth val="0"/>
          <c:extLst>
            <c:ext xmlns:c16="http://schemas.microsoft.com/office/drawing/2014/chart" uri="{C3380CC4-5D6E-409C-BE32-E72D297353CC}">
              <c16:uniqueId val="{00000002-CAA8-4625-88A6-DAD12C580641}"/>
            </c:ext>
          </c:extLst>
        </c:ser>
        <c:ser>
          <c:idx val="3"/>
          <c:order val="3"/>
          <c:tx>
            <c:strRef>
              <c:f>Compare_PWT!$DY$6</c:f>
              <c:strCache>
                <c:ptCount val="1"/>
                <c:pt idx="0">
                  <c:v>1960-1969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Compare_PWT!$DY$7:$DY$13</c:f>
              <c:numCache>
                <c:formatCode>#,##0</c:formatCode>
                <c:ptCount val="7"/>
                <c:pt idx="0">
                  <c:v>729.65148363604442</c:v>
                </c:pt>
                <c:pt idx="1">
                  <c:v>601.58513447374332</c:v>
                </c:pt>
                <c:pt idx="2">
                  <c:v>594.31925623098221</c:v>
                </c:pt>
                <c:pt idx="3">
                  <c:v>473.69224433447806</c:v>
                </c:pt>
                <c:pt idx="4">
                  <c:v>390.77311569023038</c:v>
                </c:pt>
                <c:pt idx="5">
                  <c:v>383.72673918330003</c:v>
                </c:pt>
                <c:pt idx="6">
                  <c:v>401.48034546477976</c:v>
                </c:pt>
              </c:numCache>
            </c:numRef>
          </c:val>
          <c:smooth val="0"/>
          <c:extLst>
            <c:ext xmlns:c16="http://schemas.microsoft.com/office/drawing/2014/chart" uri="{C3380CC4-5D6E-409C-BE32-E72D297353CC}">
              <c16:uniqueId val="{00000003-CAA8-4625-88A6-DAD12C580641}"/>
            </c:ext>
          </c:extLst>
        </c:ser>
        <c:ser>
          <c:idx val="4"/>
          <c:order val="4"/>
          <c:tx>
            <c:strRef>
              <c:f>Compare_PWT!$DZ$6</c:f>
              <c:strCache>
                <c:ptCount val="1"/>
                <c:pt idx="0">
                  <c:v>1970-1979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Compare_PWT!$DZ$7:$DZ$13</c:f>
              <c:numCache>
                <c:formatCode>#,##0</c:formatCode>
                <c:ptCount val="7"/>
                <c:pt idx="0">
                  <c:v>2372.5162144807373</c:v>
                </c:pt>
                <c:pt idx="1">
                  <c:v>2103.5987465911835</c:v>
                </c:pt>
                <c:pt idx="2">
                  <c:v>2093.3308423382309</c:v>
                </c:pt>
                <c:pt idx="3">
                  <c:v>1694.4636330132953</c:v>
                </c:pt>
                <c:pt idx="4">
                  <c:v>1434.3617260175499</c:v>
                </c:pt>
                <c:pt idx="5">
                  <c:v>1585.1717941231875</c:v>
                </c:pt>
                <c:pt idx="6">
                  <c:v>1496.2498974446548</c:v>
                </c:pt>
              </c:numCache>
            </c:numRef>
          </c:val>
          <c:smooth val="0"/>
          <c:extLst>
            <c:ext xmlns:c16="http://schemas.microsoft.com/office/drawing/2014/chart" uri="{C3380CC4-5D6E-409C-BE32-E72D297353CC}">
              <c16:uniqueId val="{00000004-CAA8-4625-88A6-DAD12C580641}"/>
            </c:ext>
          </c:extLst>
        </c:ser>
        <c:ser>
          <c:idx val="5"/>
          <c:order val="5"/>
          <c:tx>
            <c:strRef>
              <c:f>Compare_PWT!$EA$6</c:f>
              <c:strCache>
                <c:ptCount val="1"/>
                <c:pt idx="0">
                  <c:v>1980-1989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Compare_PWT!$EA$7:$EA$13</c:f>
              <c:numCache>
                <c:formatCode>#,##0</c:formatCode>
                <c:ptCount val="7"/>
                <c:pt idx="0">
                  <c:v>1515.6482071383475</c:v>
                </c:pt>
                <c:pt idx="1">
                  <c:v>1517.6772156534907</c:v>
                </c:pt>
                <c:pt idx="2">
                  <c:v>1530.4189350944616</c:v>
                </c:pt>
                <c:pt idx="3">
                  <c:v>1189.3580626043179</c:v>
                </c:pt>
                <c:pt idx="4">
                  <c:v>1099.2120434521973</c:v>
                </c:pt>
                <c:pt idx="5">
                  <c:v>1496.448810304976</c:v>
                </c:pt>
                <c:pt idx="6">
                  <c:v>1366.4914081526813</c:v>
                </c:pt>
              </c:numCache>
            </c:numRef>
          </c:val>
          <c:smooth val="0"/>
          <c:extLst>
            <c:ext xmlns:c16="http://schemas.microsoft.com/office/drawing/2014/chart" uri="{C3380CC4-5D6E-409C-BE32-E72D297353CC}">
              <c16:uniqueId val="{00000005-CAA8-4625-88A6-DAD12C580641}"/>
            </c:ext>
          </c:extLst>
        </c:ser>
        <c:ser>
          <c:idx val="6"/>
          <c:order val="6"/>
          <c:tx>
            <c:strRef>
              <c:f>Compare_PWT!$EB$6</c:f>
              <c:strCache>
                <c:ptCount val="1"/>
                <c:pt idx="0">
                  <c:v>1990-1999</c:v>
                </c:pt>
              </c:strCache>
            </c:strRef>
          </c:tx>
          <c:cat>
            <c:numRef>
              <c:f>Compare_PWT!$DU$7:$DU$13</c:f>
              <c:numCache>
                <c:formatCode>0</c:formatCode>
                <c:ptCount val="7"/>
                <c:pt idx="0">
                  <c:v>1997</c:v>
                </c:pt>
                <c:pt idx="1">
                  <c:v>1999</c:v>
                </c:pt>
                <c:pt idx="2">
                  <c:v>2001</c:v>
                </c:pt>
                <c:pt idx="3">
                  <c:v>2003</c:v>
                </c:pt>
                <c:pt idx="4">
                  <c:v>2005</c:v>
                </c:pt>
                <c:pt idx="5">
                  <c:v>2007</c:v>
                </c:pt>
                <c:pt idx="6">
                  <c:v>2009</c:v>
                </c:pt>
              </c:numCache>
            </c:numRef>
          </c:cat>
          <c:val>
            <c:numRef>
              <c:f>Compare_PWT!$EB$7:$EB$13</c:f>
              <c:numCache>
                <c:formatCode>#,##0</c:formatCode>
                <c:ptCount val="7"/>
                <c:pt idx="0">
                  <c:v>1745.4471512269556</c:v>
                </c:pt>
                <c:pt idx="1">
                  <c:v>2400.3862144058899</c:v>
                </c:pt>
                <c:pt idx="2">
                  <c:v>2439.2343082056095</c:v>
                </c:pt>
                <c:pt idx="3">
                  <c:v>1506.0685200909809</c:v>
                </c:pt>
                <c:pt idx="4">
                  <c:v>1380.6197396395621</c:v>
                </c:pt>
                <c:pt idx="5">
                  <c:v>2300.1157364831356</c:v>
                </c:pt>
                <c:pt idx="6">
                  <c:v>2270.1129433710662</c:v>
                </c:pt>
              </c:numCache>
            </c:numRef>
          </c:val>
          <c:smooth val="0"/>
          <c:extLst>
            <c:ext xmlns:c16="http://schemas.microsoft.com/office/drawing/2014/chart" uri="{C3380CC4-5D6E-409C-BE32-E72D297353CC}">
              <c16:uniqueId val="{00000006-CAA8-4625-88A6-DAD12C580641}"/>
            </c:ext>
          </c:extLst>
        </c:ser>
        <c:dLbls>
          <c:showLegendKey val="0"/>
          <c:showVal val="0"/>
          <c:showCatName val="0"/>
          <c:showSerName val="0"/>
          <c:showPercent val="0"/>
          <c:showBubbleSize val="0"/>
        </c:dLbls>
        <c:marker val="1"/>
        <c:smooth val="0"/>
        <c:axId val="220118400"/>
        <c:axId val="220128384"/>
      </c:lineChart>
      <c:catAx>
        <c:axId val="220118400"/>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128384"/>
        <c:crosses val="autoZero"/>
        <c:auto val="1"/>
        <c:lblAlgn val="ctr"/>
        <c:lblOffset val="100"/>
        <c:noMultiLvlLbl val="0"/>
      </c:catAx>
      <c:valAx>
        <c:axId val="22012838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11840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Compare_PWT!$CE$34:$CE$35</c:f>
              <c:strCache>
                <c:ptCount val="2"/>
                <c:pt idx="0">
                  <c:v>Single Family</c:v>
                </c:pt>
              </c:strCache>
            </c:strRef>
          </c:tx>
          <c:val>
            <c:numRef>
              <c:f>Compare_PWT!$CE$36:$CE$42</c:f>
              <c:numCache>
                <c:formatCode>0</c:formatCode>
                <c:ptCount val="7"/>
                <c:pt idx="0">
                  <c:v>1997</c:v>
                </c:pt>
                <c:pt idx="1">
                  <c:v>1999</c:v>
                </c:pt>
                <c:pt idx="2">
                  <c:v>2001</c:v>
                </c:pt>
                <c:pt idx="3">
                  <c:v>2003</c:v>
                </c:pt>
                <c:pt idx="4">
                  <c:v>2005</c:v>
                </c:pt>
                <c:pt idx="5">
                  <c:v>2007</c:v>
                </c:pt>
                <c:pt idx="6">
                  <c:v>2009</c:v>
                </c:pt>
              </c:numCache>
            </c:numRef>
          </c:val>
          <c:smooth val="0"/>
          <c:extLst>
            <c:ext xmlns:c16="http://schemas.microsoft.com/office/drawing/2014/chart" uri="{C3380CC4-5D6E-409C-BE32-E72D297353CC}">
              <c16:uniqueId val="{00000000-D158-4336-9040-7EB848F8A109}"/>
            </c:ext>
          </c:extLst>
        </c:ser>
        <c:ser>
          <c:idx val="1"/>
          <c:order val="1"/>
          <c:tx>
            <c:strRef>
              <c:f>Compare_PWT!$CF$34:$CF$35</c:f>
              <c:strCache>
                <c:ptCount val="2"/>
                <c:pt idx="0">
                  <c:v>Single Family</c:v>
                </c:pt>
                <c:pt idx="1">
                  <c:v>&lt;1940</c:v>
                </c:pt>
              </c:strCache>
            </c:strRef>
          </c:tx>
          <c:val>
            <c:numRef>
              <c:f>Compare_PWT!$CF$36:$CF$42</c:f>
              <c:numCache>
                <c:formatCode>#,##0</c:formatCode>
                <c:ptCount val="7"/>
                <c:pt idx="0">
                  <c:v>3786.87273241923</c:v>
                </c:pt>
                <c:pt idx="1">
                  <c:v>4059.0696512611194</c:v>
                </c:pt>
                <c:pt idx="2">
                  <c:v>4170.6985467701788</c:v>
                </c:pt>
                <c:pt idx="3">
                  <c:v>3952.0801250583518</c:v>
                </c:pt>
                <c:pt idx="4">
                  <c:v>3837.5597019804004</c:v>
                </c:pt>
                <c:pt idx="5">
                  <c:v>3837.5597019804004</c:v>
                </c:pt>
                <c:pt idx="6">
                  <c:v>3762.345614003124</c:v>
                </c:pt>
              </c:numCache>
            </c:numRef>
          </c:val>
          <c:smooth val="0"/>
          <c:extLst>
            <c:ext xmlns:c16="http://schemas.microsoft.com/office/drawing/2014/chart" uri="{C3380CC4-5D6E-409C-BE32-E72D297353CC}">
              <c16:uniqueId val="{00000001-D158-4336-9040-7EB848F8A109}"/>
            </c:ext>
          </c:extLst>
        </c:ser>
        <c:ser>
          <c:idx val="2"/>
          <c:order val="2"/>
          <c:tx>
            <c:strRef>
              <c:f>Compare_PWT!$CG$34:$CG$35</c:f>
              <c:strCache>
                <c:ptCount val="2"/>
                <c:pt idx="0">
                  <c:v>Northeast</c:v>
                </c:pt>
                <c:pt idx="1">
                  <c:v>1940-49</c:v>
                </c:pt>
              </c:strCache>
            </c:strRef>
          </c:tx>
          <c:val>
            <c:numRef>
              <c:f>Compare_PWT!$CG$36:$CG$42</c:f>
              <c:numCache>
                <c:formatCode>#,##0</c:formatCode>
                <c:ptCount val="7"/>
                <c:pt idx="0">
                  <c:v>1002.4242913353402</c:v>
                </c:pt>
                <c:pt idx="1">
                  <c:v>1058.855917476709</c:v>
                </c:pt>
                <c:pt idx="2">
                  <c:v>1105.0327297999993</c:v>
                </c:pt>
                <c:pt idx="3">
                  <c:v>1050.1968396302289</c:v>
                </c:pt>
                <c:pt idx="4">
                  <c:v>1076.1962966029996</c:v>
                </c:pt>
                <c:pt idx="5">
                  <c:v>1076.1962966029996</c:v>
                </c:pt>
                <c:pt idx="6">
                  <c:v>1077.8683946548497</c:v>
                </c:pt>
              </c:numCache>
            </c:numRef>
          </c:val>
          <c:smooth val="0"/>
          <c:extLst>
            <c:ext xmlns:c16="http://schemas.microsoft.com/office/drawing/2014/chart" uri="{C3380CC4-5D6E-409C-BE32-E72D297353CC}">
              <c16:uniqueId val="{00000002-D158-4336-9040-7EB848F8A109}"/>
            </c:ext>
          </c:extLst>
        </c:ser>
        <c:ser>
          <c:idx val="3"/>
          <c:order val="3"/>
          <c:tx>
            <c:strRef>
              <c:f>Compare_PWT!$CH$34:$CH$35</c:f>
              <c:strCache>
                <c:ptCount val="2"/>
                <c:pt idx="0">
                  <c:v>Northeast</c:v>
                </c:pt>
                <c:pt idx="1">
                  <c:v>1950-59</c:v>
                </c:pt>
              </c:strCache>
            </c:strRef>
          </c:tx>
          <c:val>
            <c:numRef>
              <c:f>Compare_PWT!$CH$36:$CH$42</c:f>
              <c:numCache>
                <c:formatCode>#,##0</c:formatCode>
                <c:ptCount val="7"/>
                <c:pt idx="0">
                  <c:v>1946.3896333156838</c:v>
                </c:pt>
                <c:pt idx="1">
                  <c:v>1995.0834441528034</c:v>
                </c:pt>
                <c:pt idx="2">
                  <c:v>2058.7405874561714</c:v>
                </c:pt>
                <c:pt idx="3">
                  <c:v>2007.868930397442</c:v>
                </c:pt>
                <c:pt idx="4">
                  <c:v>1966.7296659490255</c:v>
                </c:pt>
                <c:pt idx="5">
                  <c:v>1966.7296659490255</c:v>
                </c:pt>
                <c:pt idx="6">
                  <c:v>2020.6937320146315</c:v>
                </c:pt>
              </c:numCache>
            </c:numRef>
          </c:val>
          <c:smooth val="0"/>
          <c:extLst>
            <c:ext xmlns:c16="http://schemas.microsoft.com/office/drawing/2014/chart" uri="{C3380CC4-5D6E-409C-BE32-E72D297353CC}">
              <c16:uniqueId val="{00000003-D158-4336-9040-7EB848F8A109}"/>
            </c:ext>
          </c:extLst>
        </c:ser>
        <c:ser>
          <c:idx val="4"/>
          <c:order val="4"/>
          <c:tx>
            <c:strRef>
              <c:f>Compare_PWT!$CI$34:$CI$35</c:f>
              <c:strCache>
                <c:ptCount val="2"/>
                <c:pt idx="0">
                  <c:v>Northeast</c:v>
                </c:pt>
                <c:pt idx="1">
                  <c:v>1960-1969</c:v>
                </c:pt>
              </c:strCache>
            </c:strRef>
          </c:tx>
          <c:val>
            <c:numRef>
              <c:f>Compare_PWT!$CI$36:$CI$42</c:f>
              <c:numCache>
                <c:formatCode>#,##0</c:formatCode>
                <c:ptCount val="7"/>
                <c:pt idx="0">
                  <c:v>1531.2687476290018</c:v>
                </c:pt>
                <c:pt idx="1">
                  <c:v>1595.9661420064015</c:v>
                </c:pt>
                <c:pt idx="2">
                  <c:v>1614.8841818329004</c:v>
                </c:pt>
                <c:pt idx="3">
                  <c:v>1541.817621832912</c:v>
                </c:pt>
                <c:pt idx="4">
                  <c:v>1573.9074047468864</c:v>
                </c:pt>
                <c:pt idx="5">
                  <c:v>1573.9074047468864</c:v>
                </c:pt>
                <c:pt idx="6">
                  <c:v>1636.8857329182306</c:v>
                </c:pt>
              </c:numCache>
            </c:numRef>
          </c:val>
          <c:smooth val="0"/>
          <c:extLst>
            <c:ext xmlns:c16="http://schemas.microsoft.com/office/drawing/2014/chart" uri="{C3380CC4-5D6E-409C-BE32-E72D297353CC}">
              <c16:uniqueId val="{00000004-D158-4336-9040-7EB848F8A109}"/>
            </c:ext>
          </c:extLst>
        </c:ser>
        <c:ser>
          <c:idx val="5"/>
          <c:order val="5"/>
          <c:tx>
            <c:strRef>
              <c:f>Compare_PWT!$CJ$34:$CJ$35</c:f>
              <c:strCache>
                <c:ptCount val="2"/>
                <c:pt idx="0">
                  <c:v>Northeast</c:v>
                </c:pt>
                <c:pt idx="1">
                  <c:v>1970-1979</c:v>
                </c:pt>
              </c:strCache>
            </c:strRef>
          </c:tx>
          <c:val>
            <c:numRef>
              <c:f>Compare_PWT!$CJ$36:$CJ$42</c:f>
              <c:numCache>
                <c:formatCode>#,##0</c:formatCode>
                <c:ptCount val="7"/>
                <c:pt idx="0">
                  <c:v>1476.6582773849591</c:v>
                </c:pt>
                <c:pt idx="1">
                  <c:v>1542.1731790027802</c:v>
                </c:pt>
                <c:pt idx="2">
                  <c:v>1583.6221944732015</c:v>
                </c:pt>
                <c:pt idx="3">
                  <c:v>1631.7741238111209</c:v>
                </c:pt>
                <c:pt idx="4">
                  <c:v>1582.641625937438</c:v>
                </c:pt>
                <c:pt idx="5">
                  <c:v>1582.641625937438</c:v>
                </c:pt>
                <c:pt idx="6">
                  <c:v>1640.5573725734723</c:v>
                </c:pt>
              </c:numCache>
            </c:numRef>
          </c:val>
          <c:smooth val="0"/>
          <c:extLst>
            <c:ext xmlns:c16="http://schemas.microsoft.com/office/drawing/2014/chart" uri="{C3380CC4-5D6E-409C-BE32-E72D297353CC}">
              <c16:uniqueId val="{00000005-D158-4336-9040-7EB848F8A109}"/>
            </c:ext>
          </c:extLst>
        </c:ser>
        <c:ser>
          <c:idx val="6"/>
          <c:order val="6"/>
          <c:tx>
            <c:strRef>
              <c:f>Compare_PWT!$CK$34:$CK$35</c:f>
              <c:strCache>
                <c:ptCount val="2"/>
                <c:pt idx="0">
                  <c:v>Northeast</c:v>
                </c:pt>
                <c:pt idx="1">
                  <c:v>1980-1989</c:v>
                </c:pt>
              </c:strCache>
            </c:strRef>
          </c:tx>
          <c:val>
            <c:numRef>
              <c:f>Compare_PWT!$CK$36:$CK$42</c:f>
              <c:numCache>
                <c:formatCode>#,##0</c:formatCode>
                <c:ptCount val="7"/>
                <c:pt idx="0">
                  <c:v>1278.3892978621991</c:v>
                </c:pt>
                <c:pt idx="1">
                  <c:v>1294.0171240738291</c:v>
                </c:pt>
                <c:pt idx="2">
                  <c:v>1294.2490823078595</c:v>
                </c:pt>
                <c:pt idx="3">
                  <c:v>1258.7987117941766</c:v>
                </c:pt>
                <c:pt idx="4">
                  <c:v>1253.6771078849401</c:v>
                </c:pt>
                <c:pt idx="5">
                  <c:v>1253.6771078849401</c:v>
                </c:pt>
                <c:pt idx="6">
                  <c:v>1242.4398017930905</c:v>
                </c:pt>
              </c:numCache>
            </c:numRef>
          </c:val>
          <c:smooth val="0"/>
          <c:extLst>
            <c:ext xmlns:c16="http://schemas.microsoft.com/office/drawing/2014/chart" uri="{C3380CC4-5D6E-409C-BE32-E72D297353CC}">
              <c16:uniqueId val="{00000006-D158-4336-9040-7EB848F8A109}"/>
            </c:ext>
          </c:extLst>
        </c:ser>
        <c:ser>
          <c:idx val="7"/>
          <c:order val="7"/>
          <c:tx>
            <c:strRef>
              <c:f>Compare_PWT!$CL$34:$CL$35</c:f>
              <c:strCache>
                <c:ptCount val="2"/>
                <c:pt idx="0">
                  <c:v>Northeast</c:v>
                </c:pt>
                <c:pt idx="1">
                  <c:v>1990-1999</c:v>
                </c:pt>
              </c:strCache>
            </c:strRef>
          </c:tx>
          <c:val>
            <c:numRef>
              <c:f>Compare_PWT!$CL$36:$CL$42</c:f>
              <c:numCache>
                <c:formatCode>#,##0</c:formatCode>
                <c:ptCount val="7"/>
                <c:pt idx="0">
                  <c:v>802.17490612294</c:v>
                </c:pt>
                <c:pt idx="1">
                  <c:v>1026.5197074223097</c:v>
                </c:pt>
                <c:pt idx="2">
                  <c:v>1040.4414185974997</c:v>
                </c:pt>
                <c:pt idx="3">
                  <c:v>1019.3699046644313</c:v>
                </c:pt>
                <c:pt idx="4">
                  <c:v>1021.4593680488304</c:v>
                </c:pt>
                <c:pt idx="5">
                  <c:v>1021.4593680488304</c:v>
                </c:pt>
                <c:pt idx="6">
                  <c:v>993.90140449153012</c:v>
                </c:pt>
              </c:numCache>
            </c:numRef>
          </c:val>
          <c:smooth val="0"/>
          <c:extLst>
            <c:ext xmlns:c16="http://schemas.microsoft.com/office/drawing/2014/chart" uri="{C3380CC4-5D6E-409C-BE32-E72D297353CC}">
              <c16:uniqueId val="{00000007-D158-4336-9040-7EB848F8A109}"/>
            </c:ext>
          </c:extLst>
        </c:ser>
        <c:dLbls>
          <c:showLegendKey val="0"/>
          <c:showVal val="0"/>
          <c:showCatName val="0"/>
          <c:showSerName val="0"/>
          <c:showPercent val="0"/>
          <c:showBubbleSize val="0"/>
        </c:dLbls>
        <c:marker val="1"/>
        <c:smooth val="0"/>
        <c:axId val="220494080"/>
        <c:axId val="220499968"/>
      </c:lineChart>
      <c:catAx>
        <c:axId val="2204940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499968"/>
        <c:crosses val="autoZero"/>
        <c:auto val="1"/>
        <c:lblAlgn val="ctr"/>
        <c:lblOffset val="100"/>
        <c:noMultiLvlLbl val="0"/>
      </c:catAx>
      <c:valAx>
        <c:axId val="22049996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49408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Compare_PWT!$CF$64</c:f>
              <c:strCache>
                <c:ptCount val="1"/>
                <c:pt idx="0">
                  <c:v>&lt;1940</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Compare_PWT!$CF$65:$CF$71</c:f>
              <c:numCache>
                <c:formatCode>#,##0</c:formatCode>
                <c:ptCount val="7"/>
                <c:pt idx="0">
                  <c:v>4746.9247126156097</c:v>
                </c:pt>
                <c:pt idx="1">
                  <c:v>4870.2523062469982</c:v>
                </c:pt>
                <c:pt idx="2">
                  <c:v>4752.0131489246342</c:v>
                </c:pt>
                <c:pt idx="3">
                  <c:v>4576.0975534971212</c:v>
                </c:pt>
                <c:pt idx="4">
                  <c:v>4316.7178581070366</c:v>
                </c:pt>
                <c:pt idx="5">
                  <c:v>4316.7178581070366</c:v>
                </c:pt>
                <c:pt idx="6">
                  <c:v>4226.5360205252755</c:v>
                </c:pt>
              </c:numCache>
            </c:numRef>
          </c:val>
          <c:smooth val="0"/>
          <c:extLst>
            <c:ext xmlns:c16="http://schemas.microsoft.com/office/drawing/2014/chart" uri="{C3380CC4-5D6E-409C-BE32-E72D297353CC}">
              <c16:uniqueId val="{00000000-1984-43CA-9748-12798175F952}"/>
            </c:ext>
          </c:extLst>
        </c:ser>
        <c:ser>
          <c:idx val="1"/>
          <c:order val="1"/>
          <c:tx>
            <c:strRef>
              <c:f>Compare_PWT!$CG$64</c:f>
              <c:strCache>
                <c:ptCount val="1"/>
                <c:pt idx="0">
                  <c:v>1940-49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Compare_PWT!$CG$65:$CG$71</c:f>
              <c:numCache>
                <c:formatCode>#,##0</c:formatCode>
                <c:ptCount val="7"/>
                <c:pt idx="0">
                  <c:v>1469.2028504061</c:v>
                </c:pt>
                <c:pt idx="1">
                  <c:v>1494.8147389057528</c:v>
                </c:pt>
                <c:pt idx="2">
                  <c:v>1461.3482153053919</c:v>
                </c:pt>
                <c:pt idx="3">
                  <c:v>1380.6747248787692</c:v>
                </c:pt>
                <c:pt idx="4">
                  <c:v>1301.6295837435998</c:v>
                </c:pt>
                <c:pt idx="5">
                  <c:v>1301.6295837435998</c:v>
                </c:pt>
                <c:pt idx="6">
                  <c:v>1313.1541093479304</c:v>
                </c:pt>
              </c:numCache>
            </c:numRef>
          </c:val>
          <c:smooth val="0"/>
          <c:extLst>
            <c:ext xmlns:c16="http://schemas.microsoft.com/office/drawing/2014/chart" uri="{C3380CC4-5D6E-409C-BE32-E72D297353CC}">
              <c16:uniqueId val="{00000001-1984-43CA-9748-12798175F952}"/>
            </c:ext>
          </c:extLst>
        </c:ser>
        <c:ser>
          <c:idx val="2"/>
          <c:order val="2"/>
          <c:tx>
            <c:strRef>
              <c:f>Compare_PWT!$CH$64</c:f>
              <c:strCache>
                <c:ptCount val="1"/>
                <c:pt idx="0">
                  <c:v>1950-59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Compare_PWT!$CH$65:$CH$71</c:f>
              <c:numCache>
                <c:formatCode>#,##0</c:formatCode>
                <c:ptCount val="7"/>
                <c:pt idx="0">
                  <c:v>2933.6710019213924</c:v>
                </c:pt>
                <c:pt idx="1">
                  <c:v>2875.3135017073623</c:v>
                </c:pt>
                <c:pt idx="2">
                  <c:v>2836.0369570029643</c:v>
                </c:pt>
                <c:pt idx="3">
                  <c:v>2721.9503076370579</c:v>
                </c:pt>
                <c:pt idx="4">
                  <c:v>2729.6507418755759</c:v>
                </c:pt>
                <c:pt idx="5">
                  <c:v>2729.6507418755759</c:v>
                </c:pt>
                <c:pt idx="6">
                  <c:v>2693.9368741453118</c:v>
                </c:pt>
              </c:numCache>
            </c:numRef>
          </c:val>
          <c:smooth val="0"/>
          <c:extLst>
            <c:ext xmlns:c16="http://schemas.microsoft.com/office/drawing/2014/chart" uri="{C3380CC4-5D6E-409C-BE32-E72D297353CC}">
              <c16:uniqueId val="{00000002-1984-43CA-9748-12798175F952}"/>
            </c:ext>
          </c:extLst>
        </c:ser>
        <c:ser>
          <c:idx val="3"/>
          <c:order val="3"/>
          <c:tx>
            <c:strRef>
              <c:f>Compare_PWT!$CI$64</c:f>
              <c:strCache>
                <c:ptCount val="1"/>
                <c:pt idx="0">
                  <c:v>1960-1969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Compare_PWT!$CI$65:$CI$71</c:f>
              <c:numCache>
                <c:formatCode>#,##0</c:formatCode>
                <c:ptCount val="7"/>
                <c:pt idx="0">
                  <c:v>2384.2965733228034</c:v>
                </c:pt>
                <c:pt idx="1">
                  <c:v>2408.5186732274856</c:v>
                </c:pt>
                <c:pt idx="2">
                  <c:v>2462.6868582323987</c:v>
                </c:pt>
                <c:pt idx="3">
                  <c:v>2424.5750895556876</c:v>
                </c:pt>
                <c:pt idx="4">
                  <c:v>2321.3546606637879</c:v>
                </c:pt>
                <c:pt idx="5">
                  <c:v>2321.3546606637879</c:v>
                </c:pt>
                <c:pt idx="6">
                  <c:v>2248.2090991686196</c:v>
                </c:pt>
              </c:numCache>
            </c:numRef>
          </c:val>
          <c:smooth val="0"/>
          <c:extLst>
            <c:ext xmlns:c16="http://schemas.microsoft.com/office/drawing/2014/chart" uri="{C3380CC4-5D6E-409C-BE32-E72D297353CC}">
              <c16:uniqueId val="{00000003-1984-43CA-9748-12798175F952}"/>
            </c:ext>
          </c:extLst>
        </c:ser>
        <c:ser>
          <c:idx val="4"/>
          <c:order val="4"/>
          <c:tx>
            <c:strRef>
              <c:f>Compare_PWT!$CJ$64</c:f>
              <c:strCache>
                <c:ptCount val="1"/>
                <c:pt idx="0">
                  <c:v>1970-1979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Compare_PWT!$CJ$65:$CJ$71</c:f>
              <c:numCache>
                <c:formatCode>#,##0</c:formatCode>
                <c:ptCount val="7"/>
                <c:pt idx="0">
                  <c:v>2821.1537071789471</c:v>
                </c:pt>
                <c:pt idx="1">
                  <c:v>2879.4337593009936</c:v>
                </c:pt>
                <c:pt idx="2">
                  <c:v>2913.0489199557605</c:v>
                </c:pt>
                <c:pt idx="3">
                  <c:v>2806.4933774827314</c:v>
                </c:pt>
                <c:pt idx="4">
                  <c:v>3124.1549598890228</c:v>
                </c:pt>
                <c:pt idx="5">
                  <c:v>3124.1549598890228</c:v>
                </c:pt>
                <c:pt idx="6">
                  <c:v>2880.2134877261615</c:v>
                </c:pt>
              </c:numCache>
            </c:numRef>
          </c:val>
          <c:smooth val="0"/>
          <c:extLst>
            <c:ext xmlns:c16="http://schemas.microsoft.com/office/drawing/2014/chart" uri="{C3380CC4-5D6E-409C-BE32-E72D297353CC}">
              <c16:uniqueId val="{00000004-1984-43CA-9748-12798175F952}"/>
            </c:ext>
          </c:extLst>
        </c:ser>
        <c:ser>
          <c:idx val="5"/>
          <c:order val="5"/>
          <c:tx>
            <c:strRef>
              <c:f>Compare_PWT!$CK$64</c:f>
              <c:strCache>
                <c:ptCount val="1"/>
                <c:pt idx="0">
                  <c:v>1980-1989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Compare_PWT!$CK$65:$CK$71</c:f>
              <c:numCache>
                <c:formatCode>#,##0</c:formatCode>
                <c:ptCount val="7"/>
                <c:pt idx="0">
                  <c:v>1512.766496820801</c:v>
                </c:pt>
                <c:pt idx="1">
                  <c:v>1494.2408158839989</c:v>
                </c:pt>
                <c:pt idx="2">
                  <c:v>1497.9911488418993</c:v>
                </c:pt>
                <c:pt idx="3">
                  <c:v>1491.0905315168677</c:v>
                </c:pt>
                <c:pt idx="4">
                  <c:v>1464.276817791598</c:v>
                </c:pt>
                <c:pt idx="5">
                  <c:v>1464.276817791598</c:v>
                </c:pt>
                <c:pt idx="6">
                  <c:v>1471.5642095565011</c:v>
                </c:pt>
              </c:numCache>
            </c:numRef>
          </c:val>
          <c:smooth val="0"/>
          <c:extLst>
            <c:ext xmlns:c16="http://schemas.microsoft.com/office/drawing/2014/chart" uri="{C3380CC4-5D6E-409C-BE32-E72D297353CC}">
              <c16:uniqueId val="{00000005-1984-43CA-9748-12798175F952}"/>
            </c:ext>
          </c:extLst>
        </c:ser>
        <c:ser>
          <c:idx val="6"/>
          <c:order val="6"/>
          <c:tx>
            <c:strRef>
              <c:f>Compare_PWT!$CL$64</c:f>
              <c:strCache>
                <c:ptCount val="1"/>
                <c:pt idx="0">
                  <c:v>1990-1999</c:v>
                </c:pt>
              </c:strCache>
            </c:strRef>
          </c:tx>
          <c:cat>
            <c:numRef>
              <c:f>Compare_PWT!$CE$65:$CE$71</c:f>
              <c:numCache>
                <c:formatCode>0</c:formatCode>
                <c:ptCount val="7"/>
                <c:pt idx="0">
                  <c:v>1997</c:v>
                </c:pt>
                <c:pt idx="1">
                  <c:v>1999</c:v>
                </c:pt>
                <c:pt idx="2">
                  <c:v>2001</c:v>
                </c:pt>
                <c:pt idx="3">
                  <c:v>2003</c:v>
                </c:pt>
                <c:pt idx="4">
                  <c:v>2005</c:v>
                </c:pt>
                <c:pt idx="5">
                  <c:v>2007</c:v>
                </c:pt>
                <c:pt idx="6">
                  <c:v>2009</c:v>
                </c:pt>
              </c:numCache>
            </c:numRef>
          </c:cat>
          <c:val>
            <c:numRef>
              <c:f>Compare_PWT!$CL$65:$CL$71</c:f>
              <c:numCache>
                <c:formatCode>#,##0</c:formatCode>
                <c:ptCount val="7"/>
                <c:pt idx="0">
                  <c:v>1608.9042574617868</c:v>
                </c:pt>
                <c:pt idx="1">
                  <c:v>2088.4248089016896</c:v>
                </c:pt>
                <c:pt idx="2">
                  <c:v>2153.6945025628388</c:v>
                </c:pt>
                <c:pt idx="3">
                  <c:v>2147.0856032089059</c:v>
                </c:pt>
                <c:pt idx="4">
                  <c:v>2140.3181804646642</c:v>
                </c:pt>
                <c:pt idx="5">
                  <c:v>2140.3181804646642</c:v>
                </c:pt>
                <c:pt idx="6">
                  <c:v>2097.3871756296821</c:v>
                </c:pt>
              </c:numCache>
            </c:numRef>
          </c:val>
          <c:smooth val="0"/>
          <c:extLst>
            <c:ext xmlns:c16="http://schemas.microsoft.com/office/drawing/2014/chart" uri="{C3380CC4-5D6E-409C-BE32-E72D297353CC}">
              <c16:uniqueId val="{00000006-1984-43CA-9748-12798175F952}"/>
            </c:ext>
          </c:extLst>
        </c:ser>
        <c:dLbls>
          <c:showLegendKey val="0"/>
          <c:showVal val="0"/>
          <c:showCatName val="0"/>
          <c:showSerName val="0"/>
          <c:showPercent val="0"/>
          <c:showBubbleSize val="0"/>
        </c:dLbls>
        <c:marker val="1"/>
        <c:smooth val="0"/>
        <c:axId val="220242304"/>
        <c:axId val="220243840"/>
      </c:lineChart>
      <c:catAx>
        <c:axId val="220242304"/>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243840"/>
        <c:crosses val="autoZero"/>
        <c:auto val="1"/>
        <c:lblAlgn val="ctr"/>
        <c:lblOffset val="100"/>
        <c:noMultiLvlLbl val="0"/>
      </c:catAx>
      <c:valAx>
        <c:axId val="22024384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24230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Compare_PWT!$CF$93</c:f>
              <c:strCache>
                <c:ptCount val="1"/>
                <c:pt idx="0">
                  <c:v>&lt;1940</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Compare_PWT!$CF$94:$CF$100</c:f>
              <c:numCache>
                <c:formatCode>#,##0</c:formatCode>
                <c:ptCount val="7"/>
                <c:pt idx="0">
                  <c:v>3017.3098668594812</c:v>
                </c:pt>
                <c:pt idx="1">
                  <c:v>2952.2853013844137</c:v>
                </c:pt>
                <c:pt idx="2">
                  <c:v>3000.4376443645519</c:v>
                </c:pt>
                <c:pt idx="3">
                  <c:v>2793.9665788578941</c:v>
                </c:pt>
                <c:pt idx="4">
                  <c:v>2661.2851226273988</c:v>
                </c:pt>
                <c:pt idx="5">
                  <c:v>2661.2851226273988</c:v>
                </c:pt>
                <c:pt idx="6">
                  <c:v>2419.7702965789022</c:v>
                </c:pt>
              </c:numCache>
            </c:numRef>
          </c:val>
          <c:smooth val="0"/>
          <c:extLst>
            <c:ext xmlns:c16="http://schemas.microsoft.com/office/drawing/2014/chart" uri="{C3380CC4-5D6E-409C-BE32-E72D297353CC}">
              <c16:uniqueId val="{00000000-3956-43FA-8256-43C446A39199}"/>
            </c:ext>
          </c:extLst>
        </c:ser>
        <c:ser>
          <c:idx val="1"/>
          <c:order val="1"/>
          <c:tx>
            <c:strRef>
              <c:f>Compare_PWT!$CG$93</c:f>
              <c:strCache>
                <c:ptCount val="1"/>
                <c:pt idx="0">
                  <c:v>1940-49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Compare_PWT!$CG$94:$CG$100</c:f>
              <c:numCache>
                <c:formatCode>#,##0</c:formatCode>
                <c:ptCount val="7"/>
                <c:pt idx="0">
                  <c:v>2010.7858624488297</c:v>
                </c:pt>
                <c:pt idx="1">
                  <c:v>2060.0591599119098</c:v>
                </c:pt>
                <c:pt idx="2">
                  <c:v>1971.1586084102223</c:v>
                </c:pt>
                <c:pt idx="3">
                  <c:v>1924.3685217511186</c:v>
                </c:pt>
                <c:pt idx="4">
                  <c:v>1840.1507843438396</c:v>
                </c:pt>
                <c:pt idx="5">
                  <c:v>1840.1507843438396</c:v>
                </c:pt>
                <c:pt idx="6">
                  <c:v>1806.1918687899492</c:v>
                </c:pt>
              </c:numCache>
            </c:numRef>
          </c:val>
          <c:smooth val="0"/>
          <c:extLst>
            <c:ext xmlns:c16="http://schemas.microsoft.com/office/drawing/2014/chart" uri="{C3380CC4-5D6E-409C-BE32-E72D297353CC}">
              <c16:uniqueId val="{00000001-3956-43FA-8256-43C446A39199}"/>
            </c:ext>
          </c:extLst>
        </c:ser>
        <c:ser>
          <c:idx val="2"/>
          <c:order val="2"/>
          <c:tx>
            <c:strRef>
              <c:f>Compare_PWT!$CH$93</c:f>
              <c:strCache>
                <c:ptCount val="1"/>
                <c:pt idx="0">
                  <c:v>1950-59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Compare_PWT!$CH$94:$CH$100</c:f>
              <c:numCache>
                <c:formatCode>#,##0</c:formatCode>
                <c:ptCount val="7"/>
                <c:pt idx="0">
                  <c:v>3356.6002977465646</c:v>
                </c:pt>
                <c:pt idx="1">
                  <c:v>3369.6601592328175</c:v>
                </c:pt>
                <c:pt idx="2">
                  <c:v>3396.6412421275732</c:v>
                </c:pt>
                <c:pt idx="3">
                  <c:v>3221.8438521417484</c:v>
                </c:pt>
                <c:pt idx="4">
                  <c:v>3109.6767934511076</c:v>
                </c:pt>
                <c:pt idx="5">
                  <c:v>3109.6767934511076</c:v>
                </c:pt>
                <c:pt idx="6">
                  <c:v>3234.7821380255041</c:v>
                </c:pt>
              </c:numCache>
            </c:numRef>
          </c:val>
          <c:smooth val="0"/>
          <c:extLst>
            <c:ext xmlns:c16="http://schemas.microsoft.com/office/drawing/2014/chart" uri="{C3380CC4-5D6E-409C-BE32-E72D297353CC}">
              <c16:uniqueId val="{00000002-3956-43FA-8256-43C446A39199}"/>
            </c:ext>
          </c:extLst>
        </c:ser>
        <c:ser>
          <c:idx val="3"/>
          <c:order val="3"/>
          <c:tx>
            <c:strRef>
              <c:f>Compare_PWT!$CI$93</c:f>
              <c:strCache>
                <c:ptCount val="1"/>
                <c:pt idx="0">
                  <c:v>1960-1969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Compare_PWT!$CI$94:$CI$100</c:f>
              <c:numCache>
                <c:formatCode>#,##0</c:formatCode>
                <c:ptCount val="7"/>
                <c:pt idx="0">
                  <c:v>3938.5725922285283</c:v>
                </c:pt>
                <c:pt idx="1">
                  <c:v>3954.5185724001071</c:v>
                </c:pt>
                <c:pt idx="2">
                  <c:v>3986.5682934368911</c:v>
                </c:pt>
                <c:pt idx="3">
                  <c:v>3808.2682122286051</c:v>
                </c:pt>
                <c:pt idx="4">
                  <c:v>3756.5140296501913</c:v>
                </c:pt>
                <c:pt idx="5">
                  <c:v>3756.5140296501913</c:v>
                </c:pt>
                <c:pt idx="6">
                  <c:v>3757.4534946170002</c:v>
                </c:pt>
              </c:numCache>
            </c:numRef>
          </c:val>
          <c:smooth val="0"/>
          <c:extLst>
            <c:ext xmlns:c16="http://schemas.microsoft.com/office/drawing/2014/chart" uri="{C3380CC4-5D6E-409C-BE32-E72D297353CC}">
              <c16:uniqueId val="{00000003-3956-43FA-8256-43C446A39199}"/>
            </c:ext>
          </c:extLst>
        </c:ser>
        <c:ser>
          <c:idx val="4"/>
          <c:order val="4"/>
          <c:tx>
            <c:strRef>
              <c:f>Compare_PWT!$CJ$93</c:f>
              <c:strCache>
                <c:ptCount val="1"/>
                <c:pt idx="0">
                  <c:v>1970-1979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Compare_PWT!$CJ$94:$CJ$100</c:f>
              <c:numCache>
                <c:formatCode>#,##0</c:formatCode>
                <c:ptCount val="7"/>
                <c:pt idx="0">
                  <c:v>5146.9849748113993</c:v>
                </c:pt>
                <c:pt idx="1">
                  <c:v>5328.9616864243653</c:v>
                </c:pt>
                <c:pt idx="2">
                  <c:v>5560.9518721598006</c:v>
                </c:pt>
                <c:pt idx="3">
                  <c:v>5277.1138726637064</c:v>
                </c:pt>
                <c:pt idx="4">
                  <c:v>5548.4336718703889</c:v>
                </c:pt>
                <c:pt idx="5">
                  <c:v>5548.4336718703889</c:v>
                </c:pt>
                <c:pt idx="6">
                  <c:v>5675.7979995649284</c:v>
                </c:pt>
              </c:numCache>
            </c:numRef>
          </c:val>
          <c:smooth val="0"/>
          <c:extLst>
            <c:ext xmlns:c16="http://schemas.microsoft.com/office/drawing/2014/chart" uri="{C3380CC4-5D6E-409C-BE32-E72D297353CC}">
              <c16:uniqueId val="{00000004-3956-43FA-8256-43C446A39199}"/>
            </c:ext>
          </c:extLst>
        </c:ser>
        <c:ser>
          <c:idx val="5"/>
          <c:order val="5"/>
          <c:tx>
            <c:strRef>
              <c:f>Compare_PWT!$CK$93</c:f>
              <c:strCache>
                <c:ptCount val="1"/>
                <c:pt idx="0">
                  <c:v>1980-1989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Compare_PWT!$CK$94:$CK$100</c:f>
              <c:numCache>
                <c:formatCode>#,##0</c:formatCode>
                <c:ptCount val="7"/>
                <c:pt idx="0">
                  <c:v>4046.1559557485216</c:v>
                </c:pt>
                <c:pt idx="1">
                  <c:v>4023.8460381952027</c:v>
                </c:pt>
                <c:pt idx="2">
                  <c:v>4094.1421093756953</c:v>
                </c:pt>
                <c:pt idx="3">
                  <c:v>4022.9912471712978</c:v>
                </c:pt>
                <c:pt idx="4">
                  <c:v>4075.5556682619854</c:v>
                </c:pt>
                <c:pt idx="5">
                  <c:v>4075.5556682619854</c:v>
                </c:pt>
                <c:pt idx="6">
                  <c:v>3965.0682638630992</c:v>
                </c:pt>
              </c:numCache>
            </c:numRef>
          </c:val>
          <c:smooth val="0"/>
          <c:extLst>
            <c:ext xmlns:c16="http://schemas.microsoft.com/office/drawing/2014/chart" uri="{C3380CC4-5D6E-409C-BE32-E72D297353CC}">
              <c16:uniqueId val="{00000005-3956-43FA-8256-43C446A39199}"/>
            </c:ext>
          </c:extLst>
        </c:ser>
        <c:ser>
          <c:idx val="6"/>
          <c:order val="6"/>
          <c:tx>
            <c:strRef>
              <c:f>Compare_PWT!$CL$93</c:f>
              <c:strCache>
                <c:ptCount val="1"/>
                <c:pt idx="0">
                  <c:v>1990-1999</c:v>
                </c:pt>
              </c:strCache>
            </c:strRef>
          </c:tx>
          <c:cat>
            <c:numRef>
              <c:f>Compare_PWT!$CE$94:$CE$100</c:f>
              <c:numCache>
                <c:formatCode>0</c:formatCode>
                <c:ptCount val="7"/>
                <c:pt idx="0">
                  <c:v>1997</c:v>
                </c:pt>
                <c:pt idx="1">
                  <c:v>1999</c:v>
                </c:pt>
                <c:pt idx="2">
                  <c:v>2001</c:v>
                </c:pt>
                <c:pt idx="3">
                  <c:v>2003</c:v>
                </c:pt>
                <c:pt idx="4">
                  <c:v>2005</c:v>
                </c:pt>
                <c:pt idx="5">
                  <c:v>2007</c:v>
                </c:pt>
                <c:pt idx="6">
                  <c:v>2009</c:v>
                </c:pt>
              </c:numCache>
            </c:numRef>
          </c:cat>
          <c:val>
            <c:numRef>
              <c:f>Compare_PWT!$CL$94:$CL$100</c:f>
              <c:numCache>
                <c:formatCode>#,##0</c:formatCode>
                <c:ptCount val="7"/>
                <c:pt idx="0">
                  <c:v>3153.9176729028545</c:v>
                </c:pt>
                <c:pt idx="1">
                  <c:v>4122.4460716395233</c:v>
                </c:pt>
                <c:pt idx="2">
                  <c:v>4288.977993948979</c:v>
                </c:pt>
                <c:pt idx="3">
                  <c:v>4261.4176484202926</c:v>
                </c:pt>
                <c:pt idx="4">
                  <c:v>4268.0273759594638</c:v>
                </c:pt>
                <c:pt idx="5">
                  <c:v>4268.0273759594638</c:v>
                </c:pt>
                <c:pt idx="6">
                  <c:v>4073.1064684867938</c:v>
                </c:pt>
              </c:numCache>
            </c:numRef>
          </c:val>
          <c:smooth val="0"/>
          <c:extLst>
            <c:ext xmlns:c16="http://schemas.microsoft.com/office/drawing/2014/chart" uri="{C3380CC4-5D6E-409C-BE32-E72D297353CC}">
              <c16:uniqueId val="{00000006-3956-43FA-8256-43C446A39199}"/>
            </c:ext>
          </c:extLst>
        </c:ser>
        <c:dLbls>
          <c:showLegendKey val="0"/>
          <c:showVal val="0"/>
          <c:showCatName val="0"/>
          <c:showSerName val="0"/>
          <c:showPercent val="0"/>
          <c:showBubbleSize val="0"/>
        </c:dLbls>
        <c:marker val="1"/>
        <c:smooth val="0"/>
        <c:axId val="220347008"/>
        <c:axId val="220352896"/>
      </c:lineChart>
      <c:catAx>
        <c:axId val="220347008"/>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352896"/>
        <c:crosses val="autoZero"/>
        <c:auto val="1"/>
        <c:lblAlgn val="ctr"/>
        <c:lblOffset val="100"/>
        <c:noMultiLvlLbl val="0"/>
      </c:catAx>
      <c:valAx>
        <c:axId val="220352896"/>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34700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Compare_PWT!$CF$122</c:f>
              <c:strCache>
                <c:ptCount val="1"/>
                <c:pt idx="0">
                  <c:v>&lt;1940</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Compare_PWT!$CF$123:$CF$129</c:f>
              <c:numCache>
                <c:formatCode>#,##0</c:formatCode>
                <c:ptCount val="7"/>
                <c:pt idx="0">
                  <c:v>1687.5682620709003</c:v>
                </c:pt>
                <c:pt idx="1">
                  <c:v>1850.1185466956454</c:v>
                </c:pt>
                <c:pt idx="2">
                  <c:v>1866.1901943926002</c:v>
                </c:pt>
                <c:pt idx="3">
                  <c:v>1844.2213780149327</c:v>
                </c:pt>
                <c:pt idx="4">
                  <c:v>1665.734359089402</c:v>
                </c:pt>
                <c:pt idx="5">
                  <c:v>1665.734359089402</c:v>
                </c:pt>
                <c:pt idx="6">
                  <c:v>1662.3198935654011</c:v>
                </c:pt>
              </c:numCache>
            </c:numRef>
          </c:val>
          <c:smooth val="0"/>
          <c:extLst>
            <c:ext xmlns:c16="http://schemas.microsoft.com/office/drawing/2014/chart" uri="{C3380CC4-5D6E-409C-BE32-E72D297353CC}">
              <c16:uniqueId val="{00000000-A54E-498B-B035-4033E9C6D7C2}"/>
            </c:ext>
          </c:extLst>
        </c:ser>
        <c:ser>
          <c:idx val="1"/>
          <c:order val="1"/>
          <c:tx>
            <c:strRef>
              <c:f>Compare_PWT!$CG$122</c:f>
              <c:strCache>
                <c:ptCount val="1"/>
                <c:pt idx="0">
                  <c:v>1940-49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Compare_PWT!$CG$123:$CG$129</c:f>
              <c:numCache>
                <c:formatCode>#,##0</c:formatCode>
                <c:ptCount val="7"/>
                <c:pt idx="0">
                  <c:v>1214.6070109991012</c:v>
                </c:pt>
                <c:pt idx="1">
                  <c:v>1276.9007083107801</c:v>
                </c:pt>
                <c:pt idx="2">
                  <c:v>1291.3069922011998</c:v>
                </c:pt>
                <c:pt idx="3">
                  <c:v>1237.8958921308108</c:v>
                </c:pt>
                <c:pt idx="4">
                  <c:v>1220.4002497396004</c:v>
                </c:pt>
                <c:pt idx="5">
                  <c:v>1220.4002497396004</c:v>
                </c:pt>
                <c:pt idx="6">
                  <c:v>1208.8873429069001</c:v>
                </c:pt>
              </c:numCache>
            </c:numRef>
          </c:val>
          <c:smooth val="0"/>
          <c:extLst>
            <c:ext xmlns:c16="http://schemas.microsoft.com/office/drawing/2014/chart" uri="{C3380CC4-5D6E-409C-BE32-E72D297353CC}">
              <c16:uniqueId val="{00000001-A54E-498B-B035-4033E9C6D7C2}"/>
            </c:ext>
          </c:extLst>
        </c:ser>
        <c:ser>
          <c:idx val="2"/>
          <c:order val="2"/>
          <c:tx>
            <c:strRef>
              <c:f>Compare_PWT!$CH$122</c:f>
              <c:strCache>
                <c:ptCount val="1"/>
                <c:pt idx="0">
                  <c:v>1950-59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Compare_PWT!$CH$123:$CH$129</c:f>
              <c:numCache>
                <c:formatCode>#,##0</c:formatCode>
                <c:ptCount val="7"/>
                <c:pt idx="0">
                  <c:v>2146.664375702012</c:v>
                </c:pt>
                <c:pt idx="1">
                  <c:v>2153.7049892218929</c:v>
                </c:pt>
                <c:pt idx="2">
                  <c:v>2244.1126952777981</c:v>
                </c:pt>
                <c:pt idx="3">
                  <c:v>2067.0482347327516</c:v>
                </c:pt>
                <c:pt idx="4">
                  <c:v>2000.0388074261994</c:v>
                </c:pt>
                <c:pt idx="5">
                  <c:v>2000.0388074261994</c:v>
                </c:pt>
                <c:pt idx="6">
                  <c:v>2086.4373346657976</c:v>
                </c:pt>
              </c:numCache>
            </c:numRef>
          </c:val>
          <c:smooth val="0"/>
          <c:extLst>
            <c:ext xmlns:c16="http://schemas.microsoft.com/office/drawing/2014/chart" uri="{C3380CC4-5D6E-409C-BE32-E72D297353CC}">
              <c16:uniqueId val="{00000002-A54E-498B-B035-4033E9C6D7C2}"/>
            </c:ext>
          </c:extLst>
        </c:ser>
        <c:ser>
          <c:idx val="3"/>
          <c:order val="3"/>
          <c:tx>
            <c:strRef>
              <c:f>Compare_PWT!$CI$122</c:f>
              <c:strCache>
                <c:ptCount val="1"/>
                <c:pt idx="0">
                  <c:v>1960-1969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Compare_PWT!$CI$123:$CI$129</c:f>
              <c:numCache>
                <c:formatCode>#,##0</c:formatCode>
                <c:ptCount val="7"/>
                <c:pt idx="0">
                  <c:v>2190.0069693014989</c:v>
                </c:pt>
                <c:pt idx="1">
                  <c:v>2313.3144375386837</c:v>
                </c:pt>
                <c:pt idx="2">
                  <c:v>2281.3764253186669</c:v>
                </c:pt>
                <c:pt idx="3">
                  <c:v>2084.7453091481379</c:v>
                </c:pt>
                <c:pt idx="4">
                  <c:v>2060.5930865543728</c:v>
                </c:pt>
                <c:pt idx="5">
                  <c:v>2060.5930865543728</c:v>
                </c:pt>
                <c:pt idx="6">
                  <c:v>2049.4186878709011</c:v>
                </c:pt>
              </c:numCache>
            </c:numRef>
          </c:val>
          <c:smooth val="0"/>
          <c:extLst>
            <c:ext xmlns:c16="http://schemas.microsoft.com/office/drawing/2014/chart" uri="{C3380CC4-5D6E-409C-BE32-E72D297353CC}">
              <c16:uniqueId val="{00000003-A54E-498B-B035-4033E9C6D7C2}"/>
            </c:ext>
          </c:extLst>
        </c:ser>
        <c:ser>
          <c:idx val="4"/>
          <c:order val="4"/>
          <c:tx>
            <c:strRef>
              <c:f>Compare_PWT!$CJ$122</c:f>
              <c:strCache>
                <c:ptCount val="1"/>
                <c:pt idx="0">
                  <c:v>1970-1979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Compare_PWT!$CJ$123:$CJ$129</c:f>
              <c:numCache>
                <c:formatCode>#,##0</c:formatCode>
                <c:ptCount val="7"/>
                <c:pt idx="0">
                  <c:v>2939.3517809745695</c:v>
                </c:pt>
                <c:pt idx="1">
                  <c:v>3098.0594606452132</c:v>
                </c:pt>
                <c:pt idx="2">
                  <c:v>3215.9864120327015</c:v>
                </c:pt>
                <c:pt idx="3">
                  <c:v>3092.9291409804528</c:v>
                </c:pt>
                <c:pt idx="4">
                  <c:v>3226.1475135507058</c:v>
                </c:pt>
                <c:pt idx="5">
                  <c:v>3226.1475135507058</c:v>
                </c:pt>
                <c:pt idx="6">
                  <c:v>2935.0694779040286</c:v>
                </c:pt>
              </c:numCache>
            </c:numRef>
          </c:val>
          <c:smooth val="0"/>
          <c:extLst>
            <c:ext xmlns:c16="http://schemas.microsoft.com/office/drawing/2014/chart" uri="{C3380CC4-5D6E-409C-BE32-E72D297353CC}">
              <c16:uniqueId val="{00000004-A54E-498B-B035-4033E9C6D7C2}"/>
            </c:ext>
          </c:extLst>
        </c:ser>
        <c:ser>
          <c:idx val="5"/>
          <c:order val="5"/>
          <c:tx>
            <c:strRef>
              <c:f>Compare_PWT!$CK$122</c:f>
              <c:strCache>
                <c:ptCount val="1"/>
                <c:pt idx="0">
                  <c:v>1980-1989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Compare_PWT!$CK$123:$CK$129</c:f>
              <c:numCache>
                <c:formatCode>#,##0</c:formatCode>
                <c:ptCount val="7"/>
                <c:pt idx="0">
                  <c:v>2039.6609926667684</c:v>
                </c:pt>
                <c:pt idx="1">
                  <c:v>2022.0437936649976</c:v>
                </c:pt>
                <c:pt idx="2">
                  <c:v>2046.3743369804124</c:v>
                </c:pt>
                <c:pt idx="3">
                  <c:v>2098.3796897209868</c:v>
                </c:pt>
                <c:pt idx="4">
                  <c:v>2046.7076144773989</c:v>
                </c:pt>
                <c:pt idx="5">
                  <c:v>2046.7076144773989</c:v>
                </c:pt>
                <c:pt idx="6">
                  <c:v>1954.9886085143821</c:v>
                </c:pt>
              </c:numCache>
            </c:numRef>
          </c:val>
          <c:smooth val="0"/>
          <c:extLst>
            <c:ext xmlns:c16="http://schemas.microsoft.com/office/drawing/2014/chart" uri="{C3380CC4-5D6E-409C-BE32-E72D297353CC}">
              <c16:uniqueId val="{00000005-A54E-498B-B035-4033E9C6D7C2}"/>
            </c:ext>
          </c:extLst>
        </c:ser>
        <c:ser>
          <c:idx val="6"/>
          <c:order val="6"/>
          <c:tx>
            <c:strRef>
              <c:f>Compare_PWT!$CL$122</c:f>
              <c:strCache>
                <c:ptCount val="1"/>
                <c:pt idx="0">
                  <c:v>1990-1999</c:v>
                </c:pt>
              </c:strCache>
            </c:strRef>
          </c:tx>
          <c:cat>
            <c:numRef>
              <c:f>Compare_PWT!$CE$123:$CE$129</c:f>
              <c:numCache>
                <c:formatCode>0</c:formatCode>
                <c:ptCount val="7"/>
                <c:pt idx="0">
                  <c:v>1997</c:v>
                </c:pt>
                <c:pt idx="1">
                  <c:v>1999</c:v>
                </c:pt>
                <c:pt idx="2">
                  <c:v>2001</c:v>
                </c:pt>
                <c:pt idx="3">
                  <c:v>2003</c:v>
                </c:pt>
                <c:pt idx="4">
                  <c:v>2005</c:v>
                </c:pt>
                <c:pt idx="5">
                  <c:v>2007</c:v>
                </c:pt>
                <c:pt idx="6">
                  <c:v>2009</c:v>
                </c:pt>
              </c:numCache>
            </c:numRef>
          </c:cat>
          <c:val>
            <c:numRef>
              <c:f>Compare_PWT!$CL$123:$CL$129</c:f>
              <c:numCache>
                <c:formatCode>#,##0</c:formatCode>
                <c:ptCount val="7"/>
                <c:pt idx="0">
                  <c:v>1762.0982516156187</c:v>
                </c:pt>
                <c:pt idx="1">
                  <c:v>2290.4087583835094</c:v>
                </c:pt>
                <c:pt idx="2">
                  <c:v>2428.9922876860569</c:v>
                </c:pt>
                <c:pt idx="3">
                  <c:v>2407.056624440273</c:v>
                </c:pt>
                <c:pt idx="4">
                  <c:v>2394.8337690200819</c:v>
                </c:pt>
                <c:pt idx="5">
                  <c:v>2394.8337690200819</c:v>
                </c:pt>
                <c:pt idx="6">
                  <c:v>2275.1888777244212</c:v>
                </c:pt>
              </c:numCache>
            </c:numRef>
          </c:val>
          <c:smooth val="0"/>
          <c:extLst>
            <c:ext xmlns:c16="http://schemas.microsoft.com/office/drawing/2014/chart" uri="{C3380CC4-5D6E-409C-BE32-E72D297353CC}">
              <c16:uniqueId val="{00000006-A54E-498B-B035-4033E9C6D7C2}"/>
            </c:ext>
          </c:extLst>
        </c:ser>
        <c:dLbls>
          <c:showLegendKey val="0"/>
          <c:showVal val="0"/>
          <c:showCatName val="0"/>
          <c:showSerName val="0"/>
          <c:showPercent val="0"/>
          <c:showBubbleSize val="0"/>
        </c:dLbls>
        <c:marker val="1"/>
        <c:smooth val="0"/>
        <c:axId val="220603136"/>
        <c:axId val="220604672"/>
      </c:lineChart>
      <c:catAx>
        <c:axId val="220603136"/>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604672"/>
        <c:crosses val="autoZero"/>
        <c:auto val="1"/>
        <c:lblAlgn val="ctr"/>
        <c:lblOffset val="100"/>
        <c:noMultiLvlLbl val="0"/>
      </c:catAx>
      <c:valAx>
        <c:axId val="22060467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60313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Time_series!$J$11</c:f>
              <c:strCache>
                <c:ptCount val="1"/>
                <c:pt idx="0">
                  <c:v>AHS_based</c:v>
                </c:pt>
              </c:strCache>
            </c:strRef>
          </c:tx>
          <c:cat>
            <c:numRef>
              <c:f>Time_series!$I$12:$I$37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Time_series!$J$12:$J$37</c:f>
              <c:numCache>
                <c:formatCode>#,##0</c:formatCode>
                <c:ptCount val="26"/>
                <c:pt idx="0" formatCode="General">
                  <c:v>97</c:v>
                </c:pt>
                <c:pt idx="1">
                  <c:v>108.03747267576522</c:v>
                </c:pt>
                <c:pt idx="2">
                  <c:v>109.73397740185293</c:v>
                </c:pt>
                <c:pt idx="3">
                  <c:v>112.51927535964501</c:v>
                </c:pt>
                <c:pt idx="4">
                  <c:v>115.09427508559475</c:v>
                </c:pt>
                <c:pt idx="5">
                  <c:v>117.58880948552878</c:v>
                </c:pt>
                <c:pt idx="6">
                  <c:v>119.31670987327701</c:v>
                </c:pt>
                <c:pt idx="7">
                  <c:v>120.7298805053244</c:v>
                </c:pt>
                <c:pt idx="8">
                  <c:v>123.99117357647596</c:v>
                </c:pt>
                <c:pt idx="9">
                  <c:v>127.43586188845045</c:v>
                </c:pt>
                <c:pt idx="10">
                  <c:v>130.51959822161481</c:v>
                </c:pt>
                <c:pt idx="11">
                  <c:v>133.37110644407292</c:v>
                </c:pt>
                <c:pt idx="12">
                  <c:v>135.5001584899133</c:v>
                </c:pt>
                <c:pt idx="13">
                  <c:v>137.59738305138623</c:v>
                </c:pt>
                <c:pt idx="14">
                  <c:v>140.9052333973365</c:v>
                </c:pt>
                <c:pt idx="15">
                  <c:v>144.52380076185449</c:v>
                </c:pt>
                <c:pt idx="16">
                  <c:v>147.51150081215135</c:v>
                </c:pt>
                <c:pt idx="17">
                  <c:v>150.60150728970891</c:v>
                </c:pt>
                <c:pt idx="18">
                  <c:v>153.38791254831452</c:v>
                </c:pt>
                <c:pt idx="19">
                  <c:v>156.29264756912559</c:v>
                </c:pt>
                <c:pt idx="20">
                  <c:v>160.02434242162172</c:v>
                </c:pt>
                <c:pt idx="21">
                  <c:v>164.12906772619303</c:v>
                </c:pt>
                <c:pt idx="22">
                  <c:v>167.31277157534649</c:v>
                </c:pt>
                <c:pt idx="23">
                  <c:v>169.37270627869484</c:v>
                </c:pt>
                <c:pt idx="24">
                  <c:v>171.47322949288872</c:v>
                </c:pt>
                <c:pt idx="25">
                  <c:v>172.7981515553783</c:v>
                </c:pt>
              </c:numCache>
            </c:numRef>
          </c:val>
          <c:smooth val="0"/>
          <c:extLst>
            <c:ext xmlns:c16="http://schemas.microsoft.com/office/drawing/2014/chart" uri="{C3380CC4-5D6E-409C-BE32-E72D297353CC}">
              <c16:uniqueId val="{00000000-B7FE-4966-8D01-EE1FA90E3348}"/>
            </c:ext>
          </c:extLst>
        </c:ser>
        <c:ser>
          <c:idx val="1"/>
          <c:order val="1"/>
          <c:tx>
            <c:strRef>
              <c:f>Time_series!$K$11</c:f>
              <c:strCache>
                <c:ptCount val="1"/>
                <c:pt idx="0">
                  <c:v>RECS</c:v>
                </c:pt>
              </c:strCache>
            </c:strRef>
          </c:tx>
          <c:cat>
            <c:numRef>
              <c:f>Time_series!$I$12:$I$37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Time_series!$K$12:$K$37</c:f>
              <c:numCache>
                <c:formatCode>General</c:formatCode>
                <c:ptCount val="26"/>
                <c:pt idx="0">
                  <c:v>117.36</c:v>
                </c:pt>
                <c:pt idx="3">
                  <c:v>128.87</c:v>
                </c:pt>
                <c:pt idx="6">
                  <c:v>140.87</c:v>
                </c:pt>
                <c:pt idx="9">
                  <c:v>152.19999999999999</c:v>
                </c:pt>
                <c:pt idx="13">
                  <c:v>143.46</c:v>
                </c:pt>
                <c:pt idx="17">
                  <c:v>186.226</c:v>
                </c:pt>
                <c:pt idx="21">
                  <c:v>226.04947681555001</c:v>
                </c:pt>
              </c:numCache>
            </c:numRef>
          </c:val>
          <c:smooth val="0"/>
          <c:extLst>
            <c:ext xmlns:c16="http://schemas.microsoft.com/office/drawing/2014/chart" uri="{C3380CC4-5D6E-409C-BE32-E72D297353CC}">
              <c16:uniqueId val="{00000001-B7FE-4966-8D01-EE1FA90E3348}"/>
            </c:ext>
          </c:extLst>
        </c:ser>
        <c:dLbls>
          <c:showLegendKey val="0"/>
          <c:showVal val="0"/>
          <c:showCatName val="0"/>
          <c:showSerName val="0"/>
          <c:showPercent val="0"/>
          <c:showBubbleSize val="0"/>
        </c:dLbls>
        <c:marker val="1"/>
        <c:smooth val="0"/>
        <c:axId val="220650880"/>
        <c:axId val="220996736"/>
      </c:lineChart>
      <c:catAx>
        <c:axId val="22065088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20996736"/>
        <c:crosses val="autoZero"/>
        <c:auto val="1"/>
        <c:lblAlgn val="ctr"/>
        <c:lblOffset val="100"/>
        <c:noMultiLvlLbl val="0"/>
      </c:catAx>
      <c:valAx>
        <c:axId val="220996736"/>
        <c:scaling>
          <c:orientation val="minMax"/>
        </c:scaling>
        <c:delete val="0"/>
        <c:axPos val="l"/>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65088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9196850393700793E-2"/>
          <c:y val="2.8252405949256341E-2"/>
          <c:w val="0.63956058617672795"/>
          <c:h val="0.78278032954214061"/>
        </c:manualLayout>
      </c:layout>
      <c:lineChart>
        <c:grouping val="standard"/>
        <c:varyColors val="0"/>
        <c:ser>
          <c:idx val="0"/>
          <c:order val="0"/>
          <c:tx>
            <c:strRef>
              <c:f>Time_series!$W$11</c:f>
              <c:strCache>
                <c:ptCount val="1"/>
                <c:pt idx="0">
                  <c:v>AHS_based</c:v>
                </c:pt>
              </c:strCache>
            </c:strRef>
          </c:tx>
          <c:cat>
            <c:numRef>
              <c:f>Time_series!$V$12:$V$37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Time_series!$W$12:$W$37</c:f>
              <c:numCache>
                <c:formatCode>0.0</c:formatCode>
                <c:ptCount val="26"/>
                <c:pt idx="0">
                  <c:v>21.1</c:v>
                </c:pt>
                <c:pt idx="1">
                  <c:v>20.673839539465316</c:v>
                </c:pt>
                <c:pt idx="2">
                  <c:v>20.914261402075891</c:v>
                </c:pt>
                <c:pt idx="3">
                  <c:v>21.150807326741305</c:v>
                </c:pt>
                <c:pt idx="4">
                  <c:v>21.657203001478855</c:v>
                </c:pt>
                <c:pt idx="5">
                  <c:v>22.134916039471516</c:v>
                </c:pt>
                <c:pt idx="6">
                  <c:v>22.244549778805101</c:v>
                </c:pt>
                <c:pt idx="7">
                  <c:v>22.319201114570731</c:v>
                </c:pt>
                <c:pt idx="8">
                  <c:v>22.770554075499714</c:v>
                </c:pt>
                <c:pt idx="9">
                  <c:v>23.205065634727109</c:v>
                </c:pt>
                <c:pt idx="10">
                  <c:v>23.522665661579065</c:v>
                </c:pt>
                <c:pt idx="11">
                  <c:v>23.863357814120228</c:v>
                </c:pt>
                <c:pt idx="12">
                  <c:v>24.159287395098588</c:v>
                </c:pt>
                <c:pt idx="13">
                  <c:v>24.466419324412328</c:v>
                </c:pt>
                <c:pt idx="14">
                  <c:v>24.477789286883272</c:v>
                </c:pt>
                <c:pt idx="15">
                  <c:v>24.495492834497853</c:v>
                </c:pt>
                <c:pt idx="16">
                  <c:v>24.907116319611436</c:v>
                </c:pt>
                <c:pt idx="17">
                  <c:v>25.316090134005492</c:v>
                </c:pt>
                <c:pt idx="18">
                  <c:v>25.900760435571783</c:v>
                </c:pt>
                <c:pt idx="19">
                  <c:v>26.490436327215569</c:v>
                </c:pt>
                <c:pt idx="20">
                  <c:v>26.798308645884397</c:v>
                </c:pt>
                <c:pt idx="21">
                  <c:v>27.105454925970442</c:v>
                </c:pt>
                <c:pt idx="22">
                  <c:v>27.499353600161964</c:v>
                </c:pt>
                <c:pt idx="23">
                  <c:v>27.895220949173606</c:v>
                </c:pt>
                <c:pt idx="24">
                  <c:v>28.136021450510462</c:v>
                </c:pt>
                <c:pt idx="25">
                  <c:v>28.322078346682169</c:v>
                </c:pt>
              </c:numCache>
            </c:numRef>
          </c:val>
          <c:smooth val="0"/>
          <c:extLst>
            <c:ext xmlns:c16="http://schemas.microsoft.com/office/drawing/2014/chart" uri="{C3380CC4-5D6E-409C-BE32-E72D297353CC}">
              <c16:uniqueId val="{00000000-F456-4AEC-9B28-C44C3D203A7B}"/>
            </c:ext>
          </c:extLst>
        </c:ser>
        <c:ser>
          <c:idx val="1"/>
          <c:order val="1"/>
          <c:tx>
            <c:strRef>
              <c:f>Time_series!$X$11</c:f>
              <c:strCache>
                <c:ptCount val="1"/>
                <c:pt idx="0">
                  <c:v>RECS</c:v>
                </c:pt>
              </c:strCache>
            </c:strRef>
          </c:tx>
          <c:cat>
            <c:numRef>
              <c:f>Time_series!$V$12:$V$37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Time_series!$X$12:$X$37</c:f>
              <c:numCache>
                <c:formatCode>General</c:formatCode>
                <c:ptCount val="26"/>
                <c:pt idx="0">
                  <c:v>22.7</c:v>
                </c:pt>
                <c:pt idx="3">
                  <c:v>23.54</c:v>
                </c:pt>
                <c:pt idx="6">
                  <c:v>23.46</c:v>
                </c:pt>
                <c:pt idx="9">
                  <c:v>23.58</c:v>
                </c:pt>
                <c:pt idx="13">
                  <c:v>19.07</c:v>
                </c:pt>
                <c:pt idx="17">
                  <c:v>27.622999999999998</c:v>
                </c:pt>
                <c:pt idx="21">
                  <c:v>23.041200838849999</c:v>
                </c:pt>
              </c:numCache>
            </c:numRef>
          </c:val>
          <c:smooth val="0"/>
          <c:extLst>
            <c:ext xmlns:c16="http://schemas.microsoft.com/office/drawing/2014/chart" uri="{C3380CC4-5D6E-409C-BE32-E72D297353CC}">
              <c16:uniqueId val="{00000001-F456-4AEC-9B28-C44C3D203A7B}"/>
            </c:ext>
          </c:extLst>
        </c:ser>
        <c:dLbls>
          <c:showLegendKey val="0"/>
          <c:showVal val="0"/>
          <c:showCatName val="0"/>
          <c:showSerName val="0"/>
          <c:showPercent val="0"/>
          <c:showBubbleSize val="0"/>
        </c:dLbls>
        <c:marker val="1"/>
        <c:smooth val="0"/>
        <c:axId val="221042176"/>
        <c:axId val="221043712"/>
      </c:lineChart>
      <c:catAx>
        <c:axId val="22104217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21043712"/>
        <c:crosses val="autoZero"/>
        <c:auto val="1"/>
        <c:lblAlgn val="ctr"/>
        <c:lblOffset val="100"/>
        <c:noMultiLvlLbl val="0"/>
      </c:catAx>
      <c:valAx>
        <c:axId val="221043712"/>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104217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Time_series!$AK$11</c:f>
              <c:strCache>
                <c:ptCount val="1"/>
                <c:pt idx="0">
                  <c:v>AHS_based</c:v>
                </c:pt>
              </c:strCache>
            </c:strRef>
          </c:tx>
          <c:cat>
            <c:numRef>
              <c:f>Time_series!$AJ$12:$AJ$37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Time_series!$AK$12:$AK$37</c:f>
              <c:numCache>
                <c:formatCode>0.0</c:formatCode>
                <c:ptCount val="26"/>
                <c:pt idx="0">
                  <c:v>4.4000000000000004</c:v>
                </c:pt>
                <c:pt idx="1">
                  <c:v>4.6984810321451462</c:v>
                </c:pt>
                <c:pt idx="2">
                  <c:v>4.9609432850900212</c:v>
                </c:pt>
                <c:pt idx="3">
                  <c:v>5.0646078256533853</c:v>
                </c:pt>
                <c:pt idx="4">
                  <c:v>5.2236543727717537</c:v>
                </c:pt>
                <c:pt idx="5">
                  <c:v>5.3683479363039721</c:v>
                </c:pt>
                <c:pt idx="6">
                  <c:v>5.5292276739261856</c:v>
                </c:pt>
                <c:pt idx="7">
                  <c:v>5.6697814150059465</c:v>
                </c:pt>
                <c:pt idx="8">
                  <c:v>5.8168331837679306</c:v>
                </c:pt>
                <c:pt idx="9">
                  <c:v>5.9912560685077372</c:v>
                </c:pt>
                <c:pt idx="10">
                  <c:v>6.2244293158776642</c:v>
                </c:pt>
                <c:pt idx="11">
                  <c:v>6.4847382895538503</c:v>
                </c:pt>
                <c:pt idx="12">
                  <c:v>6.7354113530809991</c:v>
                </c:pt>
                <c:pt idx="13">
                  <c:v>6.985661542565242</c:v>
                </c:pt>
                <c:pt idx="14">
                  <c:v>7.3196172509097561</c:v>
                </c:pt>
                <c:pt idx="15">
                  <c:v>7.6226170376411542</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0-324E-4B63-9726-49C1676243C0}"/>
            </c:ext>
          </c:extLst>
        </c:ser>
        <c:ser>
          <c:idx val="1"/>
          <c:order val="1"/>
          <c:tx>
            <c:strRef>
              <c:f>Time_series!$AL$11</c:f>
              <c:strCache>
                <c:ptCount val="1"/>
                <c:pt idx="0">
                  <c:v>RECS</c:v>
                </c:pt>
              </c:strCache>
            </c:strRef>
          </c:tx>
          <c:cat>
            <c:numRef>
              <c:f>Time_series!$AJ$12:$AJ$37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Time_series!$AL$12:$AL$37</c:f>
              <c:numCache>
                <c:formatCode>General</c:formatCode>
                <c:ptCount val="26"/>
                <c:pt idx="0">
                  <c:v>4.3</c:v>
                </c:pt>
                <c:pt idx="3">
                  <c:v>4.41</c:v>
                </c:pt>
                <c:pt idx="6">
                  <c:v>4.9000000000000004</c:v>
                </c:pt>
                <c:pt idx="9">
                  <c:v>5.44</c:v>
                </c:pt>
                <c:pt idx="13">
                  <c:v>6.27</c:v>
                </c:pt>
                <c:pt idx="17">
                  <c:v>7.2290000000000001</c:v>
                </c:pt>
                <c:pt idx="21">
                  <c:v>7.3737365746599997</c:v>
                </c:pt>
              </c:numCache>
            </c:numRef>
          </c:val>
          <c:smooth val="0"/>
          <c:extLst>
            <c:ext xmlns:c16="http://schemas.microsoft.com/office/drawing/2014/chart" uri="{C3380CC4-5D6E-409C-BE32-E72D297353CC}">
              <c16:uniqueId val="{00000001-324E-4B63-9726-49C1676243C0}"/>
            </c:ext>
          </c:extLst>
        </c:ser>
        <c:dLbls>
          <c:showLegendKey val="0"/>
          <c:showVal val="0"/>
          <c:showCatName val="0"/>
          <c:showSerName val="0"/>
          <c:showPercent val="0"/>
          <c:showBubbleSize val="0"/>
        </c:dLbls>
        <c:marker val="1"/>
        <c:smooth val="0"/>
        <c:axId val="220732800"/>
        <c:axId val="220742784"/>
      </c:lineChart>
      <c:catAx>
        <c:axId val="220732800"/>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20742784"/>
        <c:crosses val="autoZero"/>
        <c:auto val="1"/>
        <c:lblAlgn val="ctr"/>
        <c:lblOffset val="100"/>
        <c:noMultiLvlLbl val="0"/>
      </c:catAx>
      <c:valAx>
        <c:axId val="220742784"/>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73280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Time_series!$AW$11</c:f>
              <c:strCache>
                <c:ptCount val="1"/>
                <c:pt idx="0">
                  <c:v>AHS_based</c:v>
                </c:pt>
              </c:strCache>
            </c:strRef>
          </c:tx>
          <c:cat>
            <c:numRef>
              <c:f>Time_series!$AV$12:$AV$37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Time_series!$AW$12:$AW$37</c:f>
              <c:numCache>
                <c:formatCode>0.0</c:formatCode>
                <c:ptCount val="26"/>
                <c:pt idx="0">
                  <c:v>122.5</c:v>
                </c:pt>
                <c:pt idx="1">
                  <c:v>133.40979324737566</c:v>
                </c:pt>
                <c:pt idx="2">
                  <c:v>135.60918208901884</c:v>
                </c:pt>
                <c:pt idx="3">
                  <c:v>138.73469051203969</c:v>
                </c:pt>
                <c:pt idx="4">
                  <c:v>141.97513245984536</c:v>
                </c:pt>
                <c:pt idx="5">
                  <c:v>145.09207346130427</c:v>
                </c:pt>
                <c:pt idx="6">
                  <c:v>147.09048732600829</c:v>
                </c:pt>
                <c:pt idx="7">
                  <c:v>148.71886303490109</c:v>
                </c:pt>
                <c:pt idx="8">
                  <c:v>152.57856083574359</c:v>
                </c:pt>
                <c:pt idx="9">
                  <c:v>156.6321835916853</c:v>
                </c:pt>
                <c:pt idx="10">
                  <c:v>160.26669319907154</c:v>
                </c:pt>
                <c:pt idx="11">
                  <c:v>163.71920254774702</c:v>
                </c:pt>
                <c:pt idx="12">
                  <c:v>166.3948572380929</c:v>
                </c:pt>
                <c:pt idx="13">
                  <c:v>169.04946391836381</c:v>
                </c:pt>
                <c:pt idx="14">
                  <c:v>172.70263993512953</c:v>
                </c:pt>
                <c:pt idx="15">
                  <c:v>176.64191063399349</c:v>
                </c:pt>
                <c:pt idx="16">
                  <c:v>172.4186171317628</c:v>
                </c:pt>
                <c:pt idx="17">
                  <c:v>175.9175974237144</c:v>
                </c:pt>
                <c:pt idx="18">
                  <c:v>179.2886729838863</c:v>
                </c:pt>
                <c:pt idx="19">
                  <c:v>182.78308389634117</c:v>
                </c:pt>
                <c:pt idx="20">
                  <c:v>186.82265106750611</c:v>
                </c:pt>
                <c:pt idx="21">
                  <c:v>191.23452265216346</c:v>
                </c:pt>
                <c:pt idx="22">
                  <c:v>194.81212517550844</c:v>
                </c:pt>
                <c:pt idx="23">
                  <c:v>197.26792722786843</c:v>
                </c:pt>
                <c:pt idx="24">
                  <c:v>199.60925094339919</c:v>
                </c:pt>
                <c:pt idx="25">
                  <c:v>201.12022990206046</c:v>
                </c:pt>
              </c:numCache>
            </c:numRef>
          </c:val>
          <c:smooth val="0"/>
          <c:extLst>
            <c:ext xmlns:c16="http://schemas.microsoft.com/office/drawing/2014/chart" uri="{C3380CC4-5D6E-409C-BE32-E72D297353CC}">
              <c16:uniqueId val="{00000000-DB92-4503-85AE-6523F6E9DD6E}"/>
            </c:ext>
          </c:extLst>
        </c:ser>
        <c:ser>
          <c:idx val="1"/>
          <c:order val="1"/>
          <c:tx>
            <c:strRef>
              <c:f>Time_series!$AX$11</c:f>
              <c:strCache>
                <c:ptCount val="1"/>
                <c:pt idx="0">
                  <c:v>RECS</c:v>
                </c:pt>
              </c:strCache>
            </c:strRef>
          </c:tx>
          <c:cat>
            <c:numRef>
              <c:f>Time_series!$AV$12:$AV$37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Time_series!$AX$12:$AX$37</c:f>
              <c:numCache>
                <c:formatCode>0.0</c:formatCode>
                <c:ptCount val="26"/>
                <c:pt idx="0">
                  <c:v>144.36000000000001</c:v>
                </c:pt>
                <c:pt idx="3">
                  <c:v>156.82</c:v>
                </c:pt>
                <c:pt idx="6">
                  <c:v>169.23000000000002</c:v>
                </c:pt>
                <c:pt idx="9">
                  <c:v>181.21999999999997</c:v>
                </c:pt>
                <c:pt idx="13">
                  <c:v>168.8</c:v>
                </c:pt>
                <c:pt idx="17">
                  <c:v>221.078</c:v>
                </c:pt>
                <c:pt idx="21">
                  <c:v>256.46441422905997</c:v>
                </c:pt>
              </c:numCache>
            </c:numRef>
          </c:val>
          <c:smooth val="0"/>
          <c:extLst>
            <c:ext xmlns:c16="http://schemas.microsoft.com/office/drawing/2014/chart" uri="{C3380CC4-5D6E-409C-BE32-E72D297353CC}">
              <c16:uniqueId val="{00000001-DB92-4503-85AE-6523F6E9DD6E}"/>
            </c:ext>
          </c:extLst>
        </c:ser>
        <c:ser>
          <c:idx val="2"/>
          <c:order val="2"/>
          <c:tx>
            <c:strRef>
              <c:f>Time_series!$AY$11</c:f>
              <c:strCache>
                <c:ptCount val="1"/>
                <c:pt idx="0">
                  <c:v>Ann. % x 1000</c:v>
                </c:pt>
              </c:strCache>
            </c:strRef>
          </c:tx>
          <c:cat>
            <c:numRef>
              <c:f>Time_series!$AV$12:$AV$37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Time_series!$AY$12:$AY$37</c:f>
              <c:numCache>
                <c:formatCode>General</c:formatCode>
                <c:ptCount val="26"/>
                <c:pt idx="1">
                  <c:v>89.059536713270717</c:v>
                </c:pt>
                <c:pt idx="2">
                  <c:v>16.485962447786441</c:v>
                </c:pt>
                <c:pt idx="3">
                  <c:v>23.047911467891204</c:v>
                </c:pt>
                <c:pt idx="4">
                  <c:v>23.357113753206924</c:v>
                </c:pt>
                <c:pt idx="5">
                  <c:v>21.954133427841469</c:v>
                </c:pt>
                <c:pt idx="6">
                  <c:v>13.773418609507981</c:v>
                </c:pt>
                <c:pt idx="7">
                  <c:v>11.070571173536825</c:v>
                </c:pt>
                <c:pt idx="8">
                  <c:v>25.952980826223104</c:v>
                </c:pt>
                <c:pt idx="9">
                  <c:v>26.567446525502358</c:v>
                </c:pt>
                <c:pt idx="10">
                  <c:v>23.204104827273532</c:v>
                </c:pt>
                <c:pt idx="11">
                  <c:v>21.542276063480248</c:v>
                </c:pt>
                <c:pt idx="12">
                  <c:v>16.342949688907371</c:v>
                </c:pt>
                <c:pt idx="13">
                  <c:v>15.953658209955757</c:v>
                </c:pt>
                <c:pt idx="14">
                  <c:v>21.610101162638841</c:v>
                </c:pt>
                <c:pt idx="15">
                  <c:v>22.809556937540833</c:v>
                </c:pt>
                <c:pt idx="16">
                  <c:v>-23.908785220181805</c:v>
                </c:pt>
                <c:pt idx="17">
                  <c:v>20.293517893590796</c:v>
                </c:pt>
                <c:pt idx="18">
                  <c:v>19.162810369973027</c:v>
                </c:pt>
                <c:pt idx="19">
                  <c:v>19.490416512642383</c:v>
                </c:pt>
                <c:pt idx="20">
                  <c:v>22.100333822225203</c:v>
                </c:pt>
                <c:pt idx="21">
                  <c:v>23.615292682380272</c:v>
                </c:pt>
                <c:pt idx="22">
                  <c:v>18.707932405344518</c:v>
                </c:pt>
                <c:pt idx="23">
                  <c:v>12.606002065567168</c:v>
                </c:pt>
                <c:pt idx="24">
                  <c:v>11.868750021518881</c:v>
                </c:pt>
                <c:pt idx="25">
                  <c:v>7.5696840277694744</c:v>
                </c:pt>
              </c:numCache>
            </c:numRef>
          </c:val>
          <c:smooth val="0"/>
          <c:extLst>
            <c:ext xmlns:c16="http://schemas.microsoft.com/office/drawing/2014/chart" uri="{C3380CC4-5D6E-409C-BE32-E72D297353CC}">
              <c16:uniqueId val="{00000002-DB92-4503-85AE-6523F6E9DD6E}"/>
            </c:ext>
          </c:extLst>
        </c:ser>
        <c:ser>
          <c:idx val="3"/>
          <c:order val="3"/>
          <c:tx>
            <c:strRef>
              <c:f>Time_series!$AZ$11</c:f>
              <c:strCache>
                <c:ptCount val="1"/>
                <c:pt idx="0">
                  <c:v>Current Indicators</c:v>
                </c:pt>
              </c:strCache>
            </c:strRef>
          </c:tx>
          <c:cat>
            <c:numRef>
              <c:f>Time_series!$AV$12:$AV$37</c:f>
              <c:numCache>
                <c:formatCode>General</c:formatCode>
                <c:ptCount val="26"/>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numCache>
            </c:numRef>
          </c:cat>
          <c:val>
            <c:numRef>
              <c:f>Time_series!$AZ$12:$AZ$37</c:f>
              <c:numCache>
                <c:formatCode>#,##0.00</c:formatCode>
                <c:ptCount val="26"/>
                <c:pt idx="0">
                  <c:v>142.67050289687137</c:v>
                </c:pt>
                <c:pt idx="1">
                  <c:v>146.99176488816488</c:v>
                </c:pt>
                <c:pt idx="2">
                  <c:v>151.652212994058</c:v>
                </c:pt>
                <c:pt idx="3">
                  <c:v>155.23220763274335</c:v>
                </c:pt>
                <c:pt idx="4">
                  <c:v>160.09502829316344</c:v>
                </c:pt>
                <c:pt idx="5">
                  <c:v>165.12202883026924</c:v>
                </c:pt>
                <c:pt idx="6">
                  <c:v>168.05439159574465</c:v>
                </c:pt>
                <c:pt idx="7">
                  <c:v>172.16956690439326</c:v>
                </c:pt>
                <c:pt idx="8">
                  <c:v>177.12719345923185</c:v>
                </c:pt>
                <c:pt idx="9">
                  <c:v>181.08103336787565</c:v>
                </c:pt>
                <c:pt idx="10">
                  <c:v>185.69757992987459</c:v>
                </c:pt>
                <c:pt idx="11">
                  <c:v>192.74274162472835</c:v>
                </c:pt>
                <c:pt idx="12">
                  <c:v>197.49013448973238</c:v>
                </c:pt>
                <c:pt idx="13">
                  <c:v>203.8432695113201</c:v>
                </c:pt>
                <c:pt idx="14">
                  <c:v>208.62932140979257</c:v>
                </c:pt>
                <c:pt idx="15">
                  <c:v>213.51672013010224</c:v>
                </c:pt>
                <c:pt idx="16">
                  <c:v>218.50614083826025</c:v>
                </c:pt>
                <c:pt idx="17">
                  <c:v>223.5982233644861</c:v>
                </c:pt>
                <c:pt idx="18">
                  <c:v>229.15556104698237</c:v>
                </c:pt>
                <c:pt idx="19">
                  <c:v>236.71265154104569</c:v>
                </c:pt>
                <c:pt idx="20">
                  <c:v>241.6708950003636</c:v>
                </c:pt>
                <c:pt idx="21">
                  <c:v>248.04241495135557</c:v>
                </c:pt>
                <c:pt idx="22">
                  <c:v>252.22044492082662</c:v>
                </c:pt>
                <c:pt idx="23">
                  <c:v>257.98300621365854</c:v>
                </c:pt>
                <c:pt idx="24">
                  <c:v>261.90928622658834</c:v>
                </c:pt>
                <c:pt idx="25">
                  <c:v>265.03926399223411</c:v>
                </c:pt>
              </c:numCache>
            </c:numRef>
          </c:val>
          <c:smooth val="0"/>
          <c:extLst>
            <c:ext xmlns:c16="http://schemas.microsoft.com/office/drawing/2014/chart" uri="{C3380CC4-5D6E-409C-BE32-E72D297353CC}">
              <c16:uniqueId val="{00000003-DB92-4503-85AE-6523F6E9DD6E}"/>
            </c:ext>
          </c:extLst>
        </c:ser>
        <c:dLbls>
          <c:showLegendKey val="0"/>
          <c:showVal val="0"/>
          <c:showCatName val="0"/>
          <c:showSerName val="0"/>
          <c:showPercent val="0"/>
          <c:showBubbleSize val="0"/>
        </c:dLbls>
        <c:marker val="1"/>
        <c:smooth val="0"/>
        <c:axId val="220789760"/>
        <c:axId val="220795648"/>
      </c:lineChart>
      <c:catAx>
        <c:axId val="220789760"/>
        <c:scaling>
          <c:orientation val="minMax"/>
        </c:scaling>
        <c:delete val="0"/>
        <c:axPos val="b"/>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220795648"/>
        <c:crosses val="autoZero"/>
        <c:auto val="1"/>
        <c:lblAlgn val="ctr"/>
        <c:lblOffset val="100"/>
        <c:noMultiLvlLbl val="0"/>
      </c:catAx>
      <c:valAx>
        <c:axId val="220795648"/>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78976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206573091407052"/>
          <c:y val="6.8119369091402759E-2"/>
          <c:w val="0.81616131316918716"/>
          <c:h val="0.8326195683872849"/>
        </c:manualLayout>
      </c:layout>
      <c:lineChart>
        <c:grouping val="standard"/>
        <c:varyColors val="0"/>
        <c:ser>
          <c:idx val="0"/>
          <c:order val="0"/>
          <c:tx>
            <c:strRef>
              <c:f>Survival_curve_SF!$S$189</c:f>
              <c:strCache>
                <c:ptCount val="1"/>
                <c:pt idx="0">
                  <c:v>Actual </c:v>
                </c:pt>
              </c:strCache>
            </c:strRef>
          </c:tx>
          <c:cat>
            <c:numRef>
              <c:f>Survival_curve_SF!$R$190:$R$195</c:f>
              <c:numCache>
                <c:formatCode>General</c:formatCode>
                <c:ptCount val="6"/>
                <c:pt idx="0">
                  <c:v>1999</c:v>
                </c:pt>
                <c:pt idx="1">
                  <c:v>2001</c:v>
                </c:pt>
                <c:pt idx="2">
                  <c:v>2003</c:v>
                </c:pt>
                <c:pt idx="3">
                  <c:v>2005</c:v>
                </c:pt>
                <c:pt idx="4">
                  <c:v>2007</c:v>
                </c:pt>
                <c:pt idx="5">
                  <c:v>2009</c:v>
                </c:pt>
              </c:numCache>
            </c:numRef>
          </c:cat>
          <c:val>
            <c:numRef>
              <c:f>Survival_curve_SF!$S$190:$S$195</c:f>
              <c:numCache>
                <c:formatCode>#,##0</c:formatCode>
                <c:ptCount val="6"/>
                <c:pt idx="0">
                  <c:v>71499.011453219486</c:v>
                </c:pt>
                <c:pt idx="1">
                  <c:v>72617.70559977692</c:v>
                </c:pt>
                <c:pt idx="2">
                  <c:v>70152.119647368818</c:v>
                </c:pt>
                <c:pt idx="3">
                  <c:v>68584.372819708093</c:v>
                </c:pt>
                <c:pt idx="4">
                  <c:v>67477.929133198137</c:v>
                </c:pt>
                <c:pt idx="5">
                  <c:v>67410.173781626538</c:v>
                </c:pt>
              </c:numCache>
            </c:numRef>
          </c:val>
          <c:smooth val="0"/>
          <c:extLst>
            <c:ext xmlns:c16="http://schemas.microsoft.com/office/drawing/2014/chart" uri="{C3380CC4-5D6E-409C-BE32-E72D297353CC}">
              <c16:uniqueId val="{00000000-7A4B-459E-97C5-8B04291BA93F}"/>
            </c:ext>
          </c:extLst>
        </c:ser>
        <c:ser>
          <c:idx val="1"/>
          <c:order val="1"/>
          <c:tx>
            <c:strRef>
              <c:f>Survival_curve_SF!$T$189</c:f>
              <c:strCache>
                <c:ptCount val="1"/>
                <c:pt idx="0">
                  <c:v>Predicted</c:v>
                </c:pt>
              </c:strCache>
            </c:strRef>
          </c:tx>
          <c:cat>
            <c:numRef>
              <c:f>Survival_curve_SF!$R$190:$R$195</c:f>
              <c:numCache>
                <c:formatCode>General</c:formatCode>
                <c:ptCount val="6"/>
                <c:pt idx="0">
                  <c:v>1999</c:v>
                </c:pt>
                <c:pt idx="1">
                  <c:v>2001</c:v>
                </c:pt>
                <c:pt idx="2">
                  <c:v>2003</c:v>
                </c:pt>
                <c:pt idx="3">
                  <c:v>2005</c:v>
                </c:pt>
                <c:pt idx="4">
                  <c:v>2007</c:v>
                </c:pt>
                <c:pt idx="5">
                  <c:v>2009</c:v>
                </c:pt>
              </c:numCache>
            </c:numRef>
          </c:cat>
          <c:val>
            <c:numRef>
              <c:f>Survival_curve_SF!$T$190:$T$195</c:f>
              <c:numCache>
                <c:formatCode>General</c:formatCode>
                <c:ptCount val="6"/>
                <c:pt idx="0">
                  <c:v>73038.86024008099</c:v>
                </c:pt>
                <c:pt idx="1">
                  <c:v>72008.380230353418</c:v>
                </c:pt>
                <c:pt idx="2">
                  <c:v>70949.008695398399</c:v>
                </c:pt>
                <c:pt idx="3">
                  <c:v>69861.823152706827</c:v>
                </c:pt>
                <c:pt idx="4">
                  <c:v>68748.195627615438</c:v>
                </c:pt>
                <c:pt idx="5">
                  <c:v>67609.744609477508</c:v>
                </c:pt>
              </c:numCache>
            </c:numRef>
          </c:val>
          <c:smooth val="0"/>
          <c:extLst>
            <c:ext xmlns:c16="http://schemas.microsoft.com/office/drawing/2014/chart" uri="{C3380CC4-5D6E-409C-BE32-E72D297353CC}">
              <c16:uniqueId val="{00000001-7A4B-459E-97C5-8B04291BA93F}"/>
            </c:ext>
          </c:extLst>
        </c:ser>
        <c:dLbls>
          <c:showLegendKey val="0"/>
          <c:showVal val="0"/>
          <c:showCatName val="0"/>
          <c:showSerName val="0"/>
          <c:showPercent val="0"/>
          <c:showBubbleSize val="0"/>
        </c:dLbls>
        <c:marker val="1"/>
        <c:smooth val="0"/>
        <c:axId val="220641152"/>
        <c:axId val="220642688"/>
      </c:lineChart>
      <c:catAx>
        <c:axId val="2206411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642688"/>
        <c:crosses val="autoZero"/>
        <c:auto val="1"/>
        <c:lblAlgn val="ctr"/>
        <c:lblOffset val="100"/>
        <c:noMultiLvlLbl val="0"/>
      </c:catAx>
      <c:valAx>
        <c:axId val="220642688"/>
        <c:scaling>
          <c:orientation val="minMax"/>
        </c:scaling>
        <c:delete val="0"/>
        <c:axPos val="l"/>
        <c:majorGridlines/>
        <c:title>
          <c:tx>
            <c:rich>
              <a:bodyPr rot="-5400000" vert="horz"/>
              <a:lstStyle/>
              <a:p>
                <a:pPr>
                  <a:defRPr sz="1100" b="1" i="0" baseline="0"/>
                </a:pPr>
                <a:r>
                  <a:rPr lang="en-US" sz="1100" b="1" i="0" baseline="0"/>
                  <a:t>Thousand of units</a:t>
                </a:r>
              </a:p>
            </c:rich>
          </c:tx>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20641152"/>
        <c:crosses val="autoZero"/>
        <c:crossBetween val="between"/>
      </c:valAx>
    </c:plotArea>
    <c:legend>
      <c:legendPos val="r"/>
      <c:layout>
        <c:manualLayout>
          <c:xMode val="edge"/>
          <c:yMode val="edge"/>
          <c:x val="0.24309483653422842"/>
          <c:y val="0.58516920494656044"/>
          <c:w val="0.21923322084739408"/>
          <c:h val="0.20016258384368621"/>
        </c:manualLayout>
      </c:layout>
      <c:overlay val="0"/>
      <c:spPr>
        <a:solidFill>
          <a:schemeClr val="bg1"/>
        </a:solidFill>
        <a:ln>
          <a:solidFill>
            <a:schemeClr val="accent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Survival_curve_SF!$F$16</c:f>
              <c:strCache>
                <c:ptCount val="1"/>
                <c:pt idx="0">
                  <c:v>% Surviving</c:v>
                </c:pt>
              </c:strCache>
            </c:strRef>
          </c:tx>
          <c:marker>
            <c:symbol val="diamond"/>
            <c:size val="3"/>
            <c:spPr>
              <a:ln w="3175"/>
            </c:spPr>
          </c:marker>
          <c:cat>
            <c:numRef>
              <c:f>Survival_curve_SF!$E$17:$E$167</c:f>
              <c:numCache>
                <c:formatCode>0</c:formatCode>
                <c:ptCount val="1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numCache>
            </c:numRef>
          </c:cat>
          <c:val>
            <c:numRef>
              <c:f>Survival_curve_SF!$F$17:$F$167</c:f>
              <c:numCache>
                <c:formatCode>0.00000</c:formatCode>
                <c:ptCount val="151"/>
                <c:pt idx="0">
                  <c:v>1</c:v>
                </c:pt>
                <c:pt idx="1">
                  <c:v>0.99998468374587324</c:v>
                </c:pt>
                <c:pt idx="2">
                  <c:v>0.99991398653008901</c:v>
                </c:pt>
                <c:pt idx="3">
                  <c:v>0.99976400743780991</c:v>
                </c:pt>
                <c:pt idx="4">
                  <c:v>0.99951712060728348</c:v>
                </c:pt>
                <c:pt idx="5">
                  <c:v>0.99915870136426765</c:v>
                </c:pt>
                <c:pt idx="6">
                  <c:v>0.99867605463283105</c:v>
                </c:pt>
                <c:pt idx="7">
                  <c:v>0.99805789831703007</c:v>
                </c:pt>
                <c:pt idx="8">
                  <c:v>0.99729407172089668</c:v>
                </c:pt>
                <c:pt idx="9">
                  <c:v>0.99637535567137236</c:v>
                </c:pt>
                <c:pt idx="10">
                  <c:v>0.99529335520377815</c:v>
                </c:pt>
                <c:pt idx="11">
                  <c:v>0.99404042021614281</c:v>
                </c:pt>
                <c:pt idx="12">
                  <c:v>0.99260959048776132</c:v>
                </c:pt>
                <c:pt idx="13">
                  <c:v>0.99099455694939909</c:v>
                </c:pt>
                <c:pt idx="14">
                  <c:v>0.98918963407289151</c:v>
                </c:pt>
                <c:pt idx="15">
                  <c:v>0.98718973997313852</c:v>
                </c:pt>
                <c:pt idx="16">
                  <c:v>0.98499038186823373</c:v>
                </c:pt>
                <c:pt idx="17">
                  <c:v>0.98258764521506248</c:v>
                </c:pt>
                <c:pt idx="18">
                  <c:v>0.97997818528312852</c:v>
                </c:pt>
                <c:pt idx="19">
                  <c:v>0.97715922023532442</c:v>
                </c:pt>
                <c:pt idx="20">
                  <c:v>0.97412852500149461</c:v>
                </c:pt>
                <c:pt idx="21">
                  <c:v>0.97088442538958741</c:v>
                </c:pt>
                <c:pt idx="22">
                  <c:v>0.96742579199910583</c:v>
                </c:pt>
                <c:pt idx="23">
                  <c:v>0.96375203359467987</c:v>
                </c:pt>
                <c:pt idx="24">
                  <c:v>0.95986308967192713</c:v>
                </c:pt>
                <c:pt idx="25">
                  <c:v>0.95575942200867836</c:v>
                </c:pt>
                <c:pt idx="26">
                  <c:v>0.9514420050457244</c:v>
                </c:pt>
                <c:pt idx="27">
                  <c:v>0.94691231498493078</c:v>
                </c:pt>
                <c:pt idx="28">
                  <c:v>0.94217231753057684</c:v>
                </c:pt>
                <c:pt idx="29">
                  <c:v>0.93722445423321243</c:v>
                </c:pt>
                <c:pt idx="30">
                  <c:v>0.93207162742501681</c:v>
                </c:pt>
                <c:pt idx="31">
                  <c:v>0.92671718376209222</c:v>
                </c:pt>
                <c:pt idx="32">
                  <c:v>0.92116489641269972</c:v>
                </c:pt>
                <c:pt idx="33">
                  <c:v>0.91541894595137341</c:v>
                </c:pt>
                <c:pt idx="34">
                  <c:v>0.90948390003730295</c:v>
                </c:pt>
                <c:pt idx="35">
                  <c:v>0.90336469197142155</c:v>
                </c:pt>
                <c:pt idx="36">
                  <c:v>0.89706659824039237</c:v>
                </c:pt>
                <c:pt idx="37">
                  <c:v>0.89059521516716211</c:v>
                </c:pt>
                <c:pt idx="38">
                  <c:v>0.88395643479702424</c:v>
                </c:pt>
                <c:pt idx="39">
                  <c:v>0.87715642015525297</c:v>
                </c:pt>
                <c:pt idx="40">
                  <c:v>0.87020158001738046</c:v>
                </c:pt>
                <c:pt idx="41">
                  <c:v>0.86309854333619884</c:v>
                </c:pt>
                <c:pt idx="42">
                  <c:v>0.85585413347063188</c:v>
                </c:pt>
                <c:pt idx="43">
                  <c:v>0.84847534236086875</c:v>
                </c:pt>
                <c:pt idx="44">
                  <c:v>0.84096930479169851</c:v>
                </c:pt>
                <c:pt idx="45">
                  <c:v>0.83334327288195076</c:v>
                </c:pt>
                <c:pt idx="46">
                  <c:v>0.82560459093250615</c:v>
                </c:pt>
                <c:pt idx="47">
                  <c:v>0.8177606707586258</c:v>
                </c:pt>
                <c:pt idx="48">
                  <c:v>0.80981896762453542</c:v>
                </c:pt>
                <c:pt idx="49">
                  <c:v>0.80178695688945978</c:v>
                </c:pt>
                <c:pt idx="50">
                  <c:v>0.79367211146479977</c:v>
                </c:pt>
                <c:pt idx="51">
                  <c:v>0.78548188017205678</c:v>
                </c:pt>
                <c:pt idx="52">
                  <c:v>0.77722366708059465</c:v>
                </c:pt>
                <c:pt idx="53">
                  <c:v>0.76890481189356241</c:v>
                </c:pt>
                <c:pt idx="54">
                  <c:v>0.76053257143942443</c:v>
                </c:pt>
                <c:pt idx="55">
                  <c:v>0.75211410231569709</c:v>
                </c:pt>
                <c:pt idx="56">
                  <c:v>0.7436564447208317</c:v>
                </c:pt>
                <c:pt idx="57">
                  <c:v>0.73516650749978796</c:v>
                </c:pt>
                <c:pt idx="58">
                  <c:v>0.72665105441885558</c:v>
                </c:pt>
                <c:pt idx="59">
                  <c:v>0.71811669167577774</c:v>
                </c:pt>
                <c:pt idx="60">
                  <c:v>0.70956985664227434</c:v>
                </c:pt>
                <c:pt idx="61">
                  <c:v>0.701016807827749</c:v>
                </c:pt>
                <c:pt idx="62">
                  <c:v>0.69246361604530116</c:v>
                </c:pt>
                <c:pt idx="63">
                  <c:v>0.68391615675421991</c:v>
                </c:pt>
                <c:pt idx="64">
                  <c:v>0.67538010354691702</c:v>
                </c:pt>
                <c:pt idx="65">
                  <c:v>0.66686092274276154</c:v>
                </c:pt>
                <c:pt idx="66">
                  <c:v>0.65836386904654065</c:v>
                </c:pt>
                <c:pt idx="67">
                  <c:v>0.64989398222523576</c:v>
                </c:pt>
                <c:pt idx="68">
                  <c:v>0.64145608475348803</c:v>
                </c:pt>
                <c:pt idx="69">
                  <c:v>0.63305478037548346</c:v>
                </c:pt>
                <c:pt idx="70">
                  <c:v>0.62469445352899611</c:v>
                </c:pt>
                <c:pt idx="71">
                  <c:v>0.61637926957593325</c:v>
                </c:pt>
                <c:pt idx="72">
                  <c:v>0.60811317578291202</c:v>
                </c:pt>
                <c:pt idx="73">
                  <c:v>0.59989990299509455</c:v>
                </c:pt>
                <c:pt idx="74">
                  <c:v>0.59174296794668324</c:v>
                </c:pt>
                <c:pt idx="75">
                  <c:v>0.58364567615208818</c:v>
                </c:pt>
                <c:pt idx="76">
                  <c:v>0.57561112532275616</c:v>
                </c:pt>
                <c:pt idx="77">
                  <c:v>0.56764220925597808</c:v>
                </c:pt>
                <c:pt idx="78">
                  <c:v>0.55974162214359635</c:v>
                </c:pt>
                <c:pt idx="79">
                  <c:v>0.55191186325038477</c:v>
                </c:pt>
                <c:pt idx="80">
                  <c:v>0.54415524191393305</c:v>
                </c:pt>
                <c:pt idx="81">
                  <c:v>0.53647388282008035</c:v>
                </c:pt>
                <c:pt idx="82">
                  <c:v>0.52886973151029093</c:v>
                </c:pt>
                <c:pt idx="83">
                  <c:v>0.52134456007979546</c:v>
                </c:pt>
                <c:pt idx="84">
                  <c:v>0.5138999730278202</c:v>
                </c:pt>
                <c:pt idx="85">
                  <c:v>0.5065374132237519</c:v>
                </c:pt>
                <c:pt idx="86">
                  <c:v>0.49925816795561961</c:v>
                </c:pt>
                <c:pt idx="87">
                  <c:v>0.49206337502979453</c:v>
                </c:pt>
                <c:pt idx="88">
                  <c:v>0.48495402889328948</c:v>
                </c:pt>
                <c:pt idx="89">
                  <c:v>0.47793098675246826</c:v>
                </c:pt>
                <c:pt idx="90">
                  <c:v>0.47099497466434082</c:v>
                </c:pt>
                <c:pt idx="91">
                  <c:v>0.46414659357889998</c:v>
                </c:pt>
                <c:pt idx="92">
                  <c:v>0.45738632531315271</c:v>
                </c:pt>
                <c:pt idx="93">
                  <c:v>0.45071453843959397</c:v>
                </c:pt>
                <c:pt idx="94">
                  <c:v>0.44413149407386765</c:v>
                </c:pt>
                <c:pt idx="95">
                  <c:v>0.4376373515482469</c:v>
                </c:pt>
                <c:pt idx="96">
                  <c:v>0.43123217395934743</c:v>
                </c:pt>
                <c:pt idx="97">
                  <c:v>0.42491593358014801</c:v>
                </c:pt>
                <c:pt idx="98">
                  <c:v>0.41868851712796151</c:v>
                </c:pt>
                <c:pt idx="99">
                  <c:v>0.41254973088143299</c:v>
                </c:pt>
                <c:pt idx="100">
                  <c:v>0.40649930564099362</c:v>
                </c:pt>
                <c:pt idx="101">
                  <c:v>0.40053690152842375</c:v>
                </c:pt>
                <c:pt idx="102">
                  <c:v>0.39466211262231088</c:v>
                </c:pt>
                <c:pt idx="103">
                  <c:v>0.38887447142722464</c:v>
                </c:pt>
                <c:pt idx="104">
                  <c:v>0.38317345317536194</c:v>
                </c:pt>
                <c:pt idx="105">
                  <c:v>0.37755847996026676</c:v>
                </c:pt>
                <c:pt idx="106">
                  <c:v>0.37202892470298615</c:v>
                </c:pt>
                <c:pt idx="107">
                  <c:v>0.36658411495170801</c:v>
                </c:pt>
                <c:pt idx="108">
                  <c:v>0.36122333651652183</c:v>
                </c:pt>
                <c:pt idx="109">
                  <c:v>0.35594583694148485</c:v>
                </c:pt>
                <c:pt idx="110">
                  <c:v>0.35075082881663078</c:v>
                </c:pt>
                <c:pt idx="111">
                  <c:v>0.34563749293296697</c:v>
                </c:pt>
                <c:pt idx="112">
                  <c:v>0.34060498128384781</c:v>
                </c:pt>
                <c:pt idx="113">
                  <c:v>0.33565241991640266</c:v>
                </c:pt>
                <c:pt idx="114">
                  <c:v>0.33077891163694317</c:v>
                </c:pt>
                <c:pt idx="115">
                  <c:v>0.32598353857446771</c:v>
                </c:pt>
                <c:pt idx="116">
                  <c:v>0.32126536460654093</c:v>
                </c:pt>
                <c:pt idx="117">
                  <c:v>0.31662343765194489</c:v>
                </c:pt>
                <c:pt idx="118">
                  <c:v>0.31205679183458668</c:v>
                </c:pt>
                <c:pt idx="119">
                  <c:v>0.30756444952320083</c:v>
                </c:pt>
                <c:pt idx="120">
                  <c:v>0.3031454232514168</c:v>
                </c:pt>
                <c:pt idx="121">
                  <c:v>0.29879871752276616</c:v>
                </c:pt>
                <c:pt idx="122">
                  <c:v>0.29452333050518653</c:v>
                </c:pt>
                <c:pt idx="123">
                  <c:v>0.29031825561954788</c:v>
                </c:pt>
                <c:pt idx="124">
                  <c:v>0.28618248302667121</c:v>
                </c:pt>
                <c:pt idx="125">
                  <c:v>0.2821150010172474</c:v>
                </c:pt>
                <c:pt idx="126">
                  <c:v>0.27811479730898397</c:v>
                </c:pt>
                <c:pt idx="127">
                  <c:v>0.27418086025521921</c:v>
                </c:pt>
                <c:pt idx="128">
                  <c:v>0.27031217996914642</c:v>
                </c:pt>
                <c:pt idx="129">
                  <c:v>0.26650774936768645</c:v>
                </c:pt>
                <c:pt idx="130">
                  <c:v>0.26276656513893465</c:v>
                </c:pt>
                <c:pt idx="131">
                  <c:v>0.25908762863699325</c:v>
                </c:pt>
                <c:pt idx="132">
                  <c:v>0.25546994670788398</c:v>
                </c:pt>
                <c:pt idx="133">
                  <c:v>0.25191253245010931</c:v>
                </c:pt>
                <c:pt idx="134">
                  <c:v>0.24841440591331143</c:v>
                </c:pt>
                <c:pt idx="135">
                  <c:v>0.24497459473835201</c:v>
                </c:pt>
                <c:pt idx="136">
                  <c:v>0.24159213474201099</c:v>
                </c:pt>
                <c:pt idx="137">
                  <c:v>0.23826607044938017</c:v>
                </c:pt>
                <c:pt idx="138">
                  <c:v>0.23499545557690196</c:v>
                </c:pt>
                <c:pt idx="139">
                  <c:v>0.23177935346888448</c:v>
                </c:pt>
                <c:pt idx="140">
                  <c:v>0.22861683749020195</c:v>
                </c:pt>
                <c:pt idx="141">
                  <c:v>0.22550699137777225</c:v>
                </c:pt>
                <c:pt idx="142">
                  <c:v>0.22244890955328964</c:v>
                </c:pt>
                <c:pt idx="143">
                  <c:v>0.21944169739957503</c:v>
                </c:pt>
                <c:pt idx="144">
                  <c:v>0.21648447150279951</c:v>
                </c:pt>
                <c:pt idx="145">
                  <c:v>0.21357635986272738</c:v>
                </c:pt>
                <c:pt idx="146">
                  <c:v>0.21071650207302339</c:v>
                </c:pt>
                <c:pt idx="147">
                  <c:v>0.20790404947356747</c:v>
                </c:pt>
                <c:pt idx="148">
                  <c:v>0.20513816527662312</c:v>
                </c:pt>
                <c:pt idx="149">
                  <c:v>0.20241802466861356</c:v>
                </c:pt>
                <c:pt idx="150">
                  <c:v>0.19974281488916615</c:v>
                </c:pt>
              </c:numCache>
            </c:numRef>
          </c:val>
          <c:smooth val="0"/>
          <c:extLst>
            <c:ext xmlns:c16="http://schemas.microsoft.com/office/drawing/2014/chart" uri="{C3380CC4-5D6E-409C-BE32-E72D297353CC}">
              <c16:uniqueId val="{00000000-306F-419F-8BDD-7303FD8713F7}"/>
            </c:ext>
          </c:extLst>
        </c:ser>
        <c:dLbls>
          <c:showLegendKey val="0"/>
          <c:showVal val="0"/>
          <c:showCatName val="0"/>
          <c:showSerName val="0"/>
          <c:showPercent val="0"/>
          <c:showBubbleSize val="0"/>
        </c:dLbls>
        <c:marker val="1"/>
        <c:smooth val="0"/>
        <c:axId val="38416384"/>
        <c:axId val="38418304"/>
      </c:lineChart>
      <c:catAx>
        <c:axId val="38416384"/>
        <c:scaling>
          <c:orientation val="minMax"/>
        </c:scaling>
        <c:delete val="0"/>
        <c:axPos val="b"/>
        <c:title>
          <c:tx>
            <c:rich>
              <a:bodyPr/>
              <a:lstStyle/>
              <a:p>
                <a:pPr>
                  <a:defRPr/>
                </a:pPr>
                <a:r>
                  <a:rPr lang="en-US"/>
                  <a:t>Age (Years)</a:t>
                </a:r>
              </a:p>
            </c:rich>
          </c:tx>
          <c:overlay val="0"/>
        </c:title>
        <c:numFmt formatCode="0" sourceLinked="1"/>
        <c:majorTickMark val="out"/>
        <c:minorTickMark val="none"/>
        <c:tickLblPos val="nextTo"/>
        <c:txPr>
          <a:bodyPr rot="0" vert="horz"/>
          <a:lstStyle/>
          <a:p>
            <a:pPr>
              <a:defRPr/>
            </a:pPr>
            <a:endParaRPr lang="en-US"/>
          </a:p>
        </c:txPr>
        <c:crossAx val="38418304"/>
        <c:crosses val="autoZero"/>
        <c:auto val="1"/>
        <c:lblAlgn val="ctr"/>
        <c:lblOffset val="100"/>
        <c:tickLblSkip val="10"/>
        <c:noMultiLvlLbl val="0"/>
      </c:catAx>
      <c:valAx>
        <c:axId val="38418304"/>
        <c:scaling>
          <c:orientation val="minMax"/>
        </c:scaling>
        <c:delete val="0"/>
        <c:axPos val="l"/>
        <c:majorGridlines/>
        <c:title>
          <c:tx>
            <c:rich>
              <a:bodyPr rot="-5400000" vert="horz"/>
              <a:lstStyle/>
              <a:p>
                <a:pPr>
                  <a:defRPr/>
                </a:pPr>
                <a:r>
                  <a:rPr lang="en-US"/>
                  <a:t>Fraction Surviving</a:t>
                </a:r>
              </a:p>
            </c:rich>
          </c:tx>
          <c:overlay val="0"/>
        </c:title>
        <c:numFmt formatCode="0.00" sourceLinked="0"/>
        <c:majorTickMark val="out"/>
        <c:minorTickMark val="none"/>
        <c:tickLblPos val="nextTo"/>
        <c:txPr>
          <a:bodyPr rot="0" vert="horz"/>
          <a:lstStyle/>
          <a:p>
            <a:pPr>
              <a:defRPr/>
            </a:pPr>
            <a:endParaRPr lang="en-US"/>
          </a:p>
        </c:txPr>
        <c:crossAx val="38416384"/>
        <c:crosses val="autoZero"/>
        <c:crossBetween val="between"/>
      </c:valAx>
    </c:plotArea>
    <c:plotVisOnly val="1"/>
    <c:dispBlanksAs val="gap"/>
    <c:showDLblsOverMax val="0"/>
  </c:chart>
  <c:txPr>
    <a:bodyPr/>
    <a:lstStyle/>
    <a:p>
      <a:pPr>
        <a:defRPr sz="9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Survival_curve_SF!$S$189</c:f>
              <c:strCache>
                <c:ptCount val="1"/>
                <c:pt idx="0">
                  <c:v>Actual </c:v>
                </c:pt>
              </c:strCache>
            </c:strRef>
          </c:tx>
          <c:cat>
            <c:numRef>
              <c:f>Survival_curve_SF!$R$190:$R$195</c:f>
              <c:numCache>
                <c:formatCode>General</c:formatCode>
                <c:ptCount val="6"/>
                <c:pt idx="0">
                  <c:v>1999</c:v>
                </c:pt>
                <c:pt idx="1">
                  <c:v>2001</c:v>
                </c:pt>
                <c:pt idx="2">
                  <c:v>2003</c:v>
                </c:pt>
                <c:pt idx="3">
                  <c:v>2005</c:v>
                </c:pt>
                <c:pt idx="4">
                  <c:v>2007</c:v>
                </c:pt>
                <c:pt idx="5">
                  <c:v>2009</c:v>
                </c:pt>
              </c:numCache>
            </c:numRef>
          </c:cat>
          <c:val>
            <c:numRef>
              <c:f>Survival_curve_SF!$S$190:$S$195</c:f>
              <c:numCache>
                <c:formatCode>#,##0</c:formatCode>
                <c:ptCount val="6"/>
                <c:pt idx="0">
                  <c:v>71499.011453219486</c:v>
                </c:pt>
                <c:pt idx="1">
                  <c:v>72617.70559977692</c:v>
                </c:pt>
                <c:pt idx="2">
                  <c:v>70152.119647368818</c:v>
                </c:pt>
                <c:pt idx="3">
                  <c:v>68584.372819708093</c:v>
                </c:pt>
                <c:pt idx="4">
                  <c:v>67477.929133198137</c:v>
                </c:pt>
                <c:pt idx="5">
                  <c:v>67410.173781626538</c:v>
                </c:pt>
              </c:numCache>
            </c:numRef>
          </c:val>
          <c:smooth val="0"/>
          <c:extLst>
            <c:ext xmlns:c16="http://schemas.microsoft.com/office/drawing/2014/chart" uri="{C3380CC4-5D6E-409C-BE32-E72D297353CC}">
              <c16:uniqueId val="{00000000-625D-4890-9747-79BAD99A8355}"/>
            </c:ext>
          </c:extLst>
        </c:ser>
        <c:ser>
          <c:idx val="1"/>
          <c:order val="1"/>
          <c:tx>
            <c:strRef>
              <c:f>Survival_curve_SF!$T$189</c:f>
              <c:strCache>
                <c:ptCount val="1"/>
                <c:pt idx="0">
                  <c:v>Predicted</c:v>
                </c:pt>
              </c:strCache>
            </c:strRef>
          </c:tx>
          <c:cat>
            <c:numRef>
              <c:f>Survival_curve_SF!$R$190:$R$195</c:f>
              <c:numCache>
                <c:formatCode>General</c:formatCode>
                <c:ptCount val="6"/>
                <c:pt idx="0">
                  <c:v>1999</c:v>
                </c:pt>
                <c:pt idx="1">
                  <c:v>2001</c:v>
                </c:pt>
                <c:pt idx="2">
                  <c:v>2003</c:v>
                </c:pt>
                <c:pt idx="3">
                  <c:v>2005</c:v>
                </c:pt>
                <c:pt idx="4">
                  <c:v>2007</c:v>
                </c:pt>
                <c:pt idx="5">
                  <c:v>2009</c:v>
                </c:pt>
              </c:numCache>
            </c:numRef>
          </c:cat>
          <c:val>
            <c:numRef>
              <c:f>Survival_curve_SF!$T$190:$T$195</c:f>
              <c:numCache>
                <c:formatCode>General</c:formatCode>
                <c:ptCount val="6"/>
                <c:pt idx="0">
                  <c:v>73038.86024008099</c:v>
                </c:pt>
                <c:pt idx="1">
                  <c:v>72008.380230353418</c:v>
                </c:pt>
                <c:pt idx="2">
                  <c:v>70949.008695398399</c:v>
                </c:pt>
                <c:pt idx="3">
                  <c:v>69861.823152706827</c:v>
                </c:pt>
                <c:pt idx="4">
                  <c:v>68748.195627615438</c:v>
                </c:pt>
                <c:pt idx="5">
                  <c:v>67609.744609477508</c:v>
                </c:pt>
              </c:numCache>
            </c:numRef>
          </c:val>
          <c:smooth val="0"/>
          <c:extLst>
            <c:ext xmlns:c16="http://schemas.microsoft.com/office/drawing/2014/chart" uri="{C3380CC4-5D6E-409C-BE32-E72D297353CC}">
              <c16:uniqueId val="{00000001-625D-4890-9747-79BAD99A8355}"/>
            </c:ext>
          </c:extLst>
        </c:ser>
        <c:dLbls>
          <c:showLegendKey val="0"/>
          <c:showVal val="0"/>
          <c:showCatName val="0"/>
          <c:showSerName val="0"/>
          <c:showPercent val="0"/>
          <c:showBubbleSize val="0"/>
        </c:dLbls>
        <c:marker val="1"/>
        <c:smooth val="0"/>
        <c:axId val="38438784"/>
        <c:axId val="38440320"/>
      </c:lineChart>
      <c:catAx>
        <c:axId val="3843878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440320"/>
        <c:crosses val="autoZero"/>
        <c:auto val="1"/>
        <c:lblAlgn val="ctr"/>
        <c:lblOffset val="100"/>
        <c:noMultiLvlLbl val="0"/>
      </c:catAx>
      <c:valAx>
        <c:axId val="3844032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43878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Survival_curve_MF!$S$190</c:f>
              <c:strCache>
                <c:ptCount val="1"/>
                <c:pt idx="0">
                  <c:v>Actual </c:v>
                </c:pt>
              </c:strCache>
            </c:strRef>
          </c:tx>
          <c:cat>
            <c:numRef>
              <c:f>Survival_curve_MF!$R$191:$R$196</c:f>
              <c:numCache>
                <c:formatCode>General</c:formatCode>
                <c:ptCount val="6"/>
                <c:pt idx="0">
                  <c:v>1999</c:v>
                </c:pt>
                <c:pt idx="1">
                  <c:v>2001</c:v>
                </c:pt>
                <c:pt idx="2">
                  <c:v>2003</c:v>
                </c:pt>
                <c:pt idx="3">
                  <c:v>2005</c:v>
                </c:pt>
                <c:pt idx="4">
                  <c:v>2007</c:v>
                </c:pt>
                <c:pt idx="5">
                  <c:v>2009</c:v>
                </c:pt>
              </c:numCache>
            </c:numRef>
          </c:cat>
          <c:val>
            <c:numRef>
              <c:f>Survival_curve_MF!$S$191:$S$196</c:f>
              <c:numCache>
                <c:formatCode>#,##0</c:formatCode>
                <c:ptCount val="6"/>
                <c:pt idx="0">
                  <c:v>24515.622361986938</c:v>
                </c:pt>
                <c:pt idx="1">
                  <c:v>24229.051613052176</c:v>
                </c:pt>
                <c:pt idx="2">
                  <c:v>24142.503211975374</c:v>
                </c:pt>
                <c:pt idx="3">
                  <c:v>23485.35685644254</c:v>
                </c:pt>
                <c:pt idx="4">
                  <c:v>23601.884887156284</c:v>
                </c:pt>
                <c:pt idx="5">
                  <c:v>22713.93858297867</c:v>
                </c:pt>
              </c:numCache>
            </c:numRef>
          </c:val>
          <c:smooth val="0"/>
          <c:extLst>
            <c:ext xmlns:c16="http://schemas.microsoft.com/office/drawing/2014/chart" uri="{C3380CC4-5D6E-409C-BE32-E72D297353CC}">
              <c16:uniqueId val="{00000000-775E-4DFE-9E9B-541269B8E69D}"/>
            </c:ext>
          </c:extLst>
        </c:ser>
        <c:ser>
          <c:idx val="1"/>
          <c:order val="1"/>
          <c:tx>
            <c:strRef>
              <c:f>Survival_curve_MF!$T$190</c:f>
              <c:strCache>
                <c:ptCount val="1"/>
                <c:pt idx="0">
                  <c:v>Predicted</c:v>
                </c:pt>
              </c:strCache>
            </c:strRef>
          </c:tx>
          <c:cat>
            <c:numRef>
              <c:f>Survival_curve_MF!$R$191:$R$196</c:f>
              <c:numCache>
                <c:formatCode>General</c:formatCode>
                <c:ptCount val="6"/>
                <c:pt idx="0">
                  <c:v>1999</c:v>
                </c:pt>
                <c:pt idx="1">
                  <c:v>2001</c:v>
                </c:pt>
                <c:pt idx="2">
                  <c:v>2003</c:v>
                </c:pt>
                <c:pt idx="3">
                  <c:v>2005</c:v>
                </c:pt>
                <c:pt idx="4">
                  <c:v>2007</c:v>
                </c:pt>
                <c:pt idx="5">
                  <c:v>2009</c:v>
                </c:pt>
              </c:numCache>
            </c:numRef>
          </c:cat>
          <c:val>
            <c:numRef>
              <c:f>Survival_curve_MF!$T$191:$T$196</c:f>
              <c:numCache>
                <c:formatCode>General</c:formatCode>
                <c:ptCount val="6"/>
                <c:pt idx="0">
                  <c:v>24526.291951009458</c:v>
                </c:pt>
                <c:pt idx="1">
                  <c:v>24248.543636359886</c:v>
                </c:pt>
                <c:pt idx="2">
                  <c:v>23955.421969330109</c:v>
                </c:pt>
                <c:pt idx="3">
                  <c:v>23647.141060218939</c:v>
                </c:pt>
                <c:pt idx="4">
                  <c:v>23323.919115099987</c:v>
                </c:pt>
                <c:pt idx="5">
                  <c:v>22985.969241895651</c:v>
                </c:pt>
              </c:numCache>
            </c:numRef>
          </c:val>
          <c:smooth val="0"/>
          <c:extLst>
            <c:ext xmlns:c16="http://schemas.microsoft.com/office/drawing/2014/chart" uri="{C3380CC4-5D6E-409C-BE32-E72D297353CC}">
              <c16:uniqueId val="{00000001-775E-4DFE-9E9B-541269B8E69D}"/>
            </c:ext>
          </c:extLst>
        </c:ser>
        <c:dLbls>
          <c:showLegendKey val="0"/>
          <c:showVal val="0"/>
          <c:showCatName val="0"/>
          <c:showSerName val="0"/>
          <c:showPercent val="0"/>
          <c:showBubbleSize val="0"/>
        </c:dLbls>
        <c:marker val="1"/>
        <c:smooth val="0"/>
        <c:axId val="38589184"/>
        <c:axId val="38590720"/>
      </c:lineChart>
      <c:catAx>
        <c:axId val="3858918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590720"/>
        <c:crosses val="autoZero"/>
        <c:auto val="1"/>
        <c:lblAlgn val="ctr"/>
        <c:lblOffset val="100"/>
        <c:noMultiLvlLbl val="0"/>
      </c:catAx>
      <c:valAx>
        <c:axId val="3859072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58918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Survival_curve_MF!$F$16</c:f>
              <c:strCache>
                <c:ptCount val="1"/>
                <c:pt idx="0">
                  <c:v>% Surviving</c:v>
                </c:pt>
              </c:strCache>
            </c:strRef>
          </c:tx>
          <c:marker>
            <c:symbol val="diamond"/>
            <c:size val="3"/>
          </c:marker>
          <c:cat>
            <c:numRef>
              <c:f>Survival_curve_MF!$E$17:$E$167</c:f>
              <c:numCache>
                <c:formatCode>0</c:formatCode>
                <c:ptCount val="1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numCache>
            </c:numRef>
          </c:cat>
          <c:val>
            <c:numRef>
              <c:f>Survival_curve_MF!$F$17:$F$167</c:f>
              <c:numCache>
                <c:formatCode>0.00000</c:formatCode>
                <c:ptCount val="151"/>
                <c:pt idx="0">
                  <c:v>1</c:v>
                </c:pt>
                <c:pt idx="1">
                  <c:v>0.99999999427563546</c:v>
                </c:pt>
                <c:pt idx="2">
                  <c:v>0.99999989023395652</c:v>
                </c:pt>
                <c:pt idx="3">
                  <c:v>0.99999938223536866</c:v>
                </c:pt>
                <c:pt idx="4">
                  <c:v>0.99999789521414317</c:v>
                </c:pt>
                <c:pt idx="5">
                  <c:v>0.99999455300773576</c:v>
                </c:pt>
                <c:pt idx="6">
                  <c:v>0.99998815434890775</c:v>
                </c:pt>
                <c:pt idx="7">
                  <c:v>0.99997715316816216</c:v>
                </c:pt>
                <c:pt idx="8">
                  <c:v>0.99995964177326324</c:v>
                </c:pt>
                <c:pt idx="9">
                  <c:v>0.99993333615200219</c:v>
                </c:pt>
                <c:pt idx="10">
                  <c:v>0.99989556296392978</c:v>
                </c:pt>
                <c:pt idx="11">
                  <c:v>0.99984324796371249</c:v>
                </c:pt>
                <c:pt idx="12">
                  <c:v>0.99977290570882893</c:v>
                </c:pt>
                <c:pt idx="13">
                  <c:v>0.99968063047943412</c:v>
                </c:pt>
                <c:pt idx="14">
                  <c:v>0.99956208839352689</c:v>
                </c:pt>
                <c:pt idx="15">
                  <c:v>0.99941251074394599</c:v>
                </c:pt>
                <c:pt idx="16">
                  <c:v>0.99922668861951447</c:v>
                </c:pt>
                <c:pt idx="17">
                  <c:v>0.99899896890334761</c:v>
                </c:pt>
                <c:pt idx="18">
                  <c:v>0.99872325176836463</c:v>
                </c:pt>
                <c:pt idx="19">
                  <c:v>0.99839298981425129</c:v>
                </c:pt>
                <c:pt idx="20">
                  <c:v>0.99800118901189872</c:v>
                </c:pt>
                <c:pt idx="21">
                  <c:v>0.99754041164089791</c:v>
                </c:pt>
                <c:pt idx="22">
                  <c:v>0.99700278142293219</c:v>
                </c:pt>
                <c:pt idx="23">
                  <c:v>0.99637999106873743</c:v>
                </c:pt>
                <c:pt idx="24">
                  <c:v>0.99566331246840367</c:v>
                </c:pt>
                <c:pt idx="25">
                  <c:v>0.9948436097637755</c:v>
                </c:pt>
                <c:pt idx="26">
                  <c:v>0.99391135554715382</c:v>
                </c:pt>
                <c:pt idx="27">
                  <c:v>0.99285665043186788</c:v>
                </c:pt>
                <c:pt idx="28">
                  <c:v>0.99166924623704455</c:v>
                </c:pt>
                <c:pt idx="29">
                  <c:v>0.99033857302043671</c:v>
                </c:pt>
                <c:pt idx="30">
                  <c:v>0.98885377017892562</c:v>
                </c:pt>
                <c:pt idx="31">
                  <c:v>0.98720372181565841</c:v>
                </c:pt>
                <c:pt idx="32">
                  <c:v>0.985377096545209</c:v>
                </c:pt>
                <c:pt idx="33">
                  <c:v>0.98336239187312824</c:v>
                </c:pt>
                <c:pt idx="34">
                  <c:v>0.98114798324342201</c:v>
                </c:pt>
                <c:pt idx="35">
                  <c:v>0.97872217779654513</c:v>
                </c:pt>
                <c:pt idx="36">
                  <c:v>0.97607327282135148</c:v>
                </c:pt>
                <c:pt idx="37">
                  <c:v>0.97318961881714305</c:v>
                </c:pt>
                <c:pt idx="38">
                  <c:v>0.97005968700685008</c:v>
                </c:pt>
                <c:pt idx="39">
                  <c:v>0.96667214106000876</c:v>
                </c:pt>
                <c:pt idx="40">
                  <c:v>0.96301591269546205</c:v>
                </c:pt>
                <c:pt idx="41">
                  <c:v>0.95908028073978546</c:v>
                </c:pt>
                <c:pt idx="42">
                  <c:v>0.9548549531198296</c:v>
                </c:pt>
                <c:pt idx="43">
                  <c:v>0.95033015116836539</c:v>
                </c:pt>
                <c:pt idx="44">
                  <c:v>0.94549669552276183</c:v>
                </c:pt>
                <c:pt idx="45">
                  <c:v>0.94034609280043069</c:v>
                </c:pt>
                <c:pt idx="46">
                  <c:v>0.93487062214415295</c:v>
                </c:pt>
                <c:pt idx="47">
                  <c:v>0.92906342064831493</c:v>
                </c:pt>
                <c:pt idx="48">
                  <c:v>0.92291856660656513</c:v>
                </c:pt>
                <c:pt idx="49">
                  <c:v>0.91643115946554121</c:v>
                </c:pt>
                <c:pt idx="50">
                  <c:v>0.90959739533107919</c:v>
                </c:pt>
                <c:pt idx="51">
                  <c:v>0.90241463685549106</c:v>
                </c:pt>
                <c:pt idx="52">
                  <c:v>0.89488147633948223</c:v>
                </c:pt>
                <c:pt idx="53">
                  <c:v>0.88699779091202102</c:v>
                </c:pt>
                <c:pt idx="54">
                  <c:v>0.87876478870732311</c:v>
                </c:pt>
                <c:pt idx="55">
                  <c:v>0.87018504504065342</c:v>
                </c:pt>
                <c:pt idx="56">
                  <c:v>0.86126252769370748</c:v>
                </c:pt>
                <c:pt idx="57">
                  <c:v>0.85200261055483129</c:v>
                </c:pt>
                <c:pt idx="58">
                  <c:v>0.84241207501726123</c:v>
                </c:pt>
                <c:pt idx="59">
                  <c:v>0.83249909871707539</c:v>
                </c:pt>
                <c:pt idx="60">
                  <c:v>0.82227323138786079</c:v>
                </c:pt>
                <c:pt idx="61">
                  <c:v>0.81174535781677226</c:v>
                </c:pt>
                <c:pt idx="62">
                  <c:v>0.8009276481015557</c:v>
                </c:pt>
                <c:pt idx="63">
                  <c:v>0.78983349562469707</c:v>
                </c:pt>
                <c:pt idx="64">
                  <c:v>0.77847744337334734</c:v>
                </c:pt>
                <c:pt idx="65">
                  <c:v>0.76687509943623866</c:v>
                </c:pt>
                <c:pt idx="66">
                  <c:v>0.75504304269584266</c:v>
                </c:pt>
                <c:pt idx="67">
                  <c:v>0.74299871990036592</c:v>
                </c:pt>
                <c:pt idx="68">
                  <c:v>0.73076033544126406</c:v>
                </c:pt>
                <c:pt idx="69">
                  <c:v>0.71834673527409276</c:v>
                </c:pt>
                <c:pt idx="70">
                  <c:v>0.70577728650094107</c:v>
                </c:pt>
                <c:pt idx="71">
                  <c:v>0.69307175417969769</c:v>
                </c:pt>
                <c:pt idx="72">
                  <c:v>0.68025017693844503</c:v>
                </c:pt>
                <c:pt idx="73">
                  <c:v>0.66733274295282752</c:v>
                </c:pt>
                <c:pt idx="74">
                  <c:v>0.65433966779191644</c:v>
                </c:pt>
                <c:pt idx="75">
                  <c:v>0.64129107555640574</c:v>
                </c:pt>
                <c:pt idx="76">
                  <c:v>0.62820688462524865</c:v>
                </c:pt>
                <c:pt idx="77">
                  <c:v>0.6151066991971198</c:v>
                </c:pt>
                <c:pt idx="78">
                  <c:v>0.60200970766575279</c:v>
                </c:pt>
                <c:pt idx="79">
                  <c:v>0.58893458870805948</c:v>
                </c:pt>
                <c:pt idx="80">
                  <c:v>0.57589942579571951</c:v>
                </c:pt>
                <c:pt idx="81">
                  <c:v>0.56292163066939815</c:v>
                </c:pt>
                <c:pt idx="82">
                  <c:v>0.55001787614430364</c:v>
                </c:pt>
                <c:pt idx="83">
                  <c:v>0.53720403845050801</c:v>
                </c:pt>
                <c:pt idx="84">
                  <c:v>0.52449514915485007</c:v>
                </c:pt>
                <c:pt idx="85">
                  <c:v>0.51190535656628089</c:v>
                </c:pt>
                <c:pt idx="86">
                  <c:v>0.4994478963955602</c:v>
                </c:pt>
                <c:pt idx="87">
                  <c:v>0.48713507132494843</c:v>
                </c:pt>
                <c:pt idx="88">
                  <c:v>0.47497823904507858</c:v>
                </c:pt>
                <c:pt idx="89">
                  <c:v>0.46298780823503977</c:v>
                </c:pt>
                <c:pt idx="90">
                  <c:v>0.45117324189780544</c:v>
                </c:pt>
                <c:pt idx="91">
                  <c:v>0.43954306741606547</c:v>
                </c:pt>
                <c:pt idx="92">
                  <c:v>0.42810489266234875</c:v>
                </c:pt>
                <c:pt idx="93">
                  <c:v>0.41686542748089356</c:v>
                </c:pt>
                <c:pt idx="94">
                  <c:v>0.40583050985564101</c:v>
                </c:pt>
                <c:pt idx="95">
                  <c:v>0.39500513608739785</c:v>
                </c:pt>
                <c:pt idx="96">
                  <c:v>0.38439349432202324</c:v>
                </c:pt>
                <c:pt idx="97">
                  <c:v>0.3739990007987532</c:v>
                </c:pt>
                <c:pt idx="98">
                  <c:v>0.36382433822183685</c:v>
                </c:pt>
                <c:pt idx="99">
                  <c:v>0.35387149569798115</c:v>
                </c:pt>
                <c:pt idx="100">
                  <c:v>0.34414180972517971</c:v>
                </c:pt>
                <c:pt idx="101">
                  <c:v>0.33463600576403768</c:v>
                </c:pt>
                <c:pt idx="102">
                  <c:v>0.32535423996948665</c:v>
                </c:pt>
                <c:pt idx="103">
                  <c:v>0.31629614070777412</c:v>
                </c:pt>
                <c:pt idx="104">
                  <c:v>0.30746084952994562</c:v>
                </c:pt>
                <c:pt idx="105">
                  <c:v>0.29884706131796601</c:v>
                </c:pt>
                <c:pt idx="106">
                  <c:v>0.29045306336257032</c:v>
                </c:pt>
                <c:pt idx="107">
                  <c:v>0.28227677317245792</c:v>
                </c:pt>
                <c:pt idx="108">
                  <c:v>0.27431577485219677</c:v>
                </c:pt>
                <c:pt idx="109">
                  <c:v>0.26656735392099074</c:v>
                </c:pt>
                <c:pt idx="110">
                  <c:v>0.25902853047615043</c:v>
                </c:pt>
                <c:pt idx="111">
                  <c:v>0.25169609063365206</c:v>
                </c:pt>
                <c:pt idx="112">
                  <c:v>0.24456661620361286</c:v>
                </c:pt>
                <c:pt idx="113">
                  <c:v>0.23763651258091167</c:v>
                </c:pt>
                <c:pt idx="114">
                  <c:v>0.23090203485068986</c:v>
                </c:pt>
                <c:pt idx="115">
                  <c:v>0.22435931212522328</c:v>
                </c:pt>
                <c:pt idx="116">
                  <c:v>0.21800437014283325</c:v>
                </c:pt>
                <c:pt idx="117">
                  <c:v>0.21183315217133031</c:v>
                </c:pt>
                <c:pt idx="118">
                  <c:v>0.20584153826811386</c:v>
                </c:pt>
                <c:pt idx="119">
                  <c:v>0.20002536295673984</c:v>
                </c:pt>
                <c:pt idx="120">
                  <c:v>0.19438043138568234</c:v>
                </c:pt>
                <c:pt idx="121">
                  <c:v>0.18890253403937005</c:v>
                </c:pt>
                <c:pt idx="122">
                  <c:v>0.18358746007456309</c:v>
                </c:pt>
                <c:pt idx="123">
                  <c:v>0.17843100935692044</c:v>
                </c:pt>
                <c:pt idx="124">
                  <c:v>0.17342900327336533</c:v>
                </c:pt>
                <c:pt idx="125">
                  <c:v>0.16857729439574218</c:v>
                </c:pt>
                <c:pt idx="126">
                  <c:v>0.16387177507040204</c:v>
                </c:pt>
                <c:pt idx="127">
                  <c:v>0.15930838500689684</c:v>
                </c:pt>
                <c:pt idx="128">
                  <c:v>0.15488311793700929</c:v>
                </c:pt>
                <c:pt idx="129">
                  <c:v>0.1505920274129959</c:v>
                </c:pt>
                <c:pt idx="130">
                  <c:v>0.14643123181127715</c:v>
                </c:pt>
                <c:pt idx="131">
                  <c:v>0.14239691860492862</c:v>
                </c:pt>
                <c:pt idx="132">
                  <c:v>0.13848534796530215</c:v>
                </c:pt>
                <c:pt idx="133">
                  <c:v>0.1346928557499745</c:v>
                </c:pt>
                <c:pt idx="134">
                  <c:v>0.13101585593103987</c:v>
                </c:pt>
                <c:pt idx="135">
                  <c:v>0.12745084251458291</c:v>
                </c:pt>
                <c:pt idx="136">
                  <c:v>0.12399439099900324</c:v>
                </c:pt>
                <c:pt idx="137">
                  <c:v>0.1206431594167636</c:v>
                </c:pt>
                <c:pt idx="138">
                  <c:v>0.11739388900110756</c:v>
                </c:pt>
                <c:pt idx="139">
                  <c:v>0.11424340451636221</c:v>
                </c:pt>
                <c:pt idx="140">
                  <c:v>0.11118861428762343</c:v>
                </c:pt>
                <c:pt idx="141">
                  <c:v>0.10822650996292382</c:v>
                </c:pt>
                <c:pt idx="142">
                  <c:v>0.10535416603840841</c:v>
                </c:pt>
                <c:pt idx="143">
                  <c:v>0.10256873917460599</c:v>
                </c:pt>
                <c:pt idx="144">
                  <c:v>9.9867467329576048E-2</c:v>
                </c:pt>
                <c:pt idx="145">
                  <c:v>9.7247668732538109E-2</c:v>
                </c:pt>
                <c:pt idx="146">
                  <c:v>9.4706740719553609E-2</c:v>
                </c:pt>
                <c:pt idx="147">
                  <c:v>9.2242158450917031E-2</c:v>
                </c:pt>
                <c:pt idx="148">
                  <c:v>8.9851473528134801E-2</c:v>
                </c:pt>
                <c:pt idx="149">
                  <c:v>8.7532312526709136E-2</c:v>
                </c:pt>
                <c:pt idx="150">
                  <c:v>8.5282375459403564E-2</c:v>
                </c:pt>
              </c:numCache>
            </c:numRef>
          </c:val>
          <c:smooth val="0"/>
          <c:extLst>
            <c:ext xmlns:c16="http://schemas.microsoft.com/office/drawing/2014/chart" uri="{C3380CC4-5D6E-409C-BE32-E72D297353CC}">
              <c16:uniqueId val="{00000000-1506-49C2-AB48-9043F77BCF1B}"/>
            </c:ext>
          </c:extLst>
        </c:ser>
        <c:dLbls>
          <c:showLegendKey val="0"/>
          <c:showVal val="0"/>
          <c:showCatName val="0"/>
          <c:showSerName val="0"/>
          <c:showPercent val="0"/>
          <c:showBubbleSize val="0"/>
        </c:dLbls>
        <c:marker val="1"/>
        <c:smooth val="0"/>
        <c:axId val="38598528"/>
        <c:axId val="38690816"/>
      </c:lineChart>
      <c:catAx>
        <c:axId val="38598528"/>
        <c:scaling>
          <c:orientation val="minMax"/>
        </c:scaling>
        <c:delete val="0"/>
        <c:axPos val="b"/>
        <c:title>
          <c:tx>
            <c:rich>
              <a:bodyPr/>
              <a:lstStyle/>
              <a:p>
                <a:pPr>
                  <a:defRPr sz="1100" b="1" i="0" baseline="0"/>
                </a:pPr>
                <a:r>
                  <a:rPr lang="en-US" sz="1100" b="1" i="0" baseline="0"/>
                  <a:t>Age (years)</a:t>
                </a:r>
              </a:p>
            </c:rich>
          </c:tx>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690816"/>
        <c:crosses val="autoZero"/>
        <c:auto val="1"/>
        <c:lblAlgn val="ctr"/>
        <c:lblOffset val="100"/>
        <c:tickLblSkip val="10"/>
        <c:tickMarkSkip val="10"/>
        <c:noMultiLvlLbl val="0"/>
      </c:catAx>
      <c:valAx>
        <c:axId val="38690816"/>
        <c:scaling>
          <c:orientation val="minMax"/>
        </c:scaling>
        <c:delete val="0"/>
        <c:axPos val="l"/>
        <c:majorGridlines/>
        <c:title>
          <c:tx>
            <c:rich>
              <a:bodyPr rot="-5400000" vert="horz"/>
              <a:lstStyle/>
              <a:p>
                <a:pPr>
                  <a:defRPr sz="1100" b="1"/>
                </a:pPr>
                <a:r>
                  <a:rPr lang="en-US" sz="1100" b="1"/>
                  <a:t>Fraction surviving</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598528"/>
        <c:crosses val="autoZero"/>
        <c:crossBetween val="midCat"/>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Survival_curve_MF!$S$190</c:f>
              <c:strCache>
                <c:ptCount val="1"/>
                <c:pt idx="0">
                  <c:v>Actual </c:v>
                </c:pt>
              </c:strCache>
            </c:strRef>
          </c:tx>
          <c:cat>
            <c:numRef>
              <c:f>Survival_curve_MF!$R$191:$R$196</c:f>
              <c:numCache>
                <c:formatCode>General</c:formatCode>
                <c:ptCount val="6"/>
                <c:pt idx="0">
                  <c:v>1999</c:v>
                </c:pt>
                <c:pt idx="1">
                  <c:v>2001</c:v>
                </c:pt>
                <c:pt idx="2">
                  <c:v>2003</c:v>
                </c:pt>
                <c:pt idx="3">
                  <c:v>2005</c:v>
                </c:pt>
                <c:pt idx="4">
                  <c:v>2007</c:v>
                </c:pt>
                <c:pt idx="5">
                  <c:v>2009</c:v>
                </c:pt>
              </c:numCache>
            </c:numRef>
          </c:cat>
          <c:val>
            <c:numRef>
              <c:f>Survival_curve_MF!$S$191:$S$196</c:f>
              <c:numCache>
                <c:formatCode>#,##0</c:formatCode>
                <c:ptCount val="6"/>
                <c:pt idx="0">
                  <c:v>24515.622361986938</c:v>
                </c:pt>
                <c:pt idx="1">
                  <c:v>24229.051613052176</c:v>
                </c:pt>
                <c:pt idx="2">
                  <c:v>24142.503211975374</c:v>
                </c:pt>
                <c:pt idx="3">
                  <c:v>23485.35685644254</c:v>
                </c:pt>
                <c:pt idx="4">
                  <c:v>23601.884887156284</c:v>
                </c:pt>
                <c:pt idx="5">
                  <c:v>22713.93858297867</c:v>
                </c:pt>
              </c:numCache>
            </c:numRef>
          </c:val>
          <c:smooth val="0"/>
          <c:extLst>
            <c:ext xmlns:c16="http://schemas.microsoft.com/office/drawing/2014/chart" uri="{C3380CC4-5D6E-409C-BE32-E72D297353CC}">
              <c16:uniqueId val="{00000000-EEA6-462D-BB73-96AE7EC0874D}"/>
            </c:ext>
          </c:extLst>
        </c:ser>
        <c:ser>
          <c:idx val="1"/>
          <c:order val="1"/>
          <c:tx>
            <c:strRef>
              <c:f>Survival_curve_MF!$T$190</c:f>
              <c:strCache>
                <c:ptCount val="1"/>
                <c:pt idx="0">
                  <c:v>Predicted</c:v>
                </c:pt>
              </c:strCache>
            </c:strRef>
          </c:tx>
          <c:cat>
            <c:numRef>
              <c:f>Survival_curve_MF!$R$191:$R$196</c:f>
              <c:numCache>
                <c:formatCode>General</c:formatCode>
                <c:ptCount val="6"/>
                <c:pt idx="0">
                  <c:v>1999</c:v>
                </c:pt>
                <c:pt idx="1">
                  <c:v>2001</c:v>
                </c:pt>
                <c:pt idx="2">
                  <c:v>2003</c:v>
                </c:pt>
                <c:pt idx="3">
                  <c:v>2005</c:v>
                </c:pt>
                <c:pt idx="4">
                  <c:v>2007</c:v>
                </c:pt>
                <c:pt idx="5">
                  <c:v>2009</c:v>
                </c:pt>
              </c:numCache>
            </c:numRef>
          </c:cat>
          <c:val>
            <c:numRef>
              <c:f>Survival_curve_MF!$T$191:$T$196</c:f>
              <c:numCache>
                <c:formatCode>General</c:formatCode>
                <c:ptCount val="6"/>
                <c:pt idx="0">
                  <c:v>24526.291951009458</c:v>
                </c:pt>
                <c:pt idx="1">
                  <c:v>24248.543636359886</c:v>
                </c:pt>
                <c:pt idx="2">
                  <c:v>23955.421969330109</c:v>
                </c:pt>
                <c:pt idx="3">
                  <c:v>23647.141060218939</c:v>
                </c:pt>
                <c:pt idx="4">
                  <c:v>23323.919115099987</c:v>
                </c:pt>
                <c:pt idx="5">
                  <c:v>22985.969241895651</c:v>
                </c:pt>
              </c:numCache>
            </c:numRef>
          </c:val>
          <c:smooth val="0"/>
          <c:extLst>
            <c:ext xmlns:c16="http://schemas.microsoft.com/office/drawing/2014/chart" uri="{C3380CC4-5D6E-409C-BE32-E72D297353CC}">
              <c16:uniqueId val="{00000001-EEA6-462D-BB73-96AE7EC0874D}"/>
            </c:ext>
          </c:extLst>
        </c:ser>
        <c:dLbls>
          <c:showLegendKey val="0"/>
          <c:showVal val="0"/>
          <c:showCatName val="0"/>
          <c:showSerName val="0"/>
          <c:showPercent val="0"/>
          <c:showBubbleSize val="0"/>
        </c:dLbls>
        <c:marker val="1"/>
        <c:smooth val="0"/>
        <c:axId val="38728064"/>
        <c:axId val="38729600"/>
      </c:lineChart>
      <c:catAx>
        <c:axId val="3872806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729600"/>
        <c:crosses val="autoZero"/>
        <c:auto val="1"/>
        <c:lblAlgn val="ctr"/>
        <c:lblOffset val="100"/>
        <c:noMultiLvlLbl val="0"/>
      </c:catAx>
      <c:valAx>
        <c:axId val="3872960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72806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Survival_curve_MH!$S$189</c:f>
              <c:strCache>
                <c:ptCount val="1"/>
                <c:pt idx="0">
                  <c:v>Actual </c:v>
                </c:pt>
              </c:strCache>
            </c:strRef>
          </c:tx>
          <c:cat>
            <c:numRef>
              <c:f>Survival_curve_MH!$R$190:$R$195</c:f>
              <c:numCache>
                <c:formatCode>General</c:formatCode>
                <c:ptCount val="6"/>
                <c:pt idx="0">
                  <c:v>1999</c:v>
                </c:pt>
                <c:pt idx="1">
                  <c:v>2001</c:v>
                </c:pt>
                <c:pt idx="2">
                  <c:v>2003</c:v>
                </c:pt>
                <c:pt idx="3">
                  <c:v>2005</c:v>
                </c:pt>
                <c:pt idx="4">
                  <c:v>2007</c:v>
                </c:pt>
                <c:pt idx="5">
                  <c:v>2009</c:v>
                </c:pt>
              </c:numCache>
            </c:numRef>
          </c:cat>
          <c:val>
            <c:numRef>
              <c:f>Survival_curve_MH!$S$190:$S$195</c:f>
              <c:numCache>
                <c:formatCode>#,##0</c:formatCode>
                <c:ptCount val="6"/>
                <c:pt idx="0">
                  <c:v>6779.4290188811865</c:v>
                </c:pt>
                <c:pt idx="1">
                  <c:v>6837.6489145402238</c:v>
                </c:pt>
                <c:pt idx="2">
                  <c:v>6317.0725734817752</c:v>
                </c:pt>
                <c:pt idx="3">
                  <c:v>6107.1059712185688</c:v>
                </c:pt>
                <c:pt idx="4">
                  <c:v>5900.5893283575988</c:v>
                </c:pt>
                <c:pt idx="5">
                  <c:v>5692.9520862876816</c:v>
                </c:pt>
              </c:numCache>
            </c:numRef>
          </c:val>
          <c:smooth val="0"/>
          <c:extLst>
            <c:ext xmlns:c16="http://schemas.microsoft.com/office/drawing/2014/chart" uri="{C3380CC4-5D6E-409C-BE32-E72D297353CC}">
              <c16:uniqueId val="{00000000-4923-4298-9539-8FE280188739}"/>
            </c:ext>
          </c:extLst>
        </c:ser>
        <c:ser>
          <c:idx val="1"/>
          <c:order val="1"/>
          <c:tx>
            <c:strRef>
              <c:f>Survival_curve_MH!$T$189</c:f>
              <c:strCache>
                <c:ptCount val="1"/>
                <c:pt idx="0">
                  <c:v>Predicted</c:v>
                </c:pt>
              </c:strCache>
            </c:strRef>
          </c:tx>
          <c:cat>
            <c:numRef>
              <c:f>Survival_curve_MH!$R$190:$R$195</c:f>
              <c:numCache>
                <c:formatCode>General</c:formatCode>
                <c:ptCount val="6"/>
                <c:pt idx="0">
                  <c:v>1999</c:v>
                </c:pt>
                <c:pt idx="1">
                  <c:v>2001</c:v>
                </c:pt>
                <c:pt idx="2">
                  <c:v>2003</c:v>
                </c:pt>
                <c:pt idx="3">
                  <c:v>2005</c:v>
                </c:pt>
                <c:pt idx="4">
                  <c:v>2007</c:v>
                </c:pt>
                <c:pt idx="5">
                  <c:v>2009</c:v>
                </c:pt>
              </c:numCache>
            </c:numRef>
          </c:cat>
          <c:val>
            <c:numRef>
              <c:f>Survival_curve_MH!$T$190:$T$195</c:f>
              <c:numCache>
                <c:formatCode>General</c:formatCode>
                <c:ptCount val="6"/>
                <c:pt idx="0">
                  <c:v>6854.3602148769796</c:v>
                </c:pt>
                <c:pt idx="1">
                  <c:v>6654.7465137356767</c:v>
                </c:pt>
                <c:pt idx="2">
                  <c:v>6435.5168296630791</c:v>
                </c:pt>
                <c:pt idx="3">
                  <c:v>6197.8030802161029</c:v>
                </c:pt>
                <c:pt idx="4">
                  <c:v>5943.1112604028413</c:v>
                </c:pt>
                <c:pt idx="5">
                  <c:v>5673.2028183398215</c:v>
                </c:pt>
              </c:numCache>
            </c:numRef>
          </c:val>
          <c:smooth val="0"/>
          <c:extLst>
            <c:ext xmlns:c16="http://schemas.microsoft.com/office/drawing/2014/chart" uri="{C3380CC4-5D6E-409C-BE32-E72D297353CC}">
              <c16:uniqueId val="{00000001-4923-4298-9539-8FE280188739}"/>
            </c:ext>
          </c:extLst>
        </c:ser>
        <c:dLbls>
          <c:showLegendKey val="0"/>
          <c:showVal val="0"/>
          <c:showCatName val="0"/>
          <c:showSerName val="0"/>
          <c:showPercent val="0"/>
          <c:showBubbleSize val="0"/>
        </c:dLbls>
        <c:marker val="1"/>
        <c:smooth val="0"/>
        <c:axId val="38874112"/>
        <c:axId val="38875904"/>
      </c:lineChart>
      <c:catAx>
        <c:axId val="388741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875904"/>
        <c:crosses val="autoZero"/>
        <c:auto val="1"/>
        <c:lblAlgn val="ctr"/>
        <c:lblOffset val="100"/>
        <c:noMultiLvlLbl val="0"/>
      </c:catAx>
      <c:valAx>
        <c:axId val="3887590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87411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Survival_curve_MH!$F$16</c:f>
              <c:strCache>
                <c:ptCount val="1"/>
                <c:pt idx="0">
                  <c:v>% Surviving</c:v>
                </c:pt>
              </c:strCache>
            </c:strRef>
          </c:tx>
          <c:marker>
            <c:symbol val="diamond"/>
            <c:size val="3"/>
          </c:marker>
          <c:cat>
            <c:numRef>
              <c:f>Survival_curve_MH!$E$17:$E$167</c:f>
              <c:numCache>
                <c:formatCode>0</c:formatCode>
                <c:ptCount val="1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numCache>
            </c:numRef>
          </c:cat>
          <c:val>
            <c:numRef>
              <c:f>Survival_curve_MH!$F$17:$F$167</c:f>
              <c:numCache>
                <c:formatCode>0.00000</c:formatCode>
                <c:ptCount val="151"/>
                <c:pt idx="0">
                  <c:v>1</c:v>
                </c:pt>
                <c:pt idx="1">
                  <c:v>0.99999942682056486</c:v>
                </c:pt>
                <c:pt idx="2">
                  <c:v>0.99999112050593009</c:v>
                </c:pt>
                <c:pt idx="3">
                  <c:v>0.99995588995390916</c:v>
                </c:pt>
                <c:pt idx="4">
                  <c:v>0.99986245855933187</c:v>
                </c:pt>
                <c:pt idx="5">
                  <c:v>0.99966774157204075</c:v>
                </c:pt>
                <c:pt idx="6">
                  <c:v>0.99931709355148246</c:v>
                </c:pt>
                <c:pt idx="7">
                  <c:v>0.99874460083359562</c:v>
                </c:pt>
                <c:pt idx="8">
                  <c:v>0.99787347733963683</c:v>
                </c:pt>
                <c:pt idx="9">
                  <c:v>0.99661662127343875</c:v>
                </c:pt>
                <c:pt idx="10">
                  <c:v>0.99487739205705961</c:v>
                </c:pt>
                <c:pt idx="11">
                  <c:v>0.99255066757486421</c:v>
                </c:pt>
                <c:pt idx="12">
                  <c:v>0.98952423943937418</c:v>
                </c:pt>
                <c:pt idx="13">
                  <c:v>0.98568059699018695</c:v>
                </c:pt>
                <c:pt idx="14">
                  <c:v>0.98089913773637061</c:v>
                </c:pt>
                <c:pt idx="15">
                  <c:v>0.9750588219055305</c:v>
                </c:pt>
                <c:pt idx="16">
                  <c:v>0.96804126115320344</c:v>
                </c:pt>
                <c:pt idx="17">
                  <c:v>0.95973419662039294</c:v>
                </c:pt>
                <c:pt idx="18">
                  <c:v>0.95003528082637045</c:v>
                </c:pt>
                <c:pt idx="19">
                  <c:v>0.93885603410255503</c:v>
                </c:pt>
                <c:pt idx="20">
                  <c:v>0.92612580354620055</c:v>
                </c:pt>
                <c:pt idx="21">
                  <c:v>0.91179551610187515</c:v>
                </c:pt>
                <c:pt idx="22">
                  <c:v>0.89584099329751798</c:v>
                </c:pt>
                <c:pt idx="23">
                  <c:v>0.87826558907772723</c:v>
                </c:pt>
                <c:pt idx="24">
                  <c:v>0.85910192848938727</c:v>
                </c:pt>
                <c:pt idx="25">
                  <c:v>0.83841256566169076</c:v>
                </c:pt>
                <c:pt idx="26">
                  <c:v>0.81628944326341157</c:v>
                </c:pt>
                <c:pt idx="27">
                  <c:v>0.79285211743262995</c:v>
                </c:pt>
                <c:pt idx="28">
                  <c:v>0.7682448037638353</c:v>
                </c:pt>
                <c:pt idx="29">
                  <c:v>0.74263239079837484</c:v>
                </c:pt>
                <c:pt idx="30">
                  <c:v>0.71619564655987122</c:v>
                </c:pt>
                <c:pt idx="31">
                  <c:v>0.68912590135052909</c:v>
                </c:pt>
                <c:pt idx="32">
                  <c:v>0.66161951969955413</c:v>
                </c:pt>
                <c:pt idx="33">
                  <c:v>0.63387247361227783</c:v>
                </c:pt>
                <c:pt idx="34">
                  <c:v>0.60607530007065136</c:v>
                </c:pt>
                <c:pt idx="35">
                  <c:v>0.57840867378477068</c:v>
                </c:pt>
                <c:pt idx="36">
                  <c:v>0.55103975964017771</c:v>
                </c:pt>
                <c:pt idx="37">
                  <c:v>0.52411943713386455</c:v>
                </c:pt>
                <c:pt idx="38">
                  <c:v>0.49778041970036685</c:v>
                </c:pt>
                <c:pt idx="39">
                  <c:v>0.47213623177465569</c:v>
                </c:pt>
                <c:pt idx="40">
                  <c:v>0.44728095991378569</c:v>
                </c:pt>
                <c:pt idx="41">
                  <c:v>0.42328966303872301</c:v>
                </c:pt>
                <c:pt idx="42">
                  <c:v>0.40021931047507942</c:v>
                </c:pt>
                <c:pt idx="43">
                  <c:v>0.37811011304039926</c:v>
                </c:pt>
                <c:pt idx="44">
                  <c:v>0.35698711913360753</c:v>
                </c:pt>
                <c:pt idx="45">
                  <c:v>0.33686196152322073</c:v>
                </c:pt>
                <c:pt idx="46">
                  <c:v>0.31773465836030484</c:v>
                </c:pt>
                <c:pt idx="47">
                  <c:v>0.29959539136591834</c:v>
                </c:pt>
                <c:pt idx="48">
                  <c:v>0.28242620325369033</c:v>
                </c:pt>
                <c:pt idx="49">
                  <c:v>0.26620257394221086</c:v>
                </c:pt>
                <c:pt idx="50">
                  <c:v>0.25089485022545271</c:v>
                </c:pt>
                <c:pt idx="51">
                  <c:v>0.23646951597528673</c:v>
                </c:pt>
                <c:pt idx="52">
                  <c:v>0.22289029964111612</c:v>
                </c:pt>
                <c:pt idx="53">
                  <c:v>0.21011912299160712</c:v>
                </c:pt>
                <c:pt idx="54">
                  <c:v>0.19811690003603366</c:v>
                </c:pt>
                <c:pt idx="55">
                  <c:v>0.18684419824168677</c:v>
                </c:pt>
                <c:pt idx="56">
                  <c:v>0.1762617759045905</c:v>
                </c:pt>
                <c:pt idx="57">
                  <c:v>0.16633101018005506</c:v>
                </c:pt>
                <c:pt idx="58">
                  <c:v>0.15701423013885152</c:v>
                </c:pt>
                <c:pt idx="59">
                  <c:v>0.14827496853406261</c:v>
                </c:pt>
                <c:pt idx="60">
                  <c:v>0.1400781449420255</c:v>
                </c:pt>
                <c:pt idx="61">
                  <c:v>0.1323901917308119</c:v>
                </c:pt>
                <c:pt idx="62">
                  <c:v>0.12517913302381528</c:v>
                </c:pt>
                <c:pt idx="63">
                  <c:v>0.1184146255435848</c:v>
                </c:pt>
                <c:pt idx="64">
                  <c:v>0.11206796899509375</c:v>
                </c:pt>
                <c:pt idx="65">
                  <c:v>0.10611209251099452</c:v>
                </c:pt>
                <c:pt idx="66">
                  <c:v>0.10052152265191697</c:v>
                </c:pt>
                <c:pt idx="67">
                  <c:v>9.5272337539568291E-2</c:v>
                </c:pt>
                <c:pt idx="68">
                  <c:v>9.0342110898944505E-2</c:v>
                </c:pt>
                <c:pt idx="69">
                  <c:v>8.5709849093193499E-2</c:v>
                </c:pt>
                <c:pt idx="70">
                  <c:v>8.1355923642470018E-2</c:v>
                </c:pt>
                <c:pt idx="71">
                  <c:v>7.7262001216894832E-2</c:v>
                </c:pt>
                <c:pt idx="72">
                  <c:v>7.341097267328299E-2</c:v>
                </c:pt>
                <c:pt idx="73">
                  <c:v>6.9786882355573565E-2</c:v>
                </c:pt>
                <c:pt idx="74">
                  <c:v>6.6374858590300068E-2</c:v>
                </c:pt>
                <c:pt idx="75">
                  <c:v>6.3161046072174626E-2</c:v>
                </c:pt>
                <c:pt idx="76">
                  <c:v>6.0132540642973638E-2</c:v>
                </c:pt>
                <c:pt idx="77">
                  <c:v>5.7277326812367101E-2</c:v>
                </c:pt>
                <c:pt idx="78">
                  <c:v>5.4584218245985652E-2</c:v>
                </c:pt>
                <c:pt idx="79">
                  <c:v>5.2042801348553311E-2</c:v>
                </c:pt>
                <c:pt idx="80">
                  <c:v>4.9643381993788899E-2</c:v>
                </c:pt>
                <c:pt idx="81">
                  <c:v>4.7376935394141423E-2</c:v>
                </c:pt>
                <c:pt idx="82">
                  <c:v>4.5235059059025466E-2</c:v>
                </c:pt>
                <c:pt idx="83">
                  <c:v>4.3209928757344446E-2</c:v>
                </c:pt>
                <c:pt idx="84">
                  <c:v>4.1294257376469731E-2</c:v>
                </c:pt>
                <c:pt idx="85">
                  <c:v>3.9481256553610802E-2</c:v>
                </c:pt>
                <c:pt idx="86">
                  <c:v>3.7764600945122212E-2</c:v>
                </c:pt>
                <c:pt idx="87">
                  <c:v>3.6138394993484119E-2</c:v>
                </c:pt>
                <c:pt idx="88">
                  <c:v>3.4597142049434634E-2</c:v>
                </c:pt>
                <c:pt idx="89">
                  <c:v>3.3135715707187624E-2</c:v>
                </c:pt>
                <c:pt idx="90">
                  <c:v>3.1749333213163658E-2</c:v>
                </c:pt>
                <c:pt idx="91">
                  <c:v>3.0433530812653702E-2</c:v>
                </c:pt>
                <c:pt idx="92">
                  <c:v>2.9184140903892524E-2</c:v>
                </c:pt>
                <c:pt idx="93">
                  <c:v>2.7997270874799227E-2</c:v>
                </c:pt>
                <c:pt idx="94">
                  <c:v>2.6869283503876122E-2</c:v>
                </c:pt>
                <c:pt idx="95">
                  <c:v>2.5796778813236783E-2</c:v>
                </c:pt>
                <c:pt idx="96">
                  <c:v>2.4776577268295394E-2</c:v>
                </c:pt>
                <c:pt idx="97">
                  <c:v>2.3805704225172378E-2</c:v>
                </c:pt>
                <c:pt idx="98">
                  <c:v>2.2881375533263474E-2</c:v>
                </c:pt>
                <c:pt idx="99">
                  <c:v>2.2000984206614064E-2</c:v>
                </c:pt>
                <c:pt idx="100">
                  <c:v>2.1162088083691469E-2</c:v>
                </c:pt>
                <c:pt idx="101">
                  <c:v>2.0362398400824711E-2</c:v>
                </c:pt>
                <c:pt idx="102">
                  <c:v>1.9599769209962554E-2</c:v>
                </c:pt>
                <c:pt idx="103">
                  <c:v>1.8872187576480005E-2</c:v>
                </c:pt>
                <c:pt idx="104">
                  <c:v>1.8177764497535616E-2</c:v>
                </c:pt>
                <c:pt idx="105">
                  <c:v>1.7514726485952075E-2</c:v>
                </c:pt>
                <c:pt idx="106">
                  <c:v>1.6881407768766329E-2</c:v>
                </c:pt>
                <c:pt idx="107">
                  <c:v>1.6276243053483817E-2</c:v>
                </c:pt>
                <c:pt idx="108">
                  <c:v>1.569776081868534E-2</c:v>
                </c:pt>
                <c:pt idx="109">
                  <c:v>1.5144577088988965E-2</c:v>
                </c:pt>
                <c:pt idx="110">
                  <c:v>1.4615389657476137E-2</c:v>
                </c:pt>
                <c:pt idx="111">
                  <c:v>1.4108972721565801E-2</c:v>
                </c:pt>
                <c:pt idx="112">
                  <c:v>1.3624171900977406E-2</c:v>
                </c:pt>
                <c:pt idx="113">
                  <c:v>1.3159899608876674E-2</c:v>
                </c:pt>
                <c:pt idx="114">
                  <c:v>1.2715130749561447E-2</c:v>
                </c:pt>
                <c:pt idx="115">
                  <c:v>1.2288898718131576E-2</c:v>
                </c:pt>
                <c:pt idx="116">
                  <c:v>1.1880291679509871E-2</c:v>
                </c:pt>
                <c:pt idx="117">
                  <c:v>1.1488449105952151E-2</c:v>
                </c:pt>
                <c:pt idx="118">
                  <c:v>1.1112558553815082E-2</c:v>
                </c:pt>
                <c:pt idx="119">
                  <c:v>1.0751852661851594E-2</c:v>
                </c:pt>
                <c:pt idx="120">
                  <c:v>1.0405606354684847E-2</c:v>
                </c:pt>
                <c:pt idx="121">
                  <c:v>1.0073134236382623E-2</c:v>
                </c:pt>
                <c:pt idx="122">
                  <c:v>9.7537881602233426E-3</c:v>
                </c:pt>
                <c:pt idx="123">
                  <c:v>9.4469549618205161E-3</c:v>
                </c:pt>
                <c:pt idx="124">
                  <c:v>9.1520543437621348E-3</c:v>
                </c:pt>
                <c:pt idx="125">
                  <c:v>8.8685369008316469E-3</c:v>
                </c:pt>
                <c:pt idx="126">
                  <c:v>8.5958822757152137E-3</c:v>
                </c:pt>
                <c:pt idx="127">
                  <c:v>8.3335974358702061E-3</c:v>
                </c:pt>
                <c:pt idx="128">
                  <c:v>8.0812150629394411E-3</c:v>
                </c:pt>
                <c:pt idx="129">
                  <c:v>7.8382920467486E-3</c:v>
                </c:pt>
                <c:pt idx="130">
                  <c:v>7.6044080765248368E-3</c:v>
                </c:pt>
                <c:pt idx="131">
                  <c:v>7.3791643225284091E-3</c:v>
                </c:pt>
                <c:pt idx="132">
                  <c:v>7.1621822017984907E-3</c:v>
                </c:pt>
                <c:pt idx="133">
                  <c:v>6.9531022221839007E-3</c:v>
                </c:pt>
                <c:pt idx="134">
                  <c:v>6.7515828992620215E-3</c:v>
                </c:pt>
                <c:pt idx="135">
                  <c:v>6.5572997411478817E-3</c:v>
                </c:pt>
                <c:pt idx="136">
                  <c:v>6.369944296562991E-3</c:v>
                </c:pt>
                <c:pt idx="137">
                  <c:v>6.1892232618723205E-3</c:v>
                </c:pt>
                <c:pt idx="138">
                  <c:v>6.0148576431107246E-3</c:v>
                </c:pt>
                <c:pt idx="139">
                  <c:v>5.8465819693084243E-3</c:v>
                </c:pt>
                <c:pt idx="140">
                  <c:v>5.6841435536916689E-3</c:v>
                </c:pt>
                <c:pt idx="141">
                  <c:v>5.5273017995804904E-3</c:v>
                </c:pt>
                <c:pt idx="142">
                  <c:v>5.3758275480326684E-3</c:v>
                </c:pt>
                <c:pt idx="143">
                  <c:v>5.229502464492935E-3</c:v>
                </c:pt>
                <c:pt idx="144">
                  <c:v>5.0881184619003391E-3</c:v>
                </c:pt>
                <c:pt idx="145">
                  <c:v>4.9514771578860958E-3</c:v>
                </c:pt>
                <c:pt idx="146">
                  <c:v>4.8193893638602391E-3</c:v>
                </c:pt>
                <c:pt idx="147">
                  <c:v>4.6916746039387166E-3</c:v>
                </c:pt>
                <c:pt idx="148">
                  <c:v>4.5681606618047524E-3</c:v>
                </c:pt>
                <c:pt idx="149">
                  <c:v>4.4486831537299465E-3</c:v>
                </c:pt>
                <c:pt idx="150">
                  <c:v>4.3330851261021769E-3</c:v>
                </c:pt>
              </c:numCache>
            </c:numRef>
          </c:val>
          <c:smooth val="0"/>
          <c:extLst>
            <c:ext xmlns:c16="http://schemas.microsoft.com/office/drawing/2014/chart" uri="{C3380CC4-5D6E-409C-BE32-E72D297353CC}">
              <c16:uniqueId val="{00000000-932E-416A-B219-D60EC7B4B5D0}"/>
            </c:ext>
          </c:extLst>
        </c:ser>
        <c:dLbls>
          <c:showLegendKey val="0"/>
          <c:showVal val="0"/>
          <c:showCatName val="0"/>
          <c:showSerName val="0"/>
          <c:showPercent val="0"/>
          <c:showBubbleSize val="0"/>
        </c:dLbls>
        <c:marker val="1"/>
        <c:smooth val="0"/>
        <c:axId val="38900096"/>
        <c:axId val="38902016"/>
      </c:lineChart>
      <c:catAx>
        <c:axId val="38900096"/>
        <c:scaling>
          <c:orientation val="minMax"/>
        </c:scaling>
        <c:delete val="0"/>
        <c:axPos val="b"/>
        <c:title>
          <c:tx>
            <c:rich>
              <a:bodyPr/>
              <a:lstStyle/>
              <a:p>
                <a:pPr>
                  <a:defRPr sz="1100" b="1" i="0" baseline="0"/>
                </a:pPr>
                <a:r>
                  <a:rPr lang="en-US" sz="1100" b="1" i="0" baseline="0"/>
                  <a:t>Age (Years) </a:t>
                </a:r>
              </a:p>
            </c:rich>
          </c:tx>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902016"/>
        <c:crosses val="autoZero"/>
        <c:auto val="1"/>
        <c:lblAlgn val="ctr"/>
        <c:lblOffset val="100"/>
        <c:tickLblSkip val="10"/>
        <c:tickMarkSkip val="10"/>
        <c:noMultiLvlLbl val="0"/>
      </c:catAx>
      <c:valAx>
        <c:axId val="38902016"/>
        <c:scaling>
          <c:orientation val="minMax"/>
        </c:scaling>
        <c:delete val="0"/>
        <c:axPos val="l"/>
        <c:majorGridlines/>
        <c:title>
          <c:tx>
            <c:rich>
              <a:bodyPr rot="-5400000" vert="horz"/>
              <a:lstStyle/>
              <a:p>
                <a:pPr>
                  <a:defRPr sz="1100" b="1" i="0" baseline="0"/>
                </a:pPr>
                <a:r>
                  <a:rPr lang="en-US" sz="1100" b="1" i="0" baseline="0"/>
                  <a:t>Fraction Surviving</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900096"/>
        <c:crosses val="autoZero"/>
        <c:crossBetween val="midCat"/>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Survival_curve_MH!$S$189</c:f>
              <c:strCache>
                <c:ptCount val="1"/>
                <c:pt idx="0">
                  <c:v>Actual </c:v>
                </c:pt>
              </c:strCache>
            </c:strRef>
          </c:tx>
          <c:cat>
            <c:numRef>
              <c:f>Survival_curve_MH!$R$190:$R$195</c:f>
              <c:numCache>
                <c:formatCode>General</c:formatCode>
                <c:ptCount val="6"/>
                <c:pt idx="0">
                  <c:v>1999</c:v>
                </c:pt>
                <c:pt idx="1">
                  <c:v>2001</c:v>
                </c:pt>
                <c:pt idx="2">
                  <c:v>2003</c:v>
                </c:pt>
                <c:pt idx="3">
                  <c:v>2005</c:v>
                </c:pt>
                <c:pt idx="4">
                  <c:v>2007</c:v>
                </c:pt>
                <c:pt idx="5">
                  <c:v>2009</c:v>
                </c:pt>
              </c:numCache>
            </c:numRef>
          </c:cat>
          <c:val>
            <c:numRef>
              <c:f>Survival_curve_MH!$S$190:$S$195</c:f>
              <c:numCache>
                <c:formatCode>#,##0</c:formatCode>
                <c:ptCount val="6"/>
                <c:pt idx="0">
                  <c:v>6779.4290188811865</c:v>
                </c:pt>
                <c:pt idx="1">
                  <c:v>6837.6489145402238</c:v>
                </c:pt>
                <c:pt idx="2">
                  <c:v>6317.0725734817752</c:v>
                </c:pt>
                <c:pt idx="3">
                  <c:v>6107.1059712185688</c:v>
                </c:pt>
                <c:pt idx="4">
                  <c:v>5900.5893283575988</c:v>
                </c:pt>
                <c:pt idx="5">
                  <c:v>5692.9520862876816</c:v>
                </c:pt>
              </c:numCache>
            </c:numRef>
          </c:val>
          <c:smooth val="0"/>
          <c:extLst>
            <c:ext xmlns:c16="http://schemas.microsoft.com/office/drawing/2014/chart" uri="{C3380CC4-5D6E-409C-BE32-E72D297353CC}">
              <c16:uniqueId val="{00000000-3FA2-4C17-90B4-E13993873004}"/>
            </c:ext>
          </c:extLst>
        </c:ser>
        <c:ser>
          <c:idx val="1"/>
          <c:order val="1"/>
          <c:tx>
            <c:strRef>
              <c:f>Survival_curve_MH!$T$189</c:f>
              <c:strCache>
                <c:ptCount val="1"/>
                <c:pt idx="0">
                  <c:v>Predicted</c:v>
                </c:pt>
              </c:strCache>
            </c:strRef>
          </c:tx>
          <c:cat>
            <c:numRef>
              <c:f>Survival_curve_MH!$R$190:$R$195</c:f>
              <c:numCache>
                <c:formatCode>General</c:formatCode>
                <c:ptCount val="6"/>
                <c:pt idx="0">
                  <c:v>1999</c:v>
                </c:pt>
                <c:pt idx="1">
                  <c:v>2001</c:v>
                </c:pt>
                <c:pt idx="2">
                  <c:v>2003</c:v>
                </c:pt>
                <c:pt idx="3">
                  <c:v>2005</c:v>
                </c:pt>
                <c:pt idx="4">
                  <c:v>2007</c:v>
                </c:pt>
                <c:pt idx="5">
                  <c:v>2009</c:v>
                </c:pt>
              </c:numCache>
            </c:numRef>
          </c:cat>
          <c:val>
            <c:numRef>
              <c:f>Survival_curve_MH!$T$190:$T$195</c:f>
              <c:numCache>
                <c:formatCode>General</c:formatCode>
                <c:ptCount val="6"/>
                <c:pt idx="0">
                  <c:v>6854.3602148769796</c:v>
                </c:pt>
                <c:pt idx="1">
                  <c:v>6654.7465137356767</c:v>
                </c:pt>
                <c:pt idx="2">
                  <c:v>6435.5168296630791</c:v>
                </c:pt>
                <c:pt idx="3">
                  <c:v>6197.8030802161029</c:v>
                </c:pt>
                <c:pt idx="4">
                  <c:v>5943.1112604028413</c:v>
                </c:pt>
                <c:pt idx="5">
                  <c:v>5673.2028183398215</c:v>
                </c:pt>
              </c:numCache>
            </c:numRef>
          </c:val>
          <c:smooth val="0"/>
          <c:extLst>
            <c:ext xmlns:c16="http://schemas.microsoft.com/office/drawing/2014/chart" uri="{C3380CC4-5D6E-409C-BE32-E72D297353CC}">
              <c16:uniqueId val="{00000001-3FA2-4C17-90B4-E13993873004}"/>
            </c:ext>
          </c:extLst>
        </c:ser>
        <c:dLbls>
          <c:showLegendKey val="0"/>
          <c:showVal val="0"/>
          <c:showCatName val="0"/>
          <c:showSerName val="0"/>
          <c:showPercent val="0"/>
          <c:showBubbleSize val="0"/>
        </c:dLbls>
        <c:marker val="1"/>
        <c:smooth val="0"/>
        <c:axId val="39602816"/>
        <c:axId val="39604608"/>
      </c:lineChart>
      <c:catAx>
        <c:axId val="396028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604608"/>
        <c:crosses val="autoZero"/>
        <c:auto val="1"/>
        <c:lblAlgn val="ctr"/>
        <c:lblOffset val="100"/>
        <c:noMultiLvlLbl val="0"/>
      </c:catAx>
      <c:valAx>
        <c:axId val="3960460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60281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Total_stock!$Q$12</c:f>
              <c:strCache>
                <c:ptCount val="1"/>
                <c:pt idx="0">
                  <c:v>Calculated</c:v>
                </c:pt>
              </c:strCache>
            </c:strRef>
          </c:tx>
          <c:cat>
            <c:numRef>
              <c:f>Total_stock!$P$13:$P$37</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Total_stock!$Q$13:$Q$37</c:f>
              <c:numCache>
                <c:formatCode>General</c:formatCode>
                <c:ptCount val="25"/>
                <c:pt idx="0" formatCode="#,##0">
                  <c:v>63711.311916085448</c:v>
                </c:pt>
                <c:pt idx="2" formatCode="#,##0">
                  <c:v>64657.806820067162</c:v>
                </c:pt>
                <c:pt idx="4" formatCode="#,##0">
                  <c:v>65982.777062968889</c:v>
                </c:pt>
                <c:pt idx="6" formatCode="#,##0">
                  <c:v>66736.705933489793</c:v>
                </c:pt>
                <c:pt idx="8" formatCode="#,##0">
                  <c:v>67949.250135955444</c:v>
                </c:pt>
                <c:pt idx="10" formatCode="#,##0">
                  <c:v>69060.470522263713</c:v>
                </c:pt>
                <c:pt idx="12" formatCode="#,##0">
                  <c:v>70011.717360522132</c:v>
                </c:pt>
                <c:pt idx="14" formatCode="#,##0">
                  <c:v>71499.011453219544</c:v>
                </c:pt>
                <c:pt idx="16" formatCode="#,##0">
                  <c:v>72561.048637281274</c:v>
                </c:pt>
                <c:pt idx="18" formatCode="#,##0">
                  <c:v>74061.955404471359</c:v>
                </c:pt>
                <c:pt idx="20" formatCode="#,##0">
                  <c:v>75901.394555414707</c:v>
                </c:pt>
                <c:pt idx="22" formatCode="#,##0">
                  <c:v>77884.229189592137</c:v>
                </c:pt>
                <c:pt idx="24" formatCode="#,##0">
                  <c:v>77098.123674399598</c:v>
                </c:pt>
              </c:numCache>
            </c:numRef>
          </c:val>
          <c:smooth val="0"/>
          <c:extLst>
            <c:ext xmlns:c16="http://schemas.microsoft.com/office/drawing/2014/chart" uri="{C3380CC4-5D6E-409C-BE32-E72D297353CC}">
              <c16:uniqueId val="{00000000-E1EB-418C-B677-D1BA866AE4FB}"/>
            </c:ext>
          </c:extLst>
        </c:ser>
        <c:ser>
          <c:idx val="1"/>
          <c:order val="1"/>
          <c:tx>
            <c:strRef>
              <c:f>Total_stock!$R$12</c:f>
              <c:strCache>
                <c:ptCount val="1"/>
                <c:pt idx="0">
                  <c:v>Published</c:v>
                </c:pt>
              </c:strCache>
            </c:strRef>
          </c:tx>
          <c:marker>
            <c:symbol val="square"/>
            <c:size val="4"/>
          </c:marker>
          <c:cat>
            <c:numRef>
              <c:f>Total_stock!$P$13:$P$37</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Total_stock!$R$13:$R$37</c:f>
              <c:numCache>
                <c:formatCode>General</c:formatCode>
                <c:ptCount val="25"/>
                <c:pt idx="0" formatCode="#,##0">
                  <c:v>59178</c:v>
                </c:pt>
                <c:pt idx="2" formatCode="#,##0">
                  <c:v>61379</c:v>
                </c:pt>
                <c:pt idx="4" formatCode="#,##0">
                  <c:v>63204</c:v>
                </c:pt>
                <c:pt idx="6" formatCode="#,##0">
                  <c:v>62927</c:v>
                </c:pt>
                <c:pt idx="8" formatCode="#,##0">
                  <c:v>64293</c:v>
                </c:pt>
                <c:pt idx="10" formatCode="#,##0">
                  <c:v>66371</c:v>
                </c:pt>
                <c:pt idx="12" formatCode="#,##0">
                  <c:v>67951.38235187353</c:v>
                </c:pt>
                <c:pt idx="14" formatCode="#,##0">
                  <c:v>71499.011453219544</c:v>
                </c:pt>
                <c:pt idx="16" formatCode="#,##0">
                  <c:v>74433.828759211698</c:v>
                </c:pt>
                <c:pt idx="18" formatCode="#,##0">
                  <c:v>74025.57567727234</c:v>
                </c:pt>
                <c:pt idx="20" formatCode="#,##0">
                  <c:v>76147.117574834105</c:v>
                </c:pt>
                <c:pt idx="22" formatCode="#,##0">
                  <c:v>77490.956361530247</c:v>
                </c:pt>
                <c:pt idx="24" formatCode="#,##0">
                  <c:v>79051.852939674674</c:v>
                </c:pt>
              </c:numCache>
            </c:numRef>
          </c:val>
          <c:smooth val="0"/>
          <c:extLst>
            <c:ext xmlns:c16="http://schemas.microsoft.com/office/drawing/2014/chart" uri="{C3380CC4-5D6E-409C-BE32-E72D297353CC}">
              <c16:uniqueId val="{00000001-E1EB-418C-B677-D1BA866AE4FB}"/>
            </c:ext>
          </c:extLst>
        </c:ser>
        <c:dLbls>
          <c:showLegendKey val="0"/>
          <c:showVal val="0"/>
          <c:showCatName val="0"/>
          <c:showSerName val="0"/>
          <c:showPercent val="0"/>
          <c:showBubbleSize val="0"/>
        </c:dLbls>
        <c:marker val="1"/>
        <c:smooth val="0"/>
        <c:axId val="39745024"/>
        <c:axId val="39746560"/>
      </c:lineChart>
      <c:catAx>
        <c:axId val="39745024"/>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9746560"/>
        <c:crosses val="autoZero"/>
        <c:auto val="1"/>
        <c:lblAlgn val="ctr"/>
        <c:lblOffset val="100"/>
        <c:noMultiLvlLbl val="0"/>
      </c:catAx>
      <c:valAx>
        <c:axId val="39746560"/>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74502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Total_stock!$Q$12</c:f>
              <c:strCache>
                <c:ptCount val="1"/>
                <c:pt idx="0">
                  <c:v>Calculated</c:v>
                </c:pt>
              </c:strCache>
            </c:strRef>
          </c:tx>
          <c:cat>
            <c:numRef>
              <c:f>Total_stock!$P$13:$P$37</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Total_stock!$Q$13:$Q$37</c:f>
              <c:numCache>
                <c:formatCode>General</c:formatCode>
                <c:ptCount val="25"/>
                <c:pt idx="0" formatCode="#,##0">
                  <c:v>63711.311916085448</c:v>
                </c:pt>
                <c:pt idx="2" formatCode="#,##0">
                  <c:v>64657.806820067162</c:v>
                </c:pt>
                <c:pt idx="4" formatCode="#,##0">
                  <c:v>65982.777062968889</c:v>
                </c:pt>
                <c:pt idx="6" formatCode="#,##0">
                  <c:v>66736.705933489793</c:v>
                </c:pt>
                <c:pt idx="8" formatCode="#,##0">
                  <c:v>67949.250135955444</c:v>
                </c:pt>
                <c:pt idx="10" formatCode="#,##0">
                  <c:v>69060.470522263713</c:v>
                </c:pt>
                <c:pt idx="12" formatCode="#,##0">
                  <c:v>70011.717360522132</c:v>
                </c:pt>
                <c:pt idx="14" formatCode="#,##0">
                  <c:v>71499.011453219544</c:v>
                </c:pt>
                <c:pt idx="16" formatCode="#,##0">
                  <c:v>72561.048637281274</c:v>
                </c:pt>
                <c:pt idx="18" formatCode="#,##0">
                  <c:v>74061.955404471359</c:v>
                </c:pt>
                <c:pt idx="20" formatCode="#,##0">
                  <c:v>75901.394555414707</c:v>
                </c:pt>
                <c:pt idx="22" formatCode="#,##0">
                  <c:v>77884.229189592137</c:v>
                </c:pt>
                <c:pt idx="24" formatCode="#,##0">
                  <c:v>77098.123674399598</c:v>
                </c:pt>
              </c:numCache>
            </c:numRef>
          </c:val>
          <c:smooth val="0"/>
          <c:extLst>
            <c:ext xmlns:c16="http://schemas.microsoft.com/office/drawing/2014/chart" uri="{C3380CC4-5D6E-409C-BE32-E72D297353CC}">
              <c16:uniqueId val="{00000000-75FE-4FD5-B630-6714EB924E22}"/>
            </c:ext>
          </c:extLst>
        </c:ser>
        <c:ser>
          <c:idx val="1"/>
          <c:order val="1"/>
          <c:tx>
            <c:strRef>
              <c:f>Total_stock!$R$12</c:f>
              <c:strCache>
                <c:ptCount val="1"/>
                <c:pt idx="0">
                  <c:v>Published</c:v>
                </c:pt>
              </c:strCache>
            </c:strRef>
          </c:tx>
          <c:cat>
            <c:numRef>
              <c:f>Total_stock!$P$13:$P$37</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Total_stock!$R$13:$R$37</c:f>
              <c:numCache>
                <c:formatCode>General</c:formatCode>
                <c:ptCount val="25"/>
                <c:pt idx="0" formatCode="#,##0">
                  <c:v>59178</c:v>
                </c:pt>
                <c:pt idx="2" formatCode="#,##0">
                  <c:v>61379</c:v>
                </c:pt>
                <c:pt idx="4" formatCode="#,##0">
                  <c:v>63204</c:v>
                </c:pt>
                <c:pt idx="6" formatCode="#,##0">
                  <c:v>62927</c:v>
                </c:pt>
                <c:pt idx="8" formatCode="#,##0">
                  <c:v>64293</c:v>
                </c:pt>
                <c:pt idx="10" formatCode="#,##0">
                  <c:v>66371</c:v>
                </c:pt>
                <c:pt idx="12" formatCode="#,##0">
                  <c:v>67951.38235187353</c:v>
                </c:pt>
                <c:pt idx="14" formatCode="#,##0">
                  <c:v>71499.011453219544</c:v>
                </c:pt>
                <c:pt idx="16" formatCode="#,##0">
                  <c:v>74433.828759211698</c:v>
                </c:pt>
                <c:pt idx="18" formatCode="#,##0">
                  <c:v>74025.57567727234</c:v>
                </c:pt>
                <c:pt idx="20" formatCode="#,##0">
                  <c:v>76147.117574834105</c:v>
                </c:pt>
                <c:pt idx="22" formatCode="#,##0">
                  <c:v>77490.956361530247</c:v>
                </c:pt>
                <c:pt idx="24" formatCode="#,##0">
                  <c:v>79051.852939674674</c:v>
                </c:pt>
              </c:numCache>
            </c:numRef>
          </c:val>
          <c:smooth val="0"/>
          <c:extLst>
            <c:ext xmlns:c16="http://schemas.microsoft.com/office/drawing/2014/chart" uri="{C3380CC4-5D6E-409C-BE32-E72D297353CC}">
              <c16:uniqueId val="{00000001-75FE-4FD5-B630-6714EB924E22}"/>
            </c:ext>
          </c:extLst>
        </c:ser>
        <c:dLbls>
          <c:showLegendKey val="0"/>
          <c:showVal val="0"/>
          <c:showCatName val="0"/>
          <c:showSerName val="0"/>
          <c:showPercent val="0"/>
          <c:showBubbleSize val="0"/>
        </c:dLbls>
        <c:marker val="1"/>
        <c:smooth val="0"/>
        <c:axId val="39771520"/>
        <c:axId val="39855232"/>
      </c:lineChart>
      <c:catAx>
        <c:axId val="397715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855232"/>
        <c:crosses val="autoZero"/>
        <c:auto val="1"/>
        <c:lblAlgn val="ctr"/>
        <c:lblOffset val="100"/>
        <c:noMultiLvlLbl val="0"/>
      </c:catAx>
      <c:valAx>
        <c:axId val="3985523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77152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Total_stock!$AL$26</c:f>
              <c:strCache>
                <c:ptCount val="1"/>
                <c:pt idx="0">
                  <c:v>Households</c:v>
                </c:pt>
              </c:strCache>
            </c:strRef>
          </c:tx>
          <c:cat>
            <c:numRef>
              <c:f>Total_stock!$AK$27:$AK$39</c:f>
              <c:numCache>
                <c:formatCode>General</c:formatCode>
                <c:ptCount val="1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numCache>
            </c:numRef>
          </c:cat>
          <c:val>
            <c:numRef>
              <c:f>Total_stock!$AL$27:$AL$39</c:f>
              <c:numCache>
                <c:formatCode>General</c:formatCode>
                <c:ptCount val="13"/>
                <c:pt idx="0">
                  <c:v>104.6135</c:v>
                </c:pt>
                <c:pt idx="1">
                  <c:v>106.41125</c:v>
                </c:pt>
                <c:pt idx="2">
                  <c:v>108.209</c:v>
                </c:pt>
                <c:pt idx="3">
                  <c:v>109.291</c:v>
                </c:pt>
                <c:pt idx="4">
                  <c:v>111.27800000000001</c:v>
                </c:pt>
                <c:pt idx="5">
                  <c:v>112</c:v>
                </c:pt>
                <c:pt idx="6">
                  <c:v>113.343</c:v>
                </c:pt>
                <c:pt idx="7">
                  <c:v>114.384</c:v>
                </c:pt>
                <c:pt idx="8">
                  <c:v>116.011</c:v>
                </c:pt>
                <c:pt idx="9">
                  <c:v>116.783</c:v>
                </c:pt>
                <c:pt idx="10">
                  <c:v>117.181</c:v>
                </c:pt>
                <c:pt idx="11">
                  <c:v>118.682</c:v>
                </c:pt>
                <c:pt idx="12">
                  <c:v>118.682</c:v>
                </c:pt>
              </c:numCache>
            </c:numRef>
          </c:val>
          <c:smooth val="0"/>
          <c:extLst>
            <c:ext xmlns:c16="http://schemas.microsoft.com/office/drawing/2014/chart" uri="{C3380CC4-5D6E-409C-BE32-E72D297353CC}">
              <c16:uniqueId val="{00000000-8169-40F4-A1A8-42385E89598D}"/>
            </c:ext>
          </c:extLst>
        </c:ser>
        <c:ser>
          <c:idx val="1"/>
          <c:order val="1"/>
          <c:tx>
            <c:strRef>
              <c:f>Total_stock!$AM$26</c:f>
              <c:strCache>
                <c:ptCount val="1"/>
                <c:pt idx="0">
                  <c:v>Occ. HU</c:v>
                </c:pt>
              </c:strCache>
            </c:strRef>
          </c:tx>
          <c:cat>
            <c:numRef>
              <c:f>Total_stock!$AK$27:$AK$39</c:f>
              <c:numCache>
                <c:formatCode>General</c:formatCode>
                <c:ptCount val="1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numCache>
            </c:numRef>
          </c:cat>
          <c:val>
            <c:numRef>
              <c:f>Total_stock!$AM$27:$AM$39</c:f>
              <c:numCache>
                <c:formatCode>#,##0.000</c:formatCode>
                <c:ptCount val="13"/>
                <c:pt idx="0">
                  <c:v>102.79406383428312</c:v>
                </c:pt>
                <c:pt idx="2">
                  <c:v>106.2577265921973</c:v>
                </c:pt>
                <c:pt idx="4">
                  <c:v>105.83967536320802</c:v>
                </c:pt>
                <c:pt idx="6">
                  <c:v>108.85464427596862</c:v>
                </c:pt>
                <c:pt idx="8">
                  <c:v>110.64570519354855</c:v>
                </c:pt>
                <c:pt idx="10">
                  <c:v>111.80275465906956</c:v>
                </c:pt>
                <c:pt idx="12">
                  <c:v>114.83278513599127</c:v>
                </c:pt>
              </c:numCache>
            </c:numRef>
          </c:val>
          <c:smooth val="0"/>
          <c:extLst>
            <c:ext xmlns:c16="http://schemas.microsoft.com/office/drawing/2014/chart" uri="{C3380CC4-5D6E-409C-BE32-E72D297353CC}">
              <c16:uniqueId val="{00000001-8169-40F4-A1A8-42385E89598D}"/>
            </c:ext>
          </c:extLst>
        </c:ser>
        <c:dLbls>
          <c:showLegendKey val="0"/>
          <c:showVal val="0"/>
          <c:showCatName val="0"/>
          <c:showSerName val="0"/>
          <c:showPercent val="0"/>
          <c:showBubbleSize val="0"/>
        </c:dLbls>
        <c:marker val="1"/>
        <c:smooth val="0"/>
        <c:axId val="39876096"/>
        <c:axId val="39877632"/>
      </c:lineChart>
      <c:catAx>
        <c:axId val="39876096"/>
        <c:scaling>
          <c:orientation val="minMax"/>
        </c:scaling>
        <c:delete val="0"/>
        <c:axPos val="b"/>
        <c:numFmt formatCode="General" sourceLinked="1"/>
        <c:majorTickMark val="out"/>
        <c:minorTickMark val="none"/>
        <c:tickLblPos val="nextTo"/>
        <c:crossAx val="39877632"/>
        <c:crosses val="autoZero"/>
        <c:auto val="1"/>
        <c:lblAlgn val="ctr"/>
        <c:lblOffset val="100"/>
        <c:noMultiLvlLbl val="0"/>
      </c:catAx>
      <c:valAx>
        <c:axId val="39877632"/>
        <c:scaling>
          <c:orientation val="minMax"/>
        </c:scaling>
        <c:delete val="0"/>
        <c:axPos val="l"/>
        <c:majorGridlines/>
        <c:numFmt formatCode="General" sourceLinked="1"/>
        <c:majorTickMark val="out"/>
        <c:minorTickMark val="none"/>
        <c:tickLblPos val="nextTo"/>
        <c:crossAx val="398760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Total_stock_SF!$Q$14</c:f>
              <c:strCache>
                <c:ptCount val="1"/>
                <c:pt idx="0">
                  <c:v>Calculated</c:v>
                </c:pt>
              </c:strCache>
            </c:strRef>
          </c:tx>
          <c:cat>
            <c:numRef>
              <c:f>Total_stock_SF!$P$15:$P$39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Total_stock_SF!$Q$15:$Q$39</c:f>
              <c:numCache>
                <c:formatCode>General</c:formatCode>
                <c:ptCount val="25"/>
                <c:pt idx="0" formatCode="#,##0">
                  <c:v>63503.924916085467</c:v>
                </c:pt>
                <c:pt idx="2" formatCode="#,##0">
                  <c:v>64785.989820067181</c:v>
                </c:pt>
                <c:pt idx="4" formatCode="#,##0">
                  <c:v>66089.851062968912</c:v>
                </c:pt>
                <c:pt idx="6" formatCode="#,##0">
                  <c:v>66825.743933489808</c:v>
                </c:pt>
                <c:pt idx="8" formatCode="#,##0">
                  <c:v>68018.258135955461</c:v>
                </c:pt>
                <c:pt idx="10" formatCode="#,##0">
                  <c:v>69107.220522263728</c:v>
                </c:pt>
                <c:pt idx="12" formatCode="#,##0">
                  <c:v>70036.018360522139</c:v>
                </c:pt>
                <c:pt idx="14" formatCode="#,##0">
                  <c:v>71499.011453219544</c:v>
                </c:pt>
                <c:pt idx="16" formatCode="#,##0">
                  <c:v>72536.071637281275</c:v>
                </c:pt>
                <c:pt idx="18" formatCode="#,##0">
                  <c:v>74009.864404471358</c:v>
                </c:pt>
                <c:pt idx="20" formatCode="#,##0">
                  <c:v>75817.629555414707</c:v>
                </c:pt>
                <c:pt idx="22" formatCode="#,##0">
                  <c:v>77771.735189592117</c:v>
                </c:pt>
                <c:pt idx="24" formatCode="#,##0">
                  <c:v>76972.240674399582</c:v>
                </c:pt>
              </c:numCache>
            </c:numRef>
          </c:val>
          <c:smooth val="0"/>
          <c:extLst>
            <c:ext xmlns:c16="http://schemas.microsoft.com/office/drawing/2014/chart" uri="{C3380CC4-5D6E-409C-BE32-E72D297353CC}">
              <c16:uniqueId val="{00000000-1FCF-4B12-A7F5-84DA77B43CD4}"/>
            </c:ext>
          </c:extLst>
        </c:ser>
        <c:ser>
          <c:idx val="1"/>
          <c:order val="1"/>
          <c:tx>
            <c:strRef>
              <c:f>Total_stock_SF!$R$14</c:f>
              <c:strCache>
                <c:ptCount val="1"/>
                <c:pt idx="0">
                  <c:v>Published</c:v>
                </c:pt>
              </c:strCache>
            </c:strRef>
          </c:tx>
          <c:marker>
            <c:symbol val="square"/>
            <c:size val="4"/>
          </c:marker>
          <c:cat>
            <c:numRef>
              <c:f>Total_stock_SF!$P$15:$P$39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Total_stock_SF!$R$15:$R$39</c:f>
              <c:numCache>
                <c:formatCode>General</c:formatCode>
                <c:ptCount val="25"/>
                <c:pt idx="0" formatCode="#,##0">
                  <c:v>59178</c:v>
                </c:pt>
                <c:pt idx="2" formatCode="#,##0">
                  <c:v>61379</c:v>
                </c:pt>
                <c:pt idx="4" formatCode="#,##0">
                  <c:v>63204</c:v>
                </c:pt>
                <c:pt idx="6" formatCode="#,##0">
                  <c:v>62927</c:v>
                </c:pt>
                <c:pt idx="8" formatCode="#,##0">
                  <c:v>64293</c:v>
                </c:pt>
                <c:pt idx="10" formatCode="#,##0">
                  <c:v>66371</c:v>
                </c:pt>
                <c:pt idx="12" formatCode="#,##0">
                  <c:v>67951.38235187353</c:v>
                </c:pt>
                <c:pt idx="14" formatCode="#,##0">
                  <c:v>71499.011453219544</c:v>
                </c:pt>
                <c:pt idx="16" formatCode="#,##0">
                  <c:v>74433.828759211698</c:v>
                </c:pt>
                <c:pt idx="18" formatCode="#,##0">
                  <c:v>74025.57567727234</c:v>
                </c:pt>
                <c:pt idx="20" formatCode="#,##0">
                  <c:v>76147.117574834105</c:v>
                </c:pt>
                <c:pt idx="22" formatCode="#,##0">
                  <c:v>77490.956361530247</c:v>
                </c:pt>
                <c:pt idx="24" formatCode="#,##0">
                  <c:v>79051.852939674674</c:v>
                </c:pt>
              </c:numCache>
            </c:numRef>
          </c:val>
          <c:smooth val="0"/>
          <c:extLst>
            <c:ext xmlns:c16="http://schemas.microsoft.com/office/drawing/2014/chart" uri="{C3380CC4-5D6E-409C-BE32-E72D297353CC}">
              <c16:uniqueId val="{00000001-1FCF-4B12-A7F5-84DA77B43CD4}"/>
            </c:ext>
          </c:extLst>
        </c:ser>
        <c:dLbls>
          <c:showLegendKey val="0"/>
          <c:showVal val="0"/>
          <c:showCatName val="0"/>
          <c:showSerName val="0"/>
          <c:showPercent val="0"/>
          <c:showBubbleSize val="0"/>
        </c:dLbls>
        <c:marker val="1"/>
        <c:smooth val="0"/>
        <c:axId val="40010496"/>
        <c:axId val="40012032"/>
      </c:lineChart>
      <c:catAx>
        <c:axId val="40010496"/>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0012032"/>
        <c:crosses val="autoZero"/>
        <c:auto val="1"/>
        <c:lblAlgn val="ctr"/>
        <c:lblOffset val="100"/>
        <c:noMultiLvlLbl val="0"/>
      </c:catAx>
      <c:valAx>
        <c:axId val="40012032"/>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010496"/>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Total_stock_SF!$Q$14</c:f>
              <c:strCache>
                <c:ptCount val="1"/>
                <c:pt idx="0">
                  <c:v>Calculated</c:v>
                </c:pt>
              </c:strCache>
            </c:strRef>
          </c:tx>
          <c:cat>
            <c:numRef>
              <c:f>Total_stock_SF!$P$15:$P$39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Total_stock_SF!$Q$15:$Q$39</c:f>
              <c:numCache>
                <c:formatCode>General</c:formatCode>
                <c:ptCount val="25"/>
                <c:pt idx="0" formatCode="#,##0">
                  <c:v>63503.924916085467</c:v>
                </c:pt>
                <c:pt idx="2" formatCode="#,##0">
                  <c:v>64785.989820067181</c:v>
                </c:pt>
                <c:pt idx="4" formatCode="#,##0">
                  <c:v>66089.851062968912</c:v>
                </c:pt>
                <c:pt idx="6" formatCode="#,##0">
                  <c:v>66825.743933489808</c:v>
                </c:pt>
                <c:pt idx="8" formatCode="#,##0">
                  <c:v>68018.258135955461</c:v>
                </c:pt>
                <c:pt idx="10" formatCode="#,##0">
                  <c:v>69107.220522263728</c:v>
                </c:pt>
                <c:pt idx="12" formatCode="#,##0">
                  <c:v>70036.018360522139</c:v>
                </c:pt>
                <c:pt idx="14" formatCode="#,##0">
                  <c:v>71499.011453219544</c:v>
                </c:pt>
                <c:pt idx="16" formatCode="#,##0">
                  <c:v>72536.071637281275</c:v>
                </c:pt>
                <c:pt idx="18" formatCode="#,##0">
                  <c:v>74009.864404471358</c:v>
                </c:pt>
                <c:pt idx="20" formatCode="#,##0">
                  <c:v>75817.629555414707</c:v>
                </c:pt>
                <c:pt idx="22" formatCode="#,##0">
                  <c:v>77771.735189592117</c:v>
                </c:pt>
                <c:pt idx="24" formatCode="#,##0">
                  <c:v>76972.240674399582</c:v>
                </c:pt>
              </c:numCache>
            </c:numRef>
          </c:val>
          <c:smooth val="0"/>
          <c:extLst>
            <c:ext xmlns:c16="http://schemas.microsoft.com/office/drawing/2014/chart" uri="{C3380CC4-5D6E-409C-BE32-E72D297353CC}">
              <c16:uniqueId val="{00000000-6588-4730-90AD-2040FF7B95B1}"/>
            </c:ext>
          </c:extLst>
        </c:ser>
        <c:ser>
          <c:idx val="1"/>
          <c:order val="1"/>
          <c:tx>
            <c:strRef>
              <c:f>Total_stock_SF!$R$14</c:f>
              <c:strCache>
                <c:ptCount val="1"/>
                <c:pt idx="0">
                  <c:v>Published</c:v>
                </c:pt>
              </c:strCache>
            </c:strRef>
          </c:tx>
          <c:cat>
            <c:numRef>
              <c:f>Total_stock_SF!$P$15:$P$39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Total_stock_SF!$R$15:$R$39</c:f>
              <c:numCache>
                <c:formatCode>General</c:formatCode>
                <c:ptCount val="25"/>
                <c:pt idx="0" formatCode="#,##0">
                  <c:v>59178</c:v>
                </c:pt>
                <c:pt idx="2" formatCode="#,##0">
                  <c:v>61379</c:v>
                </c:pt>
                <c:pt idx="4" formatCode="#,##0">
                  <c:v>63204</c:v>
                </c:pt>
                <c:pt idx="6" formatCode="#,##0">
                  <c:v>62927</c:v>
                </c:pt>
                <c:pt idx="8" formatCode="#,##0">
                  <c:v>64293</c:v>
                </c:pt>
                <c:pt idx="10" formatCode="#,##0">
                  <c:v>66371</c:v>
                </c:pt>
                <c:pt idx="12" formatCode="#,##0">
                  <c:v>67951.38235187353</c:v>
                </c:pt>
                <c:pt idx="14" formatCode="#,##0">
                  <c:v>71499.011453219544</c:v>
                </c:pt>
                <c:pt idx="16" formatCode="#,##0">
                  <c:v>74433.828759211698</c:v>
                </c:pt>
                <c:pt idx="18" formatCode="#,##0">
                  <c:v>74025.57567727234</c:v>
                </c:pt>
                <c:pt idx="20" formatCode="#,##0">
                  <c:v>76147.117574834105</c:v>
                </c:pt>
                <c:pt idx="22" formatCode="#,##0">
                  <c:v>77490.956361530247</c:v>
                </c:pt>
                <c:pt idx="24" formatCode="#,##0">
                  <c:v>79051.852939674674</c:v>
                </c:pt>
              </c:numCache>
            </c:numRef>
          </c:val>
          <c:smooth val="0"/>
          <c:extLst>
            <c:ext xmlns:c16="http://schemas.microsoft.com/office/drawing/2014/chart" uri="{C3380CC4-5D6E-409C-BE32-E72D297353CC}">
              <c16:uniqueId val="{00000001-6588-4730-90AD-2040FF7B95B1}"/>
            </c:ext>
          </c:extLst>
        </c:ser>
        <c:dLbls>
          <c:showLegendKey val="0"/>
          <c:showVal val="0"/>
          <c:showCatName val="0"/>
          <c:showSerName val="0"/>
          <c:showPercent val="0"/>
          <c:showBubbleSize val="0"/>
        </c:dLbls>
        <c:marker val="1"/>
        <c:smooth val="0"/>
        <c:axId val="40049280"/>
        <c:axId val="40051072"/>
      </c:lineChart>
      <c:catAx>
        <c:axId val="400492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051072"/>
        <c:crosses val="autoZero"/>
        <c:auto val="1"/>
        <c:lblAlgn val="ctr"/>
        <c:lblOffset val="100"/>
        <c:noMultiLvlLbl val="0"/>
      </c:catAx>
      <c:valAx>
        <c:axId val="4005107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049280"/>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34665708685854"/>
          <c:y val="4.9180596611470076E-2"/>
          <c:w val="0.75117699673015736"/>
          <c:h val="0.8398486235732161"/>
        </c:manualLayout>
      </c:layout>
      <c:lineChart>
        <c:grouping val="standard"/>
        <c:varyColors val="0"/>
        <c:ser>
          <c:idx val="0"/>
          <c:order val="0"/>
          <c:tx>
            <c:strRef>
              <c:f>Total_stock_SF!$AT$14</c:f>
              <c:strCache>
                <c:ptCount val="1"/>
                <c:pt idx="0">
                  <c:v>Actual</c:v>
                </c:pt>
              </c:strCache>
            </c:strRef>
          </c:tx>
          <c:cat>
            <c:numRef>
              <c:f>Total_stock_SF!$AS$15:$AS$48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Total_stock_SF!$AT$15:$AT$48</c:f>
              <c:numCache>
                <c:formatCode>General</c:formatCode>
                <c:ptCount val="34"/>
                <c:pt idx="0" formatCode="#,##0">
                  <c:v>65121</c:v>
                </c:pt>
                <c:pt idx="2" formatCode="#,##0">
                  <c:v>67271</c:v>
                </c:pt>
                <c:pt idx="4" formatCode="#,##0">
                  <c:v>69290</c:v>
                </c:pt>
                <c:pt idx="6" formatCode="#,##0">
                  <c:v>69802</c:v>
                </c:pt>
                <c:pt idx="8" formatCode="#,##0">
                  <c:v>70362</c:v>
                </c:pt>
                <c:pt idx="10" formatCode="#,##0">
                  <c:v>72402</c:v>
                </c:pt>
                <c:pt idx="12" formatCode="#,##0">
                  <c:v>74887</c:v>
                </c:pt>
                <c:pt idx="14" formatCode="#,##0">
                  <c:v>78382</c:v>
                </c:pt>
                <c:pt idx="16" formatCode="#,##0">
                  <c:v>81855</c:v>
                </c:pt>
                <c:pt idx="18" formatCode="#,##0">
                  <c:v>82143</c:v>
                </c:pt>
                <c:pt idx="20" formatCode="#,##0">
                  <c:v>84749</c:v>
                </c:pt>
                <c:pt idx="22" formatCode="#,##0">
                  <c:v>87541</c:v>
                </c:pt>
                <c:pt idx="24" formatCode="#,##0">
                  <c:v>89525</c:v>
                </c:pt>
                <c:pt idx="26" formatCode="#,##0">
                  <c:v>90742</c:v>
                </c:pt>
                <c:pt idx="28" formatCode="#,##0">
                  <c:v>90973</c:v>
                </c:pt>
                <c:pt idx="30" formatCode="#,##0">
                  <c:v>92988</c:v>
                </c:pt>
                <c:pt idx="32" formatCode="#,##0">
                  <c:v>94867.481277414001</c:v>
                </c:pt>
              </c:numCache>
            </c:numRef>
          </c:val>
          <c:smooth val="0"/>
          <c:extLst>
            <c:ext xmlns:c16="http://schemas.microsoft.com/office/drawing/2014/chart" uri="{C3380CC4-5D6E-409C-BE32-E72D297353CC}">
              <c16:uniqueId val="{00000000-6925-4E33-9848-5244C43D39A2}"/>
            </c:ext>
          </c:extLst>
        </c:ser>
        <c:ser>
          <c:idx val="1"/>
          <c:order val="1"/>
          <c:tx>
            <c:strRef>
              <c:f>Total_stock_SF!$AU$13</c:f>
              <c:strCache>
                <c:ptCount val="1"/>
                <c:pt idx="0">
                  <c:v>Predicted</c:v>
                </c:pt>
              </c:strCache>
            </c:strRef>
          </c:tx>
          <c:marker>
            <c:symbol val="square"/>
            <c:size val="4"/>
          </c:marker>
          <c:cat>
            <c:numRef>
              <c:f>Total_stock_SF!$AS$15:$AS$48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Total_stock_SF!$AU$15:$AU$48</c:f>
              <c:numCache>
                <c:formatCode>#,##0</c:formatCode>
                <c:ptCount val="34"/>
                <c:pt idx="0">
                  <c:v>64295</c:v>
                </c:pt>
                <c:pt idx="1">
                  <c:v>65306.577249878639</c:v>
                </c:pt>
                <c:pt idx="2">
                  <c:v>66340.592765926951</c:v>
                </c:pt>
                <c:pt idx="3">
                  <c:v>67356.412837497395</c:v>
                </c:pt>
                <c:pt idx="4">
                  <c:v>68325.385973458673</c:v>
                </c:pt>
                <c:pt idx="5">
                  <c:v>69237.294873620704</c:v>
                </c:pt>
                <c:pt idx="6">
                  <c:v>70059.473095834823</c:v>
                </c:pt>
                <c:pt idx="7">
                  <c:v>70879.580887304153</c:v>
                </c:pt>
                <c:pt idx="8">
                  <c:v>71793.362341064843</c:v>
                </c:pt>
                <c:pt idx="9">
                  <c:v>72798.341591515084</c:v>
                </c:pt>
                <c:pt idx="10">
                  <c:v>73814.245239141383</c:v>
                </c:pt>
                <c:pt idx="11">
                  <c:v>74813.88100776216</c:v>
                </c:pt>
                <c:pt idx="12">
                  <c:v>75836.051151073334</c:v>
                </c:pt>
                <c:pt idx="13">
                  <c:v>76871.464312105338</c:v>
                </c:pt>
                <c:pt idx="14">
                  <c:v>77977.597310803932</c:v>
                </c:pt>
                <c:pt idx="15">
                  <c:v>79120.613244301581</c:v>
                </c:pt>
                <c:pt idx="16">
                  <c:v>80255.185553382311</c:v>
                </c:pt>
                <c:pt idx="17">
                  <c:v>81427.076367092857</c:v>
                </c:pt>
                <c:pt idx="18">
                  <c:v>82658.210809594471</c:v>
                </c:pt>
                <c:pt idx="19">
                  <c:v>83983.998418561183</c:v>
                </c:pt>
                <c:pt idx="20">
                  <c:v>85424.452516707097</c:v>
                </c:pt>
                <c:pt idx="21">
                  <c:v>86920.011754465319</c:v>
                </c:pt>
                <c:pt idx="22">
                  <c:v>88217.997474064076</c:v>
                </c:pt>
                <c:pt idx="23">
                  <c:v>89126.119835547288</c:v>
                </c:pt>
                <c:pt idx="24">
                  <c:v>89712.370028551712</c:v>
                </c:pt>
                <c:pt idx="25">
                  <c:v>90151.515651846275</c:v>
                </c:pt>
                <c:pt idx="26">
                  <c:v>90557.125231071914</c:v>
                </c:pt>
                <c:pt idx="27">
                  <c:v>90956.442990977404</c:v>
                </c:pt>
                <c:pt idx="28">
                  <c:v>91410.768577965442</c:v>
                </c:pt>
                <c:pt idx="29">
                  <c:v>91926.560202876411</c:v>
                </c:pt>
                <c:pt idx="30">
                  <c:v>92477.680327787792</c:v>
                </c:pt>
                <c:pt idx="31">
                  <c:v>93082.373654156792</c:v>
                </c:pt>
                <c:pt idx="32">
                  <c:v>93753.662945456876</c:v>
                </c:pt>
                <c:pt idx="33">
                  <c:v>94470.734326722595</c:v>
                </c:pt>
              </c:numCache>
            </c:numRef>
          </c:val>
          <c:smooth val="0"/>
          <c:extLst>
            <c:ext xmlns:c16="http://schemas.microsoft.com/office/drawing/2014/chart" uri="{C3380CC4-5D6E-409C-BE32-E72D297353CC}">
              <c16:uniqueId val="{00000001-6925-4E33-9848-5244C43D39A2}"/>
            </c:ext>
          </c:extLst>
        </c:ser>
        <c:dLbls>
          <c:showLegendKey val="0"/>
          <c:showVal val="0"/>
          <c:showCatName val="0"/>
          <c:showSerName val="0"/>
          <c:showPercent val="0"/>
          <c:showBubbleSize val="0"/>
        </c:dLbls>
        <c:marker val="1"/>
        <c:smooth val="0"/>
        <c:axId val="40084224"/>
        <c:axId val="40085760"/>
      </c:lineChart>
      <c:catAx>
        <c:axId val="4008422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0085760"/>
        <c:crosses val="autoZero"/>
        <c:auto val="1"/>
        <c:lblAlgn val="ctr"/>
        <c:lblOffset val="100"/>
        <c:noMultiLvlLbl val="0"/>
      </c:catAx>
      <c:valAx>
        <c:axId val="40085760"/>
        <c:scaling>
          <c:orientation val="minMax"/>
          <c:min val="50000"/>
        </c:scaling>
        <c:delete val="0"/>
        <c:axPos val="l"/>
        <c:title>
          <c:tx>
            <c:rich>
              <a:bodyPr rot="-5400000" vert="horz"/>
              <a:lstStyle/>
              <a:p>
                <a:pPr>
                  <a:defRPr/>
                </a:pPr>
                <a:r>
                  <a:rPr lang="en-US"/>
                  <a:t>Thousands of Units</a:t>
                </a:r>
              </a:p>
            </c:rich>
          </c:tx>
          <c:layout>
            <c:manualLayout>
              <c:xMode val="edge"/>
              <c:yMode val="edge"/>
              <c:x val="2.6803130055670414E-2"/>
              <c:y val="0.28339062268379245"/>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084224"/>
        <c:crosses val="autoZero"/>
        <c:crossBetween val="midCat"/>
      </c:valAx>
    </c:plotArea>
    <c:legend>
      <c:legendPos val="r"/>
      <c:layout>
        <c:manualLayout>
          <c:xMode val="edge"/>
          <c:yMode val="edge"/>
          <c:x val="0.28275566112895106"/>
          <c:y val="0.62351008449525214"/>
          <c:w val="0.16355098070841703"/>
          <c:h val="0.15165057856140077"/>
        </c:manualLayout>
      </c:layout>
      <c:overlay val="0"/>
      <c:spPr>
        <a:solidFill>
          <a:schemeClr val="bg1"/>
        </a:solidFill>
        <a:ln>
          <a:solidFill>
            <a:schemeClr val="accent1">
              <a:shade val="95000"/>
              <a:satMod val="105000"/>
            </a:schemeClr>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2661854768154"/>
          <c:y val="8.3807961504811887E-2"/>
          <c:w val="0.79396916010498697"/>
          <c:h val="0.78278032954214061"/>
        </c:manualLayout>
      </c:layout>
      <c:lineChart>
        <c:grouping val="standard"/>
        <c:varyColors val="0"/>
        <c:ser>
          <c:idx val="0"/>
          <c:order val="0"/>
          <c:tx>
            <c:strRef>
              <c:f>Total_stock_SF!$BW$14</c:f>
              <c:strCache>
                <c:ptCount val="1"/>
                <c:pt idx="0">
                  <c:v>Actual</c:v>
                </c:pt>
              </c:strCache>
            </c:strRef>
          </c:tx>
          <c:cat>
            <c:numRef>
              <c:f>Total_stock_SF!$BV$15:$BV$48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Total_stock_SF!$BW$15:$BW$48</c:f>
              <c:numCache>
                <c:formatCode>General</c:formatCode>
                <c:ptCount val="34"/>
                <c:pt idx="12">
                  <c:v>1921.3143841971068</c:v>
                </c:pt>
                <c:pt idx="14">
                  <c:v>2035.1812359418229</c:v>
                </c:pt>
                <c:pt idx="16">
                  <c:v>2027.4533925593496</c:v>
                </c:pt>
                <c:pt idx="18">
                  <c:v>2100.7245703310732</c:v>
                </c:pt>
                <c:pt idx="20">
                  <c:v>2164.1037414509847</c:v>
                </c:pt>
                <c:pt idx="22">
                  <c:v>2180.0622521425626</c:v>
                </c:pt>
                <c:pt idx="24">
                  <c:v>2192.3844424420886</c:v>
                </c:pt>
                <c:pt idx="26">
                  <c:v>2201.2684808712961</c:v>
                </c:pt>
                <c:pt idx="28">
                  <c:v>2217.3604819525503</c:v>
                </c:pt>
                <c:pt idx="30">
                  <c:v>2233.4524830338046</c:v>
                </c:pt>
                <c:pt idx="32">
                  <c:v>2249.5444841150588</c:v>
                </c:pt>
              </c:numCache>
            </c:numRef>
          </c:val>
          <c:smooth val="0"/>
          <c:extLst>
            <c:ext xmlns:c16="http://schemas.microsoft.com/office/drawing/2014/chart" uri="{C3380CC4-5D6E-409C-BE32-E72D297353CC}">
              <c16:uniqueId val="{00000000-3724-4952-83BB-9D9021F89E29}"/>
            </c:ext>
          </c:extLst>
        </c:ser>
        <c:ser>
          <c:idx val="1"/>
          <c:order val="1"/>
          <c:tx>
            <c:strRef>
              <c:f>Total_stock_SF!$BX$14</c:f>
              <c:strCache>
                <c:ptCount val="1"/>
                <c:pt idx="0">
                  <c:v>Predicted</c:v>
                </c:pt>
              </c:strCache>
            </c:strRef>
          </c:tx>
          <c:marker>
            <c:symbol val="circle"/>
            <c:size val="4"/>
          </c:marker>
          <c:cat>
            <c:numRef>
              <c:f>Total_stock_SF!$BV$15:$BV$48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Total_stock_SF!$BX$15:$BX$48</c:f>
              <c:numCache>
                <c:formatCode>General</c:formatCode>
                <c:ptCount val="34"/>
                <c:pt idx="0">
                  <c:v>1849.0897575916233</c:v>
                </c:pt>
                <c:pt idx="1">
                  <c:v>1845.3032226028363</c:v>
                </c:pt>
                <c:pt idx="2">
                  <c:v>1858.8984015399869</c:v>
                </c:pt>
                <c:pt idx="3">
                  <c:v>1873.0173648555019</c:v>
                </c:pt>
                <c:pt idx="4">
                  <c:v>1886.7306152316403</c:v>
                </c:pt>
                <c:pt idx="5">
                  <c:v>1900.3434366128959</c:v>
                </c:pt>
                <c:pt idx="6">
                  <c:v>1911.5195446207103</c:v>
                </c:pt>
                <c:pt idx="7">
                  <c:v>1927.3581296870789</c:v>
                </c:pt>
                <c:pt idx="8">
                  <c:v>1942.5931442659185</c:v>
                </c:pt>
                <c:pt idx="9">
                  <c:v>1958.9665470585048</c:v>
                </c:pt>
                <c:pt idx="10">
                  <c:v>1971.0324425429283</c:v>
                </c:pt>
                <c:pt idx="11">
                  <c:v>1985.8302610578116</c:v>
                </c:pt>
                <c:pt idx="12">
                  <c:v>1999.5975694016099</c:v>
                </c:pt>
                <c:pt idx="13">
                  <c:v>2014.7570219038193</c:v>
                </c:pt>
                <c:pt idx="14">
                  <c:v>2031.8227956659466</c:v>
                </c:pt>
                <c:pt idx="15">
                  <c:v>2047.063356998982</c:v>
                </c:pt>
                <c:pt idx="16">
                  <c:v>2063.6263714567831</c:v>
                </c:pt>
                <c:pt idx="17">
                  <c:v>2080.8927473426156</c:v>
                </c:pt>
                <c:pt idx="18">
                  <c:v>2098.1730969428168</c:v>
                </c:pt>
                <c:pt idx="19">
                  <c:v>2117.5026549267072</c:v>
                </c:pt>
                <c:pt idx="20">
                  <c:v>2138.3776791572573</c:v>
                </c:pt>
                <c:pt idx="21">
                  <c:v>2158.3309177961414</c:v>
                </c:pt>
                <c:pt idx="22">
                  <c:v>2168.9358849751275</c:v>
                </c:pt>
                <c:pt idx="23">
                  <c:v>2176.1427273015274</c:v>
                </c:pt>
                <c:pt idx="24">
                  <c:v>2181.3182757931095</c:v>
                </c:pt>
                <c:pt idx="25">
                  <c:v>2184.4367550310162</c:v>
                </c:pt>
                <c:pt idx="26">
                  <c:v>2188.3259705873934</c:v>
                </c:pt>
                <c:pt idx="27" formatCode="0.0">
                  <c:v>2195.6739625779692</c:v>
                </c:pt>
                <c:pt idx="28" formatCode="0.0">
                  <c:v>2204.949636600667</c:v>
                </c:pt>
                <c:pt idx="29" formatCode="0.0">
                  <c:v>2216.5775967088935</c:v>
                </c:pt>
                <c:pt idx="30" formatCode="0.0">
                  <c:v>2228.3029555662597</c:v>
                </c:pt>
                <c:pt idx="31" formatCode="0.0">
                  <c:v>2241.0865690417086</c:v>
                </c:pt>
                <c:pt idx="32" formatCode="0.0">
                  <c:v>2253.6687918388634</c:v>
                </c:pt>
                <c:pt idx="33" formatCode="0.0">
                  <c:v>2265.8145288234605</c:v>
                </c:pt>
              </c:numCache>
            </c:numRef>
          </c:val>
          <c:smooth val="0"/>
          <c:extLst>
            <c:ext xmlns:c16="http://schemas.microsoft.com/office/drawing/2014/chart" uri="{C3380CC4-5D6E-409C-BE32-E72D297353CC}">
              <c16:uniqueId val="{00000001-3724-4952-83BB-9D9021F89E29}"/>
            </c:ext>
          </c:extLst>
        </c:ser>
        <c:dLbls>
          <c:showLegendKey val="0"/>
          <c:showVal val="0"/>
          <c:showCatName val="0"/>
          <c:showSerName val="0"/>
          <c:showPercent val="0"/>
          <c:showBubbleSize val="0"/>
        </c:dLbls>
        <c:marker val="1"/>
        <c:smooth val="0"/>
        <c:axId val="40098816"/>
        <c:axId val="40321792"/>
      </c:lineChart>
      <c:catAx>
        <c:axId val="400988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0321792"/>
        <c:crosses val="autoZero"/>
        <c:auto val="1"/>
        <c:lblAlgn val="ctr"/>
        <c:lblOffset val="100"/>
        <c:noMultiLvlLbl val="0"/>
      </c:catAx>
      <c:valAx>
        <c:axId val="40321792"/>
        <c:scaling>
          <c:orientation val="minMax"/>
        </c:scaling>
        <c:delete val="0"/>
        <c:axPos val="l"/>
        <c:majorGridlines/>
        <c:title>
          <c:tx>
            <c:rich>
              <a:bodyPr rot="-5400000" vert="horz"/>
              <a:lstStyle/>
              <a:p>
                <a:pPr>
                  <a:defRPr baseline="0"/>
                </a:pPr>
                <a:br>
                  <a:rPr lang="en-US" baseline="0"/>
                </a:br>
                <a:r>
                  <a:rPr lang="en-US" b="1" baseline="0"/>
                  <a:t>Square feet per unit</a:t>
                </a:r>
              </a:p>
              <a:p>
                <a:pPr>
                  <a:defRPr baseline="0"/>
                </a:pPr>
                <a:endParaRPr lang="en-US" baseline="0"/>
              </a:p>
            </c:rich>
          </c:tx>
          <c:layout>
            <c:manualLayout>
              <c:xMode val="edge"/>
              <c:yMode val="edge"/>
              <c:x val="0"/>
              <c:y val="0.24189960629921259"/>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098816"/>
        <c:crosses val="autoZero"/>
        <c:crossBetween val="midCat"/>
      </c:valAx>
    </c:plotArea>
    <c:legend>
      <c:legendPos val="r"/>
      <c:layout>
        <c:manualLayout>
          <c:xMode val="edge"/>
          <c:yMode val="edge"/>
          <c:x val="0.25313845144356956"/>
          <c:y val="0.59204833770778653"/>
          <c:w val="0.18297265966754156"/>
          <c:h val="0.15849591717701955"/>
        </c:manualLayout>
      </c:layout>
      <c:overlay val="0"/>
      <c:spPr>
        <a:solidFill>
          <a:schemeClr val="bg1"/>
        </a:solidFill>
        <a:ln>
          <a:solidFill>
            <a:schemeClr val="accent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71965909204316"/>
          <c:y val="4.3539292882507331E-2"/>
          <c:w val="0.78208895941239287"/>
          <c:h val="0.76377613092481089"/>
        </c:manualLayout>
      </c:layout>
      <c:lineChart>
        <c:grouping val="standard"/>
        <c:varyColors val="0"/>
        <c:ser>
          <c:idx val="0"/>
          <c:order val="0"/>
          <c:tx>
            <c:strRef>
              <c:f>Total_stock_SF!$AX$14</c:f>
              <c:strCache>
                <c:ptCount val="1"/>
                <c:pt idx="0">
                  <c:v>Predicted</c:v>
                </c:pt>
              </c:strCache>
            </c:strRef>
          </c:tx>
          <c:cat>
            <c:numRef>
              <c:f>Total_stock_SF!$AW$15:$AW$48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Total_stock_SF!$AX$15:$AX$48</c:f>
              <c:numCache>
                <c:formatCode>General</c:formatCode>
                <c:ptCount val="34"/>
                <c:pt idx="0">
                  <c:v>58427.381489841988</c:v>
                </c:pt>
                <c:pt idx="1">
                  <c:v>59466.637275510206</c:v>
                </c:pt>
                <c:pt idx="2">
                  <c:v>60530.0834442751</c:v>
                </c:pt>
                <c:pt idx="3">
                  <c:v>61448.589449929605</c:v>
                </c:pt>
                <c:pt idx="4">
                  <c:v>62324.111633229644</c:v>
                </c:pt>
                <c:pt idx="5">
                  <c:v>62786.919234947789</c:v>
                </c:pt>
                <c:pt idx="6">
                  <c:v>63159.113829139533</c:v>
                </c:pt>
                <c:pt idx="7">
                  <c:v>64332.192168461639</c:v>
                </c:pt>
                <c:pt idx="8">
                  <c:v>65600.901694012136</c:v>
                </c:pt>
                <c:pt idx="9">
                  <c:v>66626.762165794571</c:v>
                </c:pt>
                <c:pt idx="10">
                  <c:v>67665.606899906808</c:v>
                </c:pt>
                <c:pt idx="11">
                  <c:v>68233.504719449251</c:v>
                </c:pt>
                <c:pt idx="12">
                  <c:v>68812.537661046954</c:v>
                </c:pt>
                <c:pt idx="13">
                  <c:v>69936.588812178394</c:v>
                </c:pt>
                <c:pt idx="14">
                  <c:v>71130.12073205215</c:v>
                </c:pt>
                <c:pt idx="15">
                  <c:v>72060.05632791204</c:v>
                </c:pt>
                <c:pt idx="16">
                  <c:v>72979.057339432169</c:v>
                </c:pt>
                <c:pt idx="17">
                  <c:v>73712.550896338653</c:v>
                </c:pt>
                <c:pt idx="18">
                  <c:v>74489.873021846855</c:v>
                </c:pt>
                <c:pt idx="19">
                  <c:v>75572.203911669072</c:v>
                </c:pt>
                <c:pt idx="20">
                  <c:v>76754.012785466839</c:v>
                </c:pt>
                <c:pt idx="21">
                  <c:v>77519.517603069209</c:v>
                </c:pt>
                <c:pt idx="22">
                  <c:v>78090.231920634731</c:v>
                </c:pt>
                <c:pt idx="23">
                  <c:v>78796.867200672961</c:v>
                </c:pt>
                <c:pt idx="24">
                  <c:v>79217.303349530834</c:v>
                </c:pt>
                <c:pt idx="25">
                  <c:v>79803.413980724203</c:v>
                </c:pt>
                <c:pt idx="26">
                  <c:v>80361.696537413271</c:v>
                </c:pt>
                <c:pt idx="27">
                  <c:v>80821.662745193869</c:v>
                </c:pt>
                <c:pt idx="28">
                  <c:v>81331.498689036074</c:v>
                </c:pt>
                <c:pt idx="29">
                  <c:v>82055.941885399545</c:v>
                </c:pt>
                <c:pt idx="30">
                  <c:v>82815.001895465495</c:v>
                </c:pt>
                <c:pt idx="31">
                  <c:v>83766.246687142877</c:v>
                </c:pt>
                <c:pt idx="32">
                  <c:v>84783.038875318991</c:v>
                </c:pt>
                <c:pt idx="33">
                  <c:v>85431.498774209555</c:v>
                </c:pt>
              </c:numCache>
            </c:numRef>
          </c:val>
          <c:smooth val="0"/>
          <c:extLst>
            <c:ext xmlns:c16="http://schemas.microsoft.com/office/drawing/2014/chart" uri="{C3380CC4-5D6E-409C-BE32-E72D297353CC}">
              <c16:uniqueId val="{00000000-0FC3-43F1-86A0-064C087C5731}"/>
            </c:ext>
          </c:extLst>
        </c:ser>
        <c:ser>
          <c:idx val="1"/>
          <c:order val="1"/>
          <c:tx>
            <c:strRef>
              <c:f>Total_stock_SF!$AY$14</c:f>
              <c:strCache>
                <c:ptCount val="1"/>
                <c:pt idx="0">
                  <c:v>Actual</c:v>
                </c:pt>
              </c:strCache>
            </c:strRef>
          </c:tx>
          <c:marker>
            <c:symbol val="square"/>
            <c:size val="4"/>
          </c:marker>
          <c:cat>
            <c:numRef>
              <c:f>Total_stock_SF!$AW$15:$AW$48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Total_stock_SF!$AY$15:$AY$48</c:f>
              <c:numCache>
                <c:formatCode>General</c:formatCode>
                <c:ptCount val="34"/>
                <c:pt idx="0" formatCode="#,##0">
                  <c:v>59178</c:v>
                </c:pt>
                <c:pt idx="2" formatCode="#,##0">
                  <c:v>61379</c:v>
                </c:pt>
                <c:pt idx="4" formatCode="#,##0">
                  <c:v>63204</c:v>
                </c:pt>
                <c:pt idx="6" formatCode="#,##0">
                  <c:v>62927</c:v>
                </c:pt>
                <c:pt idx="8" formatCode="#,##0">
                  <c:v>64293</c:v>
                </c:pt>
                <c:pt idx="10" formatCode="#,##0">
                  <c:v>66371</c:v>
                </c:pt>
                <c:pt idx="12" formatCode="#,##0">
                  <c:v>67951.38235187353</c:v>
                </c:pt>
                <c:pt idx="14" formatCode="#,##0">
                  <c:v>71499.011453219544</c:v>
                </c:pt>
                <c:pt idx="16" formatCode="#,##0">
                  <c:v>74433.828759211698</c:v>
                </c:pt>
                <c:pt idx="18" formatCode="#,##0">
                  <c:v>74025.57567727234</c:v>
                </c:pt>
                <c:pt idx="20" formatCode="#,##0">
                  <c:v>76147.117574834105</c:v>
                </c:pt>
                <c:pt idx="22" formatCode="#,##0">
                  <c:v>77490.956361530247</c:v>
                </c:pt>
                <c:pt idx="24" formatCode="#,##0">
                  <c:v>79051.852939674674</c:v>
                </c:pt>
                <c:pt idx="26" formatCode="#,##0">
                  <c:v>80525.757068709005</c:v>
                </c:pt>
                <c:pt idx="28" formatCode="#,##0">
                  <c:v>80942</c:v>
                </c:pt>
                <c:pt idx="30" formatCode="#,##0">
                  <c:v>83272</c:v>
                </c:pt>
                <c:pt idx="32" formatCode="#,##0">
                  <c:v>85790.283818839787</c:v>
                </c:pt>
              </c:numCache>
            </c:numRef>
          </c:val>
          <c:smooth val="0"/>
          <c:extLst>
            <c:ext xmlns:c16="http://schemas.microsoft.com/office/drawing/2014/chart" uri="{C3380CC4-5D6E-409C-BE32-E72D297353CC}">
              <c16:uniqueId val="{00000001-0FC3-43F1-86A0-064C087C5731}"/>
            </c:ext>
          </c:extLst>
        </c:ser>
        <c:dLbls>
          <c:showLegendKey val="0"/>
          <c:showVal val="0"/>
          <c:showCatName val="0"/>
          <c:showSerName val="0"/>
          <c:showPercent val="0"/>
          <c:showBubbleSize val="0"/>
        </c:dLbls>
        <c:marker val="1"/>
        <c:smooth val="0"/>
        <c:axId val="40359424"/>
        <c:axId val="40360960"/>
      </c:lineChart>
      <c:catAx>
        <c:axId val="4035942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360960"/>
        <c:crosses val="autoZero"/>
        <c:auto val="1"/>
        <c:lblAlgn val="ctr"/>
        <c:lblOffset val="100"/>
        <c:tickLblSkip val="5"/>
        <c:noMultiLvlLbl val="0"/>
      </c:catAx>
      <c:valAx>
        <c:axId val="40360960"/>
        <c:scaling>
          <c:orientation val="minMax"/>
        </c:scaling>
        <c:delete val="0"/>
        <c:axPos val="l"/>
        <c:majorGridlines/>
        <c:title>
          <c:tx>
            <c:rich>
              <a:bodyPr rot="-5400000" vert="horz"/>
              <a:lstStyle/>
              <a:p>
                <a:pPr>
                  <a:defRPr b="1" i="0" baseline="0"/>
                </a:pPr>
                <a:r>
                  <a:rPr lang="en-US" b="1" i="0" baseline="0"/>
                  <a:t>Thousands of units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359424"/>
        <c:crosses val="autoZero"/>
        <c:crossBetween val="midCat"/>
      </c:valAx>
    </c:plotArea>
    <c:legend>
      <c:legendPos val="b"/>
      <c:layout>
        <c:manualLayout>
          <c:xMode val="edge"/>
          <c:yMode val="edge"/>
          <c:x val="0.25037473927926307"/>
          <c:y val="0.5212434769183264"/>
          <c:w val="0.27618334780395798"/>
          <c:h val="0.15718789563069321"/>
        </c:manualLayout>
      </c:layout>
      <c:overlay val="0"/>
      <c:spPr>
        <a:solidFill>
          <a:schemeClr val="bg1"/>
        </a:solidFill>
        <a:ln>
          <a:solidFill>
            <a:schemeClr val="accent1">
              <a:shade val="95000"/>
              <a:satMod val="105000"/>
            </a:schemeClr>
          </a:solidFill>
        </a:ln>
      </c:sp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Total_stock_SF!$E$9</c:f>
              <c:strCache>
                <c:ptCount val="1"/>
                <c:pt idx="0">
                  <c:v>New </c:v>
                </c:pt>
              </c:strCache>
            </c:strRef>
          </c:tx>
          <c:cat>
            <c:numRef>
              <c:f>Total_stock_SF!$D$10:$D$40</c:f>
              <c:numCache>
                <c:formatCode>General</c:formatCode>
                <c:ptCount val="3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numCache>
            </c:numRef>
          </c:cat>
          <c:val>
            <c:numRef>
              <c:f>Total_stock_SF!$E$10:$E$40</c:f>
              <c:numCache>
                <c:formatCode>General</c:formatCode>
                <c:ptCount val="31"/>
                <c:pt idx="0">
                  <c:v>956.7</c:v>
                </c:pt>
                <c:pt idx="1">
                  <c:v>818.5</c:v>
                </c:pt>
                <c:pt idx="2">
                  <c:v>631.5</c:v>
                </c:pt>
                <c:pt idx="3">
                  <c:v>923.7</c:v>
                </c:pt>
                <c:pt idx="4">
                  <c:v>1025.0999999999999</c:v>
                </c:pt>
                <c:pt idx="5">
                  <c:v>1072.5</c:v>
                </c:pt>
                <c:pt idx="6">
                  <c:v>1120.2</c:v>
                </c:pt>
                <c:pt idx="7">
                  <c:v>1122.8</c:v>
                </c:pt>
                <c:pt idx="8">
                  <c:v>1084.5999999999999</c:v>
                </c:pt>
                <c:pt idx="9">
                  <c:v>1026.3</c:v>
                </c:pt>
                <c:pt idx="10">
                  <c:v>966</c:v>
                </c:pt>
                <c:pt idx="11">
                  <c:v>837.6</c:v>
                </c:pt>
                <c:pt idx="12">
                  <c:v>963.6</c:v>
                </c:pt>
                <c:pt idx="13">
                  <c:v>1039.4000000000001</c:v>
                </c:pt>
                <c:pt idx="14">
                  <c:v>1160.3</c:v>
                </c:pt>
                <c:pt idx="15">
                  <c:v>1065.5</c:v>
                </c:pt>
                <c:pt idx="16">
                  <c:v>1128.5</c:v>
                </c:pt>
                <c:pt idx="17">
                  <c:v>1116.4000000000001</c:v>
                </c:pt>
                <c:pt idx="18">
                  <c:v>1159.7</c:v>
                </c:pt>
                <c:pt idx="19">
                  <c:v>1270.4000000000001</c:v>
                </c:pt>
                <c:pt idx="20">
                  <c:v>1241.8</c:v>
                </c:pt>
                <c:pt idx="21">
                  <c:v>1255.9000000000001</c:v>
                </c:pt>
                <c:pt idx="22">
                  <c:v>1325.1</c:v>
                </c:pt>
                <c:pt idx="23">
                  <c:v>1386.3</c:v>
                </c:pt>
                <c:pt idx="24">
                  <c:v>1531.5</c:v>
                </c:pt>
                <c:pt idx="25">
                  <c:v>1635.9</c:v>
                </c:pt>
                <c:pt idx="26">
                  <c:v>1654.5</c:v>
                </c:pt>
                <c:pt idx="27">
                  <c:v>1218.4000000000001</c:v>
                </c:pt>
                <c:pt idx="28">
                  <c:v>818.8</c:v>
                </c:pt>
                <c:pt idx="29">
                  <c:v>520.1</c:v>
                </c:pt>
                <c:pt idx="30">
                  <c:v>496.3</c:v>
                </c:pt>
              </c:numCache>
            </c:numRef>
          </c:val>
          <c:smooth val="0"/>
          <c:extLst>
            <c:ext xmlns:c16="http://schemas.microsoft.com/office/drawing/2014/chart" uri="{C3380CC4-5D6E-409C-BE32-E72D297353CC}">
              <c16:uniqueId val="{00000000-A945-456B-B589-8FE939E203A7}"/>
            </c:ext>
          </c:extLst>
        </c:ser>
        <c:dLbls>
          <c:showLegendKey val="0"/>
          <c:showVal val="0"/>
          <c:showCatName val="0"/>
          <c:showSerName val="0"/>
          <c:showPercent val="0"/>
          <c:showBubbleSize val="0"/>
        </c:dLbls>
        <c:marker val="1"/>
        <c:smooth val="0"/>
        <c:axId val="40188928"/>
        <c:axId val="40190720"/>
      </c:lineChart>
      <c:catAx>
        <c:axId val="40188928"/>
        <c:scaling>
          <c:orientation val="minMax"/>
        </c:scaling>
        <c:delete val="0"/>
        <c:axPos val="b"/>
        <c:numFmt formatCode="General" sourceLinked="1"/>
        <c:majorTickMark val="out"/>
        <c:minorTickMark val="none"/>
        <c:tickLblPos val="nextTo"/>
        <c:crossAx val="40190720"/>
        <c:crosses val="autoZero"/>
        <c:auto val="1"/>
        <c:lblAlgn val="ctr"/>
        <c:lblOffset val="100"/>
        <c:noMultiLvlLbl val="0"/>
      </c:catAx>
      <c:valAx>
        <c:axId val="40190720"/>
        <c:scaling>
          <c:orientation val="minMax"/>
        </c:scaling>
        <c:delete val="0"/>
        <c:axPos val="l"/>
        <c:majorGridlines/>
        <c:numFmt formatCode="General" sourceLinked="1"/>
        <c:majorTickMark val="out"/>
        <c:minorTickMark val="none"/>
        <c:tickLblPos val="nextTo"/>
        <c:crossAx val="40188928"/>
        <c:crosses val="autoZero"/>
        <c:crossBetween val="between"/>
      </c:valAx>
    </c:plotArea>
    <c:plotVisOnly val="1"/>
    <c:dispBlanksAs val="gap"/>
    <c:showDLblsOverMax val="0"/>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97462817147858"/>
          <c:y val="0.1901738845144357"/>
          <c:w val="0.75733048993875762"/>
          <c:h val="0.65183253135024788"/>
        </c:manualLayout>
      </c:layout>
      <c:lineChart>
        <c:grouping val="standard"/>
        <c:varyColors val="0"/>
        <c:ser>
          <c:idx val="0"/>
          <c:order val="0"/>
          <c:tx>
            <c:strRef>
              <c:f>Total_stock_SF!$CZ$1</c:f>
              <c:strCache>
                <c:ptCount val="1"/>
                <c:pt idx="0">
                  <c:v>CNH_Size</c:v>
                </c:pt>
              </c:strCache>
            </c:strRef>
          </c:tx>
          <c:cat>
            <c:numRef>
              <c:f>Total_stock_SF!$CY$2:$CY$48</c:f>
              <c:numCache>
                <c:formatCode>General</c:formatCode>
                <c:ptCount val="47"/>
                <c:pt idx="0">
                  <c:v>1973</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numCache>
            </c:numRef>
          </c:cat>
          <c:val>
            <c:numRef>
              <c:f>Total_stock_SF!$CZ$2:$CZ$48</c:f>
              <c:numCache>
                <c:formatCode>#,##0</c:formatCode>
                <c:ptCount val="47"/>
                <c:pt idx="0">
                  <c:v>1660</c:v>
                </c:pt>
                <c:pt idx="1">
                  <c:v>1695</c:v>
                </c:pt>
                <c:pt idx="2">
                  <c:v>1645</c:v>
                </c:pt>
                <c:pt idx="3">
                  <c:v>1700</c:v>
                </c:pt>
                <c:pt idx="4">
                  <c:v>1720</c:v>
                </c:pt>
                <c:pt idx="5">
                  <c:v>1755</c:v>
                </c:pt>
                <c:pt idx="6">
                  <c:v>1760</c:v>
                </c:pt>
                <c:pt idx="7">
                  <c:v>1740</c:v>
                </c:pt>
                <c:pt idx="8">
                  <c:v>1720</c:v>
                </c:pt>
                <c:pt idx="9">
                  <c:v>1710</c:v>
                </c:pt>
                <c:pt idx="10">
                  <c:v>1725</c:v>
                </c:pt>
                <c:pt idx="11">
                  <c:v>1780</c:v>
                </c:pt>
                <c:pt idx="12">
                  <c:v>1785</c:v>
                </c:pt>
                <c:pt idx="13">
                  <c:v>1825</c:v>
                </c:pt>
                <c:pt idx="14">
                  <c:v>1905</c:v>
                </c:pt>
                <c:pt idx="15">
                  <c:v>1995</c:v>
                </c:pt>
                <c:pt idx="16">
                  <c:v>2035</c:v>
                </c:pt>
                <c:pt idx="17">
                  <c:v>2080</c:v>
                </c:pt>
                <c:pt idx="18">
                  <c:v>2075</c:v>
                </c:pt>
                <c:pt idx="19">
                  <c:v>2095</c:v>
                </c:pt>
                <c:pt idx="20">
                  <c:v>2095</c:v>
                </c:pt>
                <c:pt idx="21">
                  <c:v>2100</c:v>
                </c:pt>
                <c:pt idx="22">
                  <c:v>2095</c:v>
                </c:pt>
                <c:pt idx="23">
                  <c:v>2120</c:v>
                </c:pt>
                <c:pt idx="24">
                  <c:v>2150</c:v>
                </c:pt>
                <c:pt idx="25">
                  <c:v>2190</c:v>
                </c:pt>
                <c:pt idx="26">
                  <c:v>2223</c:v>
                </c:pt>
                <c:pt idx="27">
                  <c:v>2266</c:v>
                </c:pt>
                <c:pt idx="28">
                  <c:v>2324</c:v>
                </c:pt>
                <c:pt idx="29">
                  <c:v>2320</c:v>
                </c:pt>
                <c:pt idx="30">
                  <c:v>2330</c:v>
                </c:pt>
                <c:pt idx="31">
                  <c:v>2349</c:v>
                </c:pt>
                <c:pt idx="32">
                  <c:v>2434</c:v>
                </c:pt>
                <c:pt idx="33">
                  <c:v>2469</c:v>
                </c:pt>
                <c:pt idx="34">
                  <c:v>2521</c:v>
                </c:pt>
                <c:pt idx="35">
                  <c:v>2519</c:v>
                </c:pt>
                <c:pt idx="36">
                  <c:v>2438</c:v>
                </c:pt>
                <c:pt idx="37">
                  <c:v>2392</c:v>
                </c:pt>
                <c:pt idx="38">
                  <c:v>2480</c:v>
                </c:pt>
                <c:pt idx="39">
                  <c:v>2505</c:v>
                </c:pt>
                <c:pt idx="40">
                  <c:v>2598</c:v>
                </c:pt>
                <c:pt idx="41">
                  <c:v>2657</c:v>
                </c:pt>
                <c:pt idx="42">
                  <c:v>2687</c:v>
                </c:pt>
                <c:pt idx="43">
                  <c:v>2640</c:v>
                </c:pt>
                <c:pt idx="44">
                  <c:v>2631</c:v>
                </c:pt>
                <c:pt idx="45">
                  <c:v>2588</c:v>
                </c:pt>
              </c:numCache>
            </c:numRef>
          </c:val>
          <c:smooth val="0"/>
          <c:extLst>
            <c:ext xmlns:c16="http://schemas.microsoft.com/office/drawing/2014/chart" uri="{C3380CC4-5D6E-409C-BE32-E72D297353CC}">
              <c16:uniqueId val="{00000000-C51B-46B8-9277-B32156A5475D}"/>
            </c:ext>
          </c:extLst>
        </c:ser>
        <c:dLbls>
          <c:showLegendKey val="0"/>
          <c:showVal val="0"/>
          <c:showCatName val="0"/>
          <c:showSerName val="0"/>
          <c:showPercent val="0"/>
          <c:showBubbleSize val="0"/>
        </c:dLbls>
        <c:marker val="1"/>
        <c:smooth val="0"/>
        <c:axId val="40218624"/>
        <c:axId val="40220160"/>
      </c:lineChart>
      <c:catAx>
        <c:axId val="40218624"/>
        <c:scaling>
          <c:orientation val="minMax"/>
        </c:scaling>
        <c:delete val="0"/>
        <c:axPos val="b"/>
        <c:numFmt formatCode="General" sourceLinked="1"/>
        <c:majorTickMark val="out"/>
        <c:minorTickMark val="none"/>
        <c:tickLblPos val="nextTo"/>
        <c:crossAx val="40220160"/>
        <c:crosses val="autoZero"/>
        <c:auto val="1"/>
        <c:lblAlgn val="ctr"/>
        <c:lblOffset val="100"/>
        <c:noMultiLvlLbl val="0"/>
      </c:catAx>
      <c:valAx>
        <c:axId val="40220160"/>
        <c:scaling>
          <c:orientation val="minMax"/>
        </c:scaling>
        <c:delete val="0"/>
        <c:axPos val="l"/>
        <c:majorGridlines/>
        <c:numFmt formatCode="#,##0" sourceLinked="1"/>
        <c:majorTickMark val="out"/>
        <c:minorTickMark val="none"/>
        <c:tickLblPos val="nextTo"/>
        <c:crossAx val="40218624"/>
        <c:crosses val="autoZero"/>
        <c:crossBetween val="between"/>
      </c:valAx>
    </c:plotArea>
    <c:legend>
      <c:legendPos val="r"/>
      <c:layout>
        <c:manualLayout>
          <c:xMode val="edge"/>
          <c:yMode val="edge"/>
          <c:x val="0.62552734033245849"/>
          <c:y val="0.58539843977836103"/>
          <c:w val="0.19113932633420821"/>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Total_stock_SF!$DC$14</c:f>
              <c:strCache>
                <c:ptCount val="1"/>
                <c:pt idx="0">
                  <c:v>AHS_Ave</c:v>
                </c:pt>
              </c:strCache>
            </c:strRef>
          </c:tx>
          <c:cat>
            <c:numRef>
              <c:f>Total_stock_SF!$DB$15:$DB$39</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Total_stock_SF!$DC$15:$DC$39</c:f>
              <c:numCache>
                <c:formatCode>General</c:formatCode>
                <c:ptCount val="25"/>
                <c:pt idx="0">
                  <c:v>906.53610065333385</c:v>
                </c:pt>
                <c:pt idx="2">
                  <c:v>1823.5360524637349</c:v>
                </c:pt>
                <c:pt idx="4">
                  <c:v>1831.0043123412818</c:v>
                </c:pt>
                <c:pt idx="6">
                  <c:v>1819.7856168231801</c:v>
                </c:pt>
                <c:pt idx="8">
                  <c:v>1837.0820159552984</c:v>
                </c:pt>
                <c:pt idx="10">
                  <c:v>1850.7285084965752</c:v>
                </c:pt>
                <c:pt idx="12">
                  <c:v>1903.2197683316294</c:v>
                </c:pt>
                <c:pt idx="14">
                  <c:v>2033.5936104091231</c:v>
                </c:pt>
                <c:pt idx="16">
                  <c:v>2027.4037845229843</c:v>
                </c:pt>
                <c:pt idx="18">
                  <c:v>2099.997071605178</c:v>
                </c:pt>
                <c:pt idx="20">
                  <c:v>2161.6903570207087</c:v>
                </c:pt>
                <c:pt idx="22">
                  <c:v>2177.9290138830947</c:v>
                </c:pt>
                <c:pt idx="24">
                  <c:v>2187.8885038575272</c:v>
                </c:pt>
              </c:numCache>
            </c:numRef>
          </c:val>
          <c:smooth val="0"/>
          <c:extLst>
            <c:ext xmlns:c16="http://schemas.microsoft.com/office/drawing/2014/chart" uri="{C3380CC4-5D6E-409C-BE32-E72D297353CC}">
              <c16:uniqueId val="{00000000-F3DB-4C81-BA67-E5212E48F0A0}"/>
            </c:ext>
          </c:extLst>
        </c:ser>
        <c:ser>
          <c:idx val="1"/>
          <c:order val="1"/>
          <c:tx>
            <c:strRef>
              <c:f>Total_stock_SF!$DD$14</c:f>
              <c:strCache>
                <c:ptCount val="1"/>
                <c:pt idx="0">
                  <c:v>AHS_Med</c:v>
                </c:pt>
              </c:strCache>
            </c:strRef>
          </c:tx>
          <c:cat>
            <c:numRef>
              <c:f>Total_stock_SF!$DB$15:$DB$39</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Total_stock_SF!$DD$15:$DD$39</c:f>
              <c:numCache>
                <c:formatCode>General</c:formatCode>
                <c:ptCount val="25"/>
                <c:pt idx="0">
                  <c:v>1636</c:v>
                </c:pt>
                <c:pt idx="2">
                  <c:v>1653</c:v>
                </c:pt>
                <c:pt idx="4">
                  <c:v>1688</c:v>
                </c:pt>
                <c:pt idx="6">
                  <c:v>1697</c:v>
                </c:pt>
                <c:pt idx="8">
                  <c:v>1725</c:v>
                </c:pt>
                <c:pt idx="10">
                  <c:v>1732</c:v>
                </c:pt>
                <c:pt idx="12">
                  <c:v>1750</c:v>
                </c:pt>
                <c:pt idx="14">
                  <c:v>1730</c:v>
                </c:pt>
                <c:pt idx="16">
                  <c:v>1737</c:v>
                </c:pt>
                <c:pt idx="18">
                  <c:v>1756</c:v>
                </c:pt>
                <c:pt idx="20">
                  <c:v>1795</c:v>
                </c:pt>
                <c:pt idx="22">
                  <c:v>1807</c:v>
                </c:pt>
                <c:pt idx="24">
                  <c:v>1800</c:v>
                </c:pt>
              </c:numCache>
            </c:numRef>
          </c:val>
          <c:smooth val="0"/>
          <c:extLst>
            <c:ext xmlns:c16="http://schemas.microsoft.com/office/drawing/2014/chart" uri="{C3380CC4-5D6E-409C-BE32-E72D297353CC}">
              <c16:uniqueId val="{00000001-F3DB-4C81-BA67-E5212E48F0A0}"/>
            </c:ext>
          </c:extLst>
        </c:ser>
        <c:dLbls>
          <c:showLegendKey val="0"/>
          <c:showVal val="0"/>
          <c:showCatName val="0"/>
          <c:showSerName val="0"/>
          <c:showPercent val="0"/>
          <c:showBubbleSize val="0"/>
        </c:dLbls>
        <c:marker val="1"/>
        <c:smooth val="0"/>
        <c:axId val="40253696"/>
        <c:axId val="40255488"/>
      </c:lineChart>
      <c:catAx>
        <c:axId val="40253696"/>
        <c:scaling>
          <c:orientation val="minMax"/>
        </c:scaling>
        <c:delete val="0"/>
        <c:axPos val="b"/>
        <c:numFmt formatCode="General" sourceLinked="1"/>
        <c:majorTickMark val="out"/>
        <c:minorTickMark val="none"/>
        <c:tickLblPos val="nextTo"/>
        <c:crossAx val="40255488"/>
        <c:crosses val="autoZero"/>
        <c:auto val="1"/>
        <c:lblAlgn val="ctr"/>
        <c:lblOffset val="100"/>
        <c:noMultiLvlLbl val="0"/>
      </c:catAx>
      <c:valAx>
        <c:axId val="40255488"/>
        <c:scaling>
          <c:orientation val="minMax"/>
        </c:scaling>
        <c:delete val="0"/>
        <c:axPos val="l"/>
        <c:majorGridlines/>
        <c:numFmt formatCode="General" sourceLinked="1"/>
        <c:majorTickMark val="out"/>
        <c:minorTickMark val="none"/>
        <c:tickLblPos val="nextTo"/>
        <c:crossAx val="402536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38987338772269"/>
          <c:y val="6.8467245096860072E-2"/>
          <c:w val="0.7363255778129314"/>
          <c:h val="0.76571359844007958"/>
        </c:manualLayout>
      </c:layout>
      <c:lineChart>
        <c:grouping val="standard"/>
        <c:varyColors val="0"/>
        <c:ser>
          <c:idx val="0"/>
          <c:order val="0"/>
          <c:tx>
            <c:strRef>
              <c:f>Total_stock_SF!$CM$14</c:f>
              <c:strCache>
                <c:ptCount val="1"/>
                <c:pt idx="0">
                  <c:v>AHS-A</c:v>
                </c:pt>
              </c:strCache>
            </c:strRef>
          </c:tx>
          <c:cat>
            <c:numRef>
              <c:f>Total_stock_SF!$CL$15:$CL$39</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Total_stock_SF!$CM$15:$CM$39</c:f>
              <c:numCache>
                <c:formatCode>General</c:formatCode>
                <c:ptCount val="25"/>
                <c:pt idx="0">
                  <c:v>906.53610065333385</c:v>
                </c:pt>
                <c:pt idx="2">
                  <c:v>1823.5360524637349</c:v>
                </c:pt>
                <c:pt idx="4">
                  <c:v>1831.0043123412818</c:v>
                </c:pt>
                <c:pt idx="6">
                  <c:v>1819.7856168231801</c:v>
                </c:pt>
                <c:pt idx="8">
                  <c:v>1837.0820159552984</c:v>
                </c:pt>
                <c:pt idx="10">
                  <c:v>1850.7285084965752</c:v>
                </c:pt>
              </c:numCache>
            </c:numRef>
          </c:val>
          <c:smooth val="0"/>
          <c:extLst>
            <c:ext xmlns:c16="http://schemas.microsoft.com/office/drawing/2014/chart" uri="{C3380CC4-5D6E-409C-BE32-E72D297353CC}">
              <c16:uniqueId val="{00000000-C63F-4FFC-8584-C417536650CA}"/>
            </c:ext>
          </c:extLst>
        </c:ser>
        <c:ser>
          <c:idx val="1"/>
          <c:order val="1"/>
          <c:tx>
            <c:strRef>
              <c:f>Total_stock_SF!$CN$14</c:f>
              <c:strCache>
                <c:ptCount val="1"/>
                <c:pt idx="0">
                  <c:v>AHS-B</c:v>
                </c:pt>
              </c:strCache>
            </c:strRef>
          </c:tx>
          <c:cat>
            <c:numRef>
              <c:f>Total_stock_SF!$CL$15:$CL$39</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Total_stock_SF!$CN$15:$CN$39</c:f>
              <c:numCache>
                <c:formatCode>General</c:formatCode>
                <c:ptCount val="25"/>
                <c:pt idx="12">
                  <c:v>1903.2197683316294</c:v>
                </c:pt>
                <c:pt idx="14">
                  <c:v>2033.5936104091231</c:v>
                </c:pt>
                <c:pt idx="16">
                  <c:v>2027.4037845229843</c:v>
                </c:pt>
                <c:pt idx="18">
                  <c:v>2099.997071605178</c:v>
                </c:pt>
                <c:pt idx="20">
                  <c:v>2161.6903570207087</c:v>
                </c:pt>
                <c:pt idx="22">
                  <c:v>2177.9290138830947</c:v>
                </c:pt>
                <c:pt idx="24">
                  <c:v>2187.8885038575272</c:v>
                </c:pt>
              </c:numCache>
            </c:numRef>
          </c:val>
          <c:smooth val="0"/>
          <c:extLst>
            <c:ext xmlns:c16="http://schemas.microsoft.com/office/drawing/2014/chart" uri="{C3380CC4-5D6E-409C-BE32-E72D297353CC}">
              <c16:uniqueId val="{00000001-C63F-4FFC-8584-C417536650CA}"/>
            </c:ext>
          </c:extLst>
        </c:ser>
        <c:ser>
          <c:idx val="2"/>
          <c:order val="2"/>
          <c:tx>
            <c:strRef>
              <c:f>Total_stock_SF!$CO$14</c:f>
              <c:strCache>
                <c:ptCount val="1"/>
                <c:pt idx="0">
                  <c:v>Predicted</c:v>
                </c:pt>
              </c:strCache>
            </c:strRef>
          </c:tx>
          <c:marker>
            <c:symbol val="circle"/>
            <c:size val="4"/>
          </c:marker>
          <c:cat>
            <c:numRef>
              <c:f>Total_stock_SF!$CL$15:$CL$39</c:f>
              <c:numCache>
                <c:formatCode>General</c:formatCode>
                <c:ptCount val="2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numCache>
            </c:numRef>
          </c:cat>
          <c:val>
            <c:numRef>
              <c:f>Total_stock_SF!$CO$15:$CO$39</c:f>
              <c:numCache>
                <c:formatCode>General</c:formatCode>
                <c:ptCount val="25"/>
                <c:pt idx="0">
                  <c:v>1849.0897575916233</c:v>
                </c:pt>
                <c:pt idx="1">
                  <c:v>1845.3032226028363</c:v>
                </c:pt>
                <c:pt idx="2">
                  <c:v>1858.8984015399869</c:v>
                </c:pt>
                <c:pt idx="3">
                  <c:v>1873.0173648555019</c:v>
                </c:pt>
                <c:pt idx="4">
                  <c:v>1886.7306152316403</c:v>
                </c:pt>
                <c:pt idx="5">
                  <c:v>1900.3434366128959</c:v>
                </c:pt>
                <c:pt idx="6">
                  <c:v>1911.5195446207103</c:v>
                </c:pt>
                <c:pt idx="7">
                  <c:v>1927.3581296870789</c:v>
                </c:pt>
                <c:pt idx="8">
                  <c:v>1942.5931442659185</c:v>
                </c:pt>
                <c:pt idx="9">
                  <c:v>1958.9665470585048</c:v>
                </c:pt>
                <c:pt idx="10">
                  <c:v>1971.0324425429283</c:v>
                </c:pt>
                <c:pt idx="11">
                  <c:v>1985.8302610578116</c:v>
                </c:pt>
                <c:pt idx="12">
                  <c:v>1999.5975694016099</c:v>
                </c:pt>
                <c:pt idx="13">
                  <c:v>2014.7570219038193</c:v>
                </c:pt>
                <c:pt idx="14">
                  <c:v>2031.8227956659466</c:v>
                </c:pt>
                <c:pt idx="15">
                  <c:v>2047.063356998982</c:v>
                </c:pt>
                <c:pt idx="16">
                  <c:v>2063.6263714567831</c:v>
                </c:pt>
                <c:pt idx="17">
                  <c:v>2080.8927473426156</c:v>
                </c:pt>
                <c:pt idx="18">
                  <c:v>2098.1730969428168</c:v>
                </c:pt>
                <c:pt idx="19">
                  <c:v>2117.5026549267072</c:v>
                </c:pt>
                <c:pt idx="20">
                  <c:v>2138.3776791572573</c:v>
                </c:pt>
                <c:pt idx="21">
                  <c:v>2158.3309177961414</c:v>
                </c:pt>
                <c:pt idx="22">
                  <c:v>2168.9358849751275</c:v>
                </c:pt>
                <c:pt idx="23">
                  <c:v>2176.1427273015274</c:v>
                </c:pt>
                <c:pt idx="24">
                  <c:v>2181.3182757931095</c:v>
                </c:pt>
              </c:numCache>
            </c:numRef>
          </c:val>
          <c:smooth val="0"/>
          <c:extLst>
            <c:ext xmlns:c16="http://schemas.microsoft.com/office/drawing/2014/chart" uri="{C3380CC4-5D6E-409C-BE32-E72D297353CC}">
              <c16:uniqueId val="{00000002-C63F-4FFC-8584-C417536650CA}"/>
            </c:ext>
          </c:extLst>
        </c:ser>
        <c:dLbls>
          <c:showLegendKey val="0"/>
          <c:showVal val="0"/>
          <c:showCatName val="0"/>
          <c:showSerName val="0"/>
          <c:showPercent val="0"/>
          <c:showBubbleSize val="0"/>
        </c:dLbls>
        <c:marker val="1"/>
        <c:smooth val="0"/>
        <c:axId val="40301696"/>
        <c:axId val="40303232"/>
      </c:lineChart>
      <c:catAx>
        <c:axId val="40301696"/>
        <c:scaling>
          <c:orientation val="minMax"/>
        </c:scaling>
        <c:delete val="0"/>
        <c:axPos val="b"/>
        <c:numFmt formatCode="General" sourceLinked="1"/>
        <c:majorTickMark val="out"/>
        <c:minorTickMark val="none"/>
        <c:tickLblPos val="nextTo"/>
        <c:txPr>
          <a:bodyPr/>
          <a:lstStyle/>
          <a:p>
            <a:pPr>
              <a:defRPr sz="900" baseline="0"/>
            </a:pPr>
            <a:endParaRPr lang="en-US"/>
          </a:p>
        </c:txPr>
        <c:crossAx val="40303232"/>
        <c:crosses val="autoZero"/>
        <c:auto val="1"/>
        <c:lblAlgn val="ctr"/>
        <c:lblOffset val="100"/>
        <c:noMultiLvlLbl val="0"/>
      </c:catAx>
      <c:valAx>
        <c:axId val="40303232"/>
        <c:scaling>
          <c:orientation val="minMax"/>
        </c:scaling>
        <c:delete val="0"/>
        <c:axPos val="l"/>
        <c:majorGridlines/>
        <c:title>
          <c:tx>
            <c:rich>
              <a:bodyPr rot="-5400000" vert="horz"/>
              <a:lstStyle/>
              <a:p>
                <a:pPr>
                  <a:defRPr sz="1100" baseline="0"/>
                </a:pPr>
                <a:r>
                  <a:rPr lang="en-US" sz="1100" baseline="0"/>
                  <a:t>Square feet per unit</a:t>
                </a:r>
              </a:p>
            </c:rich>
          </c:tx>
          <c:overlay val="0"/>
        </c:title>
        <c:numFmt formatCode="#,##0" sourceLinked="0"/>
        <c:majorTickMark val="out"/>
        <c:minorTickMark val="none"/>
        <c:tickLblPos val="nextTo"/>
        <c:crossAx val="40301696"/>
        <c:crosses val="autoZero"/>
        <c:crossBetween val="midCat"/>
      </c:valAx>
    </c:plotArea>
    <c:legend>
      <c:legendPos val="r"/>
      <c:layout>
        <c:manualLayout>
          <c:xMode val="edge"/>
          <c:yMode val="edge"/>
          <c:x val="0.24797165591321405"/>
          <c:y val="0.5516239876743706"/>
          <c:w val="0.25879691675109462"/>
          <c:h val="0.23146133021922607"/>
        </c:manualLayout>
      </c:layout>
      <c:overlay val="0"/>
      <c:spPr>
        <a:solidFill>
          <a:schemeClr val="bg1"/>
        </a:solidFill>
        <a:ln>
          <a:solidFill>
            <a:schemeClr val="accent6"/>
          </a:solidFill>
        </a:ln>
      </c:spPr>
    </c:legend>
    <c:plotVisOnly val="1"/>
    <c:dispBlanksAs val="gap"/>
    <c:showDLblsOverMax val="0"/>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727077865266845"/>
          <c:y val="6.4814814814814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Total_stock_SF!$BA$100</c:f>
              <c:strCache>
                <c:ptCount val="1"/>
                <c:pt idx="0">
                  <c:v>Total Pred </c:v>
                </c:pt>
              </c:strCache>
            </c:strRef>
          </c:tx>
          <c:spPr>
            <a:ln w="28575" cap="rnd">
              <a:solidFill>
                <a:schemeClr val="accent1"/>
              </a:solidFill>
              <a:round/>
            </a:ln>
            <a:effectLst/>
          </c:spPr>
          <c:marker>
            <c:symbol val="none"/>
          </c:marker>
          <c:cat>
            <c:numRef>
              <c:f>Total_stock_SF!$AZ$101:$AZ$134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Total_stock_SF!$BA$101:$BA$134</c:f>
              <c:numCache>
                <c:formatCode>#,##0</c:formatCode>
                <c:ptCount val="34"/>
                <c:pt idx="0">
                  <c:v>64295</c:v>
                </c:pt>
                <c:pt idx="1">
                  <c:v>65306.577249878639</c:v>
                </c:pt>
                <c:pt idx="2">
                  <c:v>66340.592765926951</c:v>
                </c:pt>
                <c:pt idx="3">
                  <c:v>67356.412837497395</c:v>
                </c:pt>
                <c:pt idx="4">
                  <c:v>68325.385973458673</c:v>
                </c:pt>
                <c:pt idx="5">
                  <c:v>69237.294873620704</c:v>
                </c:pt>
                <c:pt idx="6">
                  <c:v>70059.473095834823</c:v>
                </c:pt>
                <c:pt idx="7">
                  <c:v>70879.580887304153</c:v>
                </c:pt>
                <c:pt idx="8">
                  <c:v>71793.362341064843</c:v>
                </c:pt>
                <c:pt idx="9">
                  <c:v>72798.341591515084</c:v>
                </c:pt>
                <c:pt idx="10">
                  <c:v>73814.245239141383</c:v>
                </c:pt>
                <c:pt idx="11">
                  <c:v>74813.88100776216</c:v>
                </c:pt>
                <c:pt idx="12">
                  <c:v>75836.051151073334</c:v>
                </c:pt>
                <c:pt idx="13">
                  <c:v>76871.464312105338</c:v>
                </c:pt>
                <c:pt idx="14">
                  <c:v>77977.597310803932</c:v>
                </c:pt>
                <c:pt idx="15">
                  <c:v>79120.613244301581</c:v>
                </c:pt>
                <c:pt idx="16">
                  <c:v>80255.185553382311</c:v>
                </c:pt>
                <c:pt idx="17">
                  <c:v>81427.076367092857</c:v>
                </c:pt>
                <c:pt idx="18">
                  <c:v>82658.210809594471</c:v>
                </c:pt>
                <c:pt idx="19">
                  <c:v>83983.998418561183</c:v>
                </c:pt>
                <c:pt idx="20">
                  <c:v>85424.452516707097</c:v>
                </c:pt>
                <c:pt idx="21">
                  <c:v>86920.011754465319</c:v>
                </c:pt>
                <c:pt idx="22">
                  <c:v>88217.997474064076</c:v>
                </c:pt>
                <c:pt idx="23">
                  <c:v>89126.119835547288</c:v>
                </c:pt>
                <c:pt idx="24">
                  <c:v>89712.370028551712</c:v>
                </c:pt>
                <c:pt idx="25">
                  <c:v>90151.515651846275</c:v>
                </c:pt>
                <c:pt idx="26">
                  <c:v>90557.125231071914</c:v>
                </c:pt>
                <c:pt idx="27">
                  <c:v>90956.442990977404</c:v>
                </c:pt>
                <c:pt idx="28">
                  <c:v>91410.768577965442</c:v>
                </c:pt>
                <c:pt idx="29">
                  <c:v>91926.560202876411</c:v>
                </c:pt>
                <c:pt idx="30">
                  <c:v>92477.680327787792</c:v>
                </c:pt>
                <c:pt idx="31">
                  <c:v>93082.373654156792</c:v>
                </c:pt>
                <c:pt idx="32">
                  <c:v>93753.662945456876</c:v>
                </c:pt>
                <c:pt idx="33">
                  <c:v>94470.734326722595</c:v>
                </c:pt>
              </c:numCache>
            </c:numRef>
          </c:val>
          <c:smooth val="0"/>
          <c:extLst>
            <c:ext xmlns:c16="http://schemas.microsoft.com/office/drawing/2014/chart" uri="{C3380CC4-5D6E-409C-BE32-E72D297353CC}">
              <c16:uniqueId val="{00000000-A13D-4342-A442-1B74C3602A6E}"/>
            </c:ext>
          </c:extLst>
        </c:ser>
        <c:ser>
          <c:idx val="1"/>
          <c:order val="1"/>
          <c:tx>
            <c:strRef>
              <c:f>Total_stock_SF!$BB$100</c:f>
              <c:strCache>
                <c:ptCount val="1"/>
                <c:pt idx="0">
                  <c:v>Occ Pred</c:v>
                </c:pt>
              </c:strCache>
            </c:strRef>
          </c:tx>
          <c:spPr>
            <a:ln w="28575" cap="rnd">
              <a:solidFill>
                <a:schemeClr val="accent2"/>
              </a:solidFill>
              <a:round/>
            </a:ln>
            <a:effectLst/>
          </c:spPr>
          <c:marker>
            <c:symbol val="none"/>
          </c:marker>
          <c:cat>
            <c:numRef>
              <c:f>Total_stock_SF!$AZ$101:$AZ$134</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Total_stock_SF!$BB$101:$BB$134</c:f>
              <c:numCache>
                <c:formatCode>General</c:formatCode>
                <c:ptCount val="34"/>
                <c:pt idx="0">
                  <c:v>58427.381489841988</c:v>
                </c:pt>
                <c:pt idx="1">
                  <c:v>59466.637275510206</c:v>
                </c:pt>
                <c:pt idx="2">
                  <c:v>60530.0834442751</c:v>
                </c:pt>
                <c:pt idx="3">
                  <c:v>61448.589449929605</c:v>
                </c:pt>
                <c:pt idx="4">
                  <c:v>62324.111633229644</c:v>
                </c:pt>
                <c:pt idx="5">
                  <c:v>62786.919234947789</c:v>
                </c:pt>
                <c:pt idx="6">
                  <c:v>63159.113829139533</c:v>
                </c:pt>
                <c:pt idx="7">
                  <c:v>64332.192168461639</c:v>
                </c:pt>
                <c:pt idx="8">
                  <c:v>65600.901694012136</c:v>
                </c:pt>
                <c:pt idx="9">
                  <c:v>66626.762165794571</c:v>
                </c:pt>
                <c:pt idx="10">
                  <c:v>67665.606899906808</c:v>
                </c:pt>
                <c:pt idx="11">
                  <c:v>68233.504719449251</c:v>
                </c:pt>
                <c:pt idx="12">
                  <c:v>68812.537661046954</c:v>
                </c:pt>
                <c:pt idx="13">
                  <c:v>69936.588812178394</c:v>
                </c:pt>
                <c:pt idx="14">
                  <c:v>71130.12073205215</c:v>
                </c:pt>
                <c:pt idx="15">
                  <c:v>72060.05632791204</c:v>
                </c:pt>
                <c:pt idx="16">
                  <c:v>72979.057339432169</c:v>
                </c:pt>
                <c:pt idx="17">
                  <c:v>73712.550896338653</c:v>
                </c:pt>
                <c:pt idx="18">
                  <c:v>74489.873021846855</c:v>
                </c:pt>
                <c:pt idx="19">
                  <c:v>75572.203911669072</c:v>
                </c:pt>
                <c:pt idx="20">
                  <c:v>76754.012785466839</c:v>
                </c:pt>
                <c:pt idx="21">
                  <c:v>77519.517603069209</c:v>
                </c:pt>
                <c:pt idx="22">
                  <c:v>78090.231920634731</c:v>
                </c:pt>
                <c:pt idx="23">
                  <c:v>78796.867200672961</c:v>
                </c:pt>
                <c:pt idx="24">
                  <c:v>79217.303349530834</c:v>
                </c:pt>
                <c:pt idx="25">
                  <c:v>79803.413980724203</c:v>
                </c:pt>
                <c:pt idx="26">
                  <c:v>80361.696537413271</c:v>
                </c:pt>
                <c:pt idx="27">
                  <c:v>80821.662745193869</c:v>
                </c:pt>
                <c:pt idx="28">
                  <c:v>81331.498689036074</c:v>
                </c:pt>
                <c:pt idx="29">
                  <c:v>82055.941885399545</c:v>
                </c:pt>
                <c:pt idx="30">
                  <c:v>82815.001895465495</c:v>
                </c:pt>
                <c:pt idx="31">
                  <c:v>83766.246687142877</c:v>
                </c:pt>
                <c:pt idx="32">
                  <c:v>84783.038875318991</c:v>
                </c:pt>
                <c:pt idx="33">
                  <c:v>85431.498774209555</c:v>
                </c:pt>
              </c:numCache>
            </c:numRef>
          </c:val>
          <c:smooth val="0"/>
          <c:extLst>
            <c:ext xmlns:c16="http://schemas.microsoft.com/office/drawing/2014/chart" uri="{C3380CC4-5D6E-409C-BE32-E72D297353CC}">
              <c16:uniqueId val="{00000001-A13D-4342-A442-1B74C3602A6E}"/>
            </c:ext>
          </c:extLst>
        </c:ser>
        <c:dLbls>
          <c:showLegendKey val="0"/>
          <c:showVal val="0"/>
          <c:showCatName val="0"/>
          <c:showSerName val="0"/>
          <c:showPercent val="0"/>
          <c:showBubbleSize val="0"/>
        </c:dLbls>
        <c:smooth val="0"/>
        <c:axId val="1131716808"/>
        <c:axId val="1131720648"/>
      </c:lineChart>
      <c:catAx>
        <c:axId val="11317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720648"/>
        <c:crosses val="autoZero"/>
        <c:auto val="1"/>
        <c:lblAlgn val="ctr"/>
        <c:lblOffset val="100"/>
        <c:noMultiLvlLbl val="0"/>
      </c:catAx>
      <c:valAx>
        <c:axId val="1131720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716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Total_stock_MF!$Q$14</c:f>
              <c:strCache>
                <c:ptCount val="1"/>
                <c:pt idx="0">
                  <c:v>Calculated</c:v>
                </c:pt>
              </c:strCache>
            </c:strRef>
          </c:tx>
          <c:cat>
            <c:numRef>
              <c:f>Total_stock_MF!$P$15:$P$39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Total_stock_MF!$Q$15:$Q$39</c:f>
              <c:numCache>
                <c:formatCode>General</c:formatCode>
                <c:ptCount val="25"/>
                <c:pt idx="0" formatCode="#,##0">
                  <c:v>68624.123728630817</c:v>
                </c:pt>
                <c:pt idx="2" formatCode="#,##0">
                  <c:v>69550.550745282584</c:v>
                </c:pt>
                <c:pt idx="4" formatCode="#,##0">
                  <c:v>70310.685957687092</c:v>
                </c:pt>
                <c:pt idx="6" formatCode="#,##0">
                  <c:v>70571.637997212456</c:v>
                </c:pt>
                <c:pt idx="8" formatCode="#,##0">
                  <c:v>70874.647524300119</c:v>
                </c:pt>
                <c:pt idx="10" formatCode="#,##0">
                  <c:v>70957.608662931074</c:v>
                </c:pt>
                <c:pt idx="12" formatCode="#,##0">
                  <c:v>71003.035138389489</c:v>
                </c:pt>
                <c:pt idx="14" formatCode="#,##0">
                  <c:v>71499.011453219544</c:v>
                </c:pt>
                <c:pt idx="16" formatCode="#,##0">
                  <c:v>71515.407966470695</c:v>
                </c:pt>
                <c:pt idx="18" formatCode="#,##0">
                  <c:v>71748.293815158613</c:v>
                </c:pt>
                <c:pt idx="20" formatCode="#,##0">
                  <c:v>71884.811016438471</c:v>
                </c:pt>
                <c:pt idx="22" formatCode="#,##0">
                  <c:v>72461.753681458402</c:v>
                </c:pt>
                <c:pt idx="24" formatCode="#,##0">
                  <c:v>71719.142825433199</c:v>
                </c:pt>
              </c:numCache>
            </c:numRef>
          </c:val>
          <c:smooth val="0"/>
          <c:extLst>
            <c:ext xmlns:c16="http://schemas.microsoft.com/office/drawing/2014/chart" uri="{C3380CC4-5D6E-409C-BE32-E72D297353CC}">
              <c16:uniqueId val="{00000000-2A89-46C6-A150-AD7FF098D879}"/>
            </c:ext>
          </c:extLst>
        </c:ser>
        <c:ser>
          <c:idx val="1"/>
          <c:order val="1"/>
          <c:tx>
            <c:strRef>
              <c:f>Total_stock_MF!$R$14</c:f>
              <c:strCache>
                <c:ptCount val="1"/>
                <c:pt idx="0">
                  <c:v>Published</c:v>
                </c:pt>
              </c:strCache>
            </c:strRef>
          </c:tx>
          <c:marker>
            <c:symbol val="square"/>
            <c:size val="4"/>
          </c:marker>
          <c:cat>
            <c:numRef>
              <c:f>Total_stock_MF!$P$15:$P$39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Total_stock_MF!$R$15:$R$39</c:f>
              <c:numCache>
                <c:formatCode>General</c:formatCode>
                <c:ptCount val="25"/>
                <c:pt idx="0" formatCode="#,##0">
                  <c:v>24493</c:v>
                </c:pt>
                <c:pt idx="2" formatCode="#,##0">
                  <c:v>24242</c:v>
                </c:pt>
                <c:pt idx="4" formatCode="#,##0">
                  <c:v>25041</c:v>
                </c:pt>
                <c:pt idx="6" formatCode="#,##0">
                  <c:v>24590</c:v>
                </c:pt>
                <c:pt idx="8" formatCode="#,##0">
                  <c:v>24776</c:v>
                </c:pt>
                <c:pt idx="10" formatCode="#,##0">
                  <c:v>25158</c:v>
                </c:pt>
                <c:pt idx="12" formatCode="#,##0">
                  <c:v>24991.61764812647</c:v>
                </c:pt>
                <c:pt idx="14" formatCode="#,##0">
                  <c:v>24518.988546780456</c:v>
                </c:pt>
                <c:pt idx="16" formatCode="#,##0">
                  <c:v>24608.171240788302</c:v>
                </c:pt>
                <c:pt idx="18" formatCode="#,##0">
                  <c:v>24962.42432272766</c:v>
                </c:pt>
                <c:pt idx="20" formatCode="#,##0">
                  <c:v>25783.882425165895</c:v>
                </c:pt>
                <c:pt idx="22" formatCode="#,##0">
                  <c:v>26282.043638469753</c:v>
                </c:pt>
                <c:pt idx="24" formatCode="#,##0">
                  <c:v>25915.147060325326</c:v>
                </c:pt>
              </c:numCache>
            </c:numRef>
          </c:val>
          <c:smooth val="0"/>
          <c:extLst>
            <c:ext xmlns:c16="http://schemas.microsoft.com/office/drawing/2014/chart" uri="{C3380CC4-5D6E-409C-BE32-E72D297353CC}">
              <c16:uniqueId val="{00000001-2A89-46C6-A150-AD7FF098D879}"/>
            </c:ext>
          </c:extLst>
        </c:ser>
        <c:dLbls>
          <c:showLegendKey val="0"/>
          <c:showVal val="0"/>
          <c:showCatName val="0"/>
          <c:showSerName val="0"/>
          <c:showPercent val="0"/>
          <c:showBubbleSize val="0"/>
        </c:dLbls>
        <c:marker val="1"/>
        <c:smooth val="0"/>
        <c:axId val="40542592"/>
        <c:axId val="40544128"/>
      </c:lineChart>
      <c:catAx>
        <c:axId val="4054259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0544128"/>
        <c:crosses val="autoZero"/>
        <c:auto val="1"/>
        <c:lblAlgn val="ctr"/>
        <c:lblOffset val="100"/>
        <c:noMultiLvlLbl val="0"/>
      </c:catAx>
      <c:valAx>
        <c:axId val="40544128"/>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542592"/>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Total_stock_MF!$Q$14</c:f>
              <c:strCache>
                <c:ptCount val="1"/>
                <c:pt idx="0">
                  <c:v>Calculated</c:v>
                </c:pt>
              </c:strCache>
            </c:strRef>
          </c:tx>
          <c:cat>
            <c:numRef>
              <c:f>Total_stock_MF!$P$15:$P$39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Total_stock_MF!$Q$15:$Q$39</c:f>
              <c:numCache>
                <c:formatCode>General</c:formatCode>
                <c:ptCount val="25"/>
                <c:pt idx="0" formatCode="#,##0">
                  <c:v>68624.123728630817</c:v>
                </c:pt>
                <c:pt idx="2" formatCode="#,##0">
                  <c:v>69550.550745282584</c:v>
                </c:pt>
                <c:pt idx="4" formatCode="#,##0">
                  <c:v>70310.685957687092</c:v>
                </c:pt>
                <c:pt idx="6" formatCode="#,##0">
                  <c:v>70571.637997212456</c:v>
                </c:pt>
                <c:pt idx="8" formatCode="#,##0">
                  <c:v>70874.647524300119</c:v>
                </c:pt>
                <c:pt idx="10" formatCode="#,##0">
                  <c:v>70957.608662931074</c:v>
                </c:pt>
                <c:pt idx="12" formatCode="#,##0">
                  <c:v>71003.035138389489</c:v>
                </c:pt>
                <c:pt idx="14" formatCode="#,##0">
                  <c:v>71499.011453219544</c:v>
                </c:pt>
                <c:pt idx="16" formatCode="#,##0">
                  <c:v>71515.407966470695</c:v>
                </c:pt>
                <c:pt idx="18" formatCode="#,##0">
                  <c:v>71748.293815158613</c:v>
                </c:pt>
                <c:pt idx="20" formatCode="#,##0">
                  <c:v>71884.811016438471</c:v>
                </c:pt>
                <c:pt idx="22" formatCode="#,##0">
                  <c:v>72461.753681458402</c:v>
                </c:pt>
                <c:pt idx="24" formatCode="#,##0">
                  <c:v>71719.142825433199</c:v>
                </c:pt>
              </c:numCache>
            </c:numRef>
          </c:val>
          <c:smooth val="0"/>
          <c:extLst>
            <c:ext xmlns:c16="http://schemas.microsoft.com/office/drawing/2014/chart" uri="{C3380CC4-5D6E-409C-BE32-E72D297353CC}">
              <c16:uniqueId val="{00000000-251C-4C6D-AC35-292712C959AD}"/>
            </c:ext>
          </c:extLst>
        </c:ser>
        <c:ser>
          <c:idx val="1"/>
          <c:order val="1"/>
          <c:tx>
            <c:strRef>
              <c:f>Total_stock_MF!$R$14</c:f>
              <c:strCache>
                <c:ptCount val="1"/>
                <c:pt idx="0">
                  <c:v>Published</c:v>
                </c:pt>
              </c:strCache>
            </c:strRef>
          </c:tx>
          <c:cat>
            <c:numRef>
              <c:f>Total_stock_MF!$P$15:$P$39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Total_stock_MF!$R$15:$R$39</c:f>
              <c:numCache>
                <c:formatCode>General</c:formatCode>
                <c:ptCount val="25"/>
                <c:pt idx="0" formatCode="#,##0">
                  <c:v>24493</c:v>
                </c:pt>
                <c:pt idx="2" formatCode="#,##0">
                  <c:v>24242</c:v>
                </c:pt>
                <c:pt idx="4" formatCode="#,##0">
                  <c:v>25041</c:v>
                </c:pt>
                <c:pt idx="6" formatCode="#,##0">
                  <c:v>24590</c:v>
                </c:pt>
                <c:pt idx="8" formatCode="#,##0">
                  <c:v>24776</c:v>
                </c:pt>
                <c:pt idx="10" formatCode="#,##0">
                  <c:v>25158</c:v>
                </c:pt>
                <c:pt idx="12" formatCode="#,##0">
                  <c:v>24991.61764812647</c:v>
                </c:pt>
                <c:pt idx="14" formatCode="#,##0">
                  <c:v>24518.988546780456</c:v>
                </c:pt>
                <c:pt idx="16" formatCode="#,##0">
                  <c:v>24608.171240788302</c:v>
                </c:pt>
                <c:pt idx="18" formatCode="#,##0">
                  <c:v>24962.42432272766</c:v>
                </c:pt>
                <c:pt idx="20" formatCode="#,##0">
                  <c:v>25783.882425165895</c:v>
                </c:pt>
                <c:pt idx="22" formatCode="#,##0">
                  <c:v>26282.043638469753</c:v>
                </c:pt>
                <c:pt idx="24" formatCode="#,##0">
                  <c:v>25915.147060325326</c:v>
                </c:pt>
              </c:numCache>
            </c:numRef>
          </c:val>
          <c:smooth val="0"/>
          <c:extLst>
            <c:ext xmlns:c16="http://schemas.microsoft.com/office/drawing/2014/chart" uri="{C3380CC4-5D6E-409C-BE32-E72D297353CC}">
              <c16:uniqueId val="{00000001-251C-4C6D-AC35-292712C959AD}"/>
            </c:ext>
          </c:extLst>
        </c:ser>
        <c:dLbls>
          <c:showLegendKey val="0"/>
          <c:showVal val="0"/>
          <c:showCatName val="0"/>
          <c:showSerName val="0"/>
          <c:showPercent val="0"/>
          <c:showBubbleSize val="0"/>
        </c:dLbls>
        <c:marker val="1"/>
        <c:smooth val="0"/>
        <c:axId val="39139584"/>
        <c:axId val="39145472"/>
      </c:lineChart>
      <c:catAx>
        <c:axId val="3913958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145472"/>
        <c:crosses val="autoZero"/>
        <c:auto val="1"/>
        <c:lblAlgn val="ctr"/>
        <c:lblOffset val="100"/>
        <c:noMultiLvlLbl val="0"/>
      </c:catAx>
      <c:valAx>
        <c:axId val="3914547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13958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491963297976186"/>
          <c:y val="4.7599226945506411E-2"/>
          <c:w val="0.76625062363072383"/>
          <c:h val="0.81037884733861643"/>
        </c:manualLayout>
      </c:layout>
      <c:lineChart>
        <c:grouping val="standard"/>
        <c:varyColors val="0"/>
        <c:ser>
          <c:idx val="0"/>
          <c:order val="0"/>
          <c:tx>
            <c:strRef>
              <c:f>Total_stock_MF!$AX$14</c:f>
              <c:strCache>
                <c:ptCount val="1"/>
                <c:pt idx="0">
                  <c:v>Predicted</c:v>
                </c:pt>
              </c:strCache>
            </c:strRef>
          </c:tx>
          <c:cat>
            <c:numRef>
              <c:f>Total_stock_MF!$AW$15:$AW$48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Total_stock_MF!$AX$15:$AX$48</c:f>
              <c:numCache>
                <c:formatCode>General</c:formatCode>
                <c:ptCount val="34"/>
                <c:pt idx="0">
                  <c:v>23493.564494662111</c:v>
                </c:pt>
                <c:pt idx="1">
                  <c:v>23631.361313561716</c:v>
                </c:pt>
                <c:pt idx="2">
                  <c:v>23739.275414345375</c:v>
                </c:pt>
                <c:pt idx="3">
                  <c:v>24144.40229464239</c:v>
                </c:pt>
                <c:pt idx="4">
                  <c:v>24511.519850790752</c:v>
                </c:pt>
                <c:pt idx="5">
                  <c:v>24467.291491390042</c:v>
                </c:pt>
                <c:pt idx="6">
                  <c:v>24382.03054261408</c:v>
                </c:pt>
                <c:pt idx="7">
                  <c:v>24704.927760009377</c:v>
                </c:pt>
                <c:pt idx="8">
                  <c:v>25003.987841095812</c:v>
                </c:pt>
                <c:pt idx="9">
                  <c:v>25175.615309624442</c:v>
                </c:pt>
                <c:pt idx="10">
                  <c:v>25371.686638554533</c:v>
                </c:pt>
                <c:pt idx="11">
                  <c:v>25519.031420159285</c:v>
                </c:pt>
                <c:pt idx="12">
                  <c:v>25675.973436289958</c:v>
                </c:pt>
                <c:pt idx="13">
                  <c:v>25524.063196632847</c:v>
                </c:pt>
                <c:pt idx="14">
                  <c:v>25381.415968516019</c:v>
                </c:pt>
                <c:pt idx="15">
                  <c:v>25486.320106072621</c:v>
                </c:pt>
                <c:pt idx="16">
                  <c:v>25585.15288751293</c:v>
                </c:pt>
                <c:pt idx="17">
                  <c:v>25857.8459560583</c:v>
                </c:pt>
                <c:pt idx="18">
                  <c:v>26125.809563159324</c:v>
                </c:pt>
                <c:pt idx="19">
                  <c:v>26115.169561377345</c:v>
                </c:pt>
                <c:pt idx="20">
                  <c:v>26103.369037650591</c:v>
                </c:pt>
                <c:pt idx="21">
                  <c:v>26177.961703561221</c:v>
                </c:pt>
                <c:pt idx="22">
                  <c:v>26248.683306408911</c:v>
                </c:pt>
                <c:pt idx="23">
                  <c:v>26175.800568742241</c:v>
                </c:pt>
                <c:pt idx="24">
                  <c:v>26098.065262214976</c:v>
                </c:pt>
                <c:pt idx="25">
                  <c:v>26494.946427234518</c:v>
                </c:pt>
                <c:pt idx="26">
                  <c:v>26861.106301050586</c:v>
                </c:pt>
                <c:pt idx="27">
                  <c:v>27061.270315630409</c:v>
                </c:pt>
                <c:pt idx="28">
                  <c:v>27275.736058638759</c:v>
                </c:pt>
                <c:pt idx="29">
                  <c:v>27492.383995206194</c:v>
                </c:pt>
                <c:pt idx="30">
                  <c:v>27741.028842075051</c:v>
                </c:pt>
                <c:pt idx="31">
                  <c:v>27916.130985269752</c:v>
                </c:pt>
                <c:pt idx="32">
                  <c:v>28100.630436154421</c:v>
                </c:pt>
                <c:pt idx="33">
                  <c:v>28264.746910432346</c:v>
                </c:pt>
              </c:numCache>
            </c:numRef>
          </c:val>
          <c:smooth val="0"/>
          <c:extLst>
            <c:ext xmlns:c16="http://schemas.microsoft.com/office/drawing/2014/chart" uri="{C3380CC4-5D6E-409C-BE32-E72D297353CC}">
              <c16:uniqueId val="{00000000-98D5-4362-B083-A8FA34F25AB8}"/>
            </c:ext>
          </c:extLst>
        </c:ser>
        <c:ser>
          <c:idx val="1"/>
          <c:order val="1"/>
          <c:tx>
            <c:strRef>
              <c:f>Total_stock_MF!$AY$14</c:f>
              <c:strCache>
                <c:ptCount val="1"/>
                <c:pt idx="0">
                  <c:v>Actual</c:v>
                </c:pt>
              </c:strCache>
            </c:strRef>
          </c:tx>
          <c:marker>
            <c:symbol val="square"/>
            <c:size val="4"/>
          </c:marker>
          <c:cat>
            <c:numRef>
              <c:f>Total_stock_MF!$AW$15:$AW$48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Total_stock_MF!$AY$15:$AY$48</c:f>
              <c:numCache>
                <c:formatCode>General</c:formatCode>
                <c:ptCount val="34"/>
                <c:pt idx="0" formatCode="#,##0">
                  <c:v>24493</c:v>
                </c:pt>
                <c:pt idx="2" formatCode="#,##0">
                  <c:v>24242</c:v>
                </c:pt>
                <c:pt idx="4" formatCode="#,##0">
                  <c:v>25041</c:v>
                </c:pt>
                <c:pt idx="6" formatCode="#,##0">
                  <c:v>24590</c:v>
                </c:pt>
                <c:pt idx="8" formatCode="#,##0">
                  <c:v>24776</c:v>
                </c:pt>
                <c:pt idx="10" formatCode="#,##0">
                  <c:v>25158</c:v>
                </c:pt>
                <c:pt idx="12" formatCode="#,##0">
                  <c:v>24991.61764812647</c:v>
                </c:pt>
                <c:pt idx="14" formatCode="#,##0">
                  <c:v>24518.988546780456</c:v>
                </c:pt>
                <c:pt idx="16" formatCode="#,##0">
                  <c:v>24608.171240788302</c:v>
                </c:pt>
                <c:pt idx="18" formatCode="#,##0">
                  <c:v>24962.42432272766</c:v>
                </c:pt>
                <c:pt idx="20" formatCode="#,##0">
                  <c:v>25783.882425165895</c:v>
                </c:pt>
                <c:pt idx="22" formatCode="#,##0">
                  <c:v>26282.043638469753</c:v>
                </c:pt>
                <c:pt idx="24" formatCode="#,##0">
                  <c:v>25915.147060325326</c:v>
                </c:pt>
                <c:pt idx="26" formatCode="#,##0">
                  <c:v>27191.242931290995</c:v>
                </c:pt>
                <c:pt idx="28" formatCode="#,##0">
                  <c:v>27993</c:v>
                </c:pt>
                <c:pt idx="30" formatCode="#,##0">
                  <c:v>28047</c:v>
                </c:pt>
                <c:pt idx="32" formatCode="#,##0">
                  <c:v>28967.212002365144</c:v>
                </c:pt>
              </c:numCache>
            </c:numRef>
          </c:val>
          <c:smooth val="0"/>
          <c:extLst>
            <c:ext xmlns:c16="http://schemas.microsoft.com/office/drawing/2014/chart" uri="{C3380CC4-5D6E-409C-BE32-E72D297353CC}">
              <c16:uniqueId val="{00000001-98D5-4362-B083-A8FA34F25AB8}"/>
            </c:ext>
          </c:extLst>
        </c:ser>
        <c:dLbls>
          <c:showLegendKey val="0"/>
          <c:showVal val="0"/>
          <c:showCatName val="0"/>
          <c:showSerName val="0"/>
          <c:showPercent val="0"/>
          <c:showBubbleSize val="0"/>
        </c:dLbls>
        <c:marker val="1"/>
        <c:smooth val="0"/>
        <c:axId val="39178624"/>
        <c:axId val="39180160"/>
      </c:lineChart>
      <c:catAx>
        <c:axId val="3917862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180160"/>
        <c:crosses val="autoZero"/>
        <c:auto val="1"/>
        <c:lblAlgn val="ctr"/>
        <c:lblOffset val="100"/>
        <c:tickLblSkip val="5"/>
        <c:noMultiLvlLbl val="0"/>
      </c:catAx>
      <c:valAx>
        <c:axId val="39180160"/>
        <c:scaling>
          <c:orientation val="minMax"/>
          <c:min val="0"/>
        </c:scaling>
        <c:delete val="0"/>
        <c:axPos val="l"/>
        <c:majorGridlines/>
        <c:title>
          <c:tx>
            <c:rich>
              <a:bodyPr rot="-5400000" vert="horz"/>
              <a:lstStyle/>
              <a:p>
                <a:pPr>
                  <a:defRPr b="1" i="0" baseline="0"/>
                </a:pPr>
                <a:r>
                  <a:rPr lang="en-US" b="1" i="0" baseline="0"/>
                  <a:t>Thousands of units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178624"/>
        <c:crosses val="autoZero"/>
        <c:crossBetween val="midCat"/>
      </c:valAx>
    </c:plotArea>
    <c:legend>
      <c:legendPos val="r"/>
      <c:layout>
        <c:manualLayout>
          <c:xMode val="edge"/>
          <c:yMode val="edge"/>
          <c:x val="0.23491681308431486"/>
          <c:y val="0.64526217181051715"/>
          <c:w val="0.18932561115810936"/>
          <c:h val="0.14677435417035892"/>
        </c:manualLayout>
      </c:layout>
      <c:overlay val="0"/>
      <c:spPr>
        <a:solidFill>
          <a:schemeClr val="bg1"/>
        </a:solidFill>
        <a:ln>
          <a:solidFill>
            <a:schemeClr val="accent1">
              <a:shade val="95000"/>
              <a:satMod val="105000"/>
            </a:schemeClr>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950240594925632"/>
          <c:y val="5.1400554097404488E-2"/>
          <c:w val="0.73341469816272953"/>
          <c:h val="0.78278032954214061"/>
        </c:manualLayout>
      </c:layout>
      <c:lineChart>
        <c:grouping val="standard"/>
        <c:varyColors val="0"/>
        <c:ser>
          <c:idx val="0"/>
          <c:order val="0"/>
          <c:tx>
            <c:strRef>
              <c:f>Total_stock_MF!$AT$14</c:f>
              <c:strCache>
                <c:ptCount val="1"/>
                <c:pt idx="0">
                  <c:v>Actual</c:v>
                </c:pt>
              </c:strCache>
            </c:strRef>
          </c:tx>
          <c:cat>
            <c:numRef>
              <c:f>Total_stock_MF!$AS$15:$AS$48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Total_stock_MF!$AT$15:$AT$48</c:f>
              <c:numCache>
                <c:formatCode>General</c:formatCode>
                <c:ptCount val="34"/>
                <c:pt idx="0" formatCode="#,##0">
                  <c:v>28716</c:v>
                </c:pt>
                <c:pt idx="2" formatCode="#,##0">
                  <c:v>28893</c:v>
                </c:pt>
                <c:pt idx="4" formatCode="#,##0">
                  <c:v>29463</c:v>
                </c:pt>
                <c:pt idx="6" formatCode="#,##0">
                  <c:v>29475.420000000002</c:v>
                </c:pt>
                <c:pt idx="8" formatCode="#,##0">
                  <c:v>29177</c:v>
                </c:pt>
                <c:pt idx="10" formatCode="#,##0">
                  <c:v>29408</c:v>
                </c:pt>
                <c:pt idx="12" formatCode="#,##0">
                  <c:v>29169</c:v>
                </c:pt>
                <c:pt idx="14" formatCode="#,##0">
                  <c:v>29291.14</c:v>
                </c:pt>
                <c:pt idx="16" formatCode="#,##0">
                  <c:v>29521.440000000002</c:v>
                </c:pt>
                <c:pt idx="18" formatCode="#,##0">
                  <c:v>29663</c:v>
                </c:pt>
                <c:pt idx="20" formatCode="#,##0">
                  <c:v>30998</c:v>
                </c:pt>
                <c:pt idx="22" formatCode="#,##0">
                  <c:v>31957</c:v>
                </c:pt>
                <c:pt idx="24" formatCode="#,##0">
                  <c:v>31818</c:v>
                </c:pt>
                <c:pt idx="26" formatCode="#,##0">
                  <c:v>32628</c:v>
                </c:pt>
                <c:pt idx="28" formatCode="#,##0">
                  <c:v>33256</c:v>
                </c:pt>
                <c:pt idx="30" formatCode="#,##0">
                  <c:v>33046</c:v>
                </c:pt>
                <c:pt idx="32" formatCode="#,##0">
                  <c:v>34067</c:v>
                </c:pt>
              </c:numCache>
            </c:numRef>
          </c:val>
          <c:smooth val="0"/>
          <c:extLst>
            <c:ext xmlns:c16="http://schemas.microsoft.com/office/drawing/2014/chart" uri="{C3380CC4-5D6E-409C-BE32-E72D297353CC}">
              <c16:uniqueId val="{00000000-9ACE-4673-AD78-96B77E68534D}"/>
            </c:ext>
          </c:extLst>
        </c:ser>
        <c:ser>
          <c:idx val="1"/>
          <c:order val="1"/>
          <c:tx>
            <c:strRef>
              <c:f>Total_stock_MF!$AU$14</c:f>
              <c:strCache>
                <c:ptCount val="1"/>
                <c:pt idx="0">
                  <c:v>Predicted</c:v>
                </c:pt>
              </c:strCache>
            </c:strRef>
          </c:tx>
          <c:marker>
            <c:symbol val="square"/>
            <c:size val="4"/>
          </c:marker>
          <c:cat>
            <c:numRef>
              <c:f>Total_stock_MF!$AS$15:$AS$48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Total_stock_MF!$AU$15:$AU$48</c:f>
              <c:numCache>
                <c:formatCode>#,##0</c:formatCode>
                <c:ptCount val="34"/>
                <c:pt idx="0">
                  <c:v>27544.245214090439</c:v>
                </c:pt>
                <c:pt idx="1">
                  <c:v>27933.614461614015</c:v>
                </c:pt>
                <c:pt idx="2">
                  <c:v>28293.824129472854</c:v>
                </c:pt>
                <c:pt idx="3">
                  <c:v>28591.186624741094</c:v>
                </c:pt>
                <c:pt idx="4">
                  <c:v>28840.018743814064</c:v>
                </c:pt>
                <c:pt idx="5">
                  <c:v>29055.644188908343</c:v>
                </c:pt>
                <c:pt idx="6">
                  <c:v>29226.13219586734</c:v>
                </c:pt>
                <c:pt idx="7">
                  <c:v>29350.94016185046</c:v>
                </c:pt>
                <c:pt idx="8">
                  <c:v>29445.485681290462</c:v>
                </c:pt>
                <c:pt idx="9">
                  <c:v>29537.689400163235</c:v>
                </c:pt>
                <c:pt idx="10">
                  <c:v>29657.785224048483</c:v>
                </c:pt>
                <c:pt idx="11">
                  <c:v>29807.279172670635</c:v>
                </c:pt>
                <c:pt idx="12">
                  <c:v>29967.746774458483</c:v>
                </c:pt>
                <c:pt idx="13">
                  <c:v>30137.058502725762</c:v>
                </c:pt>
                <c:pt idx="14">
                  <c:v>30321.422399361556</c:v>
                </c:pt>
                <c:pt idx="15">
                  <c:v>30510.69749895233</c:v>
                </c:pt>
                <c:pt idx="16">
                  <c:v>30693.485853495877</c:v>
                </c:pt>
                <c:pt idx="17">
                  <c:v>30873.131930225121</c:v>
                </c:pt>
                <c:pt idx="18">
                  <c:v>31045.457726892513</c:v>
                </c:pt>
                <c:pt idx="19">
                  <c:v>31213.489665231966</c:v>
                </c:pt>
                <c:pt idx="20">
                  <c:v>31382.094445145874</c:v>
                </c:pt>
                <c:pt idx="21">
                  <c:v>31554.714768491358</c:v>
                </c:pt>
                <c:pt idx="22">
                  <c:v>31723.56889124195</c:v>
                </c:pt>
                <c:pt idx="23">
                  <c:v>31884.774285055726</c:v>
                </c:pt>
                <c:pt idx="24">
                  <c:v>32042.582609320212</c:v>
                </c:pt>
                <c:pt idx="25">
                  <c:v>32156.946503850828</c:v>
                </c:pt>
                <c:pt idx="26">
                  <c:v>32231.854152651173</c:v>
                </c:pt>
                <c:pt idx="27">
                  <c:v>32309.760340957386</c:v>
                </c:pt>
                <c:pt idx="28">
                  <c:v>32403.88234080272</c:v>
                </c:pt>
                <c:pt idx="29">
                  <c:v>32526.341796059889</c:v>
                </c:pt>
                <c:pt idx="30">
                  <c:v>32685.493604136351</c:v>
                </c:pt>
                <c:pt idx="31">
                  <c:v>32861.310509990144</c:v>
                </c:pt>
                <c:pt idx="32">
                  <c:v>33047.85344859249</c:v>
                </c:pt>
                <c:pt idx="33">
                  <c:v>33240.863253221585</c:v>
                </c:pt>
              </c:numCache>
            </c:numRef>
          </c:val>
          <c:smooth val="0"/>
          <c:extLst>
            <c:ext xmlns:c16="http://schemas.microsoft.com/office/drawing/2014/chart" uri="{C3380CC4-5D6E-409C-BE32-E72D297353CC}">
              <c16:uniqueId val="{00000001-9ACE-4673-AD78-96B77E68534D}"/>
            </c:ext>
          </c:extLst>
        </c:ser>
        <c:dLbls>
          <c:showLegendKey val="0"/>
          <c:showVal val="0"/>
          <c:showCatName val="0"/>
          <c:showSerName val="0"/>
          <c:showPercent val="0"/>
          <c:showBubbleSize val="0"/>
        </c:dLbls>
        <c:marker val="1"/>
        <c:smooth val="0"/>
        <c:axId val="39012992"/>
        <c:axId val="39014784"/>
      </c:lineChart>
      <c:catAx>
        <c:axId val="390129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014784"/>
        <c:crosses val="autoZero"/>
        <c:auto val="1"/>
        <c:lblAlgn val="ctr"/>
        <c:lblOffset val="100"/>
        <c:tickLblSkip val="5"/>
        <c:noMultiLvlLbl val="0"/>
      </c:catAx>
      <c:valAx>
        <c:axId val="39014784"/>
        <c:scaling>
          <c:orientation val="minMax"/>
          <c:min val="0"/>
        </c:scaling>
        <c:delete val="0"/>
        <c:axPos val="l"/>
        <c:majorGridlines/>
        <c:title>
          <c:tx>
            <c:rich>
              <a:bodyPr rot="-5400000" vert="horz"/>
              <a:lstStyle/>
              <a:p>
                <a:pPr>
                  <a:defRPr b="1" i="0" baseline="0"/>
                </a:pPr>
                <a:r>
                  <a:rPr lang="en-US" b="1" i="0" baseline="0"/>
                  <a:t>Thousands of units</a:t>
                </a:r>
              </a:p>
            </c:rich>
          </c:tx>
          <c:layout>
            <c:manualLayout>
              <c:xMode val="edge"/>
              <c:yMode val="edge"/>
              <c:x val="1.6097112860892389E-2"/>
              <c:y val="0.25137868183143774"/>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012992"/>
        <c:crosses val="autoZero"/>
        <c:crossBetween val="midCat"/>
      </c:valAx>
    </c:plotArea>
    <c:legend>
      <c:legendPos val="r"/>
      <c:layout>
        <c:manualLayout>
          <c:xMode val="edge"/>
          <c:yMode val="edge"/>
          <c:x val="0.21424956255468067"/>
          <c:y val="0.52723352289297176"/>
          <c:w val="0.18297265966754156"/>
          <c:h val="0.15849591717701955"/>
        </c:manualLayout>
      </c:layout>
      <c:overlay val="0"/>
      <c:spPr>
        <a:ln>
          <a:solidFill>
            <a:schemeClr val="accent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Total_stock_MF!$BW$14</c:f>
              <c:strCache>
                <c:ptCount val="1"/>
                <c:pt idx="0">
                  <c:v>Actual</c:v>
                </c:pt>
              </c:strCache>
            </c:strRef>
          </c:tx>
          <c:spPr>
            <a:ln>
              <a:noFill/>
            </a:ln>
          </c:spPr>
          <c:marker>
            <c:spPr>
              <a:ln>
                <a:noFill/>
              </a:ln>
            </c:spPr>
          </c:marker>
          <c:cat>
            <c:numRef>
              <c:f>Total_stock_MF!$BV$15:$BV$40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Total_stock_MF!$BW$15:$BW$40</c:f>
              <c:numCache>
                <c:formatCode>General</c:formatCode>
                <c:ptCount val="26"/>
                <c:pt idx="12">
                  <c:v>809.06447582775183</c:v>
                </c:pt>
                <c:pt idx="14">
                  <c:v>939.00179310083502</c:v>
                </c:pt>
                <c:pt idx="16">
                  <c:v>966.64024447608347</c:v>
                </c:pt>
                <c:pt idx="18">
                  <c:v>998.22785189173953</c:v>
                </c:pt>
                <c:pt idx="20">
                  <c:v>1008.8160270695414</c:v>
                </c:pt>
                <c:pt idx="22">
                  <c:v>1021.032830224587</c:v>
                </c:pt>
                <c:pt idx="24">
                  <c:v>1042.6252707255142</c:v>
                </c:pt>
              </c:numCache>
            </c:numRef>
          </c:val>
          <c:smooth val="0"/>
          <c:extLst>
            <c:ext xmlns:c16="http://schemas.microsoft.com/office/drawing/2014/chart" uri="{C3380CC4-5D6E-409C-BE32-E72D297353CC}">
              <c16:uniqueId val="{00000000-0997-4AF5-B1AA-D1AE47AFBD5B}"/>
            </c:ext>
          </c:extLst>
        </c:ser>
        <c:ser>
          <c:idx val="1"/>
          <c:order val="1"/>
          <c:tx>
            <c:strRef>
              <c:f>Total_stock_MF!$BX$14</c:f>
              <c:strCache>
                <c:ptCount val="1"/>
                <c:pt idx="0">
                  <c:v>Predicted</c:v>
                </c:pt>
              </c:strCache>
            </c:strRef>
          </c:tx>
          <c:marker>
            <c:symbol val="square"/>
            <c:size val="3"/>
          </c:marker>
          <c:cat>
            <c:numRef>
              <c:f>Total_stock_MF!$BV$15:$BV$40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Total_stock_MF!$BX$15:$BX$40</c:f>
              <c:numCache>
                <c:formatCode>General</c:formatCode>
                <c:ptCount val="26"/>
                <c:pt idx="0">
                  <c:v>794.86207368332612</c:v>
                </c:pt>
                <c:pt idx="1">
                  <c:v>804.94728009341179</c:v>
                </c:pt>
                <c:pt idx="2">
                  <c:v>816.8296673532268</c:v>
                </c:pt>
                <c:pt idx="3">
                  <c:v>828.87740918814166</c:v>
                </c:pt>
                <c:pt idx="4">
                  <c:v>840.98710664548423</c:v>
                </c:pt>
                <c:pt idx="5">
                  <c:v>853.213533659782</c:v>
                </c:pt>
                <c:pt idx="6">
                  <c:v>865.69540766834359</c:v>
                </c:pt>
                <c:pt idx="7">
                  <c:v>878.30619541747637</c:v>
                </c:pt>
                <c:pt idx="8">
                  <c:v>891.01357755648155</c:v>
                </c:pt>
                <c:pt idx="9">
                  <c:v>903.5908564278476</c:v>
                </c:pt>
                <c:pt idx="10">
                  <c:v>916.00581618206081</c:v>
                </c:pt>
                <c:pt idx="11">
                  <c:v>928.33734552795192</c:v>
                </c:pt>
                <c:pt idx="12">
                  <c:v>940.68759490692446</c:v>
                </c:pt>
                <c:pt idx="13">
                  <c:v>952.92106667741996</c:v>
                </c:pt>
                <c:pt idx="14">
                  <c:v>965.09559848366632</c:v>
                </c:pt>
                <c:pt idx="15">
                  <c:v>977.27393424980266</c:v>
                </c:pt>
                <c:pt idx="16">
                  <c:v>989.4836370651999</c:v>
                </c:pt>
                <c:pt idx="17">
                  <c:v>1001.6596308751476</c:v>
                </c:pt>
                <c:pt idx="18">
                  <c:v>1013.9565728355617</c:v>
                </c:pt>
                <c:pt idx="19">
                  <c:v>1026.1587076010171</c:v>
                </c:pt>
                <c:pt idx="20">
                  <c:v>1038.3891399947063</c:v>
                </c:pt>
                <c:pt idx="21">
                  <c:v>1050.477264485454</c:v>
                </c:pt>
                <c:pt idx="22">
                  <c:v>1062.7283899746192</c:v>
                </c:pt>
                <c:pt idx="23">
                  <c:v>1074.8867594945316</c:v>
                </c:pt>
                <c:pt idx="24">
                  <c:v>1087.2175462863579</c:v>
                </c:pt>
                <c:pt idx="25">
                  <c:v>1100.0168453689239</c:v>
                </c:pt>
              </c:numCache>
            </c:numRef>
          </c:val>
          <c:smooth val="0"/>
          <c:extLst>
            <c:ext xmlns:c16="http://schemas.microsoft.com/office/drawing/2014/chart" uri="{C3380CC4-5D6E-409C-BE32-E72D297353CC}">
              <c16:uniqueId val="{00000001-0997-4AF5-B1AA-D1AE47AFBD5B}"/>
            </c:ext>
          </c:extLst>
        </c:ser>
        <c:ser>
          <c:idx val="2"/>
          <c:order val="2"/>
          <c:tx>
            <c:strRef>
              <c:f>Total_stock_MF!$BY$14</c:f>
              <c:strCache>
                <c:ptCount val="1"/>
                <c:pt idx="0">
                  <c:v>Predicted_2</c:v>
                </c:pt>
              </c:strCache>
            </c:strRef>
          </c:tx>
          <c:marker>
            <c:symbol val="triangle"/>
            <c:size val="3"/>
          </c:marker>
          <c:cat>
            <c:numRef>
              <c:f>Total_stock_MF!$BV$15:$BV$40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Total_stock_MF!$BY$15:$BY$40</c:f>
              <c:numCache>
                <c:formatCode>General</c:formatCode>
                <c:ptCount val="26"/>
                <c:pt idx="0">
                  <c:v>879.97883608349616</c:v>
                </c:pt>
                <c:pt idx="1">
                  <c:v>885.02143928853911</c:v>
                </c:pt>
                <c:pt idx="2">
                  <c:v>890.96263291844662</c:v>
                </c:pt>
                <c:pt idx="3">
                  <c:v>896.98650383590393</c:v>
                </c:pt>
                <c:pt idx="4">
                  <c:v>903.04135256457528</c:v>
                </c:pt>
                <c:pt idx="5">
                  <c:v>909.15456607172416</c:v>
                </c:pt>
                <c:pt idx="6">
                  <c:v>915.39550307600496</c:v>
                </c:pt>
                <c:pt idx="7">
                  <c:v>921.7008969505714</c:v>
                </c:pt>
                <c:pt idx="8">
                  <c:v>928.05458802007388</c:v>
                </c:pt>
                <c:pt idx="9">
                  <c:v>934.34322745575696</c:v>
                </c:pt>
                <c:pt idx="10">
                  <c:v>940.55070733286357</c:v>
                </c:pt>
                <c:pt idx="11">
                  <c:v>946.71647200580912</c:v>
                </c:pt>
                <c:pt idx="12">
                  <c:v>952.89159669529545</c:v>
                </c:pt>
                <c:pt idx="13">
                  <c:v>959.00833258054308</c:v>
                </c:pt>
                <c:pt idx="14">
                  <c:v>965.09559848366632</c:v>
                </c:pt>
                <c:pt idx="15">
                  <c:v>977.27393424980266</c:v>
                </c:pt>
                <c:pt idx="16">
                  <c:v>989.4836370651999</c:v>
                </c:pt>
                <c:pt idx="17">
                  <c:v>1001.6596308751476</c:v>
                </c:pt>
                <c:pt idx="18">
                  <c:v>1013.9565728355617</c:v>
                </c:pt>
                <c:pt idx="19">
                  <c:v>1026.1587076010171</c:v>
                </c:pt>
                <c:pt idx="20">
                  <c:v>1038.3891399947063</c:v>
                </c:pt>
                <c:pt idx="21">
                  <c:v>1050.477264485454</c:v>
                </c:pt>
                <c:pt idx="22">
                  <c:v>1062.7283899746192</c:v>
                </c:pt>
                <c:pt idx="23">
                  <c:v>1074.8867594945316</c:v>
                </c:pt>
                <c:pt idx="24">
                  <c:v>1085.2175462863579</c:v>
                </c:pt>
                <c:pt idx="25">
                  <c:v>1096.0168453689239</c:v>
                </c:pt>
              </c:numCache>
            </c:numRef>
          </c:val>
          <c:smooth val="0"/>
          <c:extLst>
            <c:ext xmlns:c16="http://schemas.microsoft.com/office/drawing/2014/chart" uri="{C3380CC4-5D6E-409C-BE32-E72D297353CC}">
              <c16:uniqueId val="{00000002-0997-4AF5-B1AA-D1AE47AFBD5B}"/>
            </c:ext>
          </c:extLst>
        </c:ser>
        <c:dLbls>
          <c:showLegendKey val="0"/>
          <c:showVal val="0"/>
          <c:showCatName val="0"/>
          <c:showSerName val="0"/>
          <c:showPercent val="0"/>
          <c:showBubbleSize val="0"/>
        </c:dLbls>
        <c:marker val="1"/>
        <c:smooth val="0"/>
        <c:axId val="39049088"/>
        <c:axId val="39050624"/>
      </c:lineChart>
      <c:catAx>
        <c:axId val="3904908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39050624"/>
        <c:crosses val="autoZero"/>
        <c:auto val="1"/>
        <c:lblAlgn val="ctr"/>
        <c:lblOffset val="100"/>
        <c:noMultiLvlLbl val="0"/>
      </c:catAx>
      <c:valAx>
        <c:axId val="39050624"/>
        <c:scaling>
          <c:orientation val="minMax"/>
        </c:scaling>
        <c:delete val="0"/>
        <c:axPos val="l"/>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904908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Estimated Ave Size, New Units</a:t>
            </a:r>
          </a:p>
        </c:rich>
      </c:tx>
      <c:overlay val="0"/>
    </c:title>
    <c:autoTitleDeleted val="0"/>
    <c:plotArea>
      <c:layout>
        <c:manualLayout>
          <c:layoutTarget val="inner"/>
          <c:xMode val="edge"/>
          <c:yMode val="edge"/>
          <c:x val="0.11682080649009782"/>
          <c:y val="0.20364211028535847"/>
          <c:w val="0.76651467430207587"/>
          <c:h val="0.62301525300879756"/>
        </c:manualLayout>
      </c:layout>
      <c:lineChart>
        <c:grouping val="standard"/>
        <c:varyColors val="0"/>
        <c:ser>
          <c:idx val="0"/>
          <c:order val="0"/>
          <c:tx>
            <c:strRef>
              <c:f>Total_stock_MF!$CB$41</c:f>
              <c:strCache>
                <c:ptCount val="1"/>
                <c:pt idx="0">
                  <c:v>Ave Size</c:v>
                </c:pt>
              </c:strCache>
            </c:strRef>
          </c:tx>
          <c:cat>
            <c:numRef>
              <c:f>Total_stock_MF!$CA$50:$CA$85</c:f>
              <c:numCache>
                <c:formatCode>General</c:formatCode>
                <c:ptCount val="36"/>
                <c:pt idx="0">
                  <c:v>1975</c:v>
                </c:pt>
                <c:pt idx="1">
                  <c:v>1976</c:v>
                </c:pt>
                <c:pt idx="2">
                  <c:v>1977</c:v>
                </c:pt>
                <c:pt idx="3">
                  <c:v>1978</c:v>
                </c:pt>
                <c:pt idx="4">
                  <c:v>1979</c:v>
                </c:pt>
                <c:pt idx="5">
                  <c:v>1980</c:v>
                </c:pt>
                <c:pt idx="6">
                  <c:v>1981</c:v>
                </c:pt>
                <c:pt idx="7">
                  <c:v>1982</c:v>
                </c:pt>
                <c:pt idx="8">
                  <c:v>1983</c:v>
                </c:pt>
                <c:pt idx="9">
                  <c:v>1984</c:v>
                </c:pt>
                <c:pt idx="10">
                  <c:v>1985</c:v>
                </c:pt>
                <c:pt idx="11">
                  <c:v>1986</c:v>
                </c:pt>
                <c:pt idx="12">
                  <c:v>1987</c:v>
                </c:pt>
                <c:pt idx="13">
                  <c:v>1988</c:v>
                </c:pt>
                <c:pt idx="14">
                  <c:v>1989</c:v>
                </c:pt>
                <c:pt idx="15">
                  <c:v>1990</c:v>
                </c:pt>
                <c:pt idx="16">
                  <c:v>1991</c:v>
                </c:pt>
                <c:pt idx="17">
                  <c:v>1992</c:v>
                </c:pt>
                <c:pt idx="18">
                  <c:v>1993</c:v>
                </c:pt>
                <c:pt idx="19">
                  <c:v>1994</c:v>
                </c:pt>
                <c:pt idx="20">
                  <c:v>1995</c:v>
                </c:pt>
                <c:pt idx="21">
                  <c:v>1996</c:v>
                </c:pt>
                <c:pt idx="22">
                  <c:v>1997</c:v>
                </c:pt>
                <c:pt idx="23">
                  <c:v>1998</c:v>
                </c:pt>
                <c:pt idx="24">
                  <c:v>1999</c:v>
                </c:pt>
                <c:pt idx="25">
                  <c:v>2000</c:v>
                </c:pt>
                <c:pt idx="26">
                  <c:v>2001</c:v>
                </c:pt>
                <c:pt idx="27">
                  <c:v>2002</c:v>
                </c:pt>
                <c:pt idx="28">
                  <c:v>2003</c:v>
                </c:pt>
                <c:pt idx="29">
                  <c:v>2004</c:v>
                </c:pt>
                <c:pt idx="30">
                  <c:v>2005</c:v>
                </c:pt>
                <c:pt idx="31">
                  <c:v>2006</c:v>
                </c:pt>
                <c:pt idx="32">
                  <c:v>2007</c:v>
                </c:pt>
                <c:pt idx="33">
                  <c:v>2008</c:v>
                </c:pt>
                <c:pt idx="34">
                  <c:v>2009</c:v>
                </c:pt>
                <c:pt idx="35">
                  <c:v>2010</c:v>
                </c:pt>
              </c:numCache>
            </c:numRef>
          </c:cat>
          <c:val>
            <c:numRef>
              <c:f>Total_stock_MF!$CB$50:$CB$85</c:f>
              <c:numCache>
                <c:formatCode>#,##0</c:formatCode>
                <c:ptCount val="36"/>
                <c:pt idx="0">
                  <c:v>971.17952133657809</c:v>
                </c:pt>
                <c:pt idx="1">
                  <c:v>973.47323197620983</c:v>
                </c:pt>
                <c:pt idx="2">
                  <c:v>975.76694261584157</c:v>
                </c:pt>
                <c:pt idx="3">
                  <c:v>978.06065325547331</c:v>
                </c:pt>
                <c:pt idx="4">
                  <c:v>980.35436389510505</c:v>
                </c:pt>
                <c:pt idx="5">
                  <c:v>982.64807453473679</c:v>
                </c:pt>
                <c:pt idx="6">
                  <c:v>984.94178517436853</c:v>
                </c:pt>
                <c:pt idx="7">
                  <c:v>987.23549581400027</c:v>
                </c:pt>
                <c:pt idx="8">
                  <c:v>989.52920645363201</c:v>
                </c:pt>
                <c:pt idx="9">
                  <c:v>991.82291709326375</c:v>
                </c:pt>
                <c:pt idx="10">
                  <c:v>994.11662773289572</c:v>
                </c:pt>
                <c:pt idx="11">
                  <c:v>1003.257497974422</c:v>
                </c:pt>
                <c:pt idx="12">
                  <c:v>1012.3983682159483</c:v>
                </c:pt>
                <c:pt idx="13">
                  <c:v>1021.5392384574745</c:v>
                </c:pt>
                <c:pt idx="14">
                  <c:v>1030.6801086990008</c:v>
                </c:pt>
                <c:pt idx="15">
                  <c:v>1039.8209789405271</c:v>
                </c:pt>
                <c:pt idx="16">
                  <c:v>1048.9618491820534</c:v>
                </c:pt>
                <c:pt idx="17">
                  <c:v>1058.1027194235796</c:v>
                </c:pt>
                <c:pt idx="18">
                  <c:v>1067.2435896651059</c:v>
                </c:pt>
                <c:pt idx="19">
                  <c:v>1076.3844599066322</c:v>
                </c:pt>
                <c:pt idx="20">
                  <c:v>1085.5253301481582</c:v>
                </c:pt>
                <c:pt idx="21">
                  <c:v>1095.0840629235397</c:v>
                </c:pt>
                <c:pt idx="22">
                  <c:v>1104.6427956989212</c:v>
                </c:pt>
                <c:pt idx="23">
                  <c:v>1114.2015284743027</c:v>
                </c:pt>
                <c:pt idx="24">
                  <c:v>1123.7602612496842</c:v>
                </c:pt>
                <c:pt idx="25">
                  <c:v>1133.3189940250656</c:v>
                </c:pt>
                <c:pt idx="26">
                  <c:v>1142.8777268004471</c:v>
                </c:pt>
                <c:pt idx="27">
                  <c:v>1152.4364595758286</c:v>
                </c:pt>
                <c:pt idx="28">
                  <c:v>1161.9951923512101</c:v>
                </c:pt>
                <c:pt idx="29">
                  <c:v>1171.5539251265916</c:v>
                </c:pt>
                <c:pt idx="30">
                  <c:v>1181.1126579019735</c:v>
                </c:pt>
                <c:pt idx="31">
                  <c:v>1190.671390677355</c:v>
                </c:pt>
                <c:pt idx="32">
                  <c:v>1200.2301234527365</c:v>
                </c:pt>
                <c:pt idx="33">
                  <c:v>1200.2301234527365</c:v>
                </c:pt>
                <c:pt idx="34">
                  <c:v>1200.2301234527365</c:v>
                </c:pt>
                <c:pt idx="35">
                  <c:v>1200.2301234527365</c:v>
                </c:pt>
              </c:numCache>
            </c:numRef>
          </c:val>
          <c:smooth val="0"/>
          <c:extLst>
            <c:ext xmlns:c16="http://schemas.microsoft.com/office/drawing/2014/chart" uri="{C3380CC4-5D6E-409C-BE32-E72D297353CC}">
              <c16:uniqueId val="{00000000-A98B-4049-AC2B-963445F4029C}"/>
            </c:ext>
          </c:extLst>
        </c:ser>
        <c:dLbls>
          <c:showLegendKey val="0"/>
          <c:showVal val="0"/>
          <c:showCatName val="0"/>
          <c:showSerName val="0"/>
          <c:showPercent val="0"/>
          <c:showBubbleSize val="0"/>
        </c:dLbls>
        <c:marker val="1"/>
        <c:smooth val="0"/>
        <c:axId val="39205888"/>
        <c:axId val="39228160"/>
      </c:lineChart>
      <c:catAx>
        <c:axId val="39205888"/>
        <c:scaling>
          <c:orientation val="minMax"/>
        </c:scaling>
        <c:delete val="0"/>
        <c:axPos val="b"/>
        <c:numFmt formatCode="General" sourceLinked="1"/>
        <c:majorTickMark val="out"/>
        <c:minorTickMark val="none"/>
        <c:tickLblPos val="nextTo"/>
        <c:crossAx val="39228160"/>
        <c:crosses val="autoZero"/>
        <c:auto val="1"/>
        <c:lblAlgn val="ctr"/>
        <c:lblOffset val="100"/>
        <c:noMultiLvlLbl val="0"/>
      </c:catAx>
      <c:valAx>
        <c:axId val="39228160"/>
        <c:scaling>
          <c:orientation val="minMax"/>
        </c:scaling>
        <c:delete val="0"/>
        <c:axPos val="l"/>
        <c:majorGridlines/>
        <c:numFmt formatCode="#,##0" sourceLinked="1"/>
        <c:majorTickMark val="out"/>
        <c:minorTickMark val="none"/>
        <c:tickLblPos val="nextTo"/>
        <c:crossAx val="39205888"/>
        <c:crosses val="autoZero"/>
        <c:crossBetween val="between"/>
      </c:valAx>
    </c:plotArea>
    <c:plotVisOnly val="1"/>
    <c:dispBlanksAs val="gap"/>
    <c:showDLblsOverMax val="0"/>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892812578755524"/>
          <c:y val="4.211737930969231E-2"/>
          <c:w val="0.78032737711064803"/>
          <c:h val="0.78278032954214061"/>
        </c:manualLayout>
      </c:layout>
      <c:lineChart>
        <c:grouping val="standard"/>
        <c:varyColors val="0"/>
        <c:ser>
          <c:idx val="0"/>
          <c:order val="0"/>
          <c:tx>
            <c:strRef>
              <c:f>Total_stock_MF!$CQ$14</c:f>
              <c:strCache>
                <c:ptCount val="1"/>
                <c:pt idx="0">
                  <c:v>Actual</c:v>
                </c:pt>
              </c:strCache>
            </c:strRef>
          </c:tx>
          <c:marker>
            <c:symbol val="diamond"/>
            <c:size val="8"/>
          </c:marker>
          <c:cat>
            <c:numRef>
              <c:f>Total_stock_MF!$CP$15:$CP$48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Total_stock_MF!$CQ$15:$CQ$48</c:f>
              <c:numCache>
                <c:formatCode>General</c:formatCode>
                <c:ptCount val="34"/>
                <c:pt idx="14" formatCode="0.0">
                  <c:v>939.00179310083502</c:v>
                </c:pt>
                <c:pt idx="16" formatCode="0.0">
                  <c:v>966.64024447608347</c:v>
                </c:pt>
                <c:pt idx="18" formatCode="0.0">
                  <c:v>998.22785189173953</c:v>
                </c:pt>
                <c:pt idx="20" formatCode="0.0">
                  <c:v>1008.8160270695414</c:v>
                </c:pt>
                <c:pt idx="22" formatCode="0.0">
                  <c:v>1021.032830224587</c:v>
                </c:pt>
                <c:pt idx="24" formatCode="0.0">
                  <c:v>1042.6252707255142</c:v>
                </c:pt>
                <c:pt idx="26" formatCode="0.0">
                  <c:v>1029.9348899107229</c:v>
                </c:pt>
                <c:pt idx="28" formatCode="0.0">
                  <c:v>1035.0002164622872</c:v>
                </c:pt>
              </c:numCache>
            </c:numRef>
          </c:val>
          <c:smooth val="0"/>
          <c:extLst>
            <c:ext xmlns:c16="http://schemas.microsoft.com/office/drawing/2014/chart" uri="{C3380CC4-5D6E-409C-BE32-E72D297353CC}">
              <c16:uniqueId val="{00000000-596F-4FA7-8BE4-1DD64F6DD9DD}"/>
            </c:ext>
          </c:extLst>
        </c:ser>
        <c:ser>
          <c:idx val="1"/>
          <c:order val="1"/>
          <c:tx>
            <c:strRef>
              <c:f>Total_stock_MF!$CR$14</c:f>
              <c:strCache>
                <c:ptCount val="1"/>
                <c:pt idx="0">
                  <c:v>Predicted</c:v>
                </c:pt>
              </c:strCache>
            </c:strRef>
          </c:tx>
          <c:marker>
            <c:symbol val="square"/>
            <c:size val="3"/>
          </c:marker>
          <c:cat>
            <c:numRef>
              <c:f>Total_stock_MF!$CP$15:$CP$48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Total_stock_MF!$CR$15:$CR$48</c:f>
              <c:numCache>
                <c:formatCode>General</c:formatCode>
                <c:ptCount val="34"/>
                <c:pt idx="0">
                  <c:v>815.34556263228171</c:v>
                </c:pt>
                <c:pt idx="1">
                  <c:v>842.12482776547552</c:v>
                </c:pt>
                <c:pt idx="2">
                  <c:v>863.29598897791152</c:v>
                </c:pt>
                <c:pt idx="3">
                  <c:v>878.38364502352215</c:v>
                </c:pt>
                <c:pt idx="4">
                  <c:v>890.82009279912131</c:v>
                </c:pt>
                <c:pt idx="5">
                  <c:v>900.26041313445785</c:v>
                </c:pt>
                <c:pt idx="6">
                  <c:v>904.49044310135525</c:v>
                </c:pt>
                <c:pt idx="7">
                  <c:v>905.27217034733064</c:v>
                </c:pt>
                <c:pt idx="8">
                  <c:v>903.72529575337353</c:v>
                </c:pt>
                <c:pt idx="9">
                  <c:v>904.66318810966141</c:v>
                </c:pt>
                <c:pt idx="10">
                  <c:v>910.00642888270067</c:v>
                </c:pt>
                <c:pt idx="11">
                  <c:v>918.46137840759161</c:v>
                </c:pt>
                <c:pt idx="12">
                  <c:v>927.37721141458178</c:v>
                </c:pt>
                <c:pt idx="13">
                  <c:v>934.06611058219391</c:v>
                </c:pt>
                <c:pt idx="14">
                  <c:v>942.66151268699832</c:v>
                </c:pt>
                <c:pt idx="15">
                  <c:v>951.64999479274809</c:v>
                </c:pt>
                <c:pt idx="16">
                  <c:v>960.01747310049757</c:v>
                </c:pt>
                <c:pt idx="17">
                  <c:v>969.41461258826155</c:v>
                </c:pt>
                <c:pt idx="18">
                  <c:v>977.25919521001674</c:v>
                </c:pt>
                <c:pt idx="19">
                  <c:v>986.73207856651766</c:v>
                </c:pt>
                <c:pt idx="20">
                  <c:v>995.71121877915243</c:v>
                </c:pt>
                <c:pt idx="21">
                  <c:v>1007.0899704272231</c:v>
                </c:pt>
                <c:pt idx="22">
                  <c:v>1016.2657695437792</c:v>
                </c:pt>
                <c:pt idx="23">
                  <c:v>1020.6068117505304</c:v>
                </c:pt>
                <c:pt idx="24">
                  <c:v>1023.2875299659321</c:v>
                </c:pt>
                <c:pt idx="25">
                  <c:v>1027</c:v>
                </c:pt>
                <c:pt idx="26">
                  <c:v>1032.1483018307779</c:v>
                </c:pt>
                <c:pt idx="27">
                  <c:v>1032.1483018307779</c:v>
                </c:pt>
                <c:pt idx="28">
                  <c:v>1032.1483018307779</c:v>
                </c:pt>
                <c:pt idx="29">
                  <c:v>1032.1483018307779</c:v>
                </c:pt>
                <c:pt idx="30">
                  <c:v>1032.1483018307779</c:v>
                </c:pt>
                <c:pt idx="31">
                  <c:v>1032.1483018307779</c:v>
                </c:pt>
                <c:pt idx="32">
                  <c:v>1032.1483018307779</c:v>
                </c:pt>
                <c:pt idx="33">
                  <c:v>1032.1483018307779</c:v>
                </c:pt>
              </c:numCache>
            </c:numRef>
          </c:val>
          <c:smooth val="0"/>
          <c:extLst>
            <c:ext xmlns:c16="http://schemas.microsoft.com/office/drawing/2014/chart" uri="{C3380CC4-5D6E-409C-BE32-E72D297353CC}">
              <c16:uniqueId val="{00000001-596F-4FA7-8BE4-1DD64F6DD9DD}"/>
            </c:ext>
          </c:extLst>
        </c:ser>
        <c:dLbls>
          <c:showLegendKey val="0"/>
          <c:showVal val="0"/>
          <c:showCatName val="0"/>
          <c:showSerName val="0"/>
          <c:showPercent val="0"/>
          <c:showBubbleSize val="0"/>
        </c:dLbls>
        <c:marker val="1"/>
        <c:smooth val="0"/>
        <c:axId val="41092224"/>
        <c:axId val="41093760"/>
      </c:lineChart>
      <c:catAx>
        <c:axId val="41092224"/>
        <c:scaling>
          <c:orientation val="minMax"/>
        </c:scaling>
        <c:delete val="0"/>
        <c:axPos val="b"/>
        <c:numFmt formatCode="General" sourceLinked="1"/>
        <c:majorTickMark val="out"/>
        <c:minorTickMark val="none"/>
        <c:tickLblPos val="nextTo"/>
        <c:txPr>
          <a:bodyPr rot="0"/>
          <a:lstStyle/>
          <a:p>
            <a:pPr>
              <a:defRPr sz="900" baseline="0"/>
            </a:pPr>
            <a:endParaRPr lang="en-US"/>
          </a:p>
        </c:txPr>
        <c:crossAx val="41093760"/>
        <c:crosses val="autoZero"/>
        <c:auto val="1"/>
        <c:lblAlgn val="ctr"/>
        <c:lblOffset val="100"/>
        <c:noMultiLvlLbl val="0"/>
      </c:catAx>
      <c:valAx>
        <c:axId val="41093760"/>
        <c:scaling>
          <c:orientation val="minMax"/>
        </c:scaling>
        <c:delete val="0"/>
        <c:axPos val="l"/>
        <c:majorGridlines/>
        <c:title>
          <c:tx>
            <c:rich>
              <a:bodyPr rot="-5400000" vert="horz"/>
              <a:lstStyle/>
              <a:p>
                <a:pPr>
                  <a:defRPr/>
                </a:pPr>
                <a:r>
                  <a:rPr lang="en-US"/>
                  <a:t>Square feet</a:t>
                </a:r>
                <a:r>
                  <a:rPr lang="en-US" baseline="0"/>
                  <a:t> per unit</a:t>
                </a:r>
                <a:endParaRPr lang="en-US"/>
              </a:p>
            </c:rich>
          </c:tx>
          <c:overlay val="0"/>
        </c:title>
        <c:numFmt formatCode="#,##0" sourceLinked="0"/>
        <c:majorTickMark val="out"/>
        <c:minorTickMark val="none"/>
        <c:tickLblPos val="nextTo"/>
        <c:crossAx val="41092224"/>
        <c:crosses val="autoZero"/>
        <c:crossBetween val="midCat"/>
      </c:valAx>
    </c:plotArea>
    <c:legend>
      <c:legendPos val="r"/>
      <c:layout>
        <c:manualLayout>
          <c:xMode val="edge"/>
          <c:yMode val="edge"/>
          <c:x val="0.27048061615248914"/>
          <c:y val="0.48572742791660589"/>
          <c:w val="0.20440081656459611"/>
          <c:h val="0.1518774124236282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39509031959239"/>
          <c:y val="5.1400498014671246E-2"/>
          <c:w val="0.77148957009304653"/>
          <c:h val="0.78278032954214061"/>
        </c:manualLayout>
      </c:layout>
      <c:lineChart>
        <c:grouping val="standard"/>
        <c:varyColors val="0"/>
        <c:ser>
          <c:idx val="0"/>
          <c:order val="0"/>
          <c:tx>
            <c:strRef>
              <c:f>Total_stock_MF!$CQ$14</c:f>
              <c:strCache>
                <c:ptCount val="1"/>
                <c:pt idx="0">
                  <c:v>Actual</c:v>
                </c:pt>
              </c:strCache>
            </c:strRef>
          </c:tx>
          <c:cat>
            <c:numRef>
              <c:f>Total_stock_MF!$CP$15:$CP$41</c:f>
              <c:numCache>
                <c:formatCode>General</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Total_stock_MF!$CQ$15:$CQ$41</c:f>
              <c:numCache>
                <c:formatCode>General</c:formatCode>
                <c:ptCount val="27"/>
                <c:pt idx="14" formatCode="0.0">
                  <c:v>939.00179310083502</c:v>
                </c:pt>
                <c:pt idx="16" formatCode="0.0">
                  <c:v>966.64024447608347</c:v>
                </c:pt>
                <c:pt idx="18" formatCode="0.0">
                  <c:v>998.22785189173953</c:v>
                </c:pt>
                <c:pt idx="20" formatCode="0.0">
                  <c:v>1008.8160270695414</c:v>
                </c:pt>
                <c:pt idx="22" formatCode="0.0">
                  <c:v>1021.032830224587</c:v>
                </c:pt>
                <c:pt idx="24" formatCode="0.0">
                  <c:v>1042.6252707255142</c:v>
                </c:pt>
                <c:pt idx="26" formatCode="0.0">
                  <c:v>1029.9348899107229</c:v>
                </c:pt>
              </c:numCache>
            </c:numRef>
          </c:val>
          <c:smooth val="0"/>
          <c:extLst>
            <c:ext xmlns:c16="http://schemas.microsoft.com/office/drawing/2014/chart" uri="{C3380CC4-5D6E-409C-BE32-E72D297353CC}">
              <c16:uniqueId val="{00000000-A313-4F6C-96FA-57DECD0A52B4}"/>
            </c:ext>
          </c:extLst>
        </c:ser>
        <c:ser>
          <c:idx val="1"/>
          <c:order val="1"/>
          <c:tx>
            <c:strRef>
              <c:f>Total_stock_MF!$CR$14</c:f>
              <c:strCache>
                <c:ptCount val="1"/>
                <c:pt idx="0">
                  <c:v>Predicted</c:v>
                </c:pt>
              </c:strCache>
            </c:strRef>
          </c:tx>
          <c:marker>
            <c:symbol val="square"/>
            <c:size val="4"/>
          </c:marker>
          <c:cat>
            <c:numRef>
              <c:f>Total_stock_MF!$CP$15:$CP$41</c:f>
              <c:numCache>
                <c:formatCode>General</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Total_stock_MF!$CR$15:$CR$41</c:f>
              <c:numCache>
                <c:formatCode>General</c:formatCode>
                <c:ptCount val="27"/>
                <c:pt idx="0">
                  <c:v>815.34556263228171</c:v>
                </c:pt>
                <c:pt idx="1">
                  <c:v>842.12482776547552</c:v>
                </c:pt>
                <c:pt idx="2">
                  <c:v>863.29598897791152</c:v>
                </c:pt>
                <c:pt idx="3">
                  <c:v>878.38364502352215</c:v>
                </c:pt>
                <c:pt idx="4">
                  <c:v>890.82009279912131</c:v>
                </c:pt>
                <c:pt idx="5">
                  <c:v>900.26041313445785</c:v>
                </c:pt>
                <c:pt idx="6">
                  <c:v>904.49044310135525</c:v>
                </c:pt>
                <c:pt idx="7">
                  <c:v>905.27217034733064</c:v>
                </c:pt>
                <c:pt idx="8">
                  <c:v>903.72529575337353</c:v>
                </c:pt>
                <c:pt idx="9">
                  <c:v>904.66318810966141</c:v>
                </c:pt>
                <c:pt idx="10">
                  <c:v>910.00642888270067</c:v>
                </c:pt>
                <c:pt idx="11">
                  <c:v>918.46137840759161</c:v>
                </c:pt>
                <c:pt idx="12">
                  <c:v>927.37721141458178</c:v>
                </c:pt>
                <c:pt idx="13">
                  <c:v>934.06611058219391</c:v>
                </c:pt>
                <c:pt idx="14">
                  <c:v>942.66151268699832</c:v>
                </c:pt>
                <c:pt idx="15">
                  <c:v>951.64999479274809</c:v>
                </c:pt>
                <c:pt idx="16">
                  <c:v>960.01747310049757</c:v>
                </c:pt>
                <c:pt idx="17">
                  <c:v>969.41461258826155</c:v>
                </c:pt>
                <c:pt idx="18">
                  <c:v>977.25919521001674</c:v>
                </c:pt>
                <c:pt idx="19">
                  <c:v>986.73207856651766</c:v>
                </c:pt>
                <c:pt idx="20">
                  <c:v>995.71121877915243</c:v>
                </c:pt>
                <c:pt idx="21">
                  <c:v>1007.0899704272231</c:v>
                </c:pt>
                <c:pt idx="22">
                  <c:v>1016.2657695437792</c:v>
                </c:pt>
                <c:pt idx="23">
                  <c:v>1020.6068117505304</c:v>
                </c:pt>
                <c:pt idx="24">
                  <c:v>1023.2875299659321</c:v>
                </c:pt>
                <c:pt idx="25">
                  <c:v>1027</c:v>
                </c:pt>
                <c:pt idx="26">
                  <c:v>1032.1483018307779</c:v>
                </c:pt>
              </c:numCache>
            </c:numRef>
          </c:val>
          <c:smooth val="0"/>
          <c:extLst>
            <c:ext xmlns:c16="http://schemas.microsoft.com/office/drawing/2014/chart" uri="{C3380CC4-5D6E-409C-BE32-E72D297353CC}">
              <c16:uniqueId val="{00000001-A313-4F6C-96FA-57DECD0A52B4}"/>
            </c:ext>
          </c:extLst>
        </c:ser>
        <c:ser>
          <c:idx val="2"/>
          <c:order val="2"/>
          <c:tx>
            <c:strRef>
              <c:f>Total_stock_MF!$CS$14</c:f>
              <c:strCache>
                <c:ptCount val="1"/>
                <c:pt idx="0">
                  <c:v>Predicted-II</c:v>
                </c:pt>
              </c:strCache>
            </c:strRef>
          </c:tx>
          <c:marker>
            <c:symbol val="triangle"/>
            <c:size val="4"/>
            <c:spPr>
              <a:solidFill>
                <a:srgbClr val="00B050"/>
              </a:solidFill>
              <a:ln>
                <a:noFill/>
              </a:ln>
            </c:spPr>
          </c:marker>
          <c:cat>
            <c:numRef>
              <c:f>Total_stock_MF!$CP$15:$CP$41</c:f>
              <c:numCache>
                <c:formatCode>General</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Total_stock_MF!$CS$15:$CS$41</c:f>
              <c:numCache>
                <c:formatCode>General</c:formatCode>
                <c:ptCount val="27"/>
                <c:pt idx="0">
                  <c:v>847.17455014596089</c:v>
                </c:pt>
                <c:pt idx="1">
                  <c:v>867.25899899585625</c:v>
                </c:pt>
                <c:pt idx="2">
                  <c:v>883.13736990518328</c:v>
                </c:pt>
                <c:pt idx="3">
                  <c:v>894.45311193939119</c:v>
                </c:pt>
                <c:pt idx="4">
                  <c:v>903.78044777109062</c:v>
                </c:pt>
                <c:pt idx="5">
                  <c:v>910.86068802259297</c:v>
                </c:pt>
                <c:pt idx="6">
                  <c:v>914.03321049776605</c:v>
                </c:pt>
                <c:pt idx="7">
                  <c:v>914.61950593224753</c:v>
                </c:pt>
                <c:pt idx="8">
                  <c:v>913.45934998677967</c:v>
                </c:pt>
                <c:pt idx="9">
                  <c:v>914.16276925399563</c:v>
                </c:pt>
                <c:pt idx="10">
                  <c:v>918.17019983377509</c:v>
                </c:pt>
                <c:pt idx="11">
                  <c:v>924.51141197744323</c:v>
                </c:pt>
                <c:pt idx="12">
                  <c:v>931.19828673268592</c:v>
                </c:pt>
                <c:pt idx="13">
                  <c:v>936.21496110839507</c:v>
                </c:pt>
                <c:pt idx="14">
                  <c:v>942.66151268699832</c:v>
                </c:pt>
              </c:numCache>
            </c:numRef>
          </c:val>
          <c:smooth val="0"/>
          <c:extLst>
            <c:ext xmlns:c16="http://schemas.microsoft.com/office/drawing/2014/chart" uri="{C3380CC4-5D6E-409C-BE32-E72D297353CC}">
              <c16:uniqueId val="{00000002-A313-4F6C-96FA-57DECD0A52B4}"/>
            </c:ext>
          </c:extLst>
        </c:ser>
        <c:dLbls>
          <c:showLegendKey val="0"/>
          <c:showVal val="0"/>
          <c:showCatName val="0"/>
          <c:showSerName val="0"/>
          <c:showPercent val="0"/>
          <c:showBubbleSize val="0"/>
        </c:dLbls>
        <c:marker val="1"/>
        <c:smooth val="0"/>
        <c:axId val="41127936"/>
        <c:axId val="41129856"/>
      </c:lineChart>
      <c:catAx>
        <c:axId val="4112793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1129856"/>
        <c:crosses val="autoZero"/>
        <c:auto val="1"/>
        <c:lblAlgn val="ctr"/>
        <c:lblOffset val="100"/>
        <c:tickLblSkip val="2"/>
        <c:tickMarkSkip val="1"/>
        <c:noMultiLvlLbl val="0"/>
      </c:catAx>
      <c:valAx>
        <c:axId val="41129856"/>
        <c:scaling>
          <c:orientation val="minMax"/>
        </c:scaling>
        <c:delete val="0"/>
        <c:axPos val="l"/>
        <c:majorGridlines/>
        <c:title>
          <c:tx>
            <c:rich>
              <a:bodyPr rot="-5400000" vert="horz"/>
              <a:lstStyle/>
              <a:p>
                <a:pPr>
                  <a:defRPr b="1" i="0" baseline="0"/>
                </a:pPr>
                <a:r>
                  <a:rPr lang="en-US" b="1" i="0" baseline="0"/>
                  <a:t>Square feet per unit</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127936"/>
        <c:crosses val="autoZero"/>
        <c:crossBetween val="midCat"/>
      </c:valAx>
    </c:plotArea>
    <c:legend>
      <c:legendPos val="r"/>
      <c:layout>
        <c:manualLayout>
          <c:xMode val="edge"/>
          <c:yMode val="edge"/>
          <c:x val="0.24412445319335083"/>
          <c:y val="0.48297973170020414"/>
          <c:w val="0.29476443569553806"/>
          <c:h val="0.29329943132108488"/>
        </c:manualLayout>
      </c:layout>
      <c:overlay val="0"/>
      <c:spPr>
        <a:solidFill>
          <a:schemeClr val="bg1"/>
        </a:solidFill>
        <a:ln>
          <a:solidFill>
            <a:schemeClr val="tx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Total_stock_MH!$Q$14</c:f>
              <c:strCache>
                <c:ptCount val="1"/>
                <c:pt idx="0">
                  <c:v>Calculated</c:v>
                </c:pt>
              </c:strCache>
            </c:strRef>
          </c:tx>
          <c:cat>
            <c:numRef>
              <c:f>Total_stock_MH!$P$15:$P$39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Total_stock_MH!$Q$15:$Q$39</c:f>
              <c:numCache>
                <c:formatCode>General</c:formatCode>
                <c:ptCount val="25"/>
                <c:pt idx="0" formatCode="#,##0">
                  <c:v>68809.002353603166</c:v>
                </c:pt>
                <c:pt idx="2" formatCode="#,##0">
                  <c:v>69172.099571496103</c:v>
                </c:pt>
                <c:pt idx="4" formatCode="#,##0">
                  <c:v>69632.134737068802</c:v>
                </c:pt>
                <c:pt idx="6" formatCode="#,##0">
                  <c:v>69774.376762737884</c:v>
                </c:pt>
                <c:pt idx="8" formatCode="#,##0">
                  <c:v>70276.453433913746</c:v>
                </c:pt>
                <c:pt idx="10" formatCode="#,##0">
                  <c:v>70622.079034415263</c:v>
                </c:pt>
                <c:pt idx="12" formatCode="#,##0">
                  <c:v>70857.898164236729</c:v>
                </c:pt>
                <c:pt idx="14" formatCode="#,##0">
                  <c:v>71499.011453219544</c:v>
                </c:pt>
                <c:pt idx="16" formatCode="#,##0">
                  <c:v>71432.595909550961</c:v>
                </c:pt>
                <c:pt idx="18" formatCode="#,##0">
                  <c:v>71452.298822959434</c:v>
                </c:pt>
                <c:pt idx="20" formatCode="#,##0">
                  <c:v>71317.591736989765</c:v>
                </c:pt>
                <c:pt idx="22" formatCode="#,##0">
                  <c:v>71579.596183259797</c:v>
                </c:pt>
                <c:pt idx="24" formatCode="#,##0">
                  <c:v>70485.238353907378</c:v>
                </c:pt>
              </c:numCache>
            </c:numRef>
          </c:val>
          <c:smooth val="0"/>
          <c:extLst>
            <c:ext xmlns:c16="http://schemas.microsoft.com/office/drawing/2014/chart" uri="{C3380CC4-5D6E-409C-BE32-E72D297353CC}">
              <c16:uniqueId val="{00000000-726B-49D8-BE8B-6E11FEE605AA}"/>
            </c:ext>
          </c:extLst>
        </c:ser>
        <c:ser>
          <c:idx val="1"/>
          <c:order val="1"/>
          <c:tx>
            <c:strRef>
              <c:f>Total_stock_MH!$R$14</c:f>
              <c:strCache>
                <c:ptCount val="1"/>
                <c:pt idx="0">
                  <c:v>Published</c:v>
                </c:pt>
              </c:strCache>
            </c:strRef>
          </c:tx>
          <c:marker>
            <c:symbol val="square"/>
            <c:size val="4"/>
          </c:marker>
          <c:cat>
            <c:numRef>
              <c:f>Total_stock_MH!$P$15:$P$39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Total_stock_MH!$R$15:$R$39</c:f>
              <c:numCache>
                <c:formatCode>General</c:formatCode>
                <c:ptCount val="25"/>
                <c:pt idx="0" formatCode="#,##0">
                  <c:v>4754</c:v>
                </c:pt>
                <c:pt idx="2" formatCode="#,##0">
                  <c:v>5267</c:v>
                </c:pt>
                <c:pt idx="4" formatCode="#,##0">
                  <c:v>5438</c:v>
                </c:pt>
                <c:pt idx="6" formatCode="#,##0">
                  <c:v>5630</c:v>
                </c:pt>
                <c:pt idx="8" formatCode="#,##0">
                  <c:v>5655</c:v>
                </c:pt>
                <c:pt idx="10" formatCode="#,##0">
                  <c:v>6164</c:v>
                </c:pt>
                <c:pt idx="12" formatCode="#,##0">
                  <c:v>6544</c:v>
                </c:pt>
                <c:pt idx="14" formatCode="#,##0">
                  <c:v>6785</c:v>
                </c:pt>
                <c:pt idx="16" formatCode="#,##0">
                  <c:v>7219</c:v>
                </c:pt>
                <c:pt idx="18" formatCode="#,##0">
                  <c:v>6854</c:v>
                </c:pt>
                <c:pt idx="20" formatCode="#,##0">
                  <c:v>6940</c:v>
                </c:pt>
                <c:pt idx="22" formatCode="#,##0">
                  <c:v>6919</c:v>
                </c:pt>
                <c:pt idx="24" formatCode="#,##0">
                  <c:v>6839</c:v>
                </c:pt>
              </c:numCache>
            </c:numRef>
          </c:val>
          <c:smooth val="0"/>
          <c:extLst>
            <c:ext xmlns:c16="http://schemas.microsoft.com/office/drawing/2014/chart" uri="{C3380CC4-5D6E-409C-BE32-E72D297353CC}">
              <c16:uniqueId val="{00000001-726B-49D8-BE8B-6E11FEE605AA}"/>
            </c:ext>
          </c:extLst>
        </c:ser>
        <c:dLbls>
          <c:showLegendKey val="0"/>
          <c:showVal val="0"/>
          <c:showCatName val="0"/>
          <c:showSerName val="0"/>
          <c:showPercent val="0"/>
          <c:showBubbleSize val="0"/>
        </c:dLbls>
        <c:marker val="1"/>
        <c:smooth val="0"/>
        <c:axId val="40972288"/>
        <c:axId val="40973824"/>
      </c:lineChart>
      <c:catAx>
        <c:axId val="40972288"/>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40973824"/>
        <c:crosses val="autoZero"/>
        <c:auto val="1"/>
        <c:lblAlgn val="ctr"/>
        <c:lblOffset val="100"/>
        <c:noMultiLvlLbl val="0"/>
      </c:catAx>
      <c:valAx>
        <c:axId val="40973824"/>
        <c:scaling>
          <c:orientation val="minMax"/>
          <c:min val="30000"/>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097228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Total_stock_MH!$Q$14</c:f>
              <c:strCache>
                <c:ptCount val="1"/>
                <c:pt idx="0">
                  <c:v>Calculated</c:v>
                </c:pt>
              </c:strCache>
            </c:strRef>
          </c:tx>
          <c:cat>
            <c:numRef>
              <c:f>Total_stock_MH!$P$15:$P$39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Total_stock_MH!$Q$15:$Q$39</c:f>
              <c:numCache>
                <c:formatCode>General</c:formatCode>
                <c:ptCount val="25"/>
                <c:pt idx="0" formatCode="#,##0">
                  <c:v>68809.002353603166</c:v>
                </c:pt>
                <c:pt idx="2" formatCode="#,##0">
                  <c:v>69172.099571496103</c:v>
                </c:pt>
                <c:pt idx="4" formatCode="#,##0">
                  <c:v>69632.134737068802</c:v>
                </c:pt>
                <c:pt idx="6" formatCode="#,##0">
                  <c:v>69774.376762737884</c:v>
                </c:pt>
                <c:pt idx="8" formatCode="#,##0">
                  <c:v>70276.453433913746</c:v>
                </c:pt>
                <c:pt idx="10" formatCode="#,##0">
                  <c:v>70622.079034415263</c:v>
                </c:pt>
                <c:pt idx="12" formatCode="#,##0">
                  <c:v>70857.898164236729</c:v>
                </c:pt>
                <c:pt idx="14" formatCode="#,##0">
                  <c:v>71499.011453219544</c:v>
                </c:pt>
                <c:pt idx="16" formatCode="#,##0">
                  <c:v>71432.595909550961</c:v>
                </c:pt>
                <c:pt idx="18" formatCode="#,##0">
                  <c:v>71452.298822959434</c:v>
                </c:pt>
                <c:pt idx="20" formatCode="#,##0">
                  <c:v>71317.591736989765</c:v>
                </c:pt>
                <c:pt idx="22" formatCode="#,##0">
                  <c:v>71579.596183259797</c:v>
                </c:pt>
                <c:pt idx="24" formatCode="#,##0">
                  <c:v>70485.238353907378</c:v>
                </c:pt>
              </c:numCache>
            </c:numRef>
          </c:val>
          <c:smooth val="0"/>
          <c:extLst>
            <c:ext xmlns:c16="http://schemas.microsoft.com/office/drawing/2014/chart" uri="{C3380CC4-5D6E-409C-BE32-E72D297353CC}">
              <c16:uniqueId val="{00000000-B708-4855-B155-13B23CFC022F}"/>
            </c:ext>
          </c:extLst>
        </c:ser>
        <c:ser>
          <c:idx val="1"/>
          <c:order val="1"/>
          <c:tx>
            <c:strRef>
              <c:f>Total_stock_MH!$R$14</c:f>
              <c:strCache>
                <c:ptCount val="1"/>
                <c:pt idx="0">
                  <c:v>Published</c:v>
                </c:pt>
              </c:strCache>
            </c:strRef>
          </c:tx>
          <c:cat>
            <c:numRef>
              <c:f>Total_stock_MH!$P$15:$P$39</c:f>
              <c:numCache>
                <c:formatCode>General</c:formatCode>
                <c:ptCount val="25"/>
                <c:pt idx="0">
                  <c:v>1985</c:v>
                </c:pt>
                <c:pt idx="2">
                  <c:v>1987</c:v>
                </c:pt>
                <c:pt idx="4">
                  <c:v>1989</c:v>
                </c:pt>
                <c:pt idx="6">
                  <c:v>1991</c:v>
                </c:pt>
                <c:pt idx="8">
                  <c:v>1993</c:v>
                </c:pt>
                <c:pt idx="10">
                  <c:v>1995</c:v>
                </c:pt>
                <c:pt idx="12">
                  <c:v>1997</c:v>
                </c:pt>
                <c:pt idx="14">
                  <c:v>1999</c:v>
                </c:pt>
                <c:pt idx="16">
                  <c:v>2001</c:v>
                </c:pt>
                <c:pt idx="18">
                  <c:v>2003</c:v>
                </c:pt>
                <c:pt idx="20">
                  <c:v>2005</c:v>
                </c:pt>
                <c:pt idx="22">
                  <c:v>2007</c:v>
                </c:pt>
                <c:pt idx="24">
                  <c:v>2009</c:v>
                </c:pt>
              </c:numCache>
            </c:numRef>
          </c:cat>
          <c:val>
            <c:numRef>
              <c:f>Total_stock_MH!$R$15:$R$39</c:f>
              <c:numCache>
                <c:formatCode>General</c:formatCode>
                <c:ptCount val="25"/>
                <c:pt idx="0" formatCode="#,##0">
                  <c:v>4754</c:v>
                </c:pt>
                <c:pt idx="2" formatCode="#,##0">
                  <c:v>5267</c:v>
                </c:pt>
                <c:pt idx="4" formatCode="#,##0">
                  <c:v>5438</c:v>
                </c:pt>
                <c:pt idx="6" formatCode="#,##0">
                  <c:v>5630</c:v>
                </c:pt>
                <c:pt idx="8" formatCode="#,##0">
                  <c:v>5655</c:v>
                </c:pt>
                <c:pt idx="10" formatCode="#,##0">
                  <c:v>6164</c:v>
                </c:pt>
                <c:pt idx="12" formatCode="#,##0">
                  <c:v>6544</c:v>
                </c:pt>
                <c:pt idx="14" formatCode="#,##0">
                  <c:v>6785</c:v>
                </c:pt>
                <c:pt idx="16" formatCode="#,##0">
                  <c:v>7219</c:v>
                </c:pt>
                <c:pt idx="18" formatCode="#,##0">
                  <c:v>6854</c:v>
                </c:pt>
                <c:pt idx="20" formatCode="#,##0">
                  <c:v>6940</c:v>
                </c:pt>
                <c:pt idx="22" formatCode="#,##0">
                  <c:v>6919</c:v>
                </c:pt>
                <c:pt idx="24" formatCode="#,##0">
                  <c:v>6839</c:v>
                </c:pt>
              </c:numCache>
            </c:numRef>
          </c:val>
          <c:smooth val="0"/>
          <c:extLst>
            <c:ext xmlns:c16="http://schemas.microsoft.com/office/drawing/2014/chart" uri="{C3380CC4-5D6E-409C-BE32-E72D297353CC}">
              <c16:uniqueId val="{00000001-B708-4855-B155-13B23CFC022F}"/>
            </c:ext>
          </c:extLst>
        </c:ser>
        <c:dLbls>
          <c:showLegendKey val="0"/>
          <c:showVal val="0"/>
          <c:showCatName val="0"/>
          <c:showSerName val="0"/>
          <c:showPercent val="0"/>
          <c:showBubbleSize val="0"/>
        </c:dLbls>
        <c:marker val="1"/>
        <c:smooth val="0"/>
        <c:axId val="38291328"/>
        <c:axId val="38292864"/>
      </c:lineChart>
      <c:catAx>
        <c:axId val="382913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292864"/>
        <c:crosses val="autoZero"/>
        <c:auto val="1"/>
        <c:lblAlgn val="ctr"/>
        <c:lblOffset val="100"/>
        <c:noMultiLvlLbl val="0"/>
      </c:catAx>
      <c:valAx>
        <c:axId val="3829286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29132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01872914033894"/>
          <c:y val="4.9675703288766755E-2"/>
          <c:w val="0.76740459911646841"/>
          <c:h val="0.80210678363191179"/>
        </c:manualLayout>
      </c:layout>
      <c:lineChart>
        <c:grouping val="standard"/>
        <c:varyColors val="0"/>
        <c:ser>
          <c:idx val="0"/>
          <c:order val="0"/>
          <c:tx>
            <c:strRef>
              <c:f>Total_stock_MH!$AX$14</c:f>
              <c:strCache>
                <c:ptCount val="1"/>
                <c:pt idx="0">
                  <c:v>Predicted</c:v>
                </c:pt>
              </c:strCache>
            </c:strRef>
          </c:tx>
          <c:cat>
            <c:numRef>
              <c:f>Total_stock_MH!$AW$15:$AW$48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Total_stock_MH!$AX$15:$AX$48</c:f>
              <c:numCache>
                <c:formatCode>#,##0.0</c:formatCode>
                <c:ptCount val="34"/>
                <c:pt idx="0">
                  <c:v>4923.216689740555</c:v>
                </c:pt>
                <c:pt idx="1">
                  <c:v>5077.6837664724553</c:v>
                </c:pt>
                <c:pt idx="2">
                  <c:v>5216.6200517256621</c:v>
                </c:pt>
                <c:pt idx="3">
                  <c:v>5318.2517136950164</c:v>
                </c:pt>
                <c:pt idx="4">
                  <c:v>5406.6780725536564</c:v>
                </c:pt>
                <c:pt idx="5">
                  <c:v>5552.1885122318099</c:v>
                </c:pt>
                <c:pt idx="6">
                  <c:v>5689.5045626273059</c:v>
                </c:pt>
                <c:pt idx="7">
                  <c:v>5740.8645050097111</c:v>
                </c:pt>
                <c:pt idx="8">
                  <c:v>5811.5502811718106</c:v>
                </c:pt>
                <c:pt idx="9">
                  <c:v>5953.0890955961122</c:v>
                </c:pt>
                <c:pt idx="10">
                  <c:v>6118.3429678604789</c:v>
                </c:pt>
                <c:pt idx="11">
                  <c:v>6203.2817939047827</c:v>
                </c:pt>
                <c:pt idx="12">
                  <c:v>6287.1721471173805</c:v>
                </c:pt>
                <c:pt idx="13">
                  <c:v>6514.8187407833957</c:v>
                </c:pt>
                <c:pt idx="14">
                  <c:v>6742.9729798568551</c:v>
                </c:pt>
                <c:pt idx="15">
                  <c:v>6909.0279008019343</c:v>
                </c:pt>
                <c:pt idx="16">
                  <c:v>7029.9641270998618</c:v>
                </c:pt>
                <c:pt idx="17">
                  <c:v>6866.4424284398992</c:v>
                </c:pt>
                <c:pt idx="18">
                  <c:v>6684.5026608846902</c:v>
                </c:pt>
                <c:pt idx="19">
                  <c:v>6880.6519885691141</c:v>
                </c:pt>
                <c:pt idx="20">
                  <c:v>7073.3972644057931</c:v>
                </c:pt>
                <c:pt idx="21">
                  <c:v>7045.6920388522722</c:v>
                </c:pt>
                <c:pt idx="22">
                  <c:v>7011.1832521981005</c:v>
                </c:pt>
                <c:pt idx="23">
                  <c:v>6945.033453899091</c:v>
                </c:pt>
                <c:pt idx="24">
                  <c:v>6871.220147280952</c:v>
                </c:pt>
                <c:pt idx="25">
                  <c:v>6922.9519025211648</c:v>
                </c:pt>
                <c:pt idx="26">
                  <c:v>6973.5636003008722</c:v>
                </c:pt>
                <c:pt idx="27">
                  <c:v>7001.5625155483849</c:v>
                </c:pt>
                <c:pt idx="28">
                  <c:v>7030.8116809578314</c:v>
                </c:pt>
                <c:pt idx="29">
                  <c:v>6975.997734170347</c:v>
                </c:pt>
                <c:pt idx="30">
                  <c:v>6919.9986588487882</c:v>
                </c:pt>
                <c:pt idx="31">
                  <c:v>6933.9497812274094</c:v>
                </c:pt>
                <c:pt idx="32">
                  <c:v>6949.1175727034151</c:v>
                </c:pt>
                <c:pt idx="33">
                  <c:v>6937.531905105634</c:v>
                </c:pt>
              </c:numCache>
            </c:numRef>
          </c:val>
          <c:smooth val="0"/>
          <c:extLst>
            <c:ext xmlns:c16="http://schemas.microsoft.com/office/drawing/2014/chart" uri="{C3380CC4-5D6E-409C-BE32-E72D297353CC}">
              <c16:uniqueId val="{00000000-3867-4578-BEF5-8C1DEBAF17BE}"/>
            </c:ext>
          </c:extLst>
        </c:ser>
        <c:ser>
          <c:idx val="1"/>
          <c:order val="1"/>
          <c:tx>
            <c:strRef>
              <c:f>Total_stock_MH!$AY$14</c:f>
              <c:strCache>
                <c:ptCount val="1"/>
                <c:pt idx="0">
                  <c:v>Reported</c:v>
                </c:pt>
              </c:strCache>
            </c:strRef>
          </c:tx>
          <c:marker>
            <c:symbol val="square"/>
            <c:size val="4"/>
          </c:marker>
          <c:cat>
            <c:numRef>
              <c:f>Total_stock_MH!$AW$15:$AW$48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Total_stock_MH!$AY$15:$AY$48</c:f>
              <c:numCache>
                <c:formatCode>General</c:formatCode>
                <c:ptCount val="34"/>
                <c:pt idx="0" formatCode="#,##0">
                  <c:v>4754</c:v>
                </c:pt>
                <c:pt idx="2" formatCode="#,##0">
                  <c:v>5267</c:v>
                </c:pt>
                <c:pt idx="4" formatCode="#,##0">
                  <c:v>5438</c:v>
                </c:pt>
                <c:pt idx="6" formatCode="#,##0">
                  <c:v>5630</c:v>
                </c:pt>
                <c:pt idx="8" formatCode="#,##0">
                  <c:v>5655</c:v>
                </c:pt>
                <c:pt idx="10" formatCode="#,##0">
                  <c:v>6164</c:v>
                </c:pt>
                <c:pt idx="12" formatCode="#,##0">
                  <c:v>6544</c:v>
                </c:pt>
                <c:pt idx="14" formatCode="#,##0">
                  <c:v>6785</c:v>
                </c:pt>
                <c:pt idx="16" formatCode="#,##0">
                  <c:v>7219</c:v>
                </c:pt>
                <c:pt idx="18" formatCode="#,##0">
                  <c:v>6854</c:v>
                </c:pt>
                <c:pt idx="20" formatCode="#,##0">
                  <c:v>6940</c:v>
                </c:pt>
                <c:pt idx="22" formatCode="#,##0">
                  <c:v>6919</c:v>
                </c:pt>
                <c:pt idx="24" formatCode="#,##0">
                  <c:v>6839</c:v>
                </c:pt>
                <c:pt idx="26" formatCode="#,##0">
                  <c:v>7190</c:v>
                </c:pt>
                <c:pt idx="28" formatCode="#,##0">
                  <c:v>6917</c:v>
                </c:pt>
                <c:pt idx="30" formatCode="#,##0">
                  <c:v>6901.7</c:v>
                </c:pt>
                <c:pt idx="32" formatCode="#,##0">
                  <c:v>6724.4</c:v>
                </c:pt>
              </c:numCache>
            </c:numRef>
          </c:val>
          <c:smooth val="0"/>
          <c:extLst>
            <c:ext xmlns:c16="http://schemas.microsoft.com/office/drawing/2014/chart" uri="{C3380CC4-5D6E-409C-BE32-E72D297353CC}">
              <c16:uniqueId val="{00000001-3867-4578-BEF5-8C1DEBAF17BE}"/>
            </c:ext>
          </c:extLst>
        </c:ser>
        <c:dLbls>
          <c:showLegendKey val="0"/>
          <c:showVal val="0"/>
          <c:showCatName val="0"/>
          <c:showSerName val="0"/>
          <c:showPercent val="0"/>
          <c:showBubbleSize val="0"/>
        </c:dLbls>
        <c:marker val="1"/>
        <c:smooth val="0"/>
        <c:axId val="41172992"/>
        <c:axId val="41174528"/>
      </c:lineChart>
      <c:catAx>
        <c:axId val="411729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174528"/>
        <c:crosses val="autoZero"/>
        <c:auto val="1"/>
        <c:lblAlgn val="ctr"/>
        <c:lblOffset val="100"/>
        <c:tickLblSkip val="5"/>
        <c:tickMarkSkip val="1"/>
        <c:noMultiLvlLbl val="0"/>
      </c:catAx>
      <c:valAx>
        <c:axId val="41174528"/>
        <c:scaling>
          <c:orientation val="minMax"/>
          <c:min val="0"/>
        </c:scaling>
        <c:delete val="0"/>
        <c:axPos val="l"/>
        <c:majorGridlines/>
        <c:title>
          <c:tx>
            <c:rich>
              <a:bodyPr rot="-5400000" vert="horz"/>
              <a:lstStyle/>
              <a:p>
                <a:pPr>
                  <a:defRPr sz="1100" b="1" i="0" baseline="0"/>
                </a:pPr>
                <a:r>
                  <a:rPr lang="en-US" sz="1100" b="1" i="0" baseline="0"/>
                  <a:t>Thousands of units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172992"/>
        <c:crosses val="autoZero"/>
        <c:crossBetween val="midCat"/>
      </c:valAx>
    </c:plotArea>
    <c:legend>
      <c:legendPos val="r"/>
      <c:layout>
        <c:manualLayout>
          <c:xMode val="edge"/>
          <c:yMode val="edge"/>
          <c:x val="0.24355227201538079"/>
          <c:y val="0.57553664852296149"/>
          <c:w val="0.18854649341671798"/>
          <c:h val="0.15317726223819339"/>
        </c:manualLayout>
      </c:layout>
      <c:overlay val="0"/>
      <c:spPr>
        <a:solidFill>
          <a:schemeClr val="bg1"/>
        </a:solidFill>
        <a:ln>
          <a:solidFill>
            <a:schemeClr val="accent1">
              <a:shade val="95000"/>
              <a:satMod val="105000"/>
            </a:schemeClr>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72462817147858"/>
          <c:y val="0.10695610965296004"/>
          <c:w val="0.73880227471566051"/>
          <c:h val="0.78278032954214061"/>
        </c:manualLayout>
      </c:layout>
      <c:lineChart>
        <c:grouping val="standard"/>
        <c:varyColors val="0"/>
        <c:ser>
          <c:idx val="0"/>
          <c:order val="0"/>
          <c:tx>
            <c:strRef>
              <c:f>Total_stock_MH!$AT$14</c:f>
              <c:strCache>
                <c:ptCount val="1"/>
                <c:pt idx="0">
                  <c:v>Reported</c:v>
                </c:pt>
              </c:strCache>
            </c:strRef>
          </c:tx>
          <c:cat>
            <c:numRef>
              <c:f>Total_stock_MH!$AS$15:$AS$48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Total_stock_MH!$AT$15:$AT$48</c:f>
              <c:numCache>
                <c:formatCode>General</c:formatCode>
                <c:ptCount val="34"/>
                <c:pt idx="0" formatCode="#,##0">
                  <c:v>6094</c:v>
                </c:pt>
                <c:pt idx="2" formatCode="#,##0">
                  <c:v>6688</c:v>
                </c:pt>
                <c:pt idx="4" formatCode="#,##0">
                  <c:v>6908</c:v>
                </c:pt>
                <c:pt idx="6" formatCode="#,##0">
                  <c:v>6983</c:v>
                </c:pt>
                <c:pt idx="8" formatCode="#,##0">
                  <c:v>7072</c:v>
                </c:pt>
                <c:pt idx="10" formatCode="#,##0">
                  <c:v>7647</c:v>
                </c:pt>
                <c:pt idx="12" formatCode="#,##0">
                  <c:v>8301</c:v>
                </c:pt>
                <c:pt idx="14" formatCode="#,##0">
                  <c:v>8433</c:v>
                </c:pt>
                <c:pt idx="16" formatCode="#,##0">
                  <c:v>8876</c:v>
                </c:pt>
                <c:pt idx="18" formatCode="#,##0">
                  <c:v>8971</c:v>
                </c:pt>
                <c:pt idx="20" formatCode="#,##0">
                  <c:v>8630</c:v>
                </c:pt>
                <c:pt idx="22" formatCode="#,##0">
                  <c:v>8705</c:v>
                </c:pt>
                <c:pt idx="24" formatCode="#,##0">
                  <c:v>8769</c:v>
                </c:pt>
                <c:pt idx="26" formatCode="#,##0">
                  <c:v>9049</c:v>
                </c:pt>
                <c:pt idx="28" formatCode="#,##0">
                  <c:v>8603</c:v>
                </c:pt>
                <c:pt idx="30" formatCode="#,##0">
                  <c:v>8686.5</c:v>
                </c:pt>
                <c:pt idx="32" formatCode="#,##0">
                  <c:v>8396.7000000000007</c:v>
                </c:pt>
              </c:numCache>
            </c:numRef>
          </c:val>
          <c:smooth val="0"/>
          <c:extLst>
            <c:ext xmlns:c16="http://schemas.microsoft.com/office/drawing/2014/chart" uri="{C3380CC4-5D6E-409C-BE32-E72D297353CC}">
              <c16:uniqueId val="{00000000-8D88-40AF-9B6F-72EC239DC1AE}"/>
            </c:ext>
          </c:extLst>
        </c:ser>
        <c:ser>
          <c:idx val="1"/>
          <c:order val="1"/>
          <c:tx>
            <c:strRef>
              <c:f>Total_stock_MH!$AU$14</c:f>
              <c:strCache>
                <c:ptCount val="1"/>
                <c:pt idx="0">
                  <c:v>Predicted</c:v>
                </c:pt>
              </c:strCache>
            </c:strRef>
          </c:tx>
          <c:marker>
            <c:symbol val="square"/>
            <c:size val="4"/>
          </c:marker>
          <c:cat>
            <c:numRef>
              <c:f>Total_stock_MH!$AS$15:$AS$48</c:f>
              <c:numCache>
                <c:formatCode>General</c:formatCode>
                <c:ptCount val="3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numCache>
            </c:numRef>
          </c:cat>
          <c:val>
            <c:numRef>
              <c:f>Total_stock_MH!$AU$15:$AU$48</c:f>
              <c:numCache>
                <c:formatCode>#,##0</c:formatCode>
                <c:ptCount val="34"/>
                <c:pt idx="0">
                  <c:v>6310.9134428436982</c:v>
                </c:pt>
                <c:pt idx="1">
                  <c:v>6478.1186267056746</c:v>
                </c:pt>
                <c:pt idx="2">
                  <c:v>6624.0278917678434</c:v>
                </c:pt>
                <c:pt idx="3">
                  <c:v>6754.4799245322019</c:v>
                </c:pt>
                <c:pt idx="4">
                  <c:v>6868.2111300479328</c:v>
                </c:pt>
                <c:pt idx="5">
                  <c:v>6968.7772369874338</c:v>
                </c:pt>
                <c:pt idx="6">
                  <c:v>7056.8046822071892</c:v>
                </c:pt>
                <c:pt idx="7">
                  <c:v>7149.8225160576367</c:v>
                </c:pt>
                <c:pt idx="8">
                  <c:v>7267.7778228907246</c:v>
                </c:pt>
                <c:pt idx="9">
                  <c:v>7414.9452012096926</c:v>
                </c:pt>
                <c:pt idx="10">
                  <c:v>7590.3583184992021</c:v>
                </c:pt>
                <c:pt idx="11">
                  <c:v>7781.3052314818942</c:v>
                </c:pt>
                <c:pt idx="12">
                  <c:v>7975.2163803822395</c:v>
                </c:pt>
                <c:pt idx="13">
                  <c:v>8179.7391680543487</c:v>
                </c:pt>
                <c:pt idx="14">
                  <c:v>8380.7650905133178</c:v>
                </c:pt>
                <c:pt idx="15">
                  <c:v>8540.7667270595775</c:v>
                </c:pt>
                <c:pt idx="16">
                  <c:v>8643.5741227508479</c:v>
                </c:pt>
                <c:pt idx="17">
                  <c:v>8706.3888349442477</c:v>
                </c:pt>
                <c:pt idx="18">
                  <c:v>8749.1498936090684</c:v>
                </c:pt>
                <c:pt idx="19">
                  <c:v>8775.2847352857225</c:v>
                </c:pt>
                <c:pt idx="20">
                  <c:v>8795.8816126544662</c:v>
                </c:pt>
                <c:pt idx="21">
                  <c:v>8812.6116290077371</c:v>
                </c:pt>
                <c:pt idx="22">
                  <c:v>8820.9784955028863</c:v>
                </c:pt>
                <c:pt idx="23">
                  <c:v>8820.5627369985214</c:v>
                </c:pt>
                <c:pt idx="24">
                  <c:v>8810.3128339679297</c:v>
                </c:pt>
                <c:pt idx="25">
                  <c:v>8794.0125066141281</c:v>
                </c:pt>
                <c:pt idx="26">
                  <c:v>8776.6032015469536</c:v>
                </c:pt>
                <c:pt idx="27">
                  <c:v>8759.7011659624332</c:v>
                </c:pt>
                <c:pt idx="28">
                  <c:v>8744.5529696805297</c:v>
                </c:pt>
                <c:pt idx="29">
                  <c:v>8727.8871913533058</c:v>
                </c:pt>
                <c:pt idx="30">
                  <c:v>8709.5307460611148</c:v>
                </c:pt>
                <c:pt idx="31">
                  <c:v>8692.5904905878742</c:v>
                </c:pt>
                <c:pt idx="32">
                  <c:v>8677.3028854200784</c:v>
                </c:pt>
                <c:pt idx="33">
                  <c:v>8662.8359627030641</c:v>
                </c:pt>
              </c:numCache>
            </c:numRef>
          </c:val>
          <c:smooth val="0"/>
          <c:extLst>
            <c:ext xmlns:c16="http://schemas.microsoft.com/office/drawing/2014/chart" uri="{C3380CC4-5D6E-409C-BE32-E72D297353CC}">
              <c16:uniqueId val="{00000001-8D88-40AF-9B6F-72EC239DC1AE}"/>
            </c:ext>
          </c:extLst>
        </c:ser>
        <c:dLbls>
          <c:showLegendKey val="0"/>
          <c:showVal val="0"/>
          <c:showCatName val="0"/>
          <c:showSerName val="0"/>
          <c:showPercent val="0"/>
          <c:showBubbleSize val="0"/>
        </c:dLbls>
        <c:marker val="1"/>
        <c:smooth val="0"/>
        <c:axId val="41494784"/>
        <c:axId val="41504768"/>
      </c:lineChart>
      <c:catAx>
        <c:axId val="41494784"/>
        <c:scaling>
          <c:orientation val="minMax"/>
        </c:scaling>
        <c:delete val="0"/>
        <c:axPos val="b"/>
        <c:title>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504768"/>
        <c:crosses val="autoZero"/>
        <c:auto val="1"/>
        <c:lblAlgn val="ctr"/>
        <c:lblOffset val="100"/>
        <c:tickLblSkip val="5"/>
        <c:noMultiLvlLbl val="0"/>
      </c:catAx>
      <c:valAx>
        <c:axId val="41504768"/>
        <c:scaling>
          <c:orientation val="minMax"/>
          <c:min val="0"/>
        </c:scaling>
        <c:delete val="0"/>
        <c:axPos val="l"/>
        <c:majorGridlines/>
        <c:title>
          <c:tx>
            <c:rich>
              <a:bodyPr/>
              <a:lstStyle/>
              <a:p>
                <a:pPr>
                  <a:defRPr b="1" i="0" baseline="0"/>
                </a:pPr>
                <a:r>
                  <a:rPr lang="en-US" b="1" i="0" baseline="0"/>
                  <a:t>Thousands of Units</a:t>
                </a:r>
              </a:p>
            </c:rich>
          </c:tx>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494784"/>
        <c:crosses val="autoZero"/>
        <c:crossBetween val="between"/>
      </c:valAx>
      <c:spPr>
        <a:noFill/>
        <a:ln w="9525">
          <a:solidFill>
            <a:schemeClr val="accent1"/>
          </a:solidFill>
        </a:ln>
      </c:spPr>
    </c:plotArea>
    <c:legend>
      <c:legendPos val="r"/>
      <c:layout>
        <c:manualLayout>
          <c:xMode val="edge"/>
          <c:yMode val="edge"/>
          <c:x val="0.27258289588801399"/>
          <c:y val="0.62908537474482351"/>
          <c:w val="0.20797265966754158"/>
          <c:h val="0.1677551764362788"/>
        </c:manualLayout>
      </c:layout>
      <c:overlay val="0"/>
      <c:spPr>
        <a:solidFill>
          <a:schemeClr val="bg1"/>
        </a:solidFill>
        <a:ln>
          <a:solidFill>
            <a:schemeClr val="accent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ln w="3175">
      <a:solidFill>
        <a:schemeClr val="tx1"/>
      </a:solid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39509031959239"/>
          <c:y val="5.1400498014671246E-2"/>
          <c:w val="0.68435979877515307"/>
          <c:h val="0.78278032954214061"/>
        </c:manualLayout>
      </c:layout>
      <c:lineChart>
        <c:grouping val="standard"/>
        <c:varyColors val="0"/>
        <c:ser>
          <c:idx val="0"/>
          <c:order val="0"/>
          <c:tx>
            <c:strRef>
              <c:f>Total_stock_MH!$BZ$14</c:f>
              <c:strCache>
                <c:ptCount val="1"/>
                <c:pt idx="0">
                  <c:v>Actual</c:v>
                </c:pt>
              </c:strCache>
            </c:strRef>
          </c:tx>
          <c:cat>
            <c:numRef>
              <c:f>Total_stock_MH!$BY$15:$BY$40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Total_stock_MH!$BZ$15:$BZ$40</c:f>
              <c:numCache>
                <c:formatCode>General</c:formatCode>
                <c:ptCount val="26"/>
                <c:pt idx="12">
                  <c:v>1104.2098786708018</c:v>
                </c:pt>
                <c:pt idx="14">
                  <c:v>1149.6427179994562</c:v>
                </c:pt>
                <c:pt idx="16">
                  <c:v>1229.2074668695225</c:v>
                </c:pt>
                <c:pt idx="18">
                  <c:v>1268.4660737351862</c:v>
                </c:pt>
                <c:pt idx="20">
                  <c:v>1346.6940504418583</c:v>
                </c:pt>
                <c:pt idx="22">
                  <c:v>1359.370966205578</c:v>
                </c:pt>
                <c:pt idx="24">
                  <c:v>1456.4439457961512</c:v>
                </c:pt>
              </c:numCache>
            </c:numRef>
          </c:val>
          <c:smooth val="0"/>
          <c:extLst>
            <c:ext xmlns:c16="http://schemas.microsoft.com/office/drawing/2014/chart" uri="{C3380CC4-5D6E-409C-BE32-E72D297353CC}">
              <c16:uniqueId val="{00000000-F0FF-44E8-93CB-E9543021A1D1}"/>
            </c:ext>
          </c:extLst>
        </c:ser>
        <c:ser>
          <c:idx val="1"/>
          <c:order val="1"/>
          <c:tx>
            <c:strRef>
              <c:f>Total_stock_MH!$CA$14</c:f>
              <c:strCache>
                <c:ptCount val="1"/>
                <c:pt idx="0">
                  <c:v>Predicted</c:v>
                </c:pt>
              </c:strCache>
            </c:strRef>
          </c:tx>
          <c:marker>
            <c:symbol val="square"/>
            <c:size val="4"/>
          </c:marker>
          <c:cat>
            <c:numRef>
              <c:f>Total_stock_MH!$BY$15:$BY$40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Total_stock_MH!$CA$15:$CA$40</c:f>
              <c:numCache>
                <c:formatCode>#,##0.0</c:formatCode>
                <c:ptCount val="26"/>
                <c:pt idx="0">
                  <c:v>895.65133885896967</c:v>
                </c:pt>
                <c:pt idx="1">
                  <c:v>925.86099491412858</c:v>
                </c:pt>
                <c:pt idx="2">
                  <c:v>917.66220586942643</c:v>
                </c:pt>
                <c:pt idx="3">
                  <c:v>932.79911762840436</c:v>
                </c:pt>
                <c:pt idx="4">
                  <c:v>947.0629767811489</c:v>
                </c:pt>
                <c:pt idx="5">
                  <c:v>951.00157516738557</c:v>
                </c:pt>
                <c:pt idx="6">
                  <c:v>951.89340568332125</c:v>
                </c:pt>
                <c:pt idx="7">
                  <c:v>974.15947609129091</c:v>
                </c:pt>
                <c:pt idx="8">
                  <c:v>997.74508772319984</c:v>
                </c:pt>
                <c:pt idx="9">
                  <c:v>1017.2884974836504</c:v>
                </c:pt>
                <c:pt idx="10">
                  <c:v>1036.3618259437358</c:v>
                </c:pt>
                <c:pt idx="11">
                  <c:v>1070.8914408768901</c:v>
                </c:pt>
                <c:pt idx="12">
                  <c:v>1104.6455792254701</c:v>
                </c:pt>
                <c:pt idx="13">
                  <c:v>1121.2268820552997</c:v>
                </c:pt>
                <c:pt idx="14">
                  <c:v>1130.4534454478821</c:v>
                </c:pt>
                <c:pt idx="15">
                  <c:v>1140.8167536367821</c:v>
                </c:pt>
                <c:pt idx="16">
                  <c:v>1149.2725475540435</c:v>
                </c:pt>
                <c:pt idx="17">
                  <c:v>1181.2461172129229</c:v>
                </c:pt>
                <c:pt idx="18">
                  <c:v>1188.6634832994782</c:v>
                </c:pt>
                <c:pt idx="19">
                  <c:v>1192.0539510572012</c:v>
                </c:pt>
                <c:pt idx="20">
                  <c:v>1207.7016433375743</c:v>
                </c:pt>
                <c:pt idx="21">
                  <c:v>1214.2684047763064</c:v>
                </c:pt>
                <c:pt idx="22">
                  <c:v>1227.382341644613</c:v>
                </c:pt>
                <c:pt idx="23">
                  <c:v>1244.0513342661407</c:v>
                </c:pt>
                <c:pt idx="24">
                  <c:v>1258.4077253269381</c:v>
                </c:pt>
                <c:pt idx="25">
                  <c:v>1250.4160025838332</c:v>
                </c:pt>
              </c:numCache>
            </c:numRef>
          </c:val>
          <c:smooth val="0"/>
          <c:extLst>
            <c:ext xmlns:c16="http://schemas.microsoft.com/office/drawing/2014/chart" uri="{C3380CC4-5D6E-409C-BE32-E72D297353CC}">
              <c16:uniqueId val="{00000001-F0FF-44E8-93CB-E9543021A1D1}"/>
            </c:ext>
          </c:extLst>
        </c:ser>
        <c:ser>
          <c:idx val="2"/>
          <c:order val="2"/>
          <c:tx>
            <c:strRef>
              <c:f>Total_stock_MH!$CB$14</c:f>
              <c:strCache>
                <c:ptCount val="1"/>
                <c:pt idx="0">
                  <c:v>Predicted_Alt</c:v>
                </c:pt>
              </c:strCache>
            </c:strRef>
          </c:tx>
          <c:marker>
            <c:symbol val="triangle"/>
            <c:size val="4"/>
            <c:spPr>
              <a:ln>
                <a:noFill/>
              </a:ln>
            </c:spPr>
          </c:marker>
          <c:cat>
            <c:numRef>
              <c:f>Total_stock_MH!$BY$15:$BY$40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Total_stock_MH!$CB$15:$CB$40</c:f>
              <c:numCache>
                <c:formatCode>#,##0.0</c:formatCode>
                <c:ptCount val="26"/>
                <c:pt idx="0">
                  <c:v>954.35186550619778</c:v>
                </c:pt>
                <c:pt idx="1">
                  <c:v>977.00910754756694</c:v>
                </c:pt>
                <c:pt idx="2">
                  <c:v>970.86001576404033</c:v>
                </c:pt>
                <c:pt idx="3">
                  <c:v>982.21269958327377</c:v>
                </c:pt>
                <c:pt idx="4">
                  <c:v>992.91059394783224</c:v>
                </c:pt>
                <c:pt idx="5">
                  <c:v>995.86454273750974</c:v>
                </c:pt>
                <c:pt idx="6">
                  <c:v>996.53341562446144</c:v>
                </c:pt>
                <c:pt idx="7">
                  <c:v>1013.2329684304387</c:v>
                </c:pt>
                <c:pt idx="8">
                  <c:v>1030.9221771543705</c:v>
                </c:pt>
                <c:pt idx="9">
                  <c:v>1045.5797344747084</c:v>
                </c:pt>
                <c:pt idx="10">
                  <c:v>1059.8847308197724</c:v>
                </c:pt>
                <c:pt idx="11">
                  <c:v>1085.7819420196381</c:v>
                </c:pt>
                <c:pt idx="12">
                  <c:v>1111.0975457810732</c:v>
                </c:pt>
                <c:pt idx="13">
                  <c:v>1123.5335229034454</c:v>
                </c:pt>
                <c:pt idx="14">
                  <c:v>1130.4534454478821</c:v>
                </c:pt>
              </c:numCache>
            </c:numRef>
          </c:val>
          <c:smooth val="0"/>
          <c:extLst>
            <c:ext xmlns:c16="http://schemas.microsoft.com/office/drawing/2014/chart" uri="{C3380CC4-5D6E-409C-BE32-E72D297353CC}">
              <c16:uniqueId val="{00000002-F0FF-44E8-93CB-E9543021A1D1}"/>
            </c:ext>
          </c:extLst>
        </c:ser>
        <c:dLbls>
          <c:showLegendKey val="0"/>
          <c:showVal val="0"/>
          <c:showCatName val="0"/>
          <c:showSerName val="0"/>
          <c:showPercent val="0"/>
          <c:showBubbleSize val="0"/>
        </c:dLbls>
        <c:marker val="1"/>
        <c:smooth val="0"/>
        <c:axId val="41534208"/>
        <c:axId val="41536128"/>
      </c:lineChart>
      <c:catAx>
        <c:axId val="415342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536128"/>
        <c:crosses val="autoZero"/>
        <c:auto val="1"/>
        <c:lblAlgn val="ctr"/>
        <c:lblOffset val="100"/>
        <c:noMultiLvlLbl val="0"/>
      </c:catAx>
      <c:valAx>
        <c:axId val="41536128"/>
        <c:scaling>
          <c:orientation val="minMax"/>
        </c:scaling>
        <c:delete val="0"/>
        <c:axPos val="l"/>
        <c:majorGridlines/>
        <c:title>
          <c:tx>
            <c:rich>
              <a:bodyPr rot="-5400000" vert="horz"/>
              <a:lstStyle/>
              <a:p>
                <a:pPr>
                  <a:defRPr b="1" i="0" baseline="0"/>
                </a:pPr>
                <a:r>
                  <a:rPr lang="en-US" b="1" i="0" baseline="0"/>
                  <a:t>Square feet per unit</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1534208"/>
        <c:crosses val="autoZero"/>
        <c:crossBetween val="midCat"/>
      </c:valAx>
    </c:plotArea>
    <c:legend>
      <c:legendPos val="r"/>
      <c:layout>
        <c:manualLayout>
          <c:xMode val="edge"/>
          <c:yMode val="edge"/>
          <c:x val="0.24412445319335083"/>
          <c:y val="0.48297973170020414"/>
          <c:w val="0.29476443569553806"/>
          <c:h val="0.29329943132108488"/>
        </c:manualLayout>
      </c:layout>
      <c:overlay val="0"/>
      <c:spPr>
        <a:solidFill>
          <a:schemeClr val="bg1"/>
        </a:solidFill>
        <a:ln>
          <a:solidFill>
            <a:schemeClr val="tx1"/>
          </a:solidFill>
        </a:ln>
      </c:spPr>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28913657164624"/>
          <c:y val="4.6034318393200283E-2"/>
          <c:w val="0.80170087089014475"/>
          <c:h val="0.83515347447034893"/>
        </c:manualLayout>
      </c:layout>
      <c:lineChart>
        <c:grouping val="standard"/>
        <c:varyColors val="0"/>
        <c:ser>
          <c:idx val="0"/>
          <c:order val="0"/>
          <c:tx>
            <c:strRef>
              <c:f>Total_stock_MH!$CD$62</c:f>
              <c:strCache>
                <c:ptCount val="1"/>
                <c:pt idx="0">
                  <c:v>Pre-1985 - Stock</c:v>
                </c:pt>
              </c:strCache>
            </c:strRef>
          </c:tx>
          <c:marker>
            <c:symbol val="diamond"/>
            <c:size val="6"/>
          </c:marker>
          <c:cat>
            <c:numRef>
              <c:f>Total_stock_MH!$CB$63:$CB$88</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Total_stock_MH!$CD$63:$CD$88</c:f>
              <c:numCache>
                <c:formatCode>General</c:formatCode>
                <c:ptCount val="26"/>
                <c:pt idx="0">
                  <c:v>852</c:v>
                </c:pt>
                <c:pt idx="1">
                  <c:v>856</c:v>
                </c:pt>
                <c:pt idx="2">
                  <c:v>860</c:v>
                </c:pt>
                <c:pt idx="3">
                  <c:v>864</c:v>
                </c:pt>
                <c:pt idx="4">
                  <c:v>868</c:v>
                </c:pt>
                <c:pt idx="5">
                  <c:v>872</c:v>
                </c:pt>
                <c:pt idx="6">
                  <c:v>876</c:v>
                </c:pt>
                <c:pt idx="7">
                  <c:v>880</c:v>
                </c:pt>
                <c:pt idx="8">
                  <c:v>884</c:v>
                </c:pt>
                <c:pt idx="9">
                  <c:v>888</c:v>
                </c:pt>
                <c:pt idx="10">
                  <c:v>892</c:v>
                </c:pt>
                <c:pt idx="11">
                  <c:v>896</c:v>
                </c:pt>
                <c:pt idx="12">
                  <c:v>900</c:v>
                </c:pt>
                <c:pt idx="13">
                  <c:v>904</c:v>
                </c:pt>
                <c:pt idx="14">
                  <c:v>908</c:v>
                </c:pt>
                <c:pt idx="15">
                  <c:v>912</c:v>
                </c:pt>
                <c:pt idx="16">
                  <c:v>916</c:v>
                </c:pt>
                <c:pt idx="17">
                  <c:v>920</c:v>
                </c:pt>
                <c:pt idx="18">
                  <c:v>924</c:v>
                </c:pt>
                <c:pt idx="19">
                  <c:v>928</c:v>
                </c:pt>
                <c:pt idx="20">
                  <c:v>932</c:v>
                </c:pt>
                <c:pt idx="21">
                  <c:v>936</c:v>
                </c:pt>
                <c:pt idx="22">
                  <c:v>940</c:v>
                </c:pt>
                <c:pt idx="23">
                  <c:v>944</c:v>
                </c:pt>
                <c:pt idx="24">
                  <c:v>948</c:v>
                </c:pt>
                <c:pt idx="25">
                  <c:v>952</c:v>
                </c:pt>
              </c:numCache>
            </c:numRef>
          </c:val>
          <c:smooth val="0"/>
          <c:extLst>
            <c:ext xmlns:c16="http://schemas.microsoft.com/office/drawing/2014/chart" uri="{C3380CC4-5D6E-409C-BE32-E72D297353CC}">
              <c16:uniqueId val="{00000000-F743-4FB5-8DBB-BD8F6F284FE6}"/>
            </c:ext>
          </c:extLst>
        </c:ser>
        <c:ser>
          <c:idx val="1"/>
          <c:order val="1"/>
          <c:tx>
            <c:strRef>
              <c:f>Total_stock_MH!$CE$62</c:f>
              <c:strCache>
                <c:ptCount val="1"/>
                <c:pt idx="0">
                  <c:v>Post-1985 - New</c:v>
                </c:pt>
              </c:strCache>
            </c:strRef>
          </c:tx>
          <c:marker>
            <c:symbol val="square"/>
            <c:size val="4"/>
          </c:marker>
          <c:cat>
            <c:numRef>
              <c:f>Total_stock_MH!$CB$63:$CB$88</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Total_stock_MH!$CE$63:$CE$88</c:f>
              <c:numCache>
                <c:formatCode>#,##0</c:formatCode>
                <c:ptCount val="26"/>
                <c:pt idx="0">
                  <c:v>1176.605504587156</c:v>
                </c:pt>
                <c:pt idx="1">
                  <c:v>1184.2526781425897</c:v>
                </c:pt>
                <c:pt idx="2">
                  <c:v>1226.3056708125462</c:v>
                </c:pt>
                <c:pt idx="3">
                  <c:v>1252.9164370542608</c:v>
                </c:pt>
                <c:pt idx="4">
                  <c:v>1301.7433977438031</c:v>
                </c:pt>
                <c:pt idx="5">
                  <c:v>1346.5198914458074</c:v>
                </c:pt>
                <c:pt idx="6">
                  <c:v>1348.441894966174</c:v>
                </c:pt>
                <c:pt idx="7">
                  <c:v>1345.4407140274502</c:v>
                </c:pt>
                <c:pt idx="8">
                  <c:v>1358.1113507076202</c:v>
                </c:pt>
                <c:pt idx="9">
                  <c:v>1374.4740465349855</c:v>
                </c:pt>
                <c:pt idx="10">
                  <c:v>1387.8914674209573</c:v>
                </c:pt>
                <c:pt idx="11">
                  <c:v>1400.6340492405088</c:v>
                </c:pt>
                <c:pt idx="12">
                  <c:v>1427.3818516100609</c:v>
                </c:pt>
                <c:pt idx="13">
                  <c:v>1481.3852078318139</c:v>
                </c:pt>
                <c:pt idx="14">
                  <c:v>1518.1904512911156</c:v>
                </c:pt>
                <c:pt idx="15">
                  <c:v>1573.9154070560096</c:v>
                </c:pt>
                <c:pt idx="16">
                  <c:v>1624.7043674885763</c:v>
                </c:pt>
                <c:pt idx="17">
                  <c:v>1652.4790146625555</c:v>
                </c:pt>
                <c:pt idx="18">
                  <c:v>1678.9572134986661</c:v>
                </c:pt>
                <c:pt idx="19">
                  <c:v>1655.7481274823544</c:v>
                </c:pt>
                <c:pt idx="20">
                  <c:v>1644.4080318827114</c:v>
                </c:pt>
                <c:pt idx="21">
                  <c:v>1624.6130563651914</c:v>
                </c:pt>
                <c:pt idx="22">
                  <c:v>1594.5002134443389</c:v>
                </c:pt>
                <c:pt idx="23">
                  <c:v>1571.5880348139433</c:v>
                </c:pt>
                <c:pt idx="24">
                  <c:v>1551.6689511054694</c:v>
                </c:pt>
                <c:pt idx="25">
                  <c:v>1546.7734514040417</c:v>
                </c:pt>
              </c:numCache>
            </c:numRef>
          </c:val>
          <c:smooth val="0"/>
          <c:extLst>
            <c:ext xmlns:c16="http://schemas.microsoft.com/office/drawing/2014/chart" uri="{C3380CC4-5D6E-409C-BE32-E72D297353CC}">
              <c16:uniqueId val="{00000001-F743-4FB5-8DBB-BD8F6F284FE6}"/>
            </c:ext>
          </c:extLst>
        </c:ser>
        <c:dLbls>
          <c:showLegendKey val="0"/>
          <c:showVal val="0"/>
          <c:showCatName val="0"/>
          <c:showSerName val="0"/>
          <c:showPercent val="0"/>
          <c:showBubbleSize val="0"/>
        </c:dLbls>
        <c:marker val="1"/>
        <c:smooth val="0"/>
        <c:axId val="41635200"/>
        <c:axId val="41636992"/>
      </c:lineChart>
      <c:catAx>
        <c:axId val="41635200"/>
        <c:scaling>
          <c:orientation val="minMax"/>
        </c:scaling>
        <c:delete val="0"/>
        <c:axPos val="b"/>
        <c:numFmt formatCode="General" sourceLinked="1"/>
        <c:majorTickMark val="out"/>
        <c:minorTickMark val="none"/>
        <c:tickLblPos val="nextTo"/>
        <c:crossAx val="41636992"/>
        <c:crosses val="autoZero"/>
        <c:auto val="1"/>
        <c:lblAlgn val="ctr"/>
        <c:lblOffset val="100"/>
        <c:tickLblSkip val="3"/>
        <c:noMultiLvlLbl val="0"/>
      </c:catAx>
      <c:valAx>
        <c:axId val="41636992"/>
        <c:scaling>
          <c:orientation val="minMax"/>
        </c:scaling>
        <c:delete val="0"/>
        <c:axPos val="l"/>
        <c:majorGridlines/>
        <c:title>
          <c:tx>
            <c:rich>
              <a:bodyPr rot="-5400000" vert="horz"/>
              <a:lstStyle/>
              <a:p>
                <a:pPr>
                  <a:defRPr/>
                </a:pPr>
                <a:r>
                  <a:rPr lang="en-US"/>
                  <a:t>Square feet per unit</a:t>
                </a:r>
              </a:p>
            </c:rich>
          </c:tx>
          <c:overlay val="0"/>
        </c:title>
        <c:numFmt formatCode="#,##0" sourceLinked="0"/>
        <c:majorTickMark val="out"/>
        <c:minorTickMark val="none"/>
        <c:tickLblPos val="nextTo"/>
        <c:crossAx val="41635200"/>
        <c:crosses val="autoZero"/>
        <c:crossBetween val="midCat"/>
      </c:valAx>
    </c:plotArea>
    <c:legend>
      <c:legendPos val="r"/>
      <c:layout>
        <c:manualLayout>
          <c:xMode val="edge"/>
          <c:yMode val="edge"/>
          <c:x val="0.17773318096669333"/>
          <c:y val="0.62619088852359428"/>
          <c:w val="0.27931073415903379"/>
          <c:h val="0.13997415098542892"/>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Total_stock_MH!$CM$61</c:f>
              <c:strCache>
                <c:ptCount val="1"/>
                <c:pt idx="0">
                  <c:v>AHS-Based</c:v>
                </c:pt>
              </c:strCache>
            </c:strRef>
          </c:tx>
          <c:cat>
            <c:numRef>
              <c:f>Total_stock_MH!$CL$62:$CL$88</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Total_stock_MH!$CM$62:$CM$88</c:f>
              <c:numCache>
                <c:formatCode>General</c:formatCode>
                <c:ptCount val="27"/>
                <c:pt idx="1">
                  <c:v>954.35186550619778</c:v>
                </c:pt>
                <c:pt idx="2">
                  <c:v>977.00910754756694</c:v>
                </c:pt>
                <c:pt idx="3">
                  <c:v>970.86001576404033</c:v>
                </c:pt>
                <c:pt idx="4">
                  <c:v>982.21269958327377</c:v>
                </c:pt>
                <c:pt idx="5">
                  <c:v>992.91059394783224</c:v>
                </c:pt>
                <c:pt idx="6">
                  <c:v>995.86454273750974</c:v>
                </c:pt>
                <c:pt idx="7">
                  <c:v>996.53341562446144</c:v>
                </c:pt>
                <c:pt idx="8">
                  <c:v>1013.2329684304387</c:v>
                </c:pt>
                <c:pt idx="9">
                  <c:v>1030.9221771543705</c:v>
                </c:pt>
                <c:pt idx="10">
                  <c:v>1045.5797344747084</c:v>
                </c:pt>
                <c:pt idx="11">
                  <c:v>1059.8847308197724</c:v>
                </c:pt>
                <c:pt idx="12">
                  <c:v>1085.7819420196381</c:v>
                </c:pt>
                <c:pt idx="13">
                  <c:v>1111.0975457810732</c:v>
                </c:pt>
                <c:pt idx="14">
                  <c:v>1123.5335229034454</c:v>
                </c:pt>
                <c:pt idx="15">
                  <c:v>1130.4534454478821</c:v>
                </c:pt>
                <c:pt idx="16">
                  <c:v>1140.8167536367821</c:v>
                </c:pt>
                <c:pt idx="17">
                  <c:v>1149.2725475540435</c:v>
                </c:pt>
                <c:pt idx="18">
                  <c:v>1181.2461172129229</c:v>
                </c:pt>
                <c:pt idx="19">
                  <c:v>1188.6634832994782</c:v>
                </c:pt>
                <c:pt idx="20">
                  <c:v>1192.0539510572012</c:v>
                </c:pt>
                <c:pt idx="21">
                  <c:v>1207.7016433375743</c:v>
                </c:pt>
                <c:pt idx="22">
                  <c:v>1214.2684047763064</c:v>
                </c:pt>
                <c:pt idx="23">
                  <c:v>1227.382341644613</c:v>
                </c:pt>
                <c:pt idx="24">
                  <c:v>1244.0513342661407</c:v>
                </c:pt>
                <c:pt idx="25">
                  <c:v>1258.4077253269381</c:v>
                </c:pt>
                <c:pt idx="26">
                  <c:v>1250.4160025838332</c:v>
                </c:pt>
              </c:numCache>
            </c:numRef>
          </c:val>
          <c:smooth val="0"/>
          <c:extLst>
            <c:ext xmlns:c16="http://schemas.microsoft.com/office/drawing/2014/chart" uri="{C3380CC4-5D6E-409C-BE32-E72D297353CC}">
              <c16:uniqueId val="{00000000-9D77-4F2B-A00D-B4FFCF281CAC}"/>
            </c:ext>
          </c:extLst>
        </c:ser>
        <c:ser>
          <c:idx val="1"/>
          <c:order val="1"/>
          <c:tx>
            <c:strRef>
              <c:f>Total_stock_MH!$CN$61</c:f>
              <c:strCache>
                <c:ptCount val="1"/>
                <c:pt idx="0">
                  <c:v> RECS</c:v>
                </c:pt>
              </c:strCache>
            </c:strRef>
          </c:tx>
          <c:cat>
            <c:numRef>
              <c:f>Total_stock_MH!$CL$62:$CL$88</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Total_stock_MH!$CN$62:$CN$88</c:f>
              <c:numCache>
                <c:formatCode>General</c:formatCode>
                <c:ptCount val="27"/>
                <c:pt idx="0">
                  <c:v>843.13725490196077</c:v>
                </c:pt>
                <c:pt idx="3">
                  <c:v>864.70588235294122</c:v>
                </c:pt>
                <c:pt idx="6">
                  <c:v>942.30769230769226</c:v>
                </c:pt>
                <c:pt idx="9">
                  <c:v>971.42857142857156</c:v>
                </c:pt>
                <c:pt idx="13">
                  <c:v>995.23809523809518</c:v>
                </c:pt>
                <c:pt idx="17">
                  <c:v>1062.151043197179</c:v>
                </c:pt>
                <c:pt idx="21">
                  <c:v>1062.0089797723372</c:v>
                </c:pt>
              </c:numCache>
            </c:numRef>
          </c:val>
          <c:smooth val="0"/>
          <c:extLst>
            <c:ext xmlns:c16="http://schemas.microsoft.com/office/drawing/2014/chart" uri="{C3380CC4-5D6E-409C-BE32-E72D297353CC}">
              <c16:uniqueId val="{00000001-9D77-4F2B-A00D-B4FFCF281CAC}"/>
            </c:ext>
          </c:extLst>
        </c:ser>
        <c:dLbls>
          <c:showLegendKey val="0"/>
          <c:showVal val="0"/>
          <c:showCatName val="0"/>
          <c:showSerName val="0"/>
          <c:showPercent val="0"/>
          <c:showBubbleSize val="0"/>
        </c:dLbls>
        <c:marker val="1"/>
        <c:smooth val="0"/>
        <c:axId val="41670528"/>
        <c:axId val="41672064"/>
      </c:lineChart>
      <c:catAx>
        <c:axId val="41670528"/>
        <c:scaling>
          <c:orientation val="minMax"/>
        </c:scaling>
        <c:delete val="0"/>
        <c:axPos val="b"/>
        <c:numFmt formatCode="General" sourceLinked="1"/>
        <c:majorTickMark val="out"/>
        <c:minorTickMark val="none"/>
        <c:tickLblPos val="nextTo"/>
        <c:crossAx val="41672064"/>
        <c:crosses val="autoZero"/>
        <c:auto val="1"/>
        <c:lblAlgn val="ctr"/>
        <c:lblOffset val="100"/>
        <c:noMultiLvlLbl val="0"/>
      </c:catAx>
      <c:valAx>
        <c:axId val="41672064"/>
        <c:scaling>
          <c:orientation val="minMax"/>
        </c:scaling>
        <c:delete val="0"/>
        <c:axPos val="l"/>
        <c:majorGridlines/>
        <c:numFmt formatCode="General" sourceLinked="1"/>
        <c:majorTickMark val="out"/>
        <c:minorTickMark val="none"/>
        <c:tickLblPos val="nextTo"/>
        <c:crossAx val="416705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70893515611162"/>
          <c:y val="4.7278811996606669E-2"/>
          <c:w val="0.78574905130723682"/>
          <c:h val="0.79935696765496023"/>
        </c:manualLayout>
      </c:layout>
      <c:lineChart>
        <c:grouping val="standard"/>
        <c:varyColors val="0"/>
        <c:ser>
          <c:idx val="0"/>
          <c:order val="0"/>
          <c:tx>
            <c:strRef>
              <c:f>place_nsa_all!$C$8</c:f>
              <c:strCache>
                <c:ptCount val="1"/>
                <c:pt idx="0">
                  <c:v>Total</c:v>
                </c:pt>
              </c:strCache>
            </c:strRef>
          </c:tx>
          <c:cat>
            <c:numRef>
              <c:f>place_nsa_all!$B$9:$B$47</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place_nsa_all!$C$9:$C$47</c:f>
              <c:numCache>
                <c:formatCode>#,##0.0</c:formatCode>
                <c:ptCount val="39"/>
                <c:pt idx="0">
                  <c:v>233.7</c:v>
                </c:pt>
                <c:pt idx="1">
                  <c:v>229.2</c:v>
                </c:pt>
                <c:pt idx="2">
                  <c:v>234.1</c:v>
                </c:pt>
                <c:pt idx="3">
                  <c:v>278.10000000000002</c:v>
                </c:pt>
                <c:pt idx="4">
                  <c:v>287.89999999999998</c:v>
                </c:pt>
                <c:pt idx="5">
                  <c:v>283.39999999999998</c:v>
                </c:pt>
                <c:pt idx="6">
                  <c:v>256.10000000000002</c:v>
                </c:pt>
                <c:pt idx="7">
                  <c:v>239.2</c:v>
                </c:pt>
                <c:pt idx="8">
                  <c:v>224.3</c:v>
                </c:pt>
                <c:pt idx="9">
                  <c:v>202.8</c:v>
                </c:pt>
                <c:pt idx="10">
                  <c:v>195.4</c:v>
                </c:pt>
                <c:pt idx="11">
                  <c:v>174.3</c:v>
                </c:pt>
                <c:pt idx="12">
                  <c:v>212</c:v>
                </c:pt>
                <c:pt idx="13">
                  <c:v>242.5</c:v>
                </c:pt>
                <c:pt idx="14">
                  <c:v>290.89999999999998</c:v>
                </c:pt>
                <c:pt idx="15">
                  <c:v>319.416</c:v>
                </c:pt>
                <c:pt idx="16">
                  <c:v>337.65100000000001</c:v>
                </c:pt>
                <c:pt idx="17">
                  <c:v>336.27600000000001</c:v>
                </c:pt>
                <c:pt idx="18">
                  <c:v>373.69200000000001</c:v>
                </c:pt>
                <c:pt idx="19">
                  <c:v>338.3</c:v>
                </c:pt>
                <c:pt idx="20">
                  <c:v>280.89999999999998</c:v>
                </c:pt>
                <c:pt idx="21">
                  <c:v>196.2</c:v>
                </c:pt>
                <c:pt idx="22">
                  <c:v>174.3</c:v>
                </c:pt>
                <c:pt idx="23">
                  <c:v>139.80000000000001</c:v>
                </c:pt>
                <c:pt idx="24">
                  <c:v>124.4</c:v>
                </c:pt>
                <c:pt idx="25">
                  <c:v>122.9</c:v>
                </c:pt>
                <c:pt idx="26">
                  <c:v>112.4</c:v>
                </c:pt>
                <c:pt idx="27">
                  <c:v>94.8</c:v>
                </c:pt>
                <c:pt idx="28">
                  <c:v>80.5</c:v>
                </c:pt>
                <c:pt idx="29">
                  <c:v>54.5</c:v>
                </c:pt>
                <c:pt idx="30">
                  <c:v>50.7</c:v>
                </c:pt>
                <c:pt idx="31">
                  <c:v>47.6</c:v>
                </c:pt>
                <c:pt idx="32">
                  <c:v>52.8</c:v>
                </c:pt>
                <c:pt idx="33">
                  <c:v>56.3</c:v>
                </c:pt>
                <c:pt idx="34" formatCode="General">
                  <c:v>44</c:v>
                </c:pt>
                <c:pt idx="35" formatCode="General">
                  <c:v>45.6</c:v>
                </c:pt>
                <c:pt idx="36" formatCode="General">
                  <c:v>51.599999999999994</c:v>
                </c:pt>
                <c:pt idx="37" formatCode="General">
                  <c:v>53.899999999999991</c:v>
                </c:pt>
                <c:pt idx="38" formatCode="General">
                  <c:v>55.199999999999996</c:v>
                </c:pt>
              </c:numCache>
            </c:numRef>
          </c:val>
          <c:smooth val="0"/>
          <c:extLst>
            <c:ext xmlns:c16="http://schemas.microsoft.com/office/drawing/2014/chart" uri="{C3380CC4-5D6E-409C-BE32-E72D297353CC}">
              <c16:uniqueId val="{00000000-C1BA-46DD-99C9-6906D07B3C75}"/>
            </c:ext>
          </c:extLst>
        </c:ser>
        <c:ser>
          <c:idx val="1"/>
          <c:order val="1"/>
          <c:tx>
            <c:strRef>
              <c:f>place_nsa_all!$D$8</c:f>
              <c:strCache>
                <c:ptCount val="1"/>
                <c:pt idx="0">
                  <c:v>Single </c:v>
                </c:pt>
              </c:strCache>
            </c:strRef>
          </c:tx>
          <c:marker>
            <c:symbol val="square"/>
            <c:size val="5"/>
          </c:marker>
          <c:cat>
            <c:numRef>
              <c:f>place_nsa_all!$B$9:$B$47</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place_nsa_all!$D$9:$D$47</c:f>
              <c:numCache>
                <c:formatCode>#,##0.0</c:formatCode>
                <c:ptCount val="39"/>
                <c:pt idx="0">
                  <c:v>165</c:v>
                </c:pt>
                <c:pt idx="1">
                  <c:v>173</c:v>
                </c:pt>
                <c:pt idx="2">
                  <c:v>182.5</c:v>
                </c:pt>
                <c:pt idx="3">
                  <c:v>205.8</c:v>
                </c:pt>
                <c:pt idx="4">
                  <c:v>204</c:v>
                </c:pt>
                <c:pt idx="5">
                  <c:v>192.9</c:v>
                </c:pt>
                <c:pt idx="6">
                  <c:v>165</c:v>
                </c:pt>
                <c:pt idx="7">
                  <c:v>148.5</c:v>
                </c:pt>
                <c:pt idx="8">
                  <c:v>128.4</c:v>
                </c:pt>
                <c:pt idx="9">
                  <c:v>107.4</c:v>
                </c:pt>
                <c:pt idx="10">
                  <c:v>103.8</c:v>
                </c:pt>
                <c:pt idx="11">
                  <c:v>94.6</c:v>
                </c:pt>
                <c:pt idx="12">
                  <c:v>114.5</c:v>
                </c:pt>
                <c:pt idx="13">
                  <c:v>127</c:v>
                </c:pt>
                <c:pt idx="14">
                  <c:v>149.28</c:v>
                </c:pt>
                <c:pt idx="15">
                  <c:v>163.04</c:v>
                </c:pt>
                <c:pt idx="16">
                  <c:v>163.36000000000001</c:v>
                </c:pt>
                <c:pt idx="17">
                  <c:v>144</c:v>
                </c:pt>
                <c:pt idx="18">
                  <c:v>149.63999999999999</c:v>
                </c:pt>
                <c:pt idx="19">
                  <c:v>122.5</c:v>
                </c:pt>
                <c:pt idx="20">
                  <c:v>88.3</c:v>
                </c:pt>
                <c:pt idx="21">
                  <c:v>53.3</c:v>
                </c:pt>
                <c:pt idx="22">
                  <c:v>41.1</c:v>
                </c:pt>
                <c:pt idx="23">
                  <c:v>29.4</c:v>
                </c:pt>
                <c:pt idx="24">
                  <c:v>28.2</c:v>
                </c:pt>
                <c:pt idx="25">
                  <c:v>28.7</c:v>
                </c:pt>
                <c:pt idx="26">
                  <c:v>28.9</c:v>
                </c:pt>
                <c:pt idx="27">
                  <c:v>28.6</c:v>
                </c:pt>
                <c:pt idx="28">
                  <c:v>27.8</c:v>
                </c:pt>
                <c:pt idx="29">
                  <c:v>20.2</c:v>
                </c:pt>
                <c:pt idx="30">
                  <c:v>19.3</c:v>
                </c:pt>
                <c:pt idx="31">
                  <c:v>20.9</c:v>
                </c:pt>
                <c:pt idx="32">
                  <c:v>23.1</c:v>
                </c:pt>
                <c:pt idx="33">
                  <c:v>26</c:v>
                </c:pt>
                <c:pt idx="34" formatCode="General">
                  <c:v>20.5</c:v>
                </c:pt>
                <c:pt idx="35" formatCode="General">
                  <c:v>20.300000000000004</c:v>
                </c:pt>
                <c:pt idx="36" formatCode="General">
                  <c:v>22.8</c:v>
                </c:pt>
                <c:pt idx="37" formatCode="General">
                  <c:v>23.700000000000003</c:v>
                </c:pt>
                <c:pt idx="38" formatCode="General">
                  <c:v>23.099999999999998</c:v>
                </c:pt>
              </c:numCache>
            </c:numRef>
          </c:val>
          <c:smooth val="0"/>
          <c:extLst>
            <c:ext xmlns:c16="http://schemas.microsoft.com/office/drawing/2014/chart" uri="{C3380CC4-5D6E-409C-BE32-E72D297353CC}">
              <c16:uniqueId val="{00000001-C1BA-46DD-99C9-6906D07B3C75}"/>
            </c:ext>
          </c:extLst>
        </c:ser>
        <c:ser>
          <c:idx val="2"/>
          <c:order val="2"/>
          <c:tx>
            <c:strRef>
              <c:f>place_nsa_all!$E$8</c:f>
              <c:strCache>
                <c:ptCount val="1"/>
                <c:pt idx="0">
                  <c:v>Double</c:v>
                </c:pt>
              </c:strCache>
            </c:strRef>
          </c:tx>
          <c:cat>
            <c:numRef>
              <c:f>place_nsa_all!$B$9:$B$47</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place_nsa_all!$E$9:$E$47</c:f>
              <c:numCache>
                <c:formatCode>#,##0.0</c:formatCode>
                <c:ptCount val="39"/>
                <c:pt idx="0">
                  <c:v>65.8</c:v>
                </c:pt>
                <c:pt idx="1">
                  <c:v>54.3</c:v>
                </c:pt>
                <c:pt idx="2">
                  <c:v>50.7</c:v>
                </c:pt>
                <c:pt idx="3">
                  <c:v>70.900000000000006</c:v>
                </c:pt>
                <c:pt idx="4">
                  <c:v>82.5</c:v>
                </c:pt>
                <c:pt idx="5">
                  <c:v>88.8</c:v>
                </c:pt>
                <c:pt idx="6">
                  <c:v>89.8</c:v>
                </c:pt>
                <c:pt idx="7">
                  <c:v>89.2</c:v>
                </c:pt>
                <c:pt idx="8">
                  <c:v>94.2</c:v>
                </c:pt>
                <c:pt idx="9">
                  <c:v>93.7</c:v>
                </c:pt>
                <c:pt idx="10">
                  <c:v>89.5</c:v>
                </c:pt>
                <c:pt idx="11">
                  <c:v>77.8</c:v>
                </c:pt>
                <c:pt idx="12">
                  <c:v>95.5</c:v>
                </c:pt>
                <c:pt idx="13">
                  <c:v>112.4</c:v>
                </c:pt>
                <c:pt idx="14">
                  <c:v>137.30000000000001</c:v>
                </c:pt>
                <c:pt idx="15">
                  <c:v>152.1</c:v>
                </c:pt>
                <c:pt idx="16">
                  <c:v>168.86</c:v>
                </c:pt>
                <c:pt idx="17">
                  <c:v>186.18</c:v>
                </c:pt>
                <c:pt idx="18">
                  <c:v>218.14</c:v>
                </c:pt>
                <c:pt idx="19">
                  <c:v>213</c:v>
                </c:pt>
                <c:pt idx="20">
                  <c:v>190.3</c:v>
                </c:pt>
                <c:pt idx="21">
                  <c:v>139.30000000000001</c:v>
                </c:pt>
                <c:pt idx="22">
                  <c:v>128.69999999999999</c:v>
                </c:pt>
                <c:pt idx="23">
                  <c:v>106</c:v>
                </c:pt>
                <c:pt idx="24">
                  <c:v>91.7</c:v>
                </c:pt>
                <c:pt idx="25">
                  <c:v>89.4</c:v>
                </c:pt>
                <c:pt idx="26">
                  <c:v>79.2</c:v>
                </c:pt>
                <c:pt idx="27">
                  <c:v>63.1</c:v>
                </c:pt>
                <c:pt idx="28">
                  <c:v>50.8</c:v>
                </c:pt>
                <c:pt idx="29">
                  <c:v>33.1</c:v>
                </c:pt>
                <c:pt idx="30">
                  <c:v>30.4</c:v>
                </c:pt>
                <c:pt idx="31">
                  <c:v>26.1</c:v>
                </c:pt>
                <c:pt idx="32">
                  <c:v>29</c:v>
                </c:pt>
                <c:pt idx="33">
                  <c:v>29.6</c:v>
                </c:pt>
                <c:pt idx="34">
                  <c:v>23.5</c:v>
                </c:pt>
                <c:pt idx="35">
                  <c:v>25.299999999999997</c:v>
                </c:pt>
                <c:pt idx="36">
                  <c:v>28.799999999999994</c:v>
                </c:pt>
                <c:pt idx="37">
                  <c:v>30.199999999999989</c:v>
                </c:pt>
                <c:pt idx="38">
                  <c:v>32.099999999999994</c:v>
                </c:pt>
              </c:numCache>
            </c:numRef>
          </c:val>
          <c:smooth val="0"/>
          <c:extLst>
            <c:ext xmlns:c16="http://schemas.microsoft.com/office/drawing/2014/chart" uri="{C3380CC4-5D6E-409C-BE32-E72D297353CC}">
              <c16:uniqueId val="{00000002-C1BA-46DD-99C9-6906D07B3C75}"/>
            </c:ext>
          </c:extLst>
        </c:ser>
        <c:dLbls>
          <c:showLegendKey val="0"/>
          <c:showVal val="0"/>
          <c:showCatName val="0"/>
          <c:showSerName val="0"/>
          <c:showPercent val="0"/>
          <c:showBubbleSize val="0"/>
        </c:dLbls>
        <c:marker val="1"/>
        <c:smooth val="0"/>
        <c:axId val="40626048"/>
        <c:axId val="40627584"/>
      </c:lineChart>
      <c:catAx>
        <c:axId val="40626048"/>
        <c:scaling>
          <c:orientation val="minMax"/>
        </c:scaling>
        <c:delete val="0"/>
        <c:axPos val="b"/>
        <c:numFmt formatCode="General" sourceLinked="1"/>
        <c:majorTickMark val="out"/>
        <c:minorTickMark val="none"/>
        <c:tickLblPos val="nextTo"/>
        <c:txPr>
          <a:bodyPr/>
          <a:lstStyle/>
          <a:p>
            <a:pPr>
              <a:defRPr sz="800" baseline="0"/>
            </a:pPr>
            <a:endParaRPr lang="en-US"/>
          </a:p>
        </c:txPr>
        <c:crossAx val="40627584"/>
        <c:crosses val="autoZero"/>
        <c:auto val="1"/>
        <c:lblAlgn val="ctr"/>
        <c:lblOffset val="100"/>
        <c:noMultiLvlLbl val="0"/>
      </c:catAx>
      <c:valAx>
        <c:axId val="40627584"/>
        <c:scaling>
          <c:orientation val="minMax"/>
        </c:scaling>
        <c:delete val="0"/>
        <c:axPos val="l"/>
        <c:majorGridlines/>
        <c:title>
          <c:tx>
            <c:rich>
              <a:bodyPr rot="-5400000" vert="horz"/>
              <a:lstStyle/>
              <a:p>
                <a:pPr>
                  <a:defRPr/>
                </a:pPr>
                <a:r>
                  <a:rPr lang="en-US"/>
                  <a:t>Thousands of Placements, U.S. </a:t>
                </a:r>
              </a:p>
            </c:rich>
          </c:tx>
          <c:overlay val="0"/>
        </c:title>
        <c:numFmt formatCode="#,##0" sourceLinked="0"/>
        <c:majorTickMark val="out"/>
        <c:minorTickMark val="none"/>
        <c:tickLblPos val="nextTo"/>
        <c:crossAx val="40626048"/>
        <c:crosses val="autoZero"/>
        <c:crossBetween val="midCat"/>
      </c:valAx>
    </c:plotArea>
    <c:legend>
      <c:legendPos val="r"/>
      <c:layout>
        <c:manualLayout>
          <c:xMode val="edge"/>
          <c:yMode val="edge"/>
          <c:x val="0.71745800524934378"/>
          <c:y val="8.73869932925051E-2"/>
          <c:w val="0.21323843721988736"/>
          <c:h val="0.22359085566075518"/>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place_nsa_all!$AD$8</c:f>
              <c:strCache>
                <c:ptCount val="1"/>
                <c:pt idx="0">
                  <c:v>Double Share</c:v>
                </c:pt>
              </c:strCache>
            </c:strRef>
          </c:tx>
          <c:cat>
            <c:numRef>
              <c:f>place_nsa_all!$AC$9:$AC$39</c:f>
              <c:numCache>
                <c:formatCode>General</c:formatCode>
                <c:ptCount val="3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numCache>
            </c:numRef>
          </c:cat>
          <c:val>
            <c:numRef>
              <c:f>place_nsa_all!$AD$9:$AD$39</c:f>
              <c:numCache>
                <c:formatCode>General</c:formatCode>
                <c:ptCount val="31"/>
                <c:pt idx="0">
                  <c:v>0.28155755241762942</c:v>
                </c:pt>
                <c:pt idx="1">
                  <c:v>0.23691099476439789</c:v>
                </c:pt>
                <c:pt idx="2">
                  <c:v>0.2165741136266553</c:v>
                </c:pt>
                <c:pt idx="3">
                  <c:v>0.25494426465300252</c:v>
                </c:pt>
                <c:pt idx="4">
                  <c:v>0.28655783258075723</c:v>
                </c:pt>
                <c:pt idx="5">
                  <c:v>0.31333803810868033</c:v>
                </c:pt>
                <c:pt idx="6">
                  <c:v>0.3506442795782897</c:v>
                </c:pt>
                <c:pt idx="7">
                  <c:v>0.37290969899665555</c:v>
                </c:pt>
                <c:pt idx="8">
                  <c:v>0.41997325011145786</c:v>
                </c:pt>
                <c:pt idx="9">
                  <c:v>0.46203155818540431</c:v>
                </c:pt>
                <c:pt idx="10">
                  <c:v>0.45803480040941658</c:v>
                </c:pt>
                <c:pt idx="11">
                  <c:v>0.44635685599541014</c:v>
                </c:pt>
                <c:pt idx="12">
                  <c:v>0.45047169811320753</c:v>
                </c:pt>
                <c:pt idx="13">
                  <c:v>0.4635051546391753</c:v>
                </c:pt>
                <c:pt idx="14">
                  <c:v>0.47198349948435897</c:v>
                </c:pt>
                <c:pt idx="15">
                  <c:v>0.47618153129461266</c:v>
                </c:pt>
                <c:pt idx="16">
                  <c:v>0.50010217650769584</c:v>
                </c:pt>
                <c:pt idx="17">
                  <c:v>0.55365235699247051</c:v>
                </c:pt>
                <c:pt idx="18">
                  <c:v>0.58374276141849435</c:v>
                </c:pt>
                <c:pt idx="19">
                  <c:v>0.62961868164351165</c:v>
                </c:pt>
                <c:pt idx="20">
                  <c:v>0.67746529013883949</c:v>
                </c:pt>
                <c:pt idx="21">
                  <c:v>0.70998980632008168</c:v>
                </c:pt>
                <c:pt idx="22">
                  <c:v>0.73838209982788283</c:v>
                </c:pt>
                <c:pt idx="23">
                  <c:v>0.75822603719599424</c:v>
                </c:pt>
                <c:pt idx="24">
                  <c:v>0.73713826366559487</c:v>
                </c:pt>
                <c:pt idx="25">
                  <c:v>0.72742066720911314</c:v>
                </c:pt>
                <c:pt idx="26">
                  <c:v>0.70462633451957291</c:v>
                </c:pt>
                <c:pt idx="27">
                  <c:v>0.66561181434599159</c:v>
                </c:pt>
                <c:pt idx="28">
                  <c:v>0.63105590062111794</c:v>
                </c:pt>
                <c:pt idx="29">
                  <c:v>0.60733944954128438</c:v>
                </c:pt>
                <c:pt idx="30">
                  <c:v>0.59960552268244571</c:v>
                </c:pt>
              </c:numCache>
            </c:numRef>
          </c:val>
          <c:smooth val="0"/>
          <c:extLst>
            <c:ext xmlns:c16="http://schemas.microsoft.com/office/drawing/2014/chart" uri="{C3380CC4-5D6E-409C-BE32-E72D297353CC}">
              <c16:uniqueId val="{00000000-924A-403D-9B49-1E46DE89B656}"/>
            </c:ext>
          </c:extLst>
        </c:ser>
        <c:dLbls>
          <c:showLegendKey val="0"/>
          <c:showVal val="0"/>
          <c:showCatName val="0"/>
          <c:showSerName val="0"/>
          <c:showPercent val="0"/>
          <c:showBubbleSize val="0"/>
        </c:dLbls>
        <c:marker val="1"/>
        <c:smooth val="0"/>
        <c:axId val="40652160"/>
        <c:axId val="40653952"/>
      </c:lineChart>
      <c:catAx>
        <c:axId val="40652160"/>
        <c:scaling>
          <c:orientation val="minMax"/>
        </c:scaling>
        <c:delete val="0"/>
        <c:axPos val="b"/>
        <c:numFmt formatCode="General" sourceLinked="1"/>
        <c:majorTickMark val="out"/>
        <c:minorTickMark val="none"/>
        <c:tickLblPos val="nextTo"/>
        <c:crossAx val="40653952"/>
        <c:crosses val="autoZero"/>
        <c:auto val="1"/>
        <c:lblAlgn val="ctr"/>
        <c:lblOffset val="100"/>
        <c:noMultiLvlLbl val="0"/>
      </c:catAx>
      <c:valAx>
        <c:axId val="40653952"/>
        <c:scaling>
          <c:orientation val="minMax"/>
        </c:scaling>
        <c:delete val="0"/>
        <c:axPos val="l"/>
        <c:majorGridlines/>
        <c:numFmt formatCode="General" sourceLinked="1"/>
        <c:majorTickMark val="out"/>
        <c:minorTickMark val="none"/>
        <c:tickLblPos val="nextTo"/>
        <c:crossAx val="406521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Plot_CNH!$D$3</c:f>
              <c:strCache>
                <c:ptCount val="1"/>
                <c:pt idx="0">
                  <c:v>New Units</c:v>
                </c:pt>
              </c:strCache>
            </c:strRef>
          </c:tx>
          <c:cat>
            <c:numRef>
              <c:f>Plot_CNH!$C$4:$C$49</c:f>
              <c:numCache>
                <c:formatCode>General</c:formatCode>
                <c:ptCount val="46"/>
                <c:pt idx="0">
                  <c:v>1973</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numCache>
            </c:numRef>
          </c:cat>
          <c:val>
            <c:numRef>
              <c:f>Plot_CNH!$D$4:$D$49</c:f>
              <c:numCache>
                <c:formatCode>#,##0</c:formatCode>
                <c:ptCount val="46"/>
                <c:pt idx="0">
                  <c:v>1660</c:v>
                </c:pt>
                <c:pt idx="1">
                  <c:v>1695</c:v>
                </c:pt>
                <c:pt idx="2">
                  <c:v>1645</c:v>
                </c:pt>
                <c:pt idx="3">
                  <c:v>1700</c:v>
                </c:pt>
                <c:pt idx="4">
                  <c:v>1720</c:v>
                </c:pt>
                <c:pt idx="5">
                  <c:v>1755</c:v>
                </c:pt>
                <c:pt idx="6">
                  <c:v>1760</c:v>
                </c:pt>
                <c:pt idx="7">
                  <c:v>1740</c:v>
                </c:pt>
                <c:pt idx="8">
                  <c:v>1720</c:v>
                </c:pt>
                <c:pt idx="9">
                  <c:v>1710</c:v>
                </c:pt>
                <c:pt idx="10">
                  <c:v>1725</c:v>
                </c:pt>
                <c:pt idx="11">
                  <c:v>1780</c:v>
                </c:pt>
                <c:pt idx="12">
                  <c:v>1785</c:v>
                </c:pt>
                <c:pt idx="13">
                  <c:v>1825</c:v>
                </c:pt>
                <c:pt idx="14">
                  <c:v>1905</c:v>
                </c:pt>
                <c:pt idx="15">
                  <c:v>1995</c:v>
                </c:pt>
                <c:pt idx="16">
                  <c:v>2035</c:v>
                </c:pt>
                <c:pt idx="17">
                  <c:v>2080</c:v>
                </c:pt>
                <c:pt idx="18">
                  <c:v>2075</c:v>
                </c:pt>
                <c:pt idx="19">
                  <c:v>2095</c:v>
                </c:pt>
                <c:pt idx="20">
                  <c:v>2095</c:v>
                </c:pt>
                <c:pt idx="21">
                  <c:v>2100</c:v>
                </c:pt>
                <c:pt idx="22">
                  <c:v>2095</c:v>
                </c:pt>
                <c:pt idx="23">
                  <c:v>2120</c:v>
                </c:pt>
                <c:pt idx="24">
                  <c:v>2150</c:v>
                </c:pt>
                <c:pt idx="25">
                  <c:v>2190</c:v>
                </c:pt>
                <c:pt idx="26">
                  <c:v>2223</c:v>
                </c:pt>
                <c:pt idx="27">
                  <c:v>2266</c:v>
                </c:pt>
                <c:pt idx="28">
                  <c:v>2324</c:v>
                </c:pt>
                <c:pt idx="29">
                  <c:v>2320</c:v>
                </c:pt>
                <c:pt idx="30">
                  <c:v>2330</c:v>
                </c:pt>
                <c:pt idx="31">
                  <c:v>2349</c:v>
                </c:pt>
                <c:pt idx="32">
                  <c:v>2434</c:v>
                </c:pt>
                <c:pt idx="33">
                  <c:v>2469</c:v>
                </c:pt>
                <c:pt idx="34">
                  <c:v>2521</c:v>
                </c:pt>
                <c:pt idx="35">
                  <c:v>2519</c:v>
                </c:pt>
                <c:pt idx="36">
                  <c:v>2438</c:v>
                </c:pt>
                <c:pt idx="37">
                  <c:v>2392</c:v>
                </c:pt>
                <c:pt idx="38">
                  <c:v>2480</c:v>
                </c:pt>
                <c:pt idx="39">
                  <c:v>2505</c:v>
                </c:pt>
                <c:pt idx="40">
                  <c:v>2598</c:v>
                </c:pt>
                <c:pt idx="41">
                  <c:v>2657</c:v>
                </c:pt>
                <c:pt idx="42">
                  <c:v>2687</c:v>
                </c:pt>
                <c:pt idx="43">
                  <c:v>2640</c:v>
                </c:pt>
                <c:pt idx="44">
                  <c:v>2631</c:v>
                </c:pt>
                <c:pt idx="45">
                  <c:v>2588</c:v>
                </c:pt>
              </c:numCache>
            </c:numRef>
          </c:val>
          <c:smooth val="0"/>
          <c:extLst>
            <c:ext xmlns:c16="http://schemas.microsoft.com/office/drawing/2014/chart" uri="{C3380CC4-5D6E-409C-BE32-E72D297353CC}">
              <c16:uniqueId val="{00000000-572B-4B74-B802-F20647FD2F22}"/>
            </c:ext>
          </c:extLst>
        </c:ser>
        <c:dLbls>
          <c:showLegendKey val="0"/>
          <c:showVal val="0"/>
          <c:showCatName val="0"/>
          <c:showSerName val="0"/>
          <c:showPercent val="0"/>
          <c:showBubbleSize val="0"/>
        </c:dLbls>
        <c:marker val="1"/>
        <c:smooth val="0"/>
        <c:axId val="40787328"/>
        <c:axId val="217597056"/>
      </c:lineChart>
      <c:catAx>
        <c:axId val="40787328"/>
        <c:scaling>
          <c:orientation val="minMax"/>
        </c:scaling>
        <c:delete val="0"/>
        <c:axPos val="b"/>
        <c:numFmt formatCode="General" sourceLinked="1"/>
        <c:majorTickMark val="out"/>
        <c:minorTickMark val="none"/>
        <c:tickLblPos val="nextTo"/>
        <c:crossAx val="217597056"/>
        <c:crosses val="autoZero"/>
        <c:auto val="1"/>
        <c:lblAlgn val="ctr"/>
        <c:lblOffset val="100"/>
        <c:tickLblSkip val="4"/>
        <c:tickMarkSkip val="5"/>
        <c:noMultiLvlLbl val="0"/>
      </c:catAx>
      <c:valAx>
        <c:axId val="217597056"/>
        <c:scaling>
          <c:orientation val="minMax"/>
        </c:scaling>
        <c:delete val="0"/>
        <c:axPos val="l"/>
        <c:majorGridlines/>
        <c:title>
          <c:tx>
            <c:rich>
              <a:bodyPr rot="-5400000" vert="horz"/>
              <a:lstStyle/>
              <a:p>
                <a:pPr>
                  <a:defRPr/>
                </a:pPr>
                <a:r>
                  <a:rPr lang="en-US"/>
                  <a:t>Average Square Feet per Unit</a:t>
                </a:r>
              </a:p>
            </c:rich>
          </c:tx>
          <c:overlay val="0"/>
        </c:title>
        <c:numFmt formatCode="#,##0" sourceLinked="1"/>
        <c:majorTickMark val="out"/>
        <c:minorTickMark val="none"/>
        <c:tickLblPos val="nextTo"/>
        <c:crossAx val="40787328"/>
        <c:crosses val="autoZero"/>
        <c:crossBetween val="midCat"/>
      </c:valAx>
    </c:plotArea>
    <c:plotVisOnly val="1"/>
    <c:dispBlanksAs val="gap"/>
    <c:showDLblsOverMax val="0"/>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03937007874017"/>
          <c:y val="9.7222222222222224E-2"/>
          <c:w val="0.80261132983377093"/>
          <c:h val="0.73232976086322543"/>
        </c:manualLayout>
      </c:layout>
      <c:lineChart>
        <c:grouping val="standard"/>
        <c:varyColors val="0"/>
        <c:ser>
          <c:idx val="0"/>
          <c:order val="0"/>
          <c:tx>
            <c:strRef>
              <c:f>Plot_CNH!$D$3</c:f>
              <c:strCache>
                <c:ptCount val="1"/>
                <c:pt idx="0">
                  <c:v>New Units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Plot_CNH!$C$4:$C$49</c:f>
              <c:numCache>
                <c:formatCode>General</c:formatCode>
                <c:ptCount val="46"/>
                <c:pt idx="0">
                  <c:v>1973</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numCache>
            </c:numRef>
          </c:cat>
          <c:val>
            <c:numRef>
              <c:f>Plot_CNH!$D$4:$D$49</c:f>
              <c:numCache>
                <c:formatCode>#,##0</c:formatCode>
                <c:ptCount val="46"/>
                <c:pt idx="0">
                  <c:v>1660</c:v>
                </c:pt>
                <c:pt idx="1">
                  <c:v>1695</c:v>
                </c:pt>
                <c:pt idx="2">
                  <c:v>1645</c:v>
                </c:pt>
                <c:pt idx="3">
                  <c:v>1700</c:v>
                </c:pt>
                <c:pt idx="4">
                  <c:v>1720</c:v>
                </c:pt>
                <c:pt idx="5">
                  <c:v>1755</c:v>
                </c:pt>
                <c:pt idx="6">
                  <c:v>1760</c:v>
                </c:pt>
                <c:pt idx="7">
                  <c:v>1740</c:v>
                </c:pt>
                <c:pt idx="8">
                  <c:v>1720</c:v>
                </c:pt>
                <c:pt idx="9">
                  <c:v>1710</c:v>
                </c:pt>
                <c:pt idx="10">
                  <c:v>1725</c:v>
                </c:pt>
                <c:pt idx="11">
                  <c:v>1780</c:v>
                </c:pt>
                <c:pt idx="12">
                  <c:v>1785</c:v>
                </c:pt>
                <c:pt idx="13">
                  <c:v>1825</c:v>
                </c:pt>
                <c:pt idx="14">
                  <c:v>1905</c:v>
                </c:pt>
                <c:pt idx="15">
                  <c:v>1995</c:v>
                </c:pt>
                <c:pt idx="16">
                  <c:v>2035</c:v>
                </c:pt>
                <c:pt idx="17">
                  <c:v>2080</c:v>
                </c:pt>
                <c:pt idx="18">
                  <c:v>2075</c:v>
                </c:pt>
                <c:pt idx="19">
                  <c:v>2095</c:v>
                </c:pt>
                <c:pt idx="20">
                  <c:v>2095</c:v>
                </c:pt>
                <c:pt idx="21">
                  <c:v>2100</c:v>
                </c:pt>
                <c:pt idx="22">
                  <c:v>2095</c:v>
                </c:pt>
                <c:pt idx="23">
                  <c:v>2120</c:v>
                </c:pt>
                <c:pt idx="24">
                  <c:v>2150</c:v>
                </c:pt>
                <c:pt idx="25">
                  <c:v>2190</c:v>
                </c:pt>
                <c:pt idx="26">
                  <c:v>2223</c:v>
                </c:pt>
                <c:pt idx="27">
                  <c:v>2266</c:v>
                </c:pt>
                <c:pt idx="28">
                  <c:v>2324</c:v>
                </c:pt>
                <c:pt idx="29">
                  <c:v>2320</c:v>
                </c:pt>
                <c:pt idx="30">
                  <c:v>2330</c:v>
                </c:pt>
                <c:pt idx="31">
                  <c:v>2349</c:v>
                </c:pt>
                <c:pt idx="32">
                  <c:v>2434</c:v>
                </c:pt>
                <c:pt idx="33">
                  <c:v>2469</c:v>
                </c:pt>
                <c:pt idx="34">
                  <c:v>2521</c:v>
                </c:pt>
                <c:pt idx="35">
                  <c:v>2519</c:v>
                </c:pt>
                <c:pt idx="36">
                  <c:v>2438</c:v>
                </c:pt>
                <c:pt idx="37">
                  <c:v>2392</c:v>
                </c:pt>
                <c:pt idx="38">
                  <c:v>2480</c:v>
                </c:pt>
                <c:pt idx="39">
                  <c:v>2505</c:v>
                </c:pt>
                <c:pt idx="40">
                  <c:v>2598</c:v>
                </c:pt>
                <c:pt idx="41">
                  <c:v>2657</c:v>
                </c:pt>
                <c:pt idx="42">
                  <c:v>2687</c:v>
                </c:pt>
                <c:pt idx="43">
                  <c:v>2640</c:v>
                </c:pt>
                <c:pt idx="44">
                  <c:v>2631</c:v>
                </c:pt>
                <c:pt idx="45">
                  <c:v>2588</c:v>
                </c:pt>
              </c:numCache>
            </c:numRef>
          </c:val>
          <c:smooth val="0"/>
          <c:extLst>
            <c:ext xmlns:c16="http://schemas.microsoft.com/office/drawing/2014/chart" uri="{C3380CC4-5D6E-409C-BE32-E72D297353CC}">
              <c16:uniqueId val="{00000000-3394-4D9A-842F-62405319C3D6}"/>
            </c:ext>
          </c:extLst>
        </c:ser>
        <c:ser>
          <c:idx val="1"/>
          <c:order val="1"/>
          <c:tx>
            <c:strRef>
              <c:f>Plot_CNH!$E$3</c:f>
              <c:strCache>
                <c:ptCount val="1"/>
                <c:pt idx="0">
                  <c:v>Existing Stock</c:v>
                </c:pt>
              </c:strCache>
            </c:strRef>
          </c:tx>
          <c:spPr>
            <a:ln w="28575" cap="rnd">
              <a:solidFill>
                <a:schemeClr val="accent2"/>
              </a:solidFill>
              <a:round/>
            </a:ln>
            <a:effectLst/>
          </c:spPr>
          <c:marker>
            <c:symbol val="triangle"/>
            <c:size val="5"/>
            <c:spPr>
              <a:solidFill>
                <a:schemeClr val="accent2"/>
              </a:solidFill>
              <a:ln w="9525">
                <a:solidFill>
                  <a:schemeClr val="accent2"/>
                </a:solidFill>
              </a:ln>
              <a:effectLst/>
            </c:spPr>
          </c:marker>
          <c:cat>
            <c:numRef>
              <c:f>Plot_CNH!$C$4:$C$49</c:f>
              <c:numCache>
                <c:formatCode>General</c:formatCode>
                <c:ptCount val="46"/>
                <c:pt idx="0">
                  <c:v>1973</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numCache>
            </c:numRef>
          </c:cat>
          <c:val>
            <c:numRef>
              <c:f>Plot_CNH!$E$4:$E$49</c:f>
              <c:numCache>
                <c:formatCode>General</c:formatCode>
                <c:ptCount val="46"/>
                <c:pt idx="12" formatCode="#,##0">
                  <c:v>1849.0897575916233</c:v>
                </c:pt>
                <c:pt idx="13" formatCode="#,##0">
                  <c:v>1845.3032226028363</c:v>
                </c:pt>
                <c:pt idx="14" formatCode="#,##0">
                  <c:v>1858.8984015399869</c:v>
                </c:pt>
                <c:pt idx="15" formatCode="#,##0">
                  <c:v>1873.0173648555019</c:v>
                </c:pt>
                <c:pt idx="16" formatCode="#,##0">
                  <c:v>1886.7306152316403</c:v>
                </c:pt>
                <c:pt idx="17" formatCode="#,##0">
                  <c:v>1900.3434366128959</c:v>
                </c:pt>
                <c:pt idx="18" formatCode="#,##0">
                  <c:v>1911.5195446207103</c:v>
                </c:pt>
                <c:pt idx="19" formatCode="#,##0">
                  <c:v>1927.3581296870789</c:v>
                </c:pt>
                <c:pt idx="20" formatCode="#,##0">
                  <c:v>1942.5931442659185</c:v>
                </c:pt>
                <c:pt idx="21" formatCode="#,##0">
                  <c:v>1958.9665470585048</c:v>
                </c:pt>
                <c:pt idx="22" formatCode="#,##0">
                  <c:v>1971.0324425429283</c:v>
                </c:pt>
                <c:pt idx="23" formatCode="#,##0">
                  <c:v>1985.8302610578116</c:v>
                </c:pt>
                <c:pt idx="24" formatCode="#,##0">
                  <c:v>1999.5975694016099</c:v>
                </c:pt>
                <c:pt idx="25" formatCode="#,##0">
                  <c:v>2014.7570219038193</c:v>
                </c:pt>
                <c:pt idx="26" formatCode="#,##0">
                  <c:v>2031.8227956659466</c:v>
                </c:pt>
                <c:pt idx="27" formatCode="#,##0">
                  <c:v>2047.063356998982</c:v>
                </c:pt>
                <c:pt idx="28" formatCode="#,##0">
                  <c:v>2063.6263714567831</c:v>
                </c:pt>
                <c:pt idx="29" formatCode="#,##0">
                  <c:v>2080.8927473426156</c:v>
                </c:pt>
                <c:pt idx="30" formatCode="#,##0">
                  <c:v>2098.1730969428168</c:v>
                </c:pt>
                <c:pt idx="31" formatCode="#,##0">
                  <c:v>2117.5026549267072</c:v>
                </c:pt>
                <c:pt idx="32" formatCode="#,##0">
                  <c:v>2138.3776791572573</c:v>
                </c:pt>
                <c:pt idx="33" formatCode="#,##0">
                  <c:v>2158.3309177961414</c:v>
                </c:pt>
                <c:pt idx="34" formatCode="#,##0">
                  <c:v>2168.9358849751275</c:v>
                </c:pt>
                <c:pt idx="35" formatCode="#,##0">
                  <c:v>2176.1427273015274</c:v>
                </c:pt>
                <c:pt idx="36" formatCode="#,##0">
                  <c:v>2181.3182757931095</c:v>
                </c:pt>
                <c:pt idx="37" formatCode="#,##0">
                  <c:v>2184.4367550310162</c:v>
                </c:pt>
                <c:pt idx="38" formatCode="#,##0">
                  <c:v>2188.3259705873934</c:v>
                </c:pt>
                <c:pt idx="39" formatCode="#,##0">
                  <c:v>2195.6739625779692</c:v>
                </c:pt>
                <c:pt idx="40" formatCode="#,##0">
                  <c:v>2204.949636600667</c:v>
                </c:pt>
                <c:pt idx="41" formatCode="#,##0">
                  <c:v>2216.5775967088935</c:v>
                </c:pt>
                <c:pt idx="42" formatCode="#,##0">
                  <c:v>2228.3029555662597</c:v>
                </c:pt>
                <c:pt idx="43" formatCode="#,##0">
                  <c:v>2241.0865690417086</c:v>
                </c:pt>
                <c:pt idx="44" formatCode="#,##0">
                  <c:v>2253.6687918388634</c:v>
                </c:pt>
                <c:pt idx="45" formatCode="#,##0">
                  <c:v>2265.8145288234605</c:v>
                </c:pt>
              </c:numCache>
            </c:numRef>
          </c:val>
          <c:smooth val="0"/>
          <c:extLst>
            <c:ext xmlns:c16="http://schemas.microsoft.com/office/drawing/2014/chart" uri="{C3380CC4-5D6E-409C-BE32-E72D297353CC}">
              <c16:uniqueId val="{00000001-3394-4D9A-842F-62405319C3D6}"/>
            </c:ext>
          </c:extLst>
        </c:ser>
        <c:dLbls>
          <c:showLegendKey val="0"/>
          <c:showVal val="0"/>
          <c:showCatName val="0"/>
          <c:showSerName val="0"/>
          <c:showPercent val="0"/>
          <c:showBubbleSize val="0"/>
        </c:dLbls>
        <c:marker val="1"/>
        <c:smooth val="0"/>
        <c:axId val="610990280"/>
        <c:axId val="610990600"/>
      </c:lineChart>
      <c:catAx>
        <c:axId val="610990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40" b="0" i="0" u="none" strike="noStrike" kern="1200" baseline="0">
                <a:solidFill>
                  <a:sysClr val="windowText" lastClr="000000"/>
                </a:solidFill>
                <a:latin typeface="+mn-lt"/>
                <a:ea typeface="+mn-ea"/>
                <a:cs typeface="+mn-cs"/>
              </a:defRPr>
            </a:pPr>
            <a:endParaRPr lang="en-US"/>
          </a:p>
        </c:txPr>
        <c:crossAx val="610990600"/>
        <c:crosses val="autoZero"/>
        <c:auto val="1"/>
        <c:lblAlgn val="ctr"/>
        <c:lblOffset val="100"/>
        <c:tickLblSkip val="4"/>
        <c:tickMarkSkip val="4"/>
        <c:noMultiLvlLbl val="0"/>
      </c:catAx>
      <c:valAx>
        <c:axId val="610990600"/>
        <c:scaling>
          <c:orientation val="minMax"/>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i="0" baseline="0">
                    <a:solidFill>
                      <a:sysClr val="windowText" lastClr="000000"/>
                    </a:solidFill>
                  </a:rPr>
                  <a:t>Aveage Square Foot per Unit</a:t>
                </a:r>
              </a:p>
            </c:rich>
          </c:tx>
          <c:layout>
            <c:manualLayout>
              <c:xMode val="edge"/>
              <c:yMode val="edge"/>
              <c:x val="2.443044619422572E-2"/>
              <c:y val="0.1737343248760571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0990280"/>
        <c:crosses val="autoZero"/>
        <c:crossBetween val="between"/>
      </c:valAx>
      <c:spPr>
        <a:noFill/>
        <a:ln>
          <a:noFill/>
        </a:ln>
        <a:effectLst/>
      </c:spPr>
    </c:plotArea>
    <c:legend>
      <c:legendPos val="b"/>
      <c:layout>
        <c:manualLayout>
          <c:xMode val="edge"/>
          <c:yMode val="edge"/>
          <c:x val="0.57952952755905507"/>
          <c:y val="0.54687445319335082"/>
          <c:w val="0.27982961504811904"/>
          <c:h val="0.19849591717701953"/>
        </c:manualLayout>
      </c:layout>
      <c:overlay val="0"/>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15507436570428"/>
          <c:y val="6.7513222478610108E-2"/>
          <c:w val="0.81977668416447946"/>
          <c:h val="0.77069565700057885"/>
        </c:manualLayout>
      </c:layout>
      <c:lineChart>
        <c:grouping val="standard"/>
        <c:varyColors val="0"/>
        <c:ser>
          <c:idx val="0"/>
          <c:order val="0"/>
          <c:tx>
            <c:strRef>
              <c:f>Compare_size!$D$6</c:f>
              <c:strCache>
                <c:ptCount val="1"/>
                <c:pt idx="0">
                  <c:v>  RECS</c:v>
                </c:pt>
              </c:strCache>
            </c:strRef>
          </c:tx>
          <c:cat>
            <c:numRef>
              <c:f>Compare_size!$C$7:$C$45</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Compare_size!$D$7:$D$45</c:f>
              <c:numCache>
                <c:formatCode>General</c:formatCode>
                <c:ptCount val="39"/>
                <c:pt idx="4" formatCode="#,##0">
                  <c:v>2037.5</c:v>
                </c:pt>
                <c:pt idx="7" formatCode="#,##0">
                  <c:v>2130.0826446280989</c:v>
                </c:pt>
                <c:pt idx="10" formatCode="#,##0">
                  <c:v>2187.4223602484471</c:v>
                </c:pt>
                <c:pt idx="13" formatCode="#,##0">
                  <c:v>2278.443113772455</c:v>
                </c:pt>
                <c:pt idx="21" formatCode="#,##0">
                  <c:v>2527.1542950196772</c:v>
                </c:pt>
                <c:pt idx="25" formatCode="#,##0">
                  <c:v>2837.89508364833</c:v>
                </c:pt>
                <c:pt idx="29" formatCode="#,##0">
                  <c:v>2424.2038216560509</c:v>
                </c:pt>
                <c:pt idx="35" formatCode="#,##0">
                  <c:v>2484.5488257107536</c:v>
                </c:pt>
              </c:numCache>
            </c:numRef>
          </c:val>
          <c:smooth val="0"/>
          <c:extLst>
            <c:ext xmlns:c16="http://schemas.microsoft.com/office/drawing/2014/chart" uri="{C3380CC4-5D6E-409C-BE32-E72D297353CC}">
              <c16:uniqueId val="{00000000-BB39-4052-9B4D-9787A6EEA63B}"/>
            </c:ext>
          </c:extLst>
        </c:ser>
        <c:ser>
          <c:idx val="1"/>
          <c:order val="1"/>
          <c:tx>
            <c:strRef>
              <c:f>Compare_size!$E$6</c:f>
              <c:strCache>
                <c:ptCount val="1"/>
                <c:pt idx="0">
                  <c:v>  AHS</c:v>
                </c:pt>
              </c:strCache>
            </c:strRef>
          </c:tx>
          <c:cat>
            <c:numRef>
              <c:f>Compare_size!$C$7:$C$45</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Compare_size!$E$7:$E$45</c:f>
              <c:numCache>
                <c:formatCode>General</c:formatCode>
                <c:ptCount val="39"/>
                <c:pt idx="17" formatCode="#,##0">
                  <c:v>1921.3143841971068</c:v>
                </c:pt>
                <c:pt idx="19" formatCode="#,##0">
                  <c:v>2035.1812359418229</c:v>
                </c:pt>
                <c:pt idx="21" formatCode="#,##0">
                  <c:v>2027.4533925593496</c:v>
                </c:pt>
                <c:pt idx="23" formatCode="#,##0">
                  <c:v>2100.7245703310732</c:v>
                </c:pt>
                <c:pt idx="25" formatCode="#,##0">
                  <c:v>2164.1037414509847</c:v>
                </c:pt>
                <c:pt idx="27" formatCode="#,##0">
                  <c:v>2180.0622521425626</c:v>
                </c:pt>
                <c:pt idx="29" formatCode="#,##0">
                  <c:v>2192.3844424420886</c:v>
                </c:pt>
                <c:pt idx="31" formatCode="#,##0">
                  <c:v>2201.2684808712961</c:v>
                </c:pt>
                <c:pt idx="33" formatCode="#,##0">
                  <c:v>2217.3604819525503</c:v>
                </c:pt>
              </c:numCache>
            </c:numRef>
          </c:val>
          <c:smooth val="0"/>
          <c:extLst>
            <c:ext xmlns:c16="http://schemas.microsoft.com/office/drawing/2014/chart" uri="{C3380CC4-5D6E-409C-BE32-E72D297353CC}">
              <c16:uniqueId val="{00000001-BB39-4052-9B4D-9787A6EEA63B}"/>
            </c:ext>
          </c:extLst>
        </c:ser>
        <c:ser>
          <c:idx val="2"/>
          <c:order val="2"/>
          <c:tx>
            <c:strRef>
              <c:f>Compare_size!$F$6</c:f>
              <c:strCache>
                <c:ptCount val="1"/>
                <c:pt idx="0">
                  <c:v> Predicted</c:v>
                </c:pt>
              </c:strCache>
            </c:strRef>
          </c:tx>
          <c:spPr>
            <a:ln>
              <a:solidFill>
                <a:schemeClr val="accent3">
                  <a:lumMod val="50000"/>
                </a:schemeClr>
              </a:solidFill>
            </a:ln>
          </c:spPr>
          <c:marker>
            <c:symbol val="none"/>
          </c:marker>
          <c:cat>
            <c:numRef>
              <c:f>Compare_size!$C$7:$C$45</c:f>
              <c:numCache>
                <c:formatCode>General</c:formatCod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numCache>
            </c:numRef>
          </c:cat>
          <c:val>
            <c:numRef>
              <c:f>Compare_size!$F$7:$F$45</c:f>
              <c:numCache>
                <c:formatCode>General</c:formatCode>
                <c:ptCount val="39"/>
                <c:pt idx="5" formatCode="#,##0">
                  <c:v>1849.0897575916233</c:v>
                </c:pt>
                <c:pt idx="6" formatCode="#,##0">
                  <c:v>1845.3032226028363</c:v>
                </c:pt>
                <c:pt idx="7" formatCode="#,##0">
                  <c:v>1858.8984015399869</c:v>
                </c:pt>
                <c:pt idx="8" formatCode="#,##0">
                  <c:v>1873.0173648555019</c:v>
                </c:pt>
                <c:pt idx="9" formatCode="#,##0">
                  <c:v>1886.7306152316403</c:v>
                </c:pt>
                <c:pt idx="10" formatCode="#,##0">
                  <c:v>1900.3434366128959</c:v>
                </c:pt>
                <c:pt idx="11" formatCode="#,##0">
                  <c:v>1911.5195446207103</c:v>
                </c:pt>
                <c:pt idx="12" formatCode="#,##0">
                  <c:v>1927.3581296870789</c:v>
                </c:pt>
                <c:pt idx="13" formatCode="#,##0">
                  <c:v>1942.5931442659185</c:v>
                </c:pt>
                <c:pt idx="14" formatCode="#,##0">
                  <c:v>1958.9665470585048</c:v>
                </c:pt>
                <c:pt idx="15" formatCode="#,##0">
                  <c:v>1971.0324425429283</c:v>
                </c:pt>
                <c:pt idx="16" formatCode="#,##0">
                  <c:v>1985.8302610578116</c:v>
                </c:pt>
                <c:pt idx="17" formatCode="#,##0">
                  <c:v>1999.5975694016099</c:v>
                </c:pt>
                <c:pt idx="18" formatCode="#,##0">
                  <c:v>2014.7570219038193</c:v>
                </c:pt>
                <c:pt idx="19" formatCode="#,##0">
                  <c:v>2031.8227956659466</c:v>
                </c:pt>
                <c:pt idx="20" formatCode="#,##0">
                  <c:v>2047.063356998982</c:v>
                </c:pt>
                <c:pt idx="21" formatCode="#,##0">
                  <c:v>2063.6263714567831</c:v>
                </c:pt>
                <c:pt idx="22" formatCode="#,##0">
                  <c:v>2080.8927473426156</c:v>
                </c:pt>
                <c:pt idx="23" formatCode="#,##0">
                  <c:v>2098.1730969428168</c:v>
                </c:pt>
                <c:pt idx="24" formatCode="#,##0">
                  <c:v>2117.5026549267072</c:v>
                </c:pt>
                <c:pt idx="25" formatCode="#,##0">
                  <c:v>2138.3776791572573</c:v>
                </c:pt>
                <c:pt idx="26" formatCode="#,##0">
                  <c:v>2158.3309177961414</c:v>
                </c:pt>
                <c:pt idx="27" formatCode="#,##0">
                  <c:v>2168.9358849751275</c:v>
                </c:pt>
                <c:pt idx="28" formatCode="#,##0">
                  <c:v>2176.1427273015274</c:v>
                </c:pt>
                <c:pt idx="29" formatCode="#,##0">
                  <c:v>2181.3182757931095</c:v>
                </c:pt>
                <c:pt idx="30" formatCode="#,##0">
                  <c:v>2184.4367550310162</c:v>
                </c:pt>
                <c:pt idx="31" formatCode="#,##0">
                  <c:v>2188.3259705873934</c:v>
                </c:pt>
                <c:pt idx="32" formatCode="#,##0">
                  <c:v>2195.6739625779692</c:v>
                </c:pt>
                <c:pt idx="33" formatCode="#,##0">
                  <c:v>2204.949636600667</c:v>
                </c:pt>
                <c:pt idx="34" formatCode="#,##0">
                  <c:v>2216.5775967088935</c:v>
                </c:pt>
                <c:pt idx="35" formatCode="#,##0">
                  <c:v>2228.3029555662597</c:v>
                </c:pt>
                <c:pt idx="36" formatCode="#,##0">
                  <c:v>2241.0865690417086</c:v>
                </c:pt>
                <c:pt idx="37" formatCode="#,##0">
                  <c:v>2253.6687918388634</c:v>
                </c:pt>
                <c:pt idx="38" formatCode="#,##0">
                  <c:v>2265.8145288234605</c:v>
                </c:pt>
              </c:numCache>
            </c:numRef>
          </c:val>
          <c:smooth val="0"/>
          <c:extLst>
            <c:ext xmlns:c16="http://schemas.microsoft.com/office/drawing/2014/chart" uri="{C3380CC4-5D6E-409C-BE32-E72D297353CC}">
              <c16:uniqueId val="{00000002-BB39-4052-9B4D-9787A6EEA63B}"/>
            </c:ext>
          </c:extLst>
        </c:ser>
        <c:dLbls>
          <c:showLegendKey val="0"/>
          <c:showVal val="0"/>
          <c:showCatName val="0"/>
          <c:showSerName val="0"/>
          <c:showPercent val="0"/>
          <c:showBubbleSize val="0"/>
        </c:dLbls>
        <c:marker val="1"/>
        <c:smooth val="0"/>
        <c:axId val="38387072"/>
        <c:axId val="38392960"/>
      </c:lineChart>
      <c:catAx>
        <c:axId val="38387072"/>
        <c:scaling>
          <c:orientation val="minMax"/>
        </c:scaling>
        <c:delete val="0"/>
        <c:axPos val="b"/>
        <c:numFmt formatCode="General" sourceLinked="1"/>
        <c:majorTickMark val="out"/>
        <c:minorTickMark val="none"/>
        <c:tickLblPos val="nextTo"/>
        <c:crossAx val="38392960"/>
        <c:crosses val="autoZero"/>
        <c:auto val="1"/>
        <c:lblAlgn val="ctr"/>
        <c:lblOffset val="100"/>
        <c:tickLblSkip val="5"/>
        <c:tickMarkSkip val="5"/>
        <c:noMultiLvlLbl val="0"/>
      </c:catAx>
      <c:valAx>
        <c:axId val="38392960"/>
        <c:scaling>
          <c:orientation val="minMax"/>
        </c:scaling>
        <c:delete val="0"/>
        <c:axPos val="l"/>
        <c:majorGridlines/>
        <c:numFmt formatCode="#,##0" sourceLinked="0"/>
        <c:majorTickMark val="out"/>
        <c:minorTickMark val="none"/>
        <c:tickLblPos val="nextTo"/>
        <c:crossAx val="38387072"/>
        <c:crosses val="autoZero"/>
        <c:crossBetween val="between"/>
      </c:valAx>
      <c:spPr>
        <a:ln>
          <a:solidFill>
            <a:schemeClr val="accent3">
              <a:lumMod val="50000"/>
            </a:schemeClr>
          </a:solidFill>
        </a:ln>
      </c:spPr>
    </c:plotArea>
    <c:legend>
      <c:legendPos val="r"/>
      <c:layout>
        <c:manualLayout>
          <c:xMode val="edge"/>
          <c:yMode val="edge"/>
          <c:x val="0.21042970784721277"/>
          <c:y val="0.50222789016172897"/>
          <c:w val="0.2903890481897855"/>
          <c:h val="0.25115157480314959"/>
        </c:manualLayout>
      </c:layout>
      <c:overlay val="0"/>
      <c:spPr>
        <a:solidFill>
          <a:schemeClr val="bg1"/>
        </a:solidFill>
        <a:ln>
          <a:solidFill>
            <a:schemeClr val="accent3">
              <a:lumMod val="50000"/>
            </a:schemeClr>
          </a:solidFill>
        </a:ln>
      </c:spPr>
    </c:legend>
    <c:plotVisOnly val="1"/>
    <c:dispBlanksAs val="gap"/>
    <c:showDLblsOverMax val="0"/>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Compare_size!$V$6</c:f>
              <c:strCache>
                <c:ptCount val="1"/>
                <c:pt idx="0">
                  <c:v>  RECS</c:v>
                </c:pt>
              </c:strCache>
            </c:strRef>
          </c:tx>
          <c:cat>
            <c:numRef>
              <c:f>Compare_size!$U$7:$U$33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Compare_size!$V$7:$V$33</c:f>
              <c:numCache>
                <c:formatCode>General</c:formatCode>
                <c:ptCount val="27"/>
                <c:pt idx="0">
                  <c:v>961.86440677966084</c:v>
                </c:pt>
                <c:pt idx="3">
                  <c:v>941.6</c:v>
                </c:pt>
                <c:pt idx="6">
                  <c:v>961.47540983606575</c:v>
                </c:pt>
                <c:pt idx="9">
                  <c:v>974.38016528925618</c:v>
                </c:pt>
                <c:pt idx="17">
                  <c:v>1042.652776205035</c:v>
                </c:pt>
                <c:pt idx="21">
                  <c:v>1500.9954637388805</c:v>
                </c:pt>
              </c:numCache>
            </c:numRef>
          </c:val>
          <c:smooth val="0"/>
          <c:extLst>
            <c:ext xmlns:c16="http://schemas.microsoft.com/office/drawing/2014/chart" uri="{C3380CC4-5D6E-409C-BE32-E72D297353CC}">
              <c16:uniqueId val="{00000000-866B-44A0-97B5-BE368A922D89}"/>
            </c:ext>
          </c:extLst>
        </c:ser>
        <c:ser>
          <c:idx val="1"/>
          <c:order val="1"/>
          <c:tx>
            <c:strRef>
              <c:f>Compare_size!$W$6</c:f>
              <c:strCache>
                <c:ptCount val="1"/>
                <c:pt idx="0">
                  <c:v>  AHS</c:v>
                </c:pt>
              </c:strCache>
            </c:strRef>
          </c:tx>
          <c:cat>
            <c:numRef>
              <c:f>Compare_size!$U$7:$U$33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Compare_size!$W$7:$W$33</c:f>
              <c:numCache>
                <c:formatCode>General</c:formatCode>
                <c:ptCount val="27"/>
                <c:pt idx="13">
                  <c:v>809.06447582775183</c:v>
                </c:pt>
                <c:pt idx="15">
                  <c:v>939.00179310083502</c:v>
                </c:pt>
                <c:pt idx="17">
                  <c:v>966.64024447608347</c:v>
                </c:pt>
                <c:pt idx="19">
                  <c:v>998.22785189173953</c:v>
                </c:pt>
                <c:pt idx="21">
                  <c:v>1008.8160270695414</c:v>
                </c:pt>
                <c:pt idx="23">
                  <c:v>1021.032830224587</c:v>
                </c:pt>
                <c:pt idx="25">
                  <c:v>1042.6252707255142</c:v>
                </c:pt>
              </c:numCache>
            </c:numRef>
          </c:val>
          <c:smooth val="0"/>
          <c:extLst>
            <c:ext xmlns:c16="http://schemas.microsoft.com/office/drawing/2014/chart" uri="{C3380CC4-5D6E-409C-BE32-E72D297353CC}">
              <c16:uniqueId val="{00000001-866B-44A0-97B5-BE368A922D89}"/>
            </c:ext>
          </c:extLst>
        </c:ser>
        <c:ser>
          <c:idx val="2"/>
          <c:order val="2"/>
          <c:tx>
            <c:strRef>
              <c:f>Compare_size!$X$6</c:f>
              <c:strCache>
                <c:ptCount val="1"/>
                <c:pt idx="0">
                  <c:v> Predicted</c:v>
                </c:pt>
              </c:strCache>
            </c:strRef>
          </c:tx>
          <c:cat>
            <c:numRef>
              <c:f>Compare_size!$U$7:$U$33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Compare_size!$X$7:$X$33</c:f>
              <c:numCache>
                <c:formatCode>General</c:formatCode>
                <c:ptCount val="27"/>
                <c:pt idx="1">
                  <c:v>879.97883608349616</c:v>
                </c:pt>
                <c:pt idx="2">
                  <c:v>885.02143928853911</c:v>
                </c:pt>
                <c:pt idx="3">
                  <c:v>890.96263291844662</c:v>
                </c:pt>
                <c:pt idx="4">
                  <c:v>896.98650383590393</c:v>
                </c:pt>
                <c:pt idx="5">
                  <c:v>903.04135256457528</c:v>
                </c:pt>
                <c:pt idx="6">
                  <c:v>909.15456607172416</c:v>
                </c:pt>
                <c:pt idx="7">
                  <c:v>915.39550307600496</c:v>
                </c:pt>
                <c:pt idx="8">
                  <c:v>921.7008969505714</c:v>
                </c:pt>
                <c:pt idx="9">
                  <c:v>928.05458802007388</c:v>
                </c:pt>
                <c:pt idx="10">
                  <c:v>934.34322745575696</c:v>
                </c:pt>
                <c:pt idx="11">
                  <c:v>940.55070733286357</c:v>
                </c:pt>
                <c:pt idx="12">
                  <c:v>946.71647200580912</c:v>
                </c:pt>
                <c:pt idx="13">
                  <c:v>952.89159669529545</c:v>
                </c:pt>
                <c:pt idx="14">
                  <c:v>959.00833258054308</c:v>
                </c:pt>
                <c:pt idx="15">
                  <c:v>965.09559848366632</c:v>
                </c:pt>
                <c:pt idx="16">
                  <c:v>977.27393424980266</c:v>
                </c:pt>
                <c:pt idx="17">
                  <c:v>989.4836370651999</c:v>
                </c:pt>
                <c:pt idx="18">
                  <c:v>1001.6596308751476</c:v>
                </c:pt>
                <c:pt idx="19">
                  <c:v>1013.9565728355617</c:v>
                </c:pt>
                <c:pt idx="20">
                  <c:v>1026.1587076010171</c:v>
                </c:pt>
                <c:pt idx="21">
                  <c:v>1038.3891399947063</c:v>
                </c:pt>
                <c:pt idx="22">
                  <c:v>1050.477264485454</c:v>
                </c:pt>
                <c:pt idx="23">
                  <c:v>1062.7283899746192</c:v>
                </c:pt>
                <c:pt idx="24">
                  <c:v>1074.8867594945316</c:v>
                </c:pt>
                <c:pt idx="25">
                  <c:v>1085.2175462863579</c:v>
                </c:pt>
                <c:pt idx="26">
                  <c:v>1096.0168453689239</c:v>
                </c:pt>
              </c:numCache>
            </c:numRef>
          </c:val>
          <c:smooth val="0"/>
          <c:extLst>
            <c:ext xmlns:c16="http://schemas.microsoft.com/office/drawing/2014/chart" uri="{C3380CC4-5D6E-409C-BE32-E72D297353CC}">
              <c16:uniqueId val="{00000002-866B-44A0-97B5-BE368A922D89}"/>
            </c:ext>
          </c:extLst>
        </c:ser>
        <c:dLbls>
          <c:showLegendKey val="0"/>
          <c:showVal val="0"/>
          <c:showCatName val="0"/>
          <c:showSerName val="0"/>
          <c:showPercent val="0"/>
          <c:showBubbleSize val="0"/>
        </c:dLbls>
        <c:marker val="1"/>
        <c:smooth val="0"/>
        <c:axId val="217618688"/>
        <c:axId val="217624576"/>
      </c:lineChart>
      <c:catAx>
        <c:axId val="217618688"/>
        <c:scaling>
          <c:orientation val="minMax"/>
        </c:scaling>
        <c:delete val="0"/>
        <c:axPos val="b"/>
        <c:numFmt formatCode="General" sourceLinked="1"/>
        <c:majorTickMark val="out"/>
        <c:minorTickMark val="none"/>
        <c:tickLblPos val="nextTo"/>
        <c:crossAx val="217624576"/>
        <c:crosses val="autoZero"/>
        <c:auto val="1"/>
        <c:lblAlgn val="ctr"/>
        <c:lblOffset val="100"/>
        <c:noMultiLvlLbl val="0"/>
      </c:catAx>
      <c:valAx>
        <c:axId val="217624576"/>
        <c:scaling>
          <c:orientation val="minMax"/>
        </c:scaling>
        <c:delete val="0"/>
        <c:axPos val="l"/>
        <c:majorGridlines/>
        <c:numFmt formatCode="General" sourceLinked="1"/>
        <c:majorTickMark val="out"/>
        <c:minorTickMark val="none"/>
        <c:tickLblPos val="nextTo"/>
        <c:crossAx val="217618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Compare_size!$AK$6</c:f>
              <c:strCache>
                <c:ptCount val="1"/>
                <c:pt idx="0">
                  <c:v>  RECS</c:v>
                </c:pt>
              </c:strCache>
            </c:strRef>
          </c:tx>
          <c:cat>
            <c:numRef>
              <c:f>Compare_size!$AJ$7:$AJ$33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Compare_size!$AK$7:$AK$33</c:f>
              <c:numCache>
                <c:formatCode>General</c:formatCode>
                <c:ptCount val="27"/>
                <c:pt idx="0">
                  <c:v>843.13725490196077</c:v>
                </c:pt>
                <c:pt idx="3">
                  <c:v>864.70588235294122</c:v>
                </c:pt>
                <c:pt idx="6">
                  <c:v>942.30769230769226</c:v>
                </c:pt>
                <c:pt idx="9">
                  <c:v>971.42857142857156</c:v>
                </c:pt>
                <c:pt idx="17">
                  <c:v>1062.151043197179</c:v>
                </c:pt>
                <c:pt idx="21">
                  <c:v>1062.0089797723372</c:v>
                </c:pt>
              </c:numCache>
            </c:numRef>
          </c:val>
          <c:smooth val="0"/>
          <c:extLst>
            <c:ext xmlns:c16="http://schemas.microsoft.com/office/drawing/2014/chart" uri="{C3380CC4-5D6E-409C-BE32-E72D297353CC}">
              <c16:uniqueId val="{00000000-2FA7-4C27-8342-444F22118497}"/>
            </c:ext>
          </c:extLst>
        </c:ser>
        <c:ser>
          <c:idx val="1"/>
          <c:order val="1"/>
          <c:tx>
            <c:strRef>
              <c:f>Compare_size!$AL$6</c:f>
              <c:strCache>
                <c:ptCount val="1"/>
                <c:pt idx="0">
                  <c:v>  AHS</c:v>
                </c:pt>
              </c:strCache>
            </c:strRef>
          </c:tx>
          <c:cat>
            <c:numRef>
              <c:f>Compare_size!$AJ$7:$AJ$33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Compare_size!$AL$7:$AL$33</c:f>
              <c:numCache>
                <c:formatCode>General</c:formatCode>
                <c:ptCount val="27"/>
                <c:pt idx="12">
                  <c:v>1104.2098786708018</c:v>
                </c:pt>
                <c:pt idx="14">
                  <c:v>1149.6427179994562</c:v>
                </c:pt>
                <c:pt idx="16">
                  <c:v>1229.2074668695225</c:v>
                </c:pt>
                <c:pt idx="18">
                  <c:v>1268.4660737351862</c:v>
                </c:pt>
                <c:pt idx="20">
                  <c:v>1346.6940504418583</c:v>
                </c:pt>
                <c:pt idx="22">
                  <c:v>1359.370966205578</c:v>
                </c:pt>
                <c:pt idx="24">
                  <c:v>1456.4439457961512</c:v>
                </c:pt>
              </c:numCache>
            </c:numRef>
          </c:val>
          <c:smooth val="0"/>
          <c:extLst>
            <c:ext xmlns:c16="http://schemas.microsoft.com/office/drawing/2014/chart" uri="{C3380CC4-5D6E-409C-BE32-E72D297353CC}">
              <c16:uniqueId val="{00000001-2FA7-4C27-8342-444F22118497}"/>
            </c:ext>
          </c:extLst>
        </c:ser>
        <c:ser>
          <c:idx val="2"/>
          <c:order val="2"/>
          <c:tx>
            <c:strRef>
              <c:f>Compare_size!$AM$6</c:f>
              <c:strCache>
                <c:ptCount val="1"/>
                <c:pt idx="0">
                  <c:v> Predicted</c:v>
                </c:pt>
              </c:strCache>
            </c:strRef>
          </c:tx>
          <c:cat>
            <c:numRef>
              <c:f>Compare_size!$AJ$7:$AJ$33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Compare_size!$AM$7:$AM$33</c:f>
              <c:numCache>
                <c:formatCode>General</c:formatCode>
                <c:ptCount val="27"/>
                <c:pt idx="1">
                  <c:v>954.35186550619778</c:v>
                </c:pt>
                <c:pt idx="2">
                  <c:v>977.00910754756694</c:v>
                </c:pt>
                <c:pt idx="3">
                  <c:v>970.86001576404033</c:v>
                </c:pt>
                <c:pt idx="4">
                  <c:v>982.21269958327377</c:v>
                </c:pt>
                <c:pt idx="5">
                  <c:v>992.91059394783224</c:v>
                </c:pt>
                <c:pt idx="6">
                  <c:v>995.86454273750974</c:v>
                </c:pt>
                <c:pt idx="7">
                  <c:v>996.53341562446144</c:v>
                </c:pt>
                <c:pt idx="8">
                  <c:v>1013.2329684304387</c:v>
                </c:pt>
                <c:pt idx="9">
                  <c:v>1030.9221771543705</c:v>
                </c:pt>
                <c:pt idx="10">
                  <c:v>1045.5797344747084</c:v>
                </c:pt>
                <c:pt idx="11">
                  <c:v>1059.8847308197724</c:v>
                </c:pt>
                <c:pt idx="12">
                  <c:v>1085.7819420196381</c:v>
                </c:pt>
                <c:pt idx="13">
                  <c:v>1111.0975457810732</c:v>
                </c:pt>
                <c:pt idx="14">
                  <c:v>1123.5335229034454</c:v>
                </c:pt>
                <c:pt idx="15">
                  <c:v>1130.4534454478821</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2-2FA7-4C27-8342-444F22118497}"/>
            </c:ext>
          </c:extLst>
        </c:ser>
        <c:dLbls>
          <c:showLegendKey val="0"/>
          <c:showVal val="0"/>
          <c:showCatName val="0"/>
          <c:showSerName val="0"/>
          <c:showPercent val="0"/>
          <c:showBubbleSize val="0"/>
        </c:dLbls>
        <c:marker val="1"/>
        <c:smooth val="0"/>
        <c:axId val="39535744"/>
        <c:axId val="39537280"/>
      </c:lineChart>
      <c:catAx>
        <c:axId val="39535744"/>
        <c:scaling>
          <c:orientation val="minMax"/>
        </c:scaling>
        <c:delete val="0"/>
        <c:axPos val="b"/>
        <c:numFmt formatCode="General" sourceLinked="1"/>
        <c:majorTickMark val="out"/>
        <c:minorTickMark val="none"/>
        <c:tickLblPos val="nextTo"/>
        <c:crossAx val="39537280"/>
        <c:crosses val="autoZero"/>
        <c:auto val="1"/>
        <c:lblAlgn val="ctr"/>
        <c:lblOffset val="100"/>
        <c:noMultiLvlLbl val="0"/>
      </c:catAx>
      <c:valAx>
        <c:axId val="39537280"/>
        <c:scaling>
          <c:orientation val="minMax"/>
        </c:scaling>
        <c:delete val="0"/>
        <c:axPos val="l"/>
        <c:majorGridlines/>
        <c:numFmt formatCode="General" sourceLinked="1"/>
        <c:majorTickMark val="out"/>
        <c:minorTickMark val="none"/>
        <c:tickLblPos val="nextTo"/>
        <c:crossAx val="395357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07174103237096E-2"/>
          <c:y val="5.1400554097404488E-2"/>
          <c:w val="0.74442716535433062"/>
          <c:h val="0.79523549139690874"/>
        </c:manualLayout>
      </c:layout>
      <c:lineChart>
        <c:grouping val="standard"/>
        <c:varyColors val="0"/>
        <c:ser>
          <c:idx val="0"/>
          <c:order val="0"/>
          <c:tx>
            <c:strRef>
              <c:f>Compare_FS!$E$5</c:f>
              <c:strCache>
                <c:ptCount val="1"/>
                <c:pt idx="0">
                  <c:v>  AHS-based</c:v>
                </c:pt>
              </c:strCache>
            </c:strRef>
          </c:tx>
          <c:marker>
            <c:symbol val="diamond"/>
            <c:size val="4"/>
          </c:marker>
          <c:cat>
            <c:numRef>
              <c:f>Compare_FS!$D$6:$D$32</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Compare_FS!$E$6:$E$32</c:f>
              <c:numCache>
                <c:formatCode>General</c:formatCode>
                <c:ptCount val="27"/>
                <c:pt idx="1">
                  <c:v>132.16236136402537</c:v>
                </c:pt>
                <c:pt idx="2">
                  <c:v>134.61919118115864</c:v>
                </c:pt>
                <c:pt idx="3">
                  <c:v>137.99515865725226</c:v>
                </c:pt>
                <c:pt idx="4">
                  <c:v>141.4266030475458</c:v>
                </c:pt>
                <c:pt idx="5">
                  <c:v>144.69674020800079</c:v>
                </c:pt>
                <c:pt idx="6">
                  <c:v>146.8348737793923</c:v>
                </c:pt>
                <c:pt idx="7">
                  <c:v>148.46585451720881</c:v>
                </c:pt>
                <c:pt idx="8">
                  <c:v>152.17549392110175</c:v>
                </c:pt>
                <c:pt idx="9">
                  <c:v>156.02413991968692</c:v>
                </c:pt>
                <c:pt idx="10">
                  <c:v>159.4766053085998</c:v>
                </c:pt>
                <c:pt idx="11">
                  <c:v>162.82974350917578</c:v>
                </c:pt>
                <c:pt idx="12">
                  <c:v>165.39799563374189</c:v>
                </c:pt>
                <c:pt idx="13">
                  <c:v>167.95457064110761</c:v>
                </c:pt>
                <c:pt idx="14">
                  <c:v>171.54183932820428</c:v>
                </c:pt>
                <c:pt idx="15">
                  <c:v>175.48799076983966</c:v>
                </c:pt>
                <c:pt idx="16">
                  <c:v>179.03994827520614</c:v>
                </c:pt>
                <c:pt idx="17">
                  <c:v>182.6294879029748</c:v>
                </c:pt>
                <c:pt idx="18">
                  <c:v>185.74703781664377</c:v>
                </c:pt>
                <c:pt idx="19">
                  <c:v>188.92329033636062</c:v>
                </c:pt>
                <c:pt idx="20">
                  <c:v>193.10030811704971</c:v>
                </c:pt>
                <c:pt idx="21">
                  <c:v>197.6324965263909</c:v>
                </c:pt>
                <c:pt idx="22">
                  <c:v>201.2029422171851</c:v>
                </c:pt>
                <c:pt idx="23">
                  <c:v>203.58189249713297</c:v>
                </c:pt>
                <c:pt idx="24">
                  <c:v>205.694290350221</c:v>
                </c:pt>
                <c:pt idx="25">
                  <c:v>206.97299259453433</c:v>
                </c:pt>
                <c:pt idx="26">
                  <c:v>209.18127082446983</c:v>
                </c:pt>
              </c:numCache>
            </c:numRef>
          </c:val>
          <c:smooth val="0"/>
          <c:extLst>
            <c:ext xmlns:c16="http://schemas.microsoft.com/office/drawing/2014/chart" uri="{C3380CC4-5D6E-409C-BE32-E72D297353CC}">
              <c16:uniqueId val="{00000000-F70F-4050-9D9E-3EDE1891F06D}"/>
            </c:ext>
          </c:extLst>
        </c:ser>
        <c:ser>
          <c:idx val="1"/>
          <c:order val="1"/>
          <c:tx>
            <c:strRef>
              <c:f>Compare_FS!$F$5</c:f>
              <c:strCache>
                <c:ptCount val="1"/>
                <c:pt idx="0">
                  <c:v> Current Indicators -2011</c:v>
                </c:pt>
              </c:strCache>
            </c:strRef>
          </c:tx>
          <c:marker>
            <c:symbol val="square"/>
            <c:size val="3"/>
          </c:marker>
          <c:cat>
            <c:numRef>
              <c:f>Compare_FS!$D$6:$D$32</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Compare_FS!$F$6:$F$32</c:f>
              <c:numCache>
                <c:formatCode>#,##0.00</c:formatCode>
                <c:ptCount val="27"/>
                <c:pt idx="0">
                  <c:v>142.67050289687137</c:v>
                </c:pt>
                <c:pt idx="1">
                  <c:v>146.99176488816488</c:v>
                </c:pt>
                <c:pt idx="2">
                  <c:v>151.652212994058</c:v>
                </c:pt>
                <c:pt idx="3">
                  <c:v>155.23220763274335</c:v>
                </c:pt>
                <c:pt idx="4">
                  <c:v>160.09502829316344</c:v>
                </c:pt>
                <c:pt idx="5">
                  <c:v>165.12202883026924</c:v>
                </c:pt>
                <c:pt idx="6">
                  <c:v>168.05439159574465</c:v>
                </c:pt>
                <c:pt idx="7">
                  <c:v>172.16956690439326</c:v>
                </c:pt>
                <c:pt idx="8">
                  <c:v>177.12719345923185</c:v>
                </c:pt>
                <c:pt idx="9">
                  <c:v>181.08103336787565</c:v>
                </c:pt>
                <c:pt idx="10">
                  <c:v>185.69757992987459</c:v>
                </c:pt>
                <c:pt idx="11">
                  <c:v>192.74274162472835</c:v>
                </c:pt>
                <c:pt idx="12">
                  <c:v>197.49013448973238</c:v>
                </c:pt>
                <c:pt idx="13">
                  <c:v>203.8432695113201</c:v>
                </c:pt>
                <c:pt idx="14">
                  <c:v>208.62932140979257</c:v>
                </c:pt>
                <c:pt idx="15">
                  <c:v>213.51672013010224</c:v>
                </c:pt>
                <c:pt idx="16">
                  <c:v>218.50614083826025</c:v>
                </c:pt>
                <c:pt idx="17">
                  <c:v>223.5982233644861</c:v>
                </c:pt>
                <c:pt idx="18">
                  <c:v>229.15556104698237</c:v>
                </c:pt>
                <c:pt idx="19">
                  <c:v>236.71265154104569</c:v>
                </c:pt>
                <c:pt idx="20">
                  <c:v>241.6708950003636</c:v>
                </c:pt>
                <c:pt idx="21">
                  <c:v>248.04241495135557</c:v>
                </c:pt>
                <c:pt idx="22">
                  <c:v>252.22044492082662</c:v>
                </c:pt>
                <c:pt idx="23">
                  <c:v>257.98300621365854</c:v>
                </c:pt>
                <c:pt idx="24">
                  <c:v>261.90928622658834</c:v>
                </c:pt>
                <c:pt idx="25">
                  <c:v>265.03926399223411</c:v>
                </c:pt>
              </c:numCache>
            </c:numRef>
          </c:val>
          <c:smooth val="0"/>
          <c:extLst>
            <c:ext xmlns:c16="http://schemas.microsoft.com/office/drawing/2014/chart" uri="{C3380CC4-5D6E-409C-BE32-E72D297353CC}">
              <c16:uniqueId val="{00000001-F70F-4050-9D9E-3EDE1891F06D}"/>
            </c:ext>
          </c:extLst>
        </c:ser>
        <c:ser>
          <c:idx val="2"/>
          <c:order val="2"/>
          <c:tx>
            <c:strRef>
              <c:f>Compare_FS!$G$5</c:f>
              <c:strCache>
                <c:ptCount val="1"/>
                <c:pt idx="0">
                  <c:v>RECS</c:v>
                </c:pt>
              </c:strCache>
            </c:strRef>
          </c:tx>
          <c:marker>
            <c:symbol val="triangle"/>
            <c:size val="7"/>
            <c:spPr>
              <a:solidFill>
                <a:srgbClr val="00B050"/>
              </a:solidFill>
              <a:ln>
                <a:solidFill>
                  <a:srgbClr val="00B050"/>
                </a:solidFill>
              </a:ln>
            </c:spPr>
          </c:marker>
          <c:cat>
            <c:numRef>
              <c:f>Compare_FS!$D$6:$D$32</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Compare_FS!$G$6:$G$32</c:f>
              <c:numCache>
                <c:formatCode>General</c:formatCode>
                <c:ptCount val="27"/>
                <c:pt idx="0">
                  <c:v>144.36000000000001</c:v>
                </c:pt>
                <c:pt idx="3">
                  <c:v>156.82</c:v>
                </c:pt>
                <c:pt idx="6">
                  <c:v>169.23</c:v>
                </c:pt>
                <c:pt idx="9">
                  <c:v>181.23</c:v>
                </c:pt>
                <c:pt idx="13">
                  <c:v>168.81</c:v>
                </c:pt>
                <c:pt idx="17">
                  <c:v>221.078</c:v>
                </c:pt>
                <c:pt idx="21">
                  <c:v>256.46441422906003</c:v>
                </c:pt>
                <c:pt idx="25">
                  <c:v>223.9</c:v>
                </c:pt>
              </c:numCache>
            </c:numRef>
          </c:val>
          <c:smooth val="0"/>
          <c:extLst>
            <c:ext xmlns:c16="http://schemas.microsoft.com/office/drawing/2014/chart" uri="{C3380CC4-5D6E-409C-BE32-E72D297353CC}">
              <c16:uniqueId val="{00000002-F70F-4050-9D9E-3EDE1891F06D}"/>
            </c:ext>
          </c:extLst>
        </c:ser>
        <c:dLbls>
          <c:showLegendKey val="0"/>
          <c:showVal val="0"/>
          <c:showCatName val="0"/>
          <c:showSerName val="0"/>
          <c:showPercent val="0"/>
          <c:showBubbleSize val="0"/>
        </c:dLbls>
        <c:marker val="1"/>
        <c:smooth val="0"/>
        <c:axId val="41472768"/>
        <c:axId val="41474688"/>
      </c:lineChart>
      <c:catAx>
        <c:axId val="41472768"/>
        <c:scaling>
          <c:orientation val="minMax"/>
        </c:scaling>
        <c:delete val="0"/>
        <c:axPos val="b"/>
        <c:numFmt formatCode="General" sourceLinked="1"/>
        <c:majorTickMark val="out"/>
        <c:minorTickMark val="none"/>
        <c:tickLblPos val="nextTo"/>
        <c:crossAx val="41474688"/>
        <c:crosses val="autoZero"/>
        <c:auto val="1"/>
        <c:lblAlgn val="ctr"/>
        <c:lblOffset val="100"/>
        <c:noMultiLvlLbl val="0"/>
      </c:catAx>
      <c:valAx>
        <c:axId val="41474688"/>
        <c:scaling>
          <c:orientation val="minMax"/>
        </c:scaling>
        <c:delete val="0"/>
        <c:axPos val="l"/>
        <c:majorGridlines/>
        <c:numFmt formatCode="General" sourceLinked="1"/>
        <c:majorTickMark val="out"/>
        <c:minorTickMark val="none"/>
        <c:tickLblPos val="nextTo"/>
        <c:crossAx val="41472768"/>
        <c:crosses val="autoZero"/>
        <c:crossBetween val="between"/>
      </c:valAx>
    </c:plotArea>
    <c:legend>
      <c:legendPos val="r"/>
      <c:layout>
        <c:manualLayout>
          <c:xMode val="edge"/>
          <c:yMode val="edge"/>
          <c:x val="0.48605446194225721"/>
          <c:y val="0.47164625255176434"/>
          <c:w val="0.32783442694663167"/>
          <c:h val="0.33448490813648296"/>
        </c:manualLayout>
      </c:layout>
      <c:overlay val="0"/>
      <c:spPr>
        <a:ln>
          <a:solidFill>
            <a:srgbClr val="00B050"/>
          </a:solidFill>
        </a:ln>
      </c:spPr>
    </c:legend>
    <c:plotVisOnly val="1"/>
    <c:dispBlanksAs val="gap"/>
    <c:showDLblsOverMax val="0"/>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Compare_FS!$E$42</c:f>
              <c:strCache>
                <c:ptCount val="1"/>
                <c:pt idx="0">
                  <c:v>  AHS-based</c:v>
                </c:pt>
              </c:strCache>
            </c:strRef>
          </c:tx>
          <c:cat>
            <c:numRef>
              <c:f>Compare_FS!$D$43:$D$69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Compare_FS!$E$43:$E$69</c:f>
              <c:numCache>
                <c:formatCode>General</c:formatCode>
                <c:ptCount val="27"/>
                <c:pt idx="1">
                  <c:v>30.295053407897139</c:v>
                </c:pt>
                <c:pt idx="2">
                  <c:v>30.643275658947726</c:v>
                </c:pt>
                <c:pt idx="3">
                  <c:v>31.175276157783056</c:v>
                </c:pt>
                <c:pt idx="4">
                  <c:v>31.825092179685441</c:v>
                </c:pt>
                <c:pt idx="5">
                  <c:v>32.425595185412007</c:v>
                </c:pt>
                <c:pt idx="6">
                  <c:v>32.67223968353165</c:v>
                </c:pt>
                <c:pt idx="7">
                  <c:v>32.803248557776286</c:v>
                </c:pt>
                <c:pt idx="8">
                  <c:v>33.123810811152985</c:v>
                </c:pt>
                <c:pt idx="9">
                  <c:v>33.442004088055405</c:v>
                </c:pt>
                <c:pt idx="10">
                  <c:v>33.794844080936734</c:v>
                </c:pt>
                <c:pt idx="11">
                  <c:v>34.120822974170473</c:v>
                </c:pt>
                <c:pt idx="12">
                  <c:v>34.685693592890182</c:v>
                </c:pt>
                <c:pt idx="13">
                  <c:v>35.250382714846289</c:v>
                </c:pt>
                <c:pt idx="14">
                  <c:v>35.929642010942651</c:v>
                </c:pt>
                <c:pt idx="15">
                  <c:v>36.685997888937528</c:v>
                </c:pt>
                <c:pt idx="16">
                  <c:v>37.150451147479217</c:v>
                </c:pt>
                <c:pt idx="17">
                  <c:v>37.615996433606391</c:v>
                </c:pt>
                <c:pt idx="18">
                  <c:v>37.923216202434688</c:v>
                </c:pt>
                <c:pt idx="19">
                  <c:v>38.231358204590848</c:v>
                </c:pt>
                <c:pt idx="20">
                  <c:v>38.588555492771604</c:v>
                </c:pt>
                <c:pt idx="21">
                  <c:v>38.992871452908545</c:v>
                </c:pt>
                <c:pt idx="22">
                  <c:v>39.23206519932063</c:v>
                </c:pt>
                <c:pt idx="23">
                  <c:v>39.231788515015019</c:v>
                </c:pt>
                <c:pt idx="24">
                  <c:v>39.462988294859123</c:v>
                </c:pt>
                <c:pt idx="25">
                  <c:v>39.534348268440539</c:v>
                </c:pt>
                <c:pt idx="26">
                  <c:v>39.539739908516438</c:v>
                </c:pt>
              </c:numCache>
            </c:numRef>
          </c:val>
          <c:smooth val="0"/>
          <c:extLst>
            <c:ext xmlns:c16="http://schemas.microsoft.com/office/drawing/2014/chart" uri="{C3380CC4-5D6E-409C-BE32-E72D297353CC}">
              <c16:uniqueId val="{00000000-7F73-4D4D-AAC9-24A5FAFEE4F6}"/>
            </c:ext>
          </c:extLst>
        </c:ser>
        <c:ser>
          <c:idx val="1"/>
          <c:order val="1"/>
          <c:tx>
            <c:strRef>
              <c:f>Compare_FS!$F$42</c:f>
              <c:strCache>
                <c:ptCount val="1"/>
              </c:strCache>
            </c:strRef>
          </c:tx>
          <c:cat>
            <c:numRef>
              <c:f>Compare_FS!$D$43:$D$69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Compare_FS!$F$43:$F$69</c:f>
              <c:numCache>
                <c:formatCode>#,##0.00</c:formatCode>
                <c:ptCount val="27"/>
              </c:numCache>
            </c:numRef>
          </c:val>
          <c:smooth val="0"/>
          <c:extLst>
            <c:ext xmlns:c16="http://schemas.microsoft.com/office/drawing/2014/chart" uri="{C3380CC4-5D6E-409C-BE32-E72D297353CC}">
              <c16:uniqueId val="{00000001-7F73-4D4D-AAC9-24A5FAFEE4F6}"/>
            </c:ext>
          </c:extLst>
        </c:ser>
        <c:ser>
          <c:idx val="2"/>
          <c:order val="2"/>
          <c:tx>
            <c:strRef>
              <c:f>Compare_FS!$G$42</c:f>
              <c:strCache>
                <c:ptCount val="1"/>
                <c:pt idx="0">
                  <c:v>  RECS-based</c:v>
                </c:pt>
              </c:strCache>
            </c:strRef>
          </c:tx>
          <c:cat>
            <c:numRef>
              <c:f>Compare_FS!$D$43:$D$69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Compare_FS!$G$43:$G$69</c:f>
              <c:numCache>
                <c:formatCode>General</c:formatCode>
                <c:ptCount val="27"/>
                <c:pt idx="0">
                  <c:v>35.020000000000003</c:v>
                </c:pt>
                <c:pt idx="3">
                  <c:v>36.82</c:v>
                </c:pt>
                <c:pt idx="6">
                  <c:v>40.35</c:v>
                </c:pt>
                <c:pt idx="9">
                  <c:v>40.049999999999997</c:v>
                </c:pt>
                <c:pt idx="13">
                  <c:v>34.58</c:v>
                </c:pt>
                <c:pt idx="17">
                  <c:v>45.283999999999999</c:v>
                </c:pt>
                <c:pt idx="21">
                  <c:v>49.864922252650004</c:v>
                </c:pt>
              </c:numCache>
            </c:numRef>
          </c:val>
          <c:smooth val="0"/>
          <c:extLst>
            <c:ext xmlns:c16="http://schemas.microsoft.com/office/drawing/2014/chart" uri="{C3380CC4-5D6E-409C-BE32-E72D297353CC}">
              <c16:uniqueId val="{00000002-7F73-4D4D-AAC9-24A5FAFEE4F6}"/>
            </c:ext>
          </c:extLst>
        </c:ser>
        <c:dLbls>
          <c:showLegendKey val="0"/>
          <c:showVal val="0"/>
          <c:showCatName val="0"/>
          <c:showSerName val="0"/>
          <c:showPercent val="0"/>
          <c:showBubbleSize val="0"/>
        </c:dLbls>
        <c:marker val="1"/>
        <c:smooth val="0"/>
        <c:axId val="42688512"/>
        <c:axId val="42690048"/>
      </c:lineChart>
      <c:catAx>
        <c:axId val="42688512"/>
        <c:scaling>
          <c:orientation val="minMax"/>
        </c:scaling>
        <c:delete val="0"/>
        <c:axPos val="b"/>
        <c:numFmt formatCode="General" sourceLinked="1"/>
        <c:majorTickMark val="out"/>
        <c:minorTickMark val="none"/>
        <c:tickLblPos val="nextTo"/>
        <c:crossAx val="42690048"/>
        <c:crosses val="autoZero"/>
        <c:auto val="1"/>
        <c:lblAlgn val="ctr"/>
        <c:lblOffset val="100"/>
        <c:noMultiLvlLbl val="0"/>
      </c:catAx>
      <c:valAx>
        <c:axId val="42690048"/>
        <c:scaling>
          <c:orientation val="minMax"/>
        </c:scaling>
        <c:delete val="0"/>
        <c:axPos val="l"/>
        <c:majorGridlines/>
        <c:numFmt formatCode="General" sourceLinked="1"/>
        <c:majorTickMark val="out"/>
        <c:minorTickMark val="none"/>
        <c:tickLblPos val="nextTo"/>
        <c:crossAx val="426885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Compare_FS!$E$74</c:f>
              <c:strCache>
                <c:ptCount val="1"/>
                <c:pt idx="0">
                  <c:v>  AHS-based</c:v>
                </c:pt>
              </c:strCache>
            </c:strRef>
          </c:tx>
          <c:cat>
            <c:numRef>
              <c:f>Compare_FS!$D$75:$D$101</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Compare_FS!$E$75:$E$101</c:f>
              <c:numCache>
                <c:formatCode>General</c:formatCode>
                <c:ptCount val="27"/>
                <c:pt idx="1">
                  <c:v>34.388131631610612</c:v>
                </c:pt>
                <c:pt idx="2">
                  <c:v>34.54575359515156</c:v>
                </c:pt>
                <c:pt idx="3">
                  <c:v>34.933795547035174</c:v>
                </c:pt>
                <c:pt idx="4">
                  <c:v>35.760123071070126</c:v>
                </c:pt>
                <c:pt idx="5">
                  <c:v>36.547631200535513</c:v>
                </c:pt>
                <c:pt idx="6">
                  <c:v>36.861312261546871</c:v>
                </c:pt>
                <c:pt idx="7">
                  <c:v>37.045870592262403</c:v>
                </c:pt>
                <c:pt idx="8">
                  <c:v>38.013526848234868</c:v>
                </c:pt>
                <c:pt idx="9">
                  <c:v>39.018604511774463</c:v>
                </c:pt>
                <c:pt idx="10">
                  <c:v>40.247017452275266</c:v>
                </c:pt>
                <c:pt idx="11">
                  <c:v>41.460826812849838</c:v>
                </c:pt>
                <c:pt idx="12">
                  <c:v>41.780578625641475</c:v>
                </c:pt>
                <c:pt idx="13">
                  <c:v>42.086243910257572</c:v>
                </c:pt>
                <c:pt idx="14">
                  <c:v>42.637856971091821</c:v>
                </c:pt>
                <c:pt idx="15">
                  <c:v>43.265481638178109</c:v>
                </c:pt>
                <c:pt idx="16">
                  <c:v>43.668983792992734</c:v>
                </c:pt>
                <c:pt idx="17">
                  <c:v>44.068274907866439</c:v>
                </c:pt>
                <c:pt idx="18">
                  <c:v>44.680020203371278</c:v>
                </c:pt>
                <c:pt idx="19">
                  <c:v>45.303012201466302</c:v>
                </c:pt>
                <c:pt idx="20">
                  <c:v>46.047233035630605</c:v>
                </c:pt>
                <c:pt idx="21">
                  <c:v>46.867938813061997</c:v>
                </c:pt>
                <c:pt idx="22">
                  <c:v>47.322011394125397</c:v>
                </c:pt>
                <c:pt idx="23">
                  <c:v>47.475323134158216</c:v>
                </c:pt>
                <c:pt idx="24">
                  <c:v>47.741339065063094</c:v>
                </c:pt>
                <c:pt idx="25">
                  <c:v>47.806505942247668</c:v>
                </c:pt>
                <c:pt idx="26">
                  <c:v>47.990896980269561</c:v>
                </c:pt>
              </c:numCache>
            </c:numRef>
          </c:val>
          <c:smooth val="0"/>
          <c:extLst>
            <c:ext xmlns:c16="http://schemas.microsoft.com/office/drawing/2014/chart" uri="{C3380CC4-5D6E-409C-BE32-E72D297353CC}">
              <c16:uniqueId val="{00000000-56BC-4A24-8A74-ACE35B4EA103}"/>
            </c:ext>
          </c:extLst>
        </c:ser>
        <c:ser>
          <c:idx val="1"/>
          <c:order val="1"/>
          <c:tx>
            <c:strRef>
              <c:f>Compare_FS!$F$74</c:f>
              <c:strCache>
                <c:ptCount val="1"/>
              </c:strCache>
            </c:strRef>
          </c:tx>
          <c:cat>
            <c:numRef>
              <c:f>Compare_FS!$D$75:$D$101</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Compare_FS!$F$75:$F$101</c:f>
              <c:numCache>
                <c:formatCode>#,##0.00</c:formatCode>
                <c:ptCount val="27"/>
              </c:numCache>
            </c:numRef>
          </c:val>
          <c:smooth val="0"/>
          <c:extLst>
            <c:ext xmlns:c16="http://schemas.microsoft.com/office/drawing/2014/chart" uri="{C3380CC4-5D6E-409C-BE32-E72D297353CC}">
              <c16:uniqueId val="{00000001-56BC-4A24-8A74-ACE35B4EA103}"/>
            </c:ext>
          </c:extLst>
        </c:ser>
        <c:ser>
          <c:idx val="2"/>
          <c:order val="2"/>
          <c:tx>
            <c:strRef>
              <c:f>Compare_FS!$G$74</c:f>
              <c:strCache>
                <c:ptCount val="1"/>
                <c:pt idx="0">
                  <c:v>  RECS-based</c:v>
                </c:pt>
              </c:strCache>
            </c:strRef>
          </c:tx>
          <c:cat>
            <c:numRef>
              <c:f>Compare_FS!$D$75:$D$101</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Compare_FS!$G$75:$G$101</c:f>
              <c:numCache>
                <c:formatCode>General</c:formatCode>
                <c:ptCount val="27"/>
                <c:pt idx="0">
                  <c:v>39.14</c:v>
                </c:pt>
                <c:pt idx="3">
                  <c:v>44.27</c:v>
                </c:pt>
                <c:pt idx="6">
                  <c:v>46.94</c:v>
                </c:pt>
                <c:pt idx="9">
                  <c:v>50.57</c:v>
                </c:pt>
                <c:pt idx="13">
                  <c:v>46.1</c:v>
                </c:pt>
                <c:pt idx="17">
                  <c:v>58.18</c:v>
                </c:pt>
                <c:pt idx="21">
                  <c:v>65.690008157039998</c:v>
                </c:pt>
              </c:numCache>
            </c:numRef>
          </c:val>
          <c:smooth val="0"/>
          <c:extLst>
            <c:ext xmlns:c16="http://schemas.microsoft.com/office/drawing/2014/chart" uri="{C3380CC4-5D6E-409C-BE32-E72D297353CC}">
              <c16:uniqueId val="{00000002-56BC-4A24-8A74-ACE35B4EA103}"/>
            </c:ext>
          </c:extLst>
        </c:ser>
        <c:dLbls>
          <c:showLegendKey val="0"/>
          <c:showVal val="0"/>
          <c:showCatName val="0"/>
          <c:showSerName val="0"/>
          <c:showPercent val="0"/>
          <c:showBubbleSize val="0"/>
        </c:dLbls>
        <c:marker val="1"/>
        <c:smooth val="0"/>
        <c:axId val="42723968"/>
        <c:axId val="42738048"/>
      </c:lineChart>
      <c:catAx>
        <c:axId val="42723968"/>
        <c:scaling>
          <c:orientation val="minMax"/>
        </c:scaling>
        <c:delete val="0"/>
        <c:axPos val="b"/>
        <c:numFmt formatCode="General" sourceLinked="1"/>
        <c:majorTickMark val="out"/>
        <c:minorTickMark val="none"/>
        <c:tickLblPos val="nextTo"/>
        <c:crossAx val="42738048"/>
        <c:crosses val="autoZero"/>
        <c:auto val="1"/>
        <c:lblAlgn val="ctr"/>
        <c:lblOffset val="100"/>
        <c:noMultiLvlLbl val="0"/>
      </c:catAx>
      <c:valAx>
        <c:axId val="42738048"/>
        <c:scaling>
          <c:orientation val="minMax"/>
        </c:scaling>
        <c:delete val="0"/>
        <c:axPos val="l"/>
        <c:majorGridlines/>
        <c:numFmt formatCode="General" sourceLinked="1"/>
        <c:majorTickMark val="out"/>
        <c:minorTickMark val="none"/>
        <c:tickLblPos val="nextTo"/>
        <c:crossAx val="42723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Compare_FS!$E$106</c:f>
              <c:strCache>
                <c:ptCount val="1"/>
                <c:pt idx="0">
                  <c:v>  AHS-based</c:v>
                </c:pt>
              </c:strCache>
            </c:strRef>
          </c:tx>
          <c:cat>
            <c:numRef>
              <c:f>Compare_FS!$D$107:$D$133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Compare_FS!$E$107:$E$133</c:f>
              <c:numCache>
                <c:formatCode>0.00</c:formatCode>
                <c:ptCount val="27"/>
                <c:pt idx="1">
                  <c:v>43.540885389042344</c:v>
                </c:pt>
                <c:pt idx="2">
                  <c:v>44.766708197559495</c:v>
                </c:pt>
                <c:pt idx="3">
                  <c:v>46.323985573585304</c:v>
                </c:pt>
                <c:pt idx="4">
                  <c:v>47.714706637699692</c:v>
                </c:pt>
                <c:pt idx="5">
                  <c:v>49.067637734387915</c:v>
                </c:pt>
                <c:pt idx="6">
                  <c:v>49.692743410475757</c:v>
                </c:pt>
                <c:pt idx="7">
                  <c:v>50.135835752022828</c:v>
                </c:pt>
                <c:pt idx="8">
                  <c:v>51.871601639980831</c:v>
                </c:pt>
                <c:pt idx="9">
                  <c:v>53.686604430688952</c:v>
                </c:pt>
                <c:pt idx="10">
                  <c:v>54.898161731397273</c:v>
                </c:pt>
                <c:pt idx="11">
                  <c:v>56.071509757288283</c:v>
                </c:pt>
                <c:pt idx="12">
                  <c:v>57.058362989511124</c:v>
                </c:pt>
                <c:pt idx="13">
                  <c:v>58.04378508102559</c:v>
                </c:pt>
                <c:pt idx="14">
                  <c:v>59.462308116786389</c:v>
                </c:pt>
                <c:pt idx="15">
                  <c:v>61.001955535822056</c:v>
                </c:pt>
                <c:pt idx="16">
                  <c:v>62.745493450841778</c:v>
                </c:pt>
                <c:pt idx="17">
                  <c:v>64.513710398010431</c:v>
                </c:pt>
                <c:pt idx="18">
                  <c:v>65.897474894119654</c:v>
                </c:pt>
                <c:pt idx="19">
                  <c:v>67.31170779626359</c:v>
                </c:pt>
                <c:pt idx="20">
                  <c:v>69.422555758946004</c:v>
                </c:pt>
                <c:pt idx="21">
                  <c:v>71.688733309583739</c:v>
                </c:pt>
                <c:pt idx="22">
                  <c:v>73.56480878051552</c:v>
                </c:pt>
                <c:pt idx="23">
                  <c:v>75.024307467893479</c:v>
                </c:pt>
                <c:pt idx="24">
                  <c:v>76.260846941237389</c:v>
                </c:pt>
                <c:pt idx="25">
                  <c:v>77.198891989558163</c:v>
                </c:pt>
                <c:pt idx="26">
                  <c:v>78.318399650530608</c:v>
                </c:pt>
              </c:numCache>
            </c:numRef>
          </c:val>
          <c:smooth val="0"/>
          <c:extLst>
            <c:ext xmlns:c16="http://schemas.microsoft.com/office/drawing/2014/chart" uri="{C3380CC4-5D6E-409C-BE32-E72D297353CC}">
              <c16:uniqueId val="{00000000-2933-4A1C-8497-ED68A7A2EBF2}"/>
            </c:ext>
          </c:extLst>
        </c:ser>
        <c:ser>
          <c:idx val="1"/>
          <c:order val="1"/>
          <c:tx>
            <c:strRef>
              <c:f>Compare_FS!$F$106</c:f>
              <c:strCache>
                <c:ptCount val="1"/>
              </c:strCache>
            </c:strRef>
          </c:tx>
          <c:cat>
            <c:numRef>
              <c:f>Compare_FS!$D$107:$D$133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Compare_FS!$F$107:$F$133</c:f>
              <c:numCache>
                <c:formatCode>#,##0.00</c:formatCode>
                <c:ptCount val="27"/>
              </c:numCache>
            </c:numRef>
          </c:val>
          <c:smooth val="0"/>
          <c:extLst>
            <c:ext xmlns:c16="http://schemas.microsoft.com/office/drawing/2014/chart" uri="{C3380CC4-5D6E-409C-BE32-E72D297353CC}">
              <c16:uniqueId val="{00000001-2933-4A1C-8497-ED68A7A2EBF2}"/>
            </c:ext>
          </c:extLst>
        </c:ser>
        <c:ser>
          <c:idx val="2"/>
          <c:order val="2"/>
          <c:tx>
            <c:strRef>
              <c:f>Compare_FS!$G$106</c:f>
              <c:strCache>
                <c:ptCount val="1"/>
                <c:pt idx="0">
                  <c:v>  RECS-based</c:v>
                </c:pt>
              </c:strCache>
            </c:strRef>
          </c:tx>
          <c:cat>
            <c:numRef>
              <c:f>Compare_FS!$D$107:$D$133</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Compare_FS!$G$107:$G$133</c:f>
              <c:numCache>
                <c:formatCode>General</c:formatCode>
                <c:ptCount val="27"/>
                <c:pt idx="0">
                  <c:v>44.52</c:v>
                </c:pt>
                <c:pt idx="3">
                  <c:v>47.13</c:v>
                </c:pt>
                <c:pt idx="6">
                  <c:v>52.44</c:v>
                </c:pt>
                <c:pt idx="9">
                  <c:v>57.15</c:v>
                </c:pt>
                <c:pt idx="13">
                  <c:v>56.12</c:v>
                </c:pt>
                <c:pt idx="17">
                  <c:v>76.631</c:v>
                </c:pt>
                <c:pt idx="21">
                  <c:v>93.432181800190008</c:v>
                </c:pt>
              </c:numCache>
            </c:numRef>
          </c:val>
          <c:smooth val="0"/>
          <c:extLst>
            <c:ext xmlns:c16="http://schemas.microsoft.com/office/drawing/2014/chart" uri="{C3380CC4-5D6E-409C-BE32-E72D297353CC}">
              <c16:uniqueId val="{00000002-2933-4A1C-8497-ED68A7A2EBF2}"/>
            </c:ext>
          </c:extLst>
        </c:ser>
        <c:dLbls>
          <c:showLegendKey val="0"/>
          <c:showVal val="0"/>
          <c:showCatName val="0"/>
          <c:showSerName val="0"/>
          <c:showPercent val="0"/>
          <c:showBubbleSize val="0"/>
        </c:dLbls>
        <c:marker val="1"/>
        <c:smooth val="0"/>
        <c:axId val="42755584"/>
        <c:axId val="42757120"/>
      </c:lineChart>
      <c:catAx>
        <c:axId val="42755584"/>
        <c:scaling>
          <c:orientation val="minMax"/>
        </c:scaling>
        <c:delete val="0"/>
        <c:axPos val="b"/>
        <c:numFmt formatCode="General" sourceLinked="1"/>
        <c:majorTickMark val="out"/>
        <c:minorTickMark val="none"/>
        <c:tickLblPos val="nextTo"/>
        <c:crossAx val="42757120"/>
        <c:crosses val="autoZero"/>
        <c:auto val="1"/>
        <c:lblAlgn val="ctr"/>
        <c:lblOffset val="100"/>
        <c:noMultiLvlLbl val="0"/>
      </c:catAx>
      <c:valAx>
        <c:axId val="42757120"/>
        <c:scaling>
          <c:orientation val="minMax"/>
        </c:scaling>
        <c:delete val="0"/>
        <c:axPos val="l"/>
        <c:majorGridlines/>
        <c:numFmt formatCode="General" sourceLinked="1"/>
        <c:majorTickMark val="out"/>
        <c:minorTickMark val="none"/>
        <c:tickLblPos val="nextTo"/>
        <c:crossAx val="427555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Compare_FS!$E$137</c:f>
              <c:strCache>
                <c:ptCount val="1"/>
                <c:pt idx="0">
                  <c:v>  AHS-based</c:v>
                </c:pt>
              </c:strCache>
            </c:strRef>
          </c:tx>
          <c:cat>
            <c:numRef>
              <c:f>Compare_FS!$D$138:$D$164</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Compare_FS!$E$138:$E$164</c:f>
              <c:numCache>
                <c:formatCode>0.00</c:formatCode>
                <c:ptCount val="27"/>
                <c:pt idx="1">
                  <c:v>23.938290935475301</c:v>
                </c:pt>
                <c:pt idx="2">
                  <c:v>24.663453729499828</c:v>
                </c:pt>
                <c:pt idx="3">
                  <c:v>25.56210137884872</c:v>
                </c:pt>
                <c:pt idx="4">
                  <c:v>26.126681159090523</c:v>
                </c:pt>
                <c:pt idx="5">
                  <c:v>26.655876087665362</c:v>
                </c:pt>
                <c:pt idx="6">
                  <c:v>27.608578423838036</c:v>
                </c:pt>
                <c:pt idx="7">
                  <c:v>28.48089961514729</c:v>
                </c:pt>
                <c:pt idx="8">
                  <c:v>29.166554621733042</c:v>
                </c:pt>
                <c:pt idx="9">
                  <c:v>29.876926889168121</c:v>
                </c:pt>
                <c:pt idx="10">
                  <c:v>30.536582043990535</c:v>
                </c:pt>
                <c:pt idx="11">
                  <c:v>31.176583964867213</c:v>
                </c:pt>
                <c:pt idx="12">
                  <c:v>31.873360425699101</c:v>
                </c:pt>
                <c:pt idx="13">
                  <c:v>32.574158934978151</c:v>
                </c:pt>
                <c:pt idx="14">
                  <c:v>33.512032229383422</c:v>
                </c:pt>
                <c:pt idx="15">
                  <c:v>34.534555706901976</c:v>
                </c:pt>
                <c:pt idx="16">
                  <c:v>35.475019883892436</c:v>
                </c:pt>
                <c:pt idx="17">
                  <c:v>36.431506163491569</c:v>
                </c:pt>
                <c:pt idx="18">
                  <c:v>37.246326516718156</c:v>
                </c:pt>
                <c:pt idx="19">
                  <c:v>38.07721213403989</c:v>
                </c:pt>
                <c:pt idx="20">
                  <c:v>39.041963829701487</c:v>
                </c:pt>
                <c:pt idx="21">
                  <c:v>40.082952950836585</c:v>
                </c:pt>
                <c:pt idx="22">
                  <c:v>41.084056843223522</c:v>
                </c:pt>
                <c:pt idx="23">
                  <c:v>41.850473380066234</c:v>
                </c:pt>
                <c:pt idx="24">
                  <c:v>42.229116049061361</c:v>
                </c:pt>
                <c:pt idx="25">
                  <c:v>42.433246394288012</c:v>
                </c:pt>
                <c:pt idx="26">
                  <c:v>43.332234285153191</c:v>
                </c:pt>
              </c:numCache>
            </c:numRef>
          </c:val>
          <c:smooth val="0"/>
          <c:extLst>
            <c:ext xmlns:c16="http://schemas.microsoft.com/office/drawing/2014/chart" uri="{C3380CC4-5D6E-409C-BE32-E72D297353CC}">
              <c16:uniqueId val="{00000000-47CE-4D8C-80F3-39576C1F53F3}"/>
            </c:ext>
          </c:extLst>
        </c:ser>
        <c:ser>
          <c:idx val="1"/>
          <c:order val="1"/>
          <c:tx>
            <c:strRef>
              <c:f>Compare_FS!$F$137</c:f>
              <c:strCache>
                <c:ptCount val="1"/>
              </c:strCache>
            </c:strRef>
          </c:tx>
          <c:cat>
            <c:numRef>
              <c:f>Compare_FS!$D$138:$D$164</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Compare_FS!$F$138:$F$164</c:f>
              <c:numCache>
                <c:formatCode>#,##0.00</c:formatCode>
                <c:ptCount val="27"/>
              </c:numCache>
            </c:numRef>
          </c:val>
          <c:smooth val="0"/>
          <c:extLst>
            <c:ext xmlns:c16="http://schemas.microsoft.com/office/drawing/2014/chart" uri="{C3380CC4-5D6E-409C-BE32-E72D297353CC}">
              <c16:uniqueId val="{00000001-47CE-4D8C-80F3-39576C1F53F3}"/>
            </c:ext>
          </c:extLst>
        </c:ser>
        <c:ser>
          <c:idx val="2"/>
          <c:order val="2"/>
          <c:tx>
            <c:strRef>
              <c:f>Compare_FS!$G$137</c:f>
              <c:strCache>
                <c:ptCount val="1"/>
                <c:pt idx="0">
                  <c:v>  RECS-based</c:v>
                </c:pt>
              </c:strCache>
            </c:strRef>
          </c:tx>
          <c:cat>
            <c:numRef>
              <c:f>Compare_FS!$D$138:$D$164</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Compare_FS!$G$138:$G$164</c:f>
              <c:numCache>
                <c:formatCode>General</c:formatCode>
                <c:ptCount val="27"/>
                <c:pt idx="0">
                  <c:v>25.68</c:v>
                </c:pt>
                <c:pt idx="3">
                  <c:v>28.59</c:v>
                </c:pt>
                <c:pt idx="6">
                  <c:v>29.5</c:v>
                </c:pt>
                <c:pt idx="9">
                  <c:v>33.46</c:v>
                </c:pt>
                <c:pt idx="13">
                  <c:v>32</c:v>
                </c:pt>
                <c:pt idx="17">
                  <c:v>40.982999999999997</c:v>
                </c:pt>
                <c:pt idx="21">
                  <c:v>47.477302019180001</c:v>
                </c:pt>
              </c:numCache>
            </c:numRef>
          </c:val>
          <c:smooth val="0"/>
          <c:extLst>
            <c:ext xmlns:c16="http://schemas.microsoft.com/office/drawing/2014/chart" uri="{C3380CC4-5D6E-409C-BE32-E72D297353CC}">
              <c16:uniqueId val="{00000002-47CE-4D8C-80F3-39576C1F53F3}"/>
            </c:ext>
          </c:extLst>
        </c:ser>
        <c:dLbls>
          <c:showLegendKey val="0"/>
          <c:showVal val="0"/>
          <c:showCatName val="0"/>
          <c:showSerName val="0"/>
          <c:showPercent val="0"/>
          <c:showBubbleSize val="0"/>
        </c:dLbls>
        <c:marker val="1"/>
        <c:smooth val="0"/>
        <c:axId val="42824064"/>
        <c:axId val="42825600"/>
      </c:lineChart>
      <c:catAx>
        <c:axId val="42824064"/>
        <c:scaling>
          <c:orientation val="minMax"/>
        </c:scaling>
        <c:delete val="0"/>
        <c:axPos val="b"/>
        <c:numFmt formatCode="General" sourceLinked="1"/>
        <c:majorTickMark val="out"/>
        <c:minorTickMark val="none"/>
        <c:tickLblPos val="nextTo"/>
        <c:crossAx val="42825600"/>
        <c:crosses val="autoZero"/>
        <c:auto val="1"/>
        <c:lblAlgn val="ctr"/>
        <c:lblOffset val="100"/>
        <c:noMultiLvlLbl val="0"/>
      </c:catAx>
      <c:valAx>
        <c:axId val="42825600"/>
        <c:scaling>
          <c:orientation val="minMax"/>
        </c:scaling>
        <c:delete val="0"/>
        <c:axPos val="l"/>
        <c:majorGridlines/>
        <c:numFmt formatCode="General" sourceLinked="1"/>
        <c:majorTickMark val="out"/>
        <c:minorTickMark val="none"/>
        <c:tickLblPos val="nextTo"/>
        <c:crossAx val="42824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661854768154"/>
          <c:y val="5.1400554097404488E-2"/>
          <c:w val="0.76269160104986877"/>
          <c:h val="0.79523549139690874"/>
        </c:manualLayout>
      </c:layout>
      <c:lineChart>
        <c:grouping val="standard"/>
        <c:varyColors val="0"/>
        <c:ser>
          <c:idx val="0"/>
          <c:order val="0"/>
          <c:tx>
            <c:strRef>
              <c:f>Compare_FS!$T$42</c:f>
              <c:strCache>
                <c:ptCount val="1"/>
                <c:pt idx="0">
                  <c:v>  AHS-based</c:v>
                </c:pt>
              </c:strCache>
            </c:strRef>
          </c:tx>
          <c:cat>
            <c:numRef>
              <c:f>Compare_FS!$S$43:$S$69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Compare_FS!$T$43:$T$69</c:f>
              <c:numCache>
                <c:formatCode>#,##0</c:formatCode>
                <c:ptCount val="27"/>
                <c:pt idx="1">
                  <c:v>2210.8753731937936</c:v>
                </c:pt>
                <c:pt idx="2">
                  <c:v>2200.5827262593102</c:v>
                </c:pt>
                <c:pt idx="3">
                  <c:v>2210.9511086489065</c:v>
                </c:pt>
                <c:pt idx="4">
                  <c:v>2220.1825045673518</c:v>
                </c:pt>
                <c:pt idx="5">
                  <c:v>2228.8417064469086</c:v>
                </c:pt>
                <c:pt idx="6">
                  <c:v>2238.4674236149899</c:v>
                </c:pt>
                <c:pt idx="7">
                  <c:v>2245.1528909301387</c:v>
                </c:pt>
                <c:pt idx="8">
                  <c:v>2257.3942484998056</c:v>
                </c:pt>
                <c:pt idx="9">
                  <c:v>2268.7816902601294</c:v>
                </c:pt>
                <c:pt idx="10">
                  <c:v>2280.7512113695507</c:v>
                </c:pt>
                <c:pt idx="11">
                  <c:v>2287.5754219306482</c:v>
                </c:pt>
                <c:pt idx="12">
                  <c:v>2296.895761448669</c:v>
                </c:pt>
                <c:pt idx="13">
                  <c:v>2304.9525414517602</c:v>
                </c:pt>
                <c:pt idx="14">
                  <c:v>2314.7078079697585</c:v>
                </c:pt>
                <c:pt idx="15">
                  <c:v>2326.5701260482642</c:v>
                </c:pt>
                <c:pt idx="16">
                  <c:v>2332.666389273144</c:v>
                </c:pt>
                <c:pt idx="17">
                  <c:v>2340.0163058317612</c:v>
                </c:pt>
                <c:pt idx="18">
                  <c:v>2347.8942057437698</c:v>
                </c:pt>
                <c:pt idx="19">
                  <c:v>2355.5448440439927</c:v>
                </c:pt>
                <c:pt idx="20">
                  <c:v>2365.649431375768</c:v>
                </c:pt>
                <c:pt idx="21">
                  <c:v>2377.1489671103736</c:v>
                </c:pt>
                <c:pt idx="22">
                  <c:v>2387.0639008160288</c:v>
                </c:pt>
                <c:pt idx="23">
                  <c:v>2386.3705237276445</c:v>
                </c:pt>
                <c:pt idx="24">
                  <c:v>2381.2073254248489</c:v>
                </c:pt>
                <c:pt idx="25">
                  <c:v>2373.7481279244716</c:v>
                </c:pt>
                <c:pt idx="26">
                  <c:v>2363.9490731536794</c:v>
                </c:pt>
              </c:numCache>
            </c:numRef>
          </c:val>
          <c:smooth val="0"/>
          <c:extLst>
            <c:ext xmlns:c16="http://schemas.microsoft.com/office/drawing/2014/chart" uri="{C3380CC4-5D6E-409C-BE32-E72D297353CC}">
              <c16:uniqueId val="{00000000-B2EE-4FA5-924D-6EFDDAB8BC00}"/>
            </c:ext>
          </c:extLst>
        </c:ser>
        <c:ser>
          <c:idx val="1"/>
          <c:order val="1"/>
          <c:tx>
            <c:strRef>
              <c:f>Compare_FS!$U$42</c:f>
              <c:strCache>
                <c:ptCount val="1"/>
                <c:pt idx="0">
                  <c:v>RECS</c:v>
                </c:pt>
              </c:strCache>
            </c:strRef>
          </c:tx>
          <c:marker>
            <c:symbol val="square"/>
            <c:size val="5"/>
          </c:marker>
          <c:cat>
            <c:numRef>
              <c:f>Compare_FS!$S$43:$S$69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Compare_FS!$U$43:$U$69</c:f>
              <c:numCache>
                <c:formatCode>General</c:formatCode>
                <c:ptCount val="27"/>
                <c:pt idx="0">
                  <c:v>2536.6972477064219</c:v>
                </c:pt>
                <c:pt idx="3">
                  <c:v>2608.1081081081084</c:v>
                </c:pt>
                <c:pt idx="6">
                  <c:v>2716.8067226890753</c:v>
                </c:pt>
                <c:pt idx="9">
                  <c:v>2678.9915966386552</c:v>
                </c:pt>
                <c:pt idx="13">
                  <c:v>2116.6666666666665</c:v>
                </c:pt>
                <c:pt idx="17">
                  <c:v>2918.1515403830135</c:v>
                </c:pt>
                <c:pt idx="21">
                  <c:v>3188.7106725438157</c:v>
                </c:pt>
              </c:numCache>
            </c:numRef>
          </c:val>
          <c:smooth val="0"/>
          <c:extLst>
            <c:ext xmlns:c16="http://schemas.microsoft.com/office/drawing/2014/chart" uri="{C3380CC4-5D6E-409C-BE32-E72D297353CC}">
              <c16:uniqueId val="{00000001-B2EE-4FA5-924D-6EFDDAB8BC00}"/>
            </c:ext>
          </c:extLst>
        </c:ser>
        <c:dLbls>
          <c:showLegendKey val="0"/>
          <c:showVal val="0"/>
          <c:showCatName val="0"/>
          <c:showSerName val="0"/>
          <c:showPercent val="0"/>
          <c:showBubbleSize val="0"/>
        </c:dLbls>
        <c:marker val="1"/>
        <c:smooth val="0"/>
        <c:axId val="42838272"/>
        <c:axId val="42848256"/>
      </c:lineChart>
      <c:catAx>
        <c:axId val="42838272"/>
        <c:scaling>
          <c:orientation val="minMax"/>
        </c:scaling>
        <c:delete val="0"/>
        <c:axPos val="b"/>
        <c:numFmt formatCode="General" sourceLinked="1"/>
        <c:majorTickMark val="out"/>
        <c:minorTickMark val="none"/>
        <c:tickLblPos val="nextTo"/>
        <c:crossAx val="42848256"/>
        <c:crosses val="autoZero"/>
        <c:auto val="1"/>
        <c:lblAlgn val="ctr"/>
        <c:lblOffset val="100"/>
        <c:tickLblSkip val="4"/>
        <c:noMultiLvlLbl val="0"/>
      </c:catAx>
      <c:valAx>
        <c:axId val="42848256"/>
        <c:scaling>
          <c:orientation val="minMax"/>
        </c:scaling>
        <c:delete val="0"/>
        <c:axPos val="l"/>
        <c:majorGridlines/>
        <c:title>
          <c:tx>
            <c:rich>
              <a:bodyPr rot="-5400000" vert="horz"/>
              <a:lstStyle/>
              <a:p>
                <a:pPr>
                  <a:defRPr/>
                </a:pPr>
                <a:r>
                  <a:rPr lang="en-US"/>
                  <a:t>Square feet per unit</a:t>
                </a:r>
              </a:p>
            </c:rich>
          </c:tx>
          <c:overlay val="0"/>
        </c:title>
        <c:numFmt formatCode="#,##0" sourceLinked="0"/>
        <c:majorTickMark val="out"/>
        <c:minorTickMark val="none"/>
        <c:tickLblPos val="nextTo"/>
        <c:crossAx val="42838272"/>
        <c:crosses val="autoZero"/>
        <c:crossBetween val="midCat"/>
      </c:valAx>
    </c:plotArea>
    <c:legend>
      <c:legendPos val="r"/>
      <c:layout>
        <c:manualLayout>
          <c:xMode val="edge"/>
          <c:yMode val="edge"/>
          <c:x val="0.19895778652668414"/>
          <c:y val="0.54128280839895015"/>
          <c:w val="0.21770888013998252"/>
          <c:h val="0.16743438320209975"/>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4326049868766408"/>
          <c:h val="0.81573120642426811"/>
        </c:manualLayout>
      </c:layout>
      <c:lineChart>
        <c:grouping val="standard"/>
        <c:varyColors val="0"/>
        <c:ser>
          <c:idx val="0"/>
          <c:order val="0"/>
          <c:tx>
            <c:strRef>
              <c:f>Compare_FS!$T$72</c:f>
              <c:strCache>
                <c:ptCount val="1"/>
                <c:pt idx="0">
                  <c:v>  AHS-based</c:v>
                </c:pt>
              </c:strCache>
            </c:strRef>
          </c:tx>
          <c:cat>
            <c:numRef>
              <c:f>Compare_FS!$S$73:$S$99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Compare_FS!$T$73:$T$99</c:f>
              <c:numCache>
                <c:formatCode>#,##0</c:formatCode>
                <c:ptCount val="27"/>
                <c:pt idx="1">
                  <c:v>1863.4839380310086</c:v>
                </c:pt>
                <c:pt idx="2">
                  <c:v>1861.4362465494105</c:v>
                </c:pt>
                <c:pt idx="3">
                  <c:v>1876.8986714209402</c:v>
                </c:pt>
                <c:pt idx="4">
                  <c:v>1891.488674516366</c:v>
                </c:pt>
                <c:pt idx="5">
                  <c:v>1905.6794515361767</c:v>
                </c:pt>
                <c:pt idx="6">
                  <c:v>1920.7867416165016</c:v>
                </c:pt>
                <c:pt idx="7">
                  <c:v>1933.455768969704</c:v>
                </c:pt>
                <c:pt idx="8">
                  <c:v>1951.0028450125033</c:v>
                </c:pt>
                <c:pt idx="9">
                  <c:v>1967.9207227389386</c:v>
                </c:pt>
                <c:pt idx="10">
                  <c:v>1985.4522876494614</c:v>
                </c:pt>
                <c:pt idx="11">
                  <c:v>1998.5999706044281</c:v>
                </c:pt>
                <c:pt idx="12">
                  <c:v>2014.0160824711434</c:v>
                </c:pt>
                <c:pt idx="13">
                  <c:v>2028.4164442128199</c:v>
                </c:pt>
                <c:pt idx="14">
                  <c:v>2044.4058172532423</c:v>
                </c:pt>
                <c:pt idx="15">
                  <c:v>2062.3634352802019</c:v>
                </c:pt>
                <c:pt idx="16">
                  <c:v>2073.9279127661835</c:v>
                </c:pt>
                <c:pt idx="17">
                  <c:v>2086.7064176979443</c:v>
                </c:pt>
                <c:pt idx="18">
                  <c:v>2100.0615164863416</c:v>
                </c:pt>
                <c:pt idx="19">
                  <c:v>2113.3215775462331</c:v>
                </c:pt>
                <c:pt idx="20">
                  <c:v>2128.8993191583986</c:v>
                </c:pt>
                <c:pt idx="21">
                  <c:v>2145.8609893489279</c:v>
                </c:pt>
                <c:pt idx="22">
                  <c:v>2161.5223117862674</c:v>
                </c:pt>
                <c:pt idx="23">
                  <c:v>2167.6751882561848</c:v>
                </c:pt>
                <c:pt idx="24">
                  <c:v>2169.8238411439679</c:v>
                </c:pt>
                <c:pt idx="25">
                  <c:v>2169.9176162166518</c:v>
                </c:pt>
                <c:pt idx="26">
                  <c:v>2170.288762338264</c:v>
                </c:pt>
              </c:numCache>
            </c:numRef>
          </c:val>
          <c:smooth val="0"/>
          <c:extLst>
            <c:ext xmlns:c16="http://schemas.microsoft.com/office/drawing/2014/chart" uri="{C3380CC4-5D6E-409C-BE32-E72D297353CC}">
              <c16:uniqueId val="{00000000-BD10-47BD-8756-07DC262BD244}"/>
            </c:ext>
          </c:extLst>
        </c:ser>
        <c:ser>
          <c:idx val="1"/>
          <c:order val="1"/>
          <c:tx>
            <c:strRef>
              <c:f>Compare_FS!$U$72</c:f>
              <c:strCache>
                <c:ptCount val="1"/>
                <c:pt idx="0">
                  <c:v>RECS</c:v>
                </c:pt>
              </c:strCache>
            </c:strRef>
          </c:tx>
          <c:marker>
            <c:symbol val="square"/>
            <c:size val="5"/>
          </c:marker>
          <c:cat>
            <c:numRef>
              <c:f>Compare_FS!$S$73:$S$99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Compare_FS!$U$73:$U$99</c:f>
              <c:numCache>
                <c:formatCode>General</c:formatCode>
                <c:ptCount val="27"/>
                <c:pt idx="0">
                  <c:v>2195.2054794520545</c:v>
                </c:pt>
                <c:pt idx="3">
                  <c:v>2433.3333333333335</c:v>
                </c:pt>
                <c:pt idx="6">
                  <c:v>2478.75</c:v>
                </c:pt>
                <c:pt idx="9">
                  <c:v>2660</c:v>
                </c:pt>
                <c:pt idx="13">
                  <c:v>2235.869565217391</c:v>
                </c:pt>
                <c:pt idx="17">
                  <c:v>2806.7498085548632</c:v>
                </c:pt>
                <c:pt idx="21">
                  <c:v>2970.9349814583102</c:v>
                </c:pt>
              </c:numCache>
            </c:numRef>
          </c:val>
          <c:smooth val="0"/>
          <c:extLst>
            <c:ext xmlns:c16="http://schemas.microsoft.com/office/drawing/2014/chart" uri="{C3380CC4-5D6E-409C-BE32-E72D297353CC}">
              <c16:uniqueId val="{00000001-BD10-47BD-8756-07DC262BD244}"/>
            </c:ext>
          </c:extLst>
        </c:ser>
        <c:dLbls>
          <c:showLegendKey val="0"/>
          <c:showVal val="0"/>
          <c:showCatName val="0"/>
          <c:showSerName val="0"/>
          <c:showPercent val="0"/>
          <c:showBubbleSize val="0"/>
        </c:dLbls>
        <c:marker val="1"/>
        <c:smooth val="0"/>
        <c:axId val="42492672"/>
        <c:axId val="42494208"/>
      </c:lineChart>
      <c:catAx>
        <c:axId val="42492672"/>
        <c:scaling>
          <c:orientation val="minMax"/>
        </c:scaling>
        <c:delete val="0"/>
        <c:axPos val="b"/>
        <c:numFmt formatCode="General" sourceLinked="1"/>
        <c:majorTickMark val="out"/>
        <c:minorTickMark val="none"/>
        <c:tickLblPos val="nextTo"/>
        <c:txPr>
          <a:bodyPr/>
          <a:lstStyle/>
          <a:p>
            <a:pPr>
              <a:defRPr sz="900" baseline="0"/>
            </a:pPr>
            <a:endParaRPr lang="en-US"/>
          </a:p>
        </c:txPr>
        <c:crossAx val="42494208"/>
        <c:crosses val="autoZero"/>
        <c:auto val="1"/>
        <c:lblAlgn val="ctr"/>
        <c:lblOffset val="100"/>
        <c:tickLblSkip val="4"/>
        <c:noMultiLvlLbl val="0"/>
      </c:catAx>
      <c:valAx>
        <c:axId val="42494208"/>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2492672"/>
        <c:crosses val="autoZero"/>
        <c:crossBetween val="midCat"/>
      </c:valAx>
    </c:plotArea>
    <c:legend>
      <c:legendPos val="r"/>
      <c:layout>
        <c:manualLayout>
          <c:xMode val="edge"/>
          <c:yMode val="edge"/>
          <c:x val="0.23964260717410324"/>
          <c:y val="0.58166630212890058"/>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Compare_FS!$T$102</c:f>
              <c:strCache>
                <c:ptCount val="1"/>
                <c:pt idx="0">
                  <c:v>  AHS-based</c:v>
                </c:pt>
              </c:strCache>
            </c:strRef>
          </c:tx>
          <c:cat>
            <c:numRef>
              <c:f>Compare_FS!$S$103:$S$129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Compare_FS!$T$103:$T$129</c:f>
              <c:numCache>
                <c:formatCode>#,##0</c:formatCode>
                <c:ptCount val="27"/>
                <c:pt idx="1">
                  <c:v>1730.8042803163721</c:v>
                </c:pt>
                <c:pt idx="2">
                  <c:v>1731.5898360769431</c:v>
                </c:pt>
                <c:pt idx="3">
                  <c:v>1748.6775250130383</c:v>
                </c:pt>
                <c:pt idx="4">
                  <c:v>1764.9897446613927</c:v>
                </c:pt>
                <c:pt idx="5">
                  <c:v>1780.9648429301071</c:v>
                </c:pt>
                <c:pt idx="6">
                  <c:v>1797.8325037553573</c:v>
                </c:pt>
                <c:pt idx="7">
                  <c:v>1812.4517212113763</c:v>
                </c:pt>
                <c:pt idx="8">
                  <c:v>1831.6808011822791</c:v>
                </c:pt>
                <c:pt idx="9">
                  <c:v>1850.3621957877992</c:v>
                </c:pt>
                <c:pt idx="10">
                  <c:v>1869.6634862882229</c:v>
                </c:pt>
                <c:pt idx="11">
                  <c:v>1884.8739496265132</c:v>
                </c:pt>
                <c:pt idx="12">
                  <c:v>1902.2580383123839</c:v>
                </c:pt>
                <c:pt idx="13">
                  <c:v>1918.7186757735301</c:v>
                </c:pt>
                <c:pt idx="14">
                  <c:v>1936.7190133487595</c:v>
                </c:pt>
                <c:pt idx="15">
                  <c:v>1956.6254210691613</c:v>
                </c:pt>
                <c:pt idx="16">
                  <c:v>1976.8833195636496</c:v>
                </c:pt>
                <c:pt idx="17">
                  <c:v>1998.4478715327286</c:v>
                </c:pt>
                <c:pt idx="18">
                  <c:v>2020.7231112366144</c:v>
                </c:pt>
                <c:pt idx="19">
                  <c:v>2043.0685968933853</c:v>
                </c:pt>
                <c:pt idx="20">
                  <c:v>2067.8275934529315</c:v>
                </c:pt>
                <c:pt idx="21">
                  <c:v>2094.1217414601547</c:v>
                </c:pt>
                <c:pt idx="22">
                  <c:v>2119.3394414149398</c:v>
                </c:pt>
                <c:pt idx="23">
                  <c:v>2135.3781890802684</c:v>
                </c:pt>
                <c:pt idx="24">
                  <c:v>2147.5547033851649</c:v>
                </c:pt>
                <c:pt idx="25">
                  <c:v>2157.7521285281759</c:v>
                </c:pt>
                <c:pt idx="26">
                  <c:v>2165.8823944865603</c:v>
                </c:pt>
              </c:numCache>
            </c:numRef>
          </c:val>
          <c:smooth val="0"/>
          <c:extLst>
            <c:ext xmlns:c16="http://schemas.microsoft.com/office/drawing/2014/chart" uri="{C3380CC4-5D6E-409C-BE32-E72D297353CC}">
              <c16:uniqueId val="{00000000-C6B9-4175-89E6-DFE0D1334116}"/>
            </c:ext>
          </c:extLst>
        </c:ser>
        <c:ser>
          <c:idx val="1"/>
          <c:order val="1"/>
          <c:tx>
            <c:strRef>
              <c:f>Compare_FS!$U$102</c:f>
              <c:strCache>
                <c:ptCount val="1"/>
                <c:pt idx="0">
                  <c:v>RECS</c:v>
                </c:pt>
              </c:strCache>
            </c:strRef>
          </c:tx>
          <c:marker>
            <c:symbol val="square"/>
            <c:size val="5"/>
          </c:marker>
          <c:cat>
            <c:numRef>
              <c:f>Compare_FS!$S$103:$S$129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Compare_FS!$U$103:$U$129</c:f>
              <c:numCache>
                <c:formatCode>General</c:formatCode>
                <c:ptCount val="27"/>
                <c:pt idx="0">
                  <c:v>1763.7614678899083</c:v>
                </c:pt>
                <c:pt idx="3">
                  <c:v>1786.5470852017936</c:v>
                </c:pt>
                <c:pt idx="6">
                  <c:v>1901.6877637130799</c:v>
                </c:pt>
                <c:pt idx="9">
                  <c:v>1985.4838709677415</c:v>
                </c:pt>
                <c:pt idx="13">
                  <c:v>1770.3007518796996</c:v>
                </c:pt>
                <c:pt idx="17">
                  <c:v>2321.9278624353419</c:v>
                </c:pt>
                <c:pt idx="21">
                  <c:v>2819.1074464027956</c:v>
                </c:pt>
              </c:numCache>
            </c:numRef>
          </c:val>
          <c:smooth val="0"/>
          <c:extLst>
            <c:ext xmlns:c16="http://schemas.microsoft.com/office/drawing/2014/chart" uri="{C3380CC4-5D6E-409C-BE32-E72D297353CC}">
              <c16:uniqueId val="{00000001-C6B9-4175-89E6-DFE0D1334116}"/>
            </c:ext>
          </c:extLst>
        </c:ser>
        <c:dLbls>
          <c:showLegendKey val="0"/>
          <c:showVal val="0"/>
          <c:showCatName val="0"/>
          <c:showSerName val="0"/>
          <c:showPercent val="0"/>
          <c:showBubbleSize val="0"/>
        </c:dLbls>
        <c:marker val="1"/>
        <c:smooth val="0"/>
        <c:axId val="42531840"/>
        <c:axId val="42599168"/>
      </c:lineChart>
      <c:catAx>
        <c:axId val="42531840"/>
        <c:scaling>
          <c:orientation val="minMax"/>
        </c:scaling>
        <c:delete val="0"/>
        <c:axPos val="b"/>
        <c:numFmt formatCode="0" sourceLinked="0"/>
        <c:majorTickMark val="out"/>
        <c:minorTickMark val="none"/>
        <c:tickLblPos val="nextTo"/>
        <c:txPr>
          <a:bodyPr/>
          <a:lstStyle/>
          <a:p>
            <a:pPr>
              <a:defRPr sz="900" baseline="0"/>
            </a:pPr>
            <a:endParaRPr lang="en-US"/>
          </a:p>
        </c:txPr>
        <c:crossAx val="42599168"/>
        <c:crosses val="autoZero"/>
        <c:auto val="1"/>
        <c:lblAlgn val="ctr"/>
        <c:lblOffset val="100"/>
        <c:tickLblSkip val="4"/>
        <c:noMultiLvlLbl val="0"/>
      </c:catAx>
      <c:valAx>
        <c:axId val="42599168"/>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2531840"/>
        <c:crosses val="autoZero"/>
        <c:crossBetween val="midCat"/>
      </c:valAx>
    </c:plotArea>
    <c:legend>
      <c:legendPos val="r"/>
      <c:layout>
        <c:manualLayout>
          <c:xMode val="edge"/>
          <c:yMode val="edge"/>
          <c:x val="0.25908705161854767"/>
          <c:y val="0.54462926509186338"/>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Compare_FS!$T$132</c:f>
              <c:strCache>
                <c:ptCount val="1"/>
                <c:pt idx="0">
                  <c:v>  AHS-based</c:v>
                </c:pt>
              </c:strCache>
            </c:strRef>
          </c:tx>
          <c:cat>
            <c:numRef>
              <c:f>Compare_FS!$S$133:$S$159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Compare_FS!$T$133:$T$159</c:f>
              <c:numCache>
                <c:formatCode>#,##0</c:formatCode>
                <c:ptCount val="27"/>
                <c:pt idx="1">
                  <c:v>1706.5410722166928</c:v>
                </c:pt>
                <c:pt idx="2">
                  <c:v>1703.9264043154997</c:v>
                </c:pt>
                <c:pt idx="3">
                  <c:v>1717.3364912246459</c:v>
                </c:pt>
                <c:pt idx="4">
                  <c:v>1729.9380468917286</c:v>
                </c:pt>
                <c:pt idx="5">
                  <c:v>1742.1647325763659</c:v>
                </c:pt>
                <c:pt idx="6">
                  <c:v>1755.2193776848544</c:v>
                </c:pt>
                <c:pt idx="7">
                  <c:v>1766.0366492789224</c:v>
                </c:pt>
                <c:pt idx="8">
                  <c:v>1781.2993676377196</c:v>
                </c:pt>
                <c:pt idx="9">
                  <c:v>1795.975777205422</c:v>
                </c:pt>
                <c:pt idx="10">
                  <c:v>1811.2004586566209</c:v>
                </c:pt>
                <c:pt idx="11">
                  <c:v>1822.4157180833502</c:v>
                </c:pt>
                <c:pt idx="12">
                  <c:v>1835.6900047812403</c:v>
                </c:pt>
                <c:pt idx="13">
                  <c:v>1848.0285912409897</c:v>
                </c:pt>
                <c:pt idx="14">
                  <c:v>1861.8048009651648</c:v>
                </c:pt>
                <c:pt idx="15">
                  <c:v>1877.3620386422317</c:v>
                </c:pt>
                <c:pt idx="16">
                  <c:v>1898.1465321083276</c:v>
                </c:pt>
                <c:pt idx="17">
                  <c:v>1920.2072144379495</c:v>
                </c:pt>
                <c:pt idx="18">
                  <c:v>1942.9735373337844</c:v>
                </c:pt>
                <c:pt idx="19">
                  <c:v>1965.8305326963443</c:v>
                </c:pt>
                <c:pt idx="20">
                  <c:v>1991.034409372653</c:v>
                </c:pt>
                <c:pt idx="21">
                  <c:v>2017.7434812786212</c:v>
                </c:pt>
                <c:pt idx="22">
                  <c:v>2043.4425230686807</c:v>
                </c:pt>
                <c:pt idx="23">
                  <c:v>2060.3115307492276</c:v>
                </c:pt>
                <c:pt idx="24">
                  <c:v>2073.4655805375264</c:v>
                </c:pt>
                <c:pt idx="25">
                  <c:v>2084.7164252298157</c:v>
                </c:pt>
                <c:pt idx="26">
                  <c:v>2093.975005016473</c:v>
                </c:pt>
              </c:numCache>
            </c:numRef>
          </c:val>
          <c:smooth val="0"/>
          <c:extLst>
            <c:ext xmlns:c16="http://schemas.microsoft.com/office/drawing/2014/chart" uri="{C3380CC4-5D6E-409C-BE32-E72D297353CC}">
              <c16:uniqueId val="{00000000-2201-44B6-B433-7CD0212B96CB}"/>
            </c:ext>
          </c:extLst>
        </c:ser>
        <c:ser>
          <c:idx val="1"/>
          <c:order val="1"/>
          <c:tx>
            <c:strRef>
              <c:f>Compare_FS!$U$132</c:f>
              <c:strCache>
                <c:ptCount val="1"/>
                <c:pt idx="0">
                  <c:v>RECS</c:v>
                </c:pt>
              </c:strCache>
            </c:strRef>
          </c:tx>
          <c:marker>
            <c:symbol val="square"/>
            <c:size val="5"/>
          </c:marker>
          <c:cat>
            <c:numRef>
              <c:f>Compare_FS!$S$133:$S$159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Compare_FS!$U$133:$U$159</c:f>
              <c:numCache>
                <c:formatCode>General</c:formatCode>
                <c:ptCount val="27"/>
                <c:pt idx="0">
                  <c:v>1865.0485436893202</c:v>
                </c:pt>
                <c:pt idx="3">
                  <c:v>1940.3508771929824</c:v>
                </c:pt>
                <c:pt idx="6">
                  <c:v>1874.0157480314958</c:v>
                </c:pt>
                <c:pt idx="9">
                  <c:v>2014.8148148148146</c:v>
                </c:pt>
                <c:pt idx="13">
                  <c:v>1746.3087248322149</c:v>
                </c:pt>
                <c:pt idx="17">
                  <c:v>2260.9901257946703</c:v>
                </c:pt>
                <c:pt idx="21">
                  <c:v>2430.0010978798559</c:v>
                </c:pt>
              </c:numCache>
            </c:numRef>
          </c:val>
          <c:smooth val="0"/>
          <c:extLst>
            <c:ext xmlns:c16="http://schemas.microsoft.com/office/drawing/2014/chart" uri="{C3380CC4-5D6E-409C-BE32-E72D297353CC}">
              <c16:uniqueId val="{00000001-2201-44B6-B433-7CD0212B96CB}"/>
            </c:ext>
          </c:extLst>
        </c:ser>
        <c:dLbls>
          <c:showLegendKey val="0"/>
          <c:showVal val="0"/>
          <c:showCatName val="0"/>
          <c:showSerName val="0"/>
          <c:showPercent val="0"/>
          <c:showBubbleSize val="0"/>
        </c:dLbls>
        <c:marker val="1"/>
        <c:smooth val="0"/>
        <c:axId val="42644992"/>
        <c:axId val="42646528"/>
      </c:lineChart>
      <c:catAx>
        <c:axId val="42644992"/>
        <c:scaling>
          <c:orientation val="minMax"/>
        </c:scaling>
        <c:delete val="0"/>
        <c:axPos val="b"/>
        <c:numFmt formatCode="General" sourceLinked="1"/>
        <c:majorTickMark val="out"/>
        <c:minorTickMark val="none"/>
        <c:tickLblPos val="nextTo"/>
        <c:txPr>
          <a:bodyPr/>
          <a:lstStyle/>
          <a:p>
            <a:pPr>
              <a:defRPr sz="900" baseline="0"/>
            </a:pPr>
            <a:endParaRPr lang="en-US"/>
          </a:p>
        </c:txPr>
        <c:crossAx val="42646528"/>
        <c:crosses val="autoZero"/>
        <c:auto val="1"/>
        <c:lblAlgn val="ctr"/>
        <c:lblOffset val="100"/>
        <c:tickLblSkip val="4"/>
        <c:noMultiLvlLbl val="0"/>
      </c:catAx>
      <c:valAx>
        <c:axId val="42646528"/>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1"/>
        <c:majorTickMark val="out"/>
        <c:minorTickMark val="none"/>
        <c:tickLblPos val="nextTo"/>
        <c:crossAx val="42644992"/>
        <c:crosses val="autoZero"/>
        <c:crossBetween val="midCat"/>
      </c:valAx>
    </c:plotArea>
    <c:legend>
      <c:legendPos val="r"/>
      <c:layout>
        <c:manualLayout>
          <c:xMode val="edge"/>
          <c:yMode val="edge"/>
          <c:x val="0.26464260717410326"/>
          <c:y val="0.53999963546223384"/>
          <c:w val="0.27247856517935259"/>
          <c:h val="0.2289588801399825"/>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661854768154"/>
          <c:y val="5.1400554097404488E-2"/>
          <c:w val="0.76269160104986877"/>
          <c:h val="0.79523549139690874"/>
        </c:manualLayout>
      </c:layout>
      <c:lineChart>
        <c:grouping val="standard"/>
        <c:varyColors val="0"/>
        <c:ser>
          <c:idx val="0"/>
          <c:order val="0"/>
          <c:tx>
            <c:strRef>
              <c:f>Compare_FS!$AH$42</c:f>
              <c:strCache>
                <c:ptCount val="1"/>
                <c:pt idx="0">
                  <c:v>  AHS-based</c:v>
                </c:pt>
              </c:strCache>
            </c:strRef>
          </c:tx>
          <c:cat>
            <c:numRef>
              <c:f>Compare_FS!$AG$43:$AG$69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Compare_FS!$AH$43:$AH$69</c:f>
              <c:numCache>
                <c:formatCode>#,##0</c:formatCode>
                <c:ptCount val="27"/>
                <c:pt idx="1">
                  <c:v>881.17623091966152</c:v>
                </c:pt>
                <c:pt idx="2">
                  <c:v>903.0171667026591</c:v>
                </c:pt>
                <c:pt idx="3">
                  <c:v>920.52633933356401</c:v>
                </c:pt>
                <c:pt idx="4">
                  <c:v>933.37586330542263</c:v>
                </c:pt>
                <c:pt idx="5">
                  <c:v>944.18800515475073</c:v>
                </c:pt>
                <c:pt idx="6">
                  <c:v>952.53691624183045</c:v>
                </c:pt>
                <c:pt idx="7">
                  <c:v>956.81702335077614</c:v>
                </c:pt>
                <c:pt idx="8">
                  <c:v>958.25941757315297</c:v>
                </c:pt>
                <c:pt idx="9">
                  <c:v>957.87497706299905</c:v>
                </c:pt>
                <c:pt idx="10">
                  <c:v>959.8397668758256</c:v>
                </c:pt>
                <c:pt idx="11">
                  <c:v>965.29348040924094</c:v>
                </c:pt>
                <c:pt idx="12">
                  <c:v>973.20080331561928</c:v>
                </c:pt>
                <c:pt idx="13">
                  <c:v>981.50339752977959</c:v>
                </c:pt>
                <c:pt idx="14">
                  <c:v>987.59061570803999</c:v>
                </c:pt>
                <c:pt idx="15">
                  <c:v>995.19754252016173</c:v>
                </c:pt>
                <c:pt idx="16">
                  <c:v>1007.0812575398804</c:v>
                </c:pt>
                <c:pt idx="17">
                  <c:v>1018.3795592837155</c:v>
                </c:pt>
                <c:pt idx="18">
                  <c:v>1030.5088620167755</c:v>
                </c:pt>
                <c:pt idx="19">
                  <c:v>1041.0369580136548</c:v>
                </c:pt>
                <c:pt idx="20">
                  <c:v>1053.2649416125205</c:v>
                </c:pt>
                <c:pt idx="21">
                  <c:v>1065.0102704116591</c:v>
                </c:pt>
                <c:pt idx="22">
                  <c:v>1079.7737299662372</c:v>
                </c:pt>
                <c:pt idx="23">
                  <c:v>1092.2574042079102</c:v>
                </c:pt>
                <c:pt idx="24">
                  <c:v>1099.2838912223935</c:v>
                </c:pt>
                <c:pt idx="25">
                  <c:v>1104.5533649133347</c:v>
                </c:pt>
                <c:pt idx="26">
                  <c:v>1110.4992214375932</c:v>
                </c:pt>
              </c:numCache>
            </c:numRef>
          </c:val>
          <c:smooth val="0"/>
          <c:extLst>
            <c:ext xmlns:c16="http://schemas.microsoft.com/office/drawing/2014/chart" uri="{C3380CC4-5D6E-409C-BE32-E72D297353CC}">
              <c16:uniqueId val="{00000000-0F12-43D2-8D44-26FBB420BD7F}"/>
            </c:ext>
          </c:extLst>
        </c:ser>
        <c:ser>
          <c:idx val="1"/>
          <c:order val="1"/>
          <c:tx>
            <c:strRef>
              <c:f>Compare_FS!$AI$42</c:f>
              <c:strCache>
                <c:ptCount val="1"/>
                <c:pt idx="0">
                  <c:v>RECS</c:v>
                </c:pt>
              </c:strCache>
            </c:strRef>
          </c:tx>
          <c:marker>
            <c:symbol val="square"/>
            <c:size val="5"/>
          </c:marker>
          <c:cat>
            <c:numRef>
              <c:f>Compare_FS!$AG$43:$AG$69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Compare_FS!$AI$43:$AI$69</c:f>
              <c:numCache>
                <c:formatCode>General</c:formatCode>
                <c:ptCount val="27"/>
                <c:pt idx="0">
                  <c:v>1002.9411764705882</c:v>
                </c:pt>
                <c:pt idx="3">
                  <c:v>1006.8493150684932</c:v>
                </c:pt>
                <c:pt idx="6">
                  <c:v>1108.8235294117649</c:v>
                </c:pt>
                <c:pt idx="9">
                  <c:v>1095.7142857142856</c:v>
                </c:pt>
                <c:pt idx="13">
                  <c:v>890.90909090909099</c:v>
                </c:pt>
                <c:pt idx="17">
                  <c:v>1258.4299262381455</c:v>
                </c:pt>
                <c:pt idx="21">
                  <c:v>976.3198334693792</c:v>
                </c:pt>
              </c:numCache>
            </c:numRef>
          </c:val>
          <c:smooth val="0"/>
          <c:extLst>
            <c:ext xmlns:c16="http://schemas.microsoft.com/office/drawing/2014/chart" uri="{C3380CC4-5D6E-409C-BE32-E72D297353CC}">
              <c16:uniqueId val="{00000001-0F12-43D2-8D44-26FBB420BD7F}"/>
            </c:ext>
          </c:extLst>
        </c:ser>
        <c:dLbls>
          <c:showLegendKey val="0"/>
          <c:showVal val="0"/>
          <c:showCatName val="0"/>
          <c:showSerName val="0"/>
          <c:showPercent val="0"/>
          <c:showBubbleSize val="0"/>
        </c:dLbls>
        <c:marker val="1"/>
        <c:smooth val="0"/>
        <c:axId val="42872832"/>
        <c:axId val="42874368"/>
      </c:lineChart>
      <c:catAx>
        <c:axId val="42872832"/>
        <c:scaling>
          <c:orientation val="minMax"/>
        </c:scaling>
        <c:delete val="0"/>
        <c:axPos val="b"/>
        <c:numFmt formatCode="General" sourceLinked="1"/>
        <c:majorTickMark val="out"/>
        <c:minorTickMark val="none"/>
        <c:tickLblPos val="nextTo"/>
        <c:crossAx val="42874368"/>
        <c:crosses val="autoZero"/>
        <c:auto val="1"/>
        <c:lblAlgn val="ctr"/>
        <c:lblOffset val="100"/>
        <c:tickLblSkip val="4"/>
        <c:noMultiLvlLbl val="0"/>
      </c:catAx>
      <c:valAx>
        <c:axId val="42874368"/>
        <c:scaling>
          <c:orientation val="minMax"/>
        </c:scaling>
        <c:delete val="0"/>
        <c:axPos val="l"/>
        <c:majorGridlines/>
        <c:title>
          <c:tx>
            <c:rich>
              <a:bodyPr rot="-5400000" vert="horz"/>
              <a:lstStyle/>
              <a:p>
                <a:pPr>
                  <a:defRPr/>
                </a:pPr>
                <a:r>
                  <a:rPr lang="en-US"/>
                  <a:t>Square feet per unit</a:t>
                </a:r>
              </a:p>
            </c:rich>
          </c:tx>
          <c:overlay val="0"/>
        </c:title>
        <c:numFmt formatCode="#,##0" sourceLinked="0"/>
        <c:majorTickMark val="out"/>
        <c:minorTickMark val="none"/>
        <c:tickLblPos val="nextTo"/>
        <c:crossAx val="42872832"/>
        <c:crosses val="autoZero"/>
        <c:crossBetween val="midCat"/>
      </c:valAx>
    </c:plotArea>
    <c:legend>
      <c:legendPos val="r"/>
      <c:layout>
        <c:manualLayout>
          <c:xMode val="edge"/>
          <c:yMode val="edge"/>
          <c:x val="0.19895778652668414"/>
          <c:y val="0.54128280839895015"/>
          <c:w val="0.21770888013998252"/>
          <c:h val="0.16743438320209975"/>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4326049868766408"/>
          <c:h val="0.81573120642426811"/>
        </c:manualLayout>
      </c:layout>
      <c:lineChart>
        <c:grouping val="standard"/>
        <c:varyColors val="0"/>
        <c:ser>
          <c:idx val="0"/>
          <c:order val="0"/>
          <c:tx>
            <c:strRef>
              <c:f>Compare_FS!$AH$72</c:f>
              <c:strCache>
                <c:ptCount val="1"/>
                <c:pt idx="0">
                  <c:v>  AHS-based</c:v>
                </c:pt>
              </c:strCache>
            </c:strRef>
          </c:tx>
          <c:cat>
            <c:numRef>
              <c:f>Compare_FS!$AG$73:$AG$99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Compare_FS!$AH$73:$AH$99</c:f>
              <c:numCache>
                <c:formatCode>#,##0</c:formatCode>
                <c:ptCount val="27"/>
                <c:pt idx="1">
                  <c:v>850.45869663083533</c:v>
                </c:pt>
                <c:pt idx="2">
                  <c:v>870.88149077750643</c:v>
                </c:pt>
                <c:pt idx="3">
                  <c:v>887.09906481981852</c:v>
                </c:pt>
                <c:pt idx="4">
                  <c:v>898.80517018082764</c:v>
                </c:pt>
                <c:pt idx="5">
                  <c:v>908.53322663690312</c:v>
                </c:pt>
                <c:pt idx="6">
                  <c:v>915.87823287908418</c:v>
                </c:pt>
                <c:pt idx="7">
                  <c:v>919.30293290763166</c:v>
                </c:pt>
                <c:pt idx="8">
                  <c:v>919.9980857670763</c:v>
                </c:pt>
                <c:pt idx="9">
                  <c:v>918.93961820957929</c:v>
                </c:pt>
                <c:pt idx="10">
                  <c:v>920.13478782734819</c:v>
                </c:pt>
                <c:pt idx="11">
                  <c:v>924.67026482971232</c:v>
                </c:pt>
                <c:pt idx="12">
                  <c:v>931.5475515178</c:v>
                </c:pt>
                <c:pt idx="13">
                  <c:v>938.79262907283476</c:v>
                </c:pt>
                <c:pt idx="14">
                  <c:v>943.90949502353988</c:v>
                </c:pt>
                <c:pt idx="15">
                  <c:v>950.47013185264382</c:v>
                </c:pt>
                <c:pt idx="16">
                  <c:v>959.85071599479795</c:v>
                </c:pt>
                <c:pt idx="17">
                  <c:v>968.63394249381156</c:v>
                </c:pt>
                <c:pt idx="18">
                  <c:v>978.1678780661249</c:v>
                </c:pt>
                <c:pt idx="19">
                  <c:v>986.14390191712778</c:v>
                </c:pt>
                <c:pt idx="20">
                  <c:v>995.69213010092722</c:v>
                </c:pt>
                <c:pt idx="21">
                  <c:v>1004.7438556527778</c:v>
                </c:pt>
                <c:pt idx="22">
                  <c:v>1016.5980025572431</c:v>
                </c:pt>
                <c:pt idx="23">
                  <c:v>1026.2596062840946</c:v>
                </c:pt>
                <c:pt idx="24">
                  <c:v>1030.7626027790307</c:v>
                </c:pt>
                <c:pt idx="25">
                  <c:v>1033.6008307731474</c:v>
                </c:pt>
                <c:pt idx="26">
                  <c:v>1037.8188323459788</c:v>
                </c:pt>
              </c:numCache>
            </c:numRef>
          </c:val>
          <c:smooth val="0"/>
          <c:extLst>
            <c:ext xmlns:c16="http://schemas.microsoft.com/office/drawing/2014/chart" uri="{C3380CC4-5D6E-409C-BE32-E72D297353CC}">
              <c16:uniqueId val="{00000000-2B5A-4A31-9DC2-012D76C7FBF9}"/>
            </c:ext>
          </c:extLst>
        </c:ser>
        <c:ser>
          <c:idx val="1"/>
          <c:order val="1"/>
          <c:tx>
            <c:strRef>
              <c:f>Compare_FS!$AI$72</c:f>
              <c:strCache>
                <c:ptCount val="1"/>
                <c:pt idx="0">
                  <c:v>RECS</c:v>
                </c:pt>
              </c:strCache>
            </c:strRef>
          </c:tx>
          <c:marker>
            <c:symbol val="square"/>
            <c:size val="5"/>
          </c:marker>
          <c:cat>
            <c:numRef>
              <c:f>Compare_FS!$AG$73:$AG$99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Compare_FS!$AI$73:$AI$99</c:f>
              <c:numCache>
                <c:formatCode>General</c:formatCode>
                <c:ptCount val="27"/>
                <c:pt idx="0">
                  <c:v>1033.8983050847457</c:v>
                </c:pt>
                <c:pt idx="3">
                  <c:v>979.62962962962956</c:v>
                </c:pt>
                <c:pt idx="6">
                  <c:v>1041.818181818182</c:v>
                </c:pt>
                <c:pt idx="9">
                  <c:v>998.11320754716974</c:v>
                </c:pt>
                <c:pt idx="13">
                  <c:v>886.66666666666674</c:v>
                </c:pt>
                <c:pt idx="17">
                  <c:v>1126.6533066132265</c:v>
                </c:pt>
                <c:pt idx="21">
                  <c:v>1043.9769785690632</c:v>
                </c:pt>
              </c:numCache>
            </c:numRef>
          </c:val>
          <c:smooth val="0"/>
          <c:extLst>
            <c:ext xmlns:c16="http://schemas.microsoft.com/office/drawing/2014/chart" uri="{C3380CC4-5D6E-409C-BE32-E72D297353CC}">
              <c16:uniqueId val="{00000001-2B5A-4A31-9DC2-012D76C7FBF9}"/>
            </c:ext>
          </c:extLst>
        </c:ser>
        <c:dLbls>
          <c:showLegendKey val="0"/>
          <c:showVal val="0"/>
          <c:showCatName val="0"/>
          <c:showSerName val="0"/>
          <c:showPercent val="0"/>
          <c:showBubbleSize val="0"/>
        </c:dLbls>
        <c:marker val="1"/>
        <c:smooth val="0"/>
        <c:axId val="42916096"/>
        <c:axId val="42917888"/>
      </c:lineChart>
      <c:catAx>
        <c:axId val="42916096"/>
        <c:scaling>
          <c:orientation val="minMax"/>
        </c:scaling>
        <c:delete val="0"/>
        <c:axPos val="b"/>
        <c:numFmt formatCode="General" sourceLinked="1"/>
        <c:majorTickMark val="out"/>
        <c:minorTickMark val="none"/>
        <c:tickLblPos val="nextTo"/>
        <c:txPr>
          <a:bodyPr/>
          <a:lstStyle/>
          <a:p>
            <a:pPr>
              <a:defRPr sz="900" baseline="0"/>
            </a:pPr>
            <a:endParaRPr lang="en-US"/>
          </a:p>
        </c:txPr>
        <c:crossAx val="42917888"/>
        <c:crosses val="autoZero"/>
        <c:auto val="1"/>
        <c:lblAlgn val="ctr"/>
        <c:lblOffset val="100"/>
        <c:tickLblSkip val="4"/>
        <c:noMultiLvlLbl val="0"/>
      </c:catAx>
      <c:valAx>
        <c:axId val="42917888"/>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2916096"/>
        <c:crosses val="autoZero"/>
        <c:crossBetween val="midCat"/>
      </c:valAx>
    </c:plotArea>
    <c:legend>
      <c:legendPos val="r"/>
      <c:layout>
        <c:manualLayout>
          <c:xMode val="edge"/>
          <c:yMode val="edge"/>
          <c:x val="0.23964260717410324"/>
          <c:y val="0.58166630212890058"/>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Compare_FS!$AH$102</c:f>
              <c:strCache>
                <c:ptCount val="1"/>
                <c:pt idx="0">
                  <c:v>  AHS-based</c:v>
                </c:pt>
              </c:strCache>
            </c:strRef>
          </c:tx>
          <c:cat>
            <c:numRef>
              <c:f>Compare_FS!$AG$103:$AG$129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Compare_FS!$AH$103:$AH$129</c:f>
              <c:numCache>
                <c:formatCode>#,##0</c:formatCode>
                <c:ptCount val="27"/>
                <c:pt idx="1">
                  <c:v>856.08807057635875</c:v>
                </c:pt>
                <c:pt idx="2">
                  <c:v>876.64604770807023</c:v>
                </c:pt>
                <c:pt idx="3">
                  <c:v>892.97096945478575</c:v>
                </c:pt>
                <c:pt idx="4">
                  <c:v>904.75456011259303</c:v>
                </c:pt>
                <c:pt idx="5">
                  <c:v>914.54700872289231</c:v>
                </c:pt>
                <c:pt idx="6">
                  <c:v>921.9406331836102</c:v>
                </c:pt>
                <c:pt idx="7">
                  <c:v>925.38800205802681</c:v>
                </c:pt>
                <c:pt idx="8">
                  <c:v>926.08775628777971</c:v>
                </c:pt>
                <c:pt idx="9">
                  <c:v>925.0222824997461</c:v>
                </c:pt>
                <c:pt idx="10">
                  <c:v>926.2253632091805</c:v>
                </c:pt>
                <c:pt idx="11">
                  <c:v>930.79086153552998</c:v>
                </c:pt>
                <c:pt idx="12">
                  <c:v>937.71367050312551</c:v>
                </c:pt>
                <c:pt idx="13">
                  <c:v>945.00670482664657</c:v>
                </c:pt>
                <c:pt idx="14">
                  <c:v>950.15744044319172</c:v>
                </c:pt>
                <c:pt idx="15">
                  <c:v>956.76150357645133</c:v>
                </c:pt>
                <c:pt idx="16">
                  <c:v>965.99611365928581</c:v>
                </c:pt>
                <c:pt idx="17">
                  <c:v>974.62536971789086</c:v>
                </c:pt>
                <c:pt idx="18">
                  <c:v>984.00576610761391</c:v>
                </c:pt>
                <c:pt idx="19">
                  <c:v>991.8149092522699</c:v>
                </c:pt>
                <c:pt idx="20">
                  <c:v>1001.2012442859852</c:v>
                </c:pt>
                <c:pt idx="21">
                  <c:v>1010.0840347620356</c:v>
                </c:pt>
                <c:pt idx="22">
                  <c:v>1021.7793360719519</c:v>
                </c:pt>
                <c:pt idx="23">
                  <c:v>1031.2659731194565</c:v>
                </c:pt>
                <c:pt idx="24">
                  <c:v>1035.5654908497111</c:v>
                </c:pt>
                <c:pt idx="25">
                  <c:v>1038.1906237801591</c:v>
                </c:pt>
                <c:pt idx="26">
                  <c:v>1042.1998572009347</c:v>
                </c:pt>
              </c:numCache>
            </c:numRef>
          </c:val>
          <c:smooth val="0"/>
          <c:extLst>
            <c:ext xmlns:c16="http://schemas.microsoft.com/office/drawing/2014/chart" uri="{C3380CC4-5D6E-409C-BE32-E72D297353CC}">
              <c16:uniqueId val="{00000000-4380-419E-A46D-50125B7CCAD7}"/>
            </c:ext>
          </c:extLst>
        </c:ser>
        <c:ser>
          <c:idx val="1"/>
          <c:order val="1"/>
          <c:tx>
            <c:strRef>
              <c:f>Compare_FS!$AI$102</c:f>
              <c:strCache>
                <c:ptCount val="1"/>
                <c:pt idx="0">
                  <c:v>RECS</c:v>
                </c:pt>
              </c:strCache>
            </c:strRef>
          </c:tx>
          <c:marker>
            <c:symbol val="square"/>
            <c:size val="5"/>
          </c:marker>
          <c:cat>
            <c:numRef>
              <c:f>Compare_FS!$AG$103:$AG$129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Compare_FS!$AI$103:$AI$129</c:f>
              <c:numCache>
                <c:formatCode>General</c:formatCode>
                <c:ptCount val="27"/>
                <c:pt idx="0">
                  <c:v>819.23076923076917</c:v>
                </c:pt>
                <c:pt idx="3">
                  <c:v>854.6875</c:v>
                </c:pt>
                <c:pt idx="6">
                  <c:v>849.25373134328368</c:v>
                </c:pt>
                <c:pt idx="9">
                  <c:v>877.04918032786873</c:v>
                </c:pt>
                <c:pt idx="13">
                  <c:v>943.54838709677426</c:v>
                </c:pt>
                <c:pt idx="17">
                  <c:v>954.43611150417428</c:v>
                </c:pt>
                <c:pt idx="21">
                  <c:v>926.46324946373409</c:v>
                </c:pt>
              </c:numCache>
            </c:numRef>
          </c:val>
          <c:smooth val="0"/>
          <c:extLst>
            <c:ext xmlns:c16="http://schemas.microsoft.com/office/drawing/2014/chart" uri="{C3380CC4-5D6E-409C-BE32-E72D297353CC}">
              <c16:uniqueId val="{00000001-4380-419E-A46D-50125B7CCAD7}"/>
            </c:ext>
          </c:extLst>
        </c:ser>
        <c:dLbls>
          <c:showLegendKey val="0"/>
          <c:showVal val="0"/>
          <c:showCatName val="0"/>
          <c:showSerName val="0"/>
          <c:showPercent val="0"/>
          <c:showBubbleSize val="0"/>
        </c:dLbls>
        <c:marker val="1"/>
        <c:smooth val="0"/>
        <c:axId val="42955520"/>
        <c:axId val="42957056"/>
      </c:lineChart>
      <c:catAx>
        <c:axId val="42955520"/>
        <c:scaling>
          <c:orientation val="minMax"/>
        </c:scaling>
        <c:delete val="0"/>
        <c:axPos val="b"/>
        <c:numFmt formatCode="0" sourceLinked="0"/>
        <c:majorTickMark val="out"/>
        <c:minorTickMark val="none"/>
        <c:tickLblPos val="nextTo"/>
        <c:txPr>
          <a:bodyPr/>
          <a:lstStyle/>
          <a:p>
            <a:pPr>
              <a:defRPr sz="900" baseline="0"/>
            </a:pPr>
            <a:endParaRPr lang="en-US"/>
          </a:p>
        </c:txPr>
        <c:crossAx val="42957056"/>
        <c:crosses val="autoZero"/>
        <c:auto val="1"/>
        <c:lblAlgn val="ctr"/>
        <c:lblOffset val="100"/>
        <c:tickLblSkip val="4"/>
        <c:noMultiLvlLbl val="0"/>
      </c:catAx>
      <c:valAx>
        <c:axId val="42957056"/>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2955520"/>
        <c:crosses val="autoZero"/>
        <c:crossBetween val="midCat"/>
      </c:valAx>
    </c:plotArea>
    <c:legend>
      <c:legendPos val="r"/>
      <c:layout>
        <c:manualLayout>
          <c:xMode val="edge"/>
          <c:yMode val="edge"/>
          <c:x val="0.25908705161854767"/>
          <c:y val="0.54462926509186338"/>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Compare_FS!$AH$132</c:f>
              <c:strCache>
                <c:ptCount val="1"/>
                <c:pt idx="0">
                  <c:v>  AHS-based</c:v>
                </c:pt>
              </c:strCache>
            </c:strRef>
          </c:tx>
          <c:cat>
            <c:numRef>
              <c:f>Compare_FS!$AG$133:$AG$159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Compare_FS!$AH$133:$AH$159</c:f>
              <c:numCache>
                <c:formatCode>#,##0</c:formatCode>
                <c:ptCount val="27"/>
                <c:pt idx="1">
                  <c:v>782.00651097904279</c:v>
                </c:pt>
                <c:pt idx="2">
                  <c:v>799.69410389856819</c:v>
                </c:pt>
                <c:pt idx="3">
                  <c:v>813.47430061837167</c:v>
                </c:pt>
                <c:pt idx="4">
                  <c:v>823.08246356110772</c:v>
                </c:pt>
                <c:pt idx="5">
                  <c:v>830.85236305968112</c:v>
                </c:pt>
                <c:pt idx="6">
                  <c:v>836.42157028836255</c:v>
                </c:pt>
                <c:pt idx="7">
                  <c:v>838.39707921779393</c:v>
                </c:pt>
                <c:pt idx="8">
                  <c:v>837.87809943977277</c:v>
                </c:pt>
                <c:pt idx="9">
                  <c:v>835.7624845385169</c:v>
                </c:pt>
                <c:pt idx="10">
                  <c:v>835.69634920883414</c:v>
                </c:pt>
                <c:pt idx="11">
                  <c:v>838.65680799465144</c:v>
                </c:pt>
                <c:pt idx="12">
                  <c:v>843.72693711063164</c:v>
                </c:pt>
                <c:pt idx="13">
                  <c:v>849.11248568335918</c:v>
                </c:pt>
                <c:pt idx="14">
                  <c:v>852.55763239740702</c:v>
                </c:pt>
                <c:pt idx="15">
                  <c:v>857.29218698215323</c:v>
                </c:pt>
                <c:pt idx="16">
                  <c:v>863.82913819906457</c:v>
                </c:pt>
                <c:pt idx="17">
                  <c:v>869.78991270759343</c:v>
                </c:pt>
                <c:pt idx="18">
                  <c:v>876.38583939997125</c:v>
                </c:pt>
                <c:pt idx="19">
                  <c:v>881.54856897289199</c:v>
                </c:pt>
                <c:pt idx="20">
                  <c:v>888.07926183072493</c:v>
                </c:pt>
                <c:pt idx="21">
                  <c:v>894.12739858538202</c:v>
                </c:pt>
                <c:pt idx="22">
                  <c:v>902.62499110126271</c:v>
                </c:pt>
                <c:pt idx="23">
                  <c:v>909.1301123093499</c:v>
                </c:pt>
                <c:pt idx="24">
                  <c:v>911.0344401098539</c:v>
                </c:pt>
                <c:pt idx="25">
                  <c:v>911.45017789420638</c:v>
                </c:pt>
                <c:pt idx="26">
                  <c:v>913.06598228077746</c:v>
                </c:pt>
              </c:numCache>
            </c:numRef>
          </c:val>
          <c:smooth val="0"/>
          <c:extLst>
            <c:ext xmlns:c16="http://schemas.microsoft.com/office/drawing/2014/chart" uri="{C3380CC4-5D6E-409C-BE32-E72D297353CC}">
              <c16:uniqueId val="{00000000-F64A-456D-9F8F-41D14CCC4569}"/>
            </c:ext>
          </c:extLst>
        </c:ser>
        <c:ser>
          <c:idx val="1"/>
          <c:order val="1"/>
          <c:tx>
            <c:strRef>
              <c:f>Compare_FS!$AI$132</c:f>
              <c:strCache>
                <c:ptCount val="1"/>
                <c:pt idx="0">
                  <c:v>RECS</c:v>
                </c:pt>
              </c:strCache>
            </c:strRef>
          </c:tx>
          <c:marker>
            <c:symbol val="square"/>
            <c:size val="5"/>
          </c:marker>
          <c:cat>
            <c:numRef>
              <c:f>Compare_FS!$AG$133:$AG$159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Compare_FS!$AI$133:$AI$159</c:f>
              <c:numCache>
                <c:formatCode>General</c:formatCode>
                <c:ptCount val="27"/>
                <c:pt idx="0">
                  <c:v>968.42105263157896</c:v>
                </c:pt>
                <c:pt idx="3">
                  <c:v>937.93103448275861</c:v>
                </c:pt>
                <c:pt idx="6">
                  <c:v>820</c:v>
                </c:pt>
                <c:pt idx="9">
                  <c:v>893.22033898305074</c:v>
                </c:pt>
                <c:pt idx="13">
                  <c:v>832.69230769230774</c:v>
                </c:pt>
                <c:pt idx="17">
                  <c:v>832.87070854638421</c:v>
                </c:pt>
                <c:pt idx="21">
                  <c:v>828.51642146584504</c:v>
                </c:pt>
              </c:numCache>
            </c:numRef>
          </c:val>
          <c:smooth val="0"/>
          <c:extLst>
            <c:ext xmlns:c16="http://schemas.microsoft.com/office/drawing/2014/chart" uri="{C3380CC4-5D6E-409C-BE32-E72D297353CC}">
              <c16:uniqueId val="{00000001-F64A-456D-9F8F-41D14CCC4569}"/>
            </c:ext>
          </c:extLst>
        </c:ser>
        <c:dLbls>
          <c:showLegendKey val="0"/>
          <c:showVal val="0"/>
          <c:showCatName val="0"/>
          <c:showSerName val="0"/>
          <c:showPercent val="0"/>
          <c:showBubbleSize val="0"/>
        </c:dLbls>
        <c:marker val="1"/>
        <c:smooth val="0"/>
        <c:axId val="42982400"/>
        <c:axId val="43012864"/>
      </c:lineChart>
      <c:catAx>
        <c:axId val="42982400"/>
        <c:scaling>
          <c:orientation val="minMax"/>
        </c:scaling>
        <c:delete val="0"/>
        <c:axPos val="b"/>
        <c:numFmt formatCode="General" sourceLinked="1"/>
        <c:majorTickMark val="out"/>
        <c:minorTickMark val="none"/>
        <c:tickLblPos val="nextTo"/>
        <c:txPr>
          <a:bodyPr/>
          <a:lstStyle/>
          <a:p>
            <a:pPr>
              <a:defRPr sz="900" baseline="0"/>
            </a:pPr>
            <a:endParaRPr lang="en-US"/>
          </a:p>
        </c:txPr>
        <c:crossAx val="43012864"/>
        <c:crosses val="autoZero"/>
        <c:auto val="1"/>
        <c:lblAlgn val="ctr"/>
        <c:lblOffset val="100"/>
        <c:tickLblSkip val="4"/>
        <c:noMultiLvlLbl val="0"/>
      </c:catAx>
      <c:valAx>
        <c:axId val="43012864"/>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1"/>
        <c:majorTickMark val="out"/>
        <c:minorTickMark val="none"/>
        <c:tickLblPos val="nextTo"/>
        <c:crossAx val="42982400"/>
        <c:crosses val="autoZero"/>
        <c:crossBetween val="midCat"/>
      </c:valAx>
    </c:plotArea>
    <c:legend>
      <c:legendPos val="r"/>
      <c:layout>
        <c:manualLayout>
          <c:xMode val="edge"/>
          <c:yMode val="edge"/>
          <c:x val="0.37575371828521437"/>
          <c:y val="0.61407370953630802"/>
          <c:w val="0.27247856517935259"/>
          <c:h val="0.2289588801399825"/>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661854768154"/>
          <c:y val="5.1400554097404488E-2"/>
          <c:w val="0.76269160104986877"/>
          <c:h val="0.79523549139690874"/>
        </c:manualLayout>
      </c:layout>
      <c:lineChart>
        <c:grouping val="standard"/>
        <c:varyColors val="0"/>
        <c:ser>
          <c:idx val="0"/>
          <c:order val="0"/>
          <c:tx>
            <c:strRef>
              <c:f>Compare_FS!$AV$42</c:f>
              <c:strCache>
                <c:ptCount val="1"/>
                <c:pt idx="0">
                  <c:v>  AHS-based</c:v>
                </c:pt>
              </c:strCache>
            </c:strRef>
          </c:tx>
          <c:cat>
            <c:numRef>
              <c:f>Compare_FS!$AU$43:$AU$69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Compare_FS!$AV$43:$AV$69</c:f>
              <c:numCache>
                <c:formatCode>#,##0</c:formatCode>
                <c:ptCount val="27"/>
                <c:pt idx="1">
                  <c:v>845.21973168316833</c:v>
                </c:pt>
                <c:pt idx="2">
                  <c:v>851.44375770749866</c:v>
                </c:pt>
                <c:pt idx="3">
                  <c:v>850.58308135372886</c:v>
                </c:pt>
                <c:pt idx="4">
                  <c:v>875.86520240246648</c:v>
                </c:pt>
                <c:pt idx="5">
                  <c:v>901.13793578367506</c:v>
                </c:pt>
                <c:pt idx="6">
                  <c:v>926.90299356528942</c:v>
                </c:pt>
                <c:pt idx="7">
                  <c:v>942.57787216735608</c:v>
                </c:pt>
                <c:pt idx="8">
                  <c:v>956.87964215044394</c:v>
                </c:pt>
                <c:pt idx="9">
                  <c:v>971.15029726572789</c:v>
                </c:pt>
                <c:pt idx="10">
                  <c:v>980.03782948940227</c:v>
                </c:pt>
                <c:pt idx="11">
                  <c:v>988.92427029099304</c:v>
                </c:pt>
                <c:pt idx="12">
                  <c:v>997.43505547803636</c:v>
                </c:pt>
                <c:pt idx="13">
                  <c:v>1005.9384095410609</c:v>
                </c:pt>
                <c:pt idx="14">
                  <c:v>1014.6864753431329</c:v>
                </c:pt>
                <c:pt idx="15">
                  <c:v>1023.4312534805125</c:v>
                </c:pt>
                <c:pt idx="16">
                  <c:v>1032.1867283831136</c:v>
                </c:pt>
                <c:pt idx="17">
                  <c:v>1040.9391511585568</c:v>
                </c:pt>
                <c:pt idx="18">
                  <c:v>1040.8053292171417</c:v>
                </c:pt>
                <c:pt idx="19">
                  <c:v>1040.6715425593231</c:v>
                </c:pt>
                <c:pt idx="20">
                  <c:v>1040.8135584565664</c:v>
                </c:pt>
                <c:pt idx="21">
                  <c:v>1040.9556121850267</c:v>
                </c:pt>
                <c:pt idx="22">
                  <c:v>1046.9342633921822</c:v>
                </c:pt>
                <c:pt idx="23">
                  <c:v>1052.9112561435811</c:v>
                </c:pt>
                <c:pt idx="24">
                  <c:v>1058.7123521659119</c:v>
                </c:pt>
                <c:pt idx="25">
                  <c:v>1064.5099314082058</c:v>
                </c:pt>
                <c:pt idx="26">
                  <c:v>1081.5134406937368</c:v>
                </c:pt>
              </c:numCache>
            </c:numRef>
          </c:val>
          <c:smooth val="0"/>
          <c:extLst>
            <c:ext xmlns:c16="http://schemas.microsoft.com/office/drawing/2014/chart" uri="{C3380CC4-5D6E-409C-BE32-E72D297353CC}">
              <c16:uniqueId val="{00000000-56FC-457E-86EE-A62FA1D112AA}"/>
            </c:ext>
          </c:extLst>
        </c:ser>
        <c:ser>
          <c:idx val="1"/>
          <c:order val="1"/>
          <c:tx>
            <c:strRef>
              <c:f>Compare_FS!$AW$42</c:f>
              <c:strCache>
                <c:ptCount val="1"/>
                <c:pt idx="0">
                  <c:v>RECS</c:v>
                </c:pt>
              </c:strCache>
            </c:strRef>
          </c:tx>
          <c:marker>
            <c:symbol val="square"/>
            <c:size val="5"/>
          </c:marker>
          <c:cat>
            <c:numRef>
              <c:f>Compare_FS!$AU$43:$AU$69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Compare_FS!$AW$43:$AW$69</c:f>
              <c:numCache>
                <c:formatCode>General</c:formatCode>
                <c:ptCount val="27"/>
                <c:pt idx="0">
                  <c:v>785.71428571428578</c:v>
                </c:pt>
                <c:pt idx="3">
                  <c:v>742.85714285714289</c:v>
                </c:pt>
                <c:pt idx="6">
                  <c:v>980</c:v>
                </c:pt>
                <c:pt idx="9">
                  <c:v>1000</c:v>
                </c:pt>
                <c:pt idx="13">
                  <c:v>940</c:v>
                </c:pt>
                <c:pt idx="17">
                  <c:v>1045.9418070444103</c:v>
                </c:pt>
                <c:pt idx="21">
                  <c:v>902.67872100069917</c:v>
                </c:pt>
              </c:numCache>
            </c:numRef>
          </c:val>
          <c:smooth val="0"/>
          <c:extLst>
            <c:ext xmlns:c16="http://schemas.microsoft.com/office/drawing/2014/chart" uri="{C3380CC4-5D6E-409C-BE32-E72D297353CC}">
              <c16:uniqueId val="{00000001-56FC-457E-86EE-A62FA1D112AA}"/>
            </c:ext>
          </c:extLst>
        </c:ser>
        <c:dLbls>
          <c:showLegendKey val="0"/>
          <c:showVal val="0"/>
          <c:showCatName val="0"/>
          <c:showSerName val="0"/>
          <c:showPercent val="0"/>
          <c:showBubbleSize val="0"/>
        </c:dLbls>
        <c:marker val="1"/>
        <c:smooth val="0"/>
        <c:axId val="43038208"/>
        <c:axId val="43039744"/>
      </c:lineChart>
      <c:catAx>
        <c:axId val="43038208"/>
        <c:scaling>
          <c:orientation val="minMax"/>
        </c:scaling>
        <c:delete val="0"/>
        <c:axPos val="b"/>
        <c:numFmt formatCode="General" sourceLinked="1"/>
        <c:majorTickMark val="out"/>
        <c:minorTickMark val="none"/>
        <c:tickLblPos val="nextTo"/>
        <c:crossAx val="43039744"/>
        <c:crosses val="autoZero"/>
        <c:auto val="1"/>
        <c:lblAlgn val="ctr"/>
        <c:lblOffset val="100"/>
        <c:tickLblSkip val="4"/>
        <c:noMultiLvlLbl val="0"/>
      </c:catAx>
      <c:valAx>
        <c:axId val="43039744"/>
        <c:scaling>
          <c:orientation val="minMax"/>
        </c:scaling>
        <c:delete val="0"/>
        <c:axPos val="l"/>
        <c:majorGridlines/>
        <c:title>
          <c:tx>
            <c:rich>
              <a:bodyPr rot="-5400000" vert="horz"/>
              <a:lstStyle/>
              <a:p>
                <a:pPr>
                  <a:defRPr/>
                </a:pPr>
                <a:r>
                  <a:rPr lang="en-US"/>
                  <a:t>Square feet per unit</a:t>
                </a:r>
              </a:p>
            </c:rich>
          </c:tx>
          <c:overlay val="0"/>
        </c:title>
        <c:numFmt formatCode="#,##0" sourceLinked="0"/>
        <c:majorTickMark val="out"/>
        <c:minorTickMark val="none"/>
        <c:tickLblPos val="nextTo"/>
        <c:crossAx val="43038208"/>
        <c:crosses val="autoZero"/>
        <c:crossBetween val="midCat"/>
      </c:valAx>
    </c:plotArea>
    <c:legend>
      <c:legendPos val="r"/>
      <c:layout>
        <c:manualLayout>
          <c:xMode val="edge"/>
          <c:yMode val="edge"/>
          <c:x val="0.19895778652668414"/>
          <c:y val="0.54128280839895015"/>
          <c:w val="0.21770888013998252"/>
          <c:h val="0.16743438320209975"/>
        </c:manualLayout>
      </c:layout>
      <c:overlay val="0"/>
      <c:spPr>
        <a:solidFill>
          <a:schemeClr val="bg1"/>
        </a:solidFill>
        <a:ln>
          <a:solidFill>
            <a:schemeClr val="tx1"/>
          </a:solidFill>
        </a:ln>
      </c:spPr>
    </c:legend>
    <c:plotVisOnly val="1"/>
    <c:dispBlanksAs val="gap"/>
    <c:showDLblsOverMax val="0"/>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4326049868766408"/>
          <c:h val="0.81573120642426811"/>
        </c:manualLayout>
      </c:layout>
      <c:lineChart>
        <c:grouping val="standard"/>
        <c:varyColors val="0"/>
        <c:ser>
          <c:idx val="0"/>
          <c:order val="0"/>
          <c:tx>
            <c:strRef>
              <c:f>Compare_FS!$AV$72</c:f>
              <c:strCache>
                <c:ptCount val="1"/>
                <c:pt idx="0">
                  <c:v>  AHS-based</c:v>
                </c:pt>
              </c:strCache>
            </c:strRef>
          </c:tx>
          <c:cat>
            <c:numRef>
              <c:f>Compare_FS!$AU$73:$AU$99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Compare_FS!$AV$73:$AV$99</c:f>
              <c:numCache>
                <c:formatCode>#,##0</c:formatCode>
                <c:ptCount val="27"/>
                <c:pt idx="1">
                  <c:v>812.20990421477688</c:v>
                </c:pt>
                <c:pt idx="2">
                  <c:v>818.19085259015924</c:v>
                </c:pt>
                <c:pt idx="3">
                  <c:v>817.36378971804288</c:v>
                </c:pt>
                <c:pt idx="4">
                  <c:v>841.65852438360662</c:v>
                </c:pt>
                <c:pt idx="5">
                  <c:v>865.94423801445168</c:v>
                </c:pt>
                <c:pt idx="6">
                  <c:v>890.70304844972145</c:v>
                </c:pt>
                <c:pt idx="7">
                  <c:v>905.76574891769303</c:v>
                </c:pt>
                <c:pt idx="8">
                  <c:v>919.5089671515284</c:v>
                </c:pt>
                <c:pt idx="9">
                  <c:v>933.22228570028619</c:v>
                </c:pt>
                <c:pt idx="10">
                  <c:v>941.7627177625161</c:v>
                </c:pt>
                <c:pt idx="11">
                  <c:v>950.302101027856</c:v>
                </c:pt>
                <c:pt idx="12">
                  <c:v>958.48049980682822</c:v>
                </c:pt>
                <c:pt idx="13">
                  <c:v>966.65175768231586</c:v>
                </c:pt>
                <c:pt idx="14">
                  <c:v>975.05817014622744</c:v>
                </c:pt>
                <c:pt idx="15">
                  <c:v>983.4614233443001</c:v>
                </c:pt>
                <c:pt idx="16">
                  <c:v>991.87495554832833</c:v>
                </c:pt>
                <c:pt idx="17">
                  <c:v>1000.2855548251976</c:v>
                </c:pt>
                <c:pt idx="18">
                  <c:v>1000.156959263423</c:v>
                </c:pt>
                <c:pt idx="19">
                  <c:v>1000.0283976072541</c:v>
                </c:pt>
                <c:pt idx="20">
                  <c:v>1000.164867112133</c:v>
                </c:pt>
                <c:pt idx="21">
                  <c:v>1000.3013729707415</c:v>
                </c:pt>
                <c:pt idx="22">
                  <c:v>1006.0465295759086</c:v>
                </c:pt>
                <c:pt idx="23">
                  <c:v>1011.7900924958595</c:v>
                </c:pt>
                <c:pt idx="24">
                  <c:v>1017.3646282858073</c:v>
                </c:pt>
                <c:pt idx="25">
                  <c:v>1022.9357846426092</c:v>
                </c:pt>
                <c:pt idx="26">
                  <c:v>1039.2752264829153</c:v>
                </c:pt>
              </c:numCache>
            </c:numRef>
          </c:val>
          <c:smooth val="0"/>
          <c:extLst>
            <c:ext xmlns:c16="http://schemas.microsoft.com/office/drawing/2014/chart" uri="{C3380CC4-5D6E-409C-BE32-E72D297353CC}">
              <c16:uniqueId val="{00000000-CBA3-4CD5-9FB2-1ACEDCC6A252}"/>
            </c:ext>
          </c:extLst>
        </c:ser>
        <c:ser>
          <c:idx val="1"/>
          <c:order val="1"/>
          <c:tx>
            <c:strRef>
              <c:f>Compare_FS!$AW$72</c:f>
              <c:strCache>
                <c:ptCount val="1"/>
                <c:pt idx="0">
                  <c:v>RECS</c:v>
                </c:pt>
              </c:strCache>
            </c:strRef>
          </c:tx>
          <c:marker>
            <c:symbol val="square"/>
            <c:size val="5"/>
          </c:marker>
          <c:cat>
            <c:numRef>
              <c:f>Compare_FS!$AU$73:$AU$99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Compare_FS!$AW$73:$AW$99</c:f>
              <c:numCache>
                <c:formatCode>General</c:formatCode>
                <c:ptCount val="27"/>
                <c:pt idx="0">
                  <c:v>899.99999999999989</c:v>
                </c:pt>
                <c:pt idx="3">
                  <c:v>850.00000000000011</c:v>
                </c:pt>
                <c:pt idx="6">
                  <c:v>962.5</c:v>
                </c:pt>
                <c:pt idx="9">
                  <c:v>992.85714285714289</c:v>
                </c:pt>
                <c:pt idx="13">
                  <c:v>890.90909090909088</c:v>
                </c:pt>
                <c:pt idx="17">
                  <c:v>1020.4918032786887</c:v>
                </c:pt>
                <c:pt idx="21">
                  <c:v>1093.4074869400179</c:v>
                </c:pt>
              </c:numCache>
            </c:numRef>
          </c:val>
          <c:smooth val="0"/>
          <c:extLst>
            <c:ext xmlns:c16="http://schemas.microsoft.com/office/drawing/2014/chart" uri="{C3380CC4-5D6E-409C-BE32-E72D297353CC}">
              <c16:uniqueId val="{00000001-CBA3-4CD5-9FB2-1ACEDCC6A252}"/>
            </c:ext>
          </c:extLst>
        </c:ser>
        <c:dLbls>
          <c:showLegendKey val="0"/>
          <c:showVal val="0"/>
          <c:showCatName val="0"/>
          <c:showSerName val="0"/>
          <c:showPercent val="0"/>
          <c:showBubbleSize val="0"/>
        </c:dLbls>
        <c:marker val="1"/>
        <c:smooth val="0"/>
        <c:axId val="43077632"/>
        <c:axId val="43079168"/>
      </c:lineChart>
      <c:catAx>
        <c:axId val="43077632"/>
        <c:scaling>
          <c:orientation val="minMax"/>
        </c:scaling>
        <c:delete val="0"/>
        <c:axPos val="b"/>
        <c:numFmt formatCode="General" sourceLinked="1"/>
        <c:majorTickMark val="out"/>
        <c:minorTickMark val="none"/>
        <c:tickLblPos val="nextTo"/>
        <c:txPr>
          <a:bodyPr/>
          <a:lstStyle/>
          <a:p>
            <a:pPr>
              <a:defRPr sz="900" baseline="0"/>
            </a:pPr>
            <a:endParaRPr lang="en-US"/>
          </a:p>
        </c:txPr>
        <c:crossAx val="43079168"/>
        <c:crosses val="autoZero"/>
        <c:auto val="1"/>
        <c:lblAlgn val="ctr"/>
        <c:lblOffset val="100"/>
        <c:tickLblSkip val="4"/>
        <c:noMultiLvlLbl val="0"/>
      </c:catAx>
      <c:valAx>
        <c:axId val="43079168"/>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3077632"/>
        <c:crosses val="autoZero"/>
        <c:crossBetween val="midCat"/>
      </c:valAx>
    </c:plotArea>
    <c:legend>
      <c:legendPos val="r"/>
      <c:layout>
        <c:manualLayout>
          <c:xMode val="edge"/>
          <c:yMode val="edge"/>
          <c:x val="0.23964260717410324"/>
          <c:y val="0.58166630212890058"/>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Compare_FS!$AV$102</c:f>
              <c:strCache>
                <c:ptCount val="1"/>
                <c:pt idx="0">
                  <c:v>  AHS-based</c:v>
                </c:pt>
              </c:strCache>
            </c:strRef>
          </c:tx>
          <c:cat>
            <c:numRef>
              <c:f>Compare_FS!$AU$103:$AU$129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Compare_FS!$AV$103:$AV$129</c:f>
              <c:numCache>
                <c:formatCode>#,##0</c:formatCode>
                <c:ptCount val="27"/>
                <c:pt idx="1">
                  <c:v>881.62091011192467</c:v>
                </c:pt>
                <c:pt idx="2">
                  <c:v>888.11298700322379</c:v>
                </c:pt>
                <c:pt idx="3">
                  <c:v>887.21524379884863</c:v>
                </c:pt>
                <c:pt idx="4">
                  <c:v>913.58619295329061</c:v>
                </c:pt>
                <c:pt idx="5">
                  <c:v>939.94735014041271</c:v>
                </c:pt>
                <c:pt idx="6">
                  <c:v>966.82203472128322</c:v>
                </c:pt>
                <c:pt idx="7">
                  <c:v>983.17198517916972</c:v>
                </c:pt>
                <c:pt idx="8">
                  <c:v>998.08969118633127</c:v>
                </c:pt>
                <c:pt idx="9">
                  <c:v>1012.9749422979867</c:v>
                </c:pt>
                <c:pt idx="10">
                  <c:v>1022.2452349260129</c:v>
                </c:pt>
                <c:pt idx="11">
                  <c:v>1031.5143891275513</c:v>
                </c:pt>
                <c:pt idx="12">
                  <c:v>1040.3917093096372</c:v>
                </c:pt>
                <c:pt idx="13">
                  <c:v>1049.2612783306049</c:v>
                </c:pt>
                <c:pt idx="14">
                  <c:v>1058.3860981201087</c:v>
                </c:pt>
                <c:pt idx="15">
                  <c:v>1067.5074886546749</c:v>
                </c:pt>
                <c:pt idx="16">
                  <c:v>1076.6400366333191</c:v>
                </c:pt>
                <c:pt idx="17">
                  <c:v>1085.7694010384835</c:v>
                </c:pt>
                <c:pt idx="18">
                  <c:v>1085.6298157716456</c:v>
                </c:pt>
                <c:pt idx="19">
                  <c:v>1085.4902673079678</c:v>
                </c:pt>
                <c:pt idx="20">
                  <c:v>1085.6383994207006</c:v>
                </c:pt>
                <c:pt idx="21">
                  <c:v>1085.7865709939324</c:v>
                </c:pt>
                <c:pt idx="22">
                  <c:v>1092.0227054817035</c:v>
                </c:pt>
                <c:pt idx="23">
                  <c:v>1098.2571100888076</c:v>
                </c:pt>
                <c:pt idx="24">
                  <c:v>1104.3080426015508</c:v>
                </c:pt>
                <c:pt idx="25">
                  <c:v>1110.3553068766744</c:v>
                </c:pt>
                <c:pt idx="26">
                  <c:v>1128.0911083132476</c:v>
                </c:pt>
              </c:numCache>
            </c:numRef>
          </c:val>
          <c:smooth val="0"/>
          <c:extLst>
            <c:ext xmlns:c16="http://schemas.microsoft.com/office/drawing/2014/chart" uri="{C3380CC4-5D6E-409C-BE32-E72D297353CC}">
              <c16:uniqueId val="{00000000-3F95-4CCA-AF8B-6A1712B53FBE}"/>
            </c:ext>
          </c:extLst>
        </c:ser>
        <c:ser>
          <c:idx val="1"/>
          <c:order val="1"/>
          <c:tx>
            <c:strRef>
              <c:f>Compare_FS!$AW$102</c:f>
              <c:strCache>
                <c:ptCount val="1"/>
                <c:pt idx="0">
                  <c:v>RECS</c:v>
                </c:pt>
              </c:strCache>
            </c:strRef>
          </c:tx>
          <c:marker>
            <c:symbol val="square"/>
            <c:size val="5"/>
          </c:marker>
          <c:cat>
            <c:numRef>
              <c:f>Compare_FS!$AU$103:$AU$129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Compare_FS!$AW$103:$AW$129</c:f>
              <c:numCache>
                <c:formatCode>General</c:formatCode>
                <c:ptCount val="27"/>
                <c:pt idx="0">
                  <c:v>786.95652173913061</c:v>
                </c:pt>
                <c:pt idx="3">
                  <c:v>831.81818181818176</c:v>
                </c:pt>
                <c:pt idx="6">
                  <c:v>884.21052631578948</c:v>
                </c:pt>
                <c:pt idx="9">
                  <c:v>980.7692307692306</c:v>
                </c:pt>
                <c:pt idx="13">
                  <c:v>1060</c:v>
                </c:pt>
                <c:pt idx="17">
                  <c:v>1060.540872771973</c:v>
                </c:pt>
                <c:pt idx="21">
                  <c:v>1067.2823188945329</c:v>
                </c:pt>
              </c:numCache>
            </c:numRef>
          </c:val>
          <c:smooth val="0"/>
          <c:extLst>
            <c:ext xmlns:c16="http://schemas.microsoft.com/office/drawing/2014/chart" uri="{C3380CC4-5D6E-409C-BE32-E72D297353CC}">
              <c16:uniqueId val="{00000001-3F95-4CCA-AF8B-6A1712B53FBE}"/>
            </c:ext>
          </c:extLst>
        </c:ser>
        <c:dLbls>
          <c:showLegendKey val="0"/>
          <c:showVal val="0"/>
          <c:showCatName val="0"/>
          <c:showSerName val="0"/>
          <c:showPercent val="0"/>
          <c:showBubbleSize val="0"/>
        </c:dLbls>
        <c:marker val="1"/>
        <c:smooth val="0"/>
        <c:axId val="43112704"/>
        <c:axId val="43114496"/>
      </c:lineChart>
      <c:catAx>
        <c:axId val="43112704"/>
        <c:scaling>
          <c:orientation val="minMax"/>
        </c:scaling>
        <c:delete val="0"/>
        <c:axPos val="b"/>
        <c:numFmt formatCode="0" sourceLinked="0"/>
        <c:majorTickMark val="out"/>
        <c:minorTickMark val="none"/>
        <c:tickLblPos val="nextTo"/>
        <c:txPr>
          <a:bodyPr/>
          <a:lstStyle/>
          <a:p>
            <a:pPr>
              <a:defRPr sz="900" baseline="0"/>
            </a:pPr>
            <a:endParaRPr lang="en-US"/>
          </a:p>
        </c:txPr>
        <c:crossAx val="43114496"/>
        <c:crosses val="autoZero"/>
        <c:auto val="1"/>
        <c:lblAlgn val="ctr"/>
        <c:lblOffset val="100"/>
        <c:tickLblSkip val="4"/>
        <c:noMultiLvlLbl val="0"/>
      </c:catAx>
      <c:valAx>
        <c:axId val="43114496"/>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3112704"/>
        <c:crosses val="autoZero"/>
        <c:crossBetween val="midCat"/>
      </c:valAx>
    </c:plotArea>
    <c:legend>
      <c:legendPos val="r"/>
      <c:layout>
        <c:manualLayout>
          <c:xMode val="edge"/>
          <c:yMode val="edge"/>
          <c:x val="0.25908705161854767"/>
          <c:y val="0.54462926509186338"/>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483734987671993"/>
          <c:y val="4.3603408810484953E-2"/>
          <c:w val="0.71548280707335821"/>
          <c:h val="0.81573120642426811"/>
        </c:manualLayout>
      </c:layout>
      <c:lineChart>
        <c:grouping val="standard"/>
        <c:varyColors val="0"/>
        <c:ser>
          <c:idx val="0"/>
          <c:order val="0"/>
          <c:tx>
            <c:strRef>
              <c:f>Compare_FS!$AV$132</c:f>
              <c:strCache>
                <c:ptCount val="1"/>
                <c:pt idx="0">
                  <c:v>  AHS-based</c:v>
                </c:pt>
              </c:strCache>
            </c:strRef>
          </c:tx>
          <c:cat>
            <c:numRef>
              <c:f>Compare_FS!$AU$133:$AU$159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Compare_FS!$AV$133:$AV$159</c:f>
              <c:numCache>
                <c:formatCode>#,##0</c:formatCode>
                <c:ptCount val="27"/>
                <c:pt idx="1">
                  <c:v>856.3247659077083</c:v>
                </c:pt>
                <c:pt idx="2">
                  <c:v>862.6305671431744</c:v>
                </c:pt>
                <c:pt idx="3">
                  <c:v>861.75858267625176</c:v>
                </c:pt>
                <c:pt idx="4">
                  <c:v>887.37287630566971</c:v>
                </c:pt>
                <c:pt idx="5">
                  <c:v>912.97765892641416</c:v>
                </c:pt>
                <c:pt idx="6">
                  <c:v>939.08123441855605</c:v>
                </c:pt>
                <c:pt idx="7">
                  <c:v>954.9620595417656</c:v>
                </c:pt>
                <c:pt idx="8">
                  <c:v>969.45173527193936</c:v>
                </c:pt>
                <c:pt idx="9">
                  <c:v>983.90988732739322</c:v>
                </c:pt>
                <c:pt idx="10">
                  <c:v>992.91418960010435</c:v>
                </c:pt>
                <c:pt idx="11">
                  <c:v>1001.9173861109349</c:v>
                </c:pt>
                <c:pt idx="12">
                  <c:v>1010.5399914049125</c:v>
                </c:pt>
                <c:pt idx="13">
                  <c:v>1019.1550679400394</c:v>
                </c:pt>
                <c:pt idx="14">
                  <c:v>1028.0180713926286</c:v>
                </c:pt>
                <c:pt idx="15">
                  <c:v>1036.8777439850965</c:v>
                </c:pt>
                <c:pt idx="16">
                  <c:v>1045.7482538836882</c:v>
                </c:pt>
                <c:pt idx="17">
                  <c:v>1054.6156715543354</c:v>
                </c:pt>
                <c:pt idx="18">
                  <c:v>1054.4800913751699</c:v>
                </c:pt>
                <c:pt idx="19">
                  <c:v>1054.3445469431797</c:v>
                </c:pt>
                <c:pt idx="20">
                  <c:v>1054.4884287355744</c:v>
                </c:pt>
                <c:pt idx="21">
                  <c:v>1054.6323488562368</c:v>
                </c:pt>
                <c:pt idx="22">
                  <c:v>1060.689551384171</c:v>
                </c:pt>
                <c:pt idx="23">
                  <c:v>1066.7450736665025</c:v>
                </c:pt>
                <c:pt idx="24">
                  <c:v>1072.6223881767048</c:v>
                </c:pt>
                <c:pt idx="25">
                  <c:v>1078.4961397011778</c:v>
                </c:pt>
                <c:pt idx="26">
                  <c:v>1095.7230519025127</c:v>
                </c:pt>
              </c:numCache>
            </c:numRef>
          </c:val>
          <c:smooth val="0"/>
          <c:extLst>
            <c:ext xmlns:c16="http://schemas.microsoft.com/office/drawing/2014/chart" uri="{C3380CC4-5D6E-409C-BE32-E72D297353CC}">
              <c16:uniqueId val="{00000000-A6E6-4BCB-B008-FF8EF5E2FCF3}"/>
            </c:ext>
          </c:extLst>
        </c:ser>
        <c:ser>
          <c:idx val="1"/>
          <c:order val="1"/>
          <c:tx>
            <c:strRef>
              <c:f>Compare_FS!$AW$132</c:f>
              <c:strCache>
                <c:ptCount val="1"/>
                <c:pt idx="0">
                  <c:v>RECS</c:v>
                </c:pt>
              </c:strCache>
            </c:strRef>
          </c:tx>
          <c:marker>
            <c:symbol val="square"/>
            <c:size val="5"/>
          </c:marker>
          <c:cat>
            <c:numRef>
              <c:f>Compare_FS!$AU$133:$AU$159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Compare_FS!$AW$133:$AW$159</c:f>
              <c:numCache>
                <c:formatCode>General</c:formatCode>
                <c:ptCount val="27"/>
                <c:pt idx="0">
                  <c:v>950</c:v>
                </c:pt>
                <c:pt idx="3">
                  <c:v>1040</c:v>
                </c:pt>
                <c:pt idx="6">
                  <c:v>991.66666666666674</c:v>
                </c:pt>
                <c:pt idx="9">
                  <c:v>990</c:v>
                </c:pt>
                <c:pt idx="13">
                  <c:v>970.58823529411768</c:v>
                </c:pt>
                <c:pt idx="17">
                  <c:v>1101.1904761904764</c:v>
                </c:pt>
                <c:pt idx="21">
                  <c:v>828.51642146584504</c:v>
                </c:pt>
              </c:numCache>
            </c:numRef>
          </c:val>
          <c:smooth val="0"/>
          <c:extLst>
            <c:ext xmlns:c16="http://schemas.microsoft.com/office/drawing/2014/chart" uri="{C3380CC4-5D6E-409C-BE32-E72D297353CC}">
              <c16:uniqueId val="{00000001-A6E6-4BCB-B008-FF8EF5E2FCF3}"/>
            </c:ext>
          </c:extLst>
        </c:ser>
        <c:dLbls>
          <c:showLegendKey val="0"/>
          <c:showVal val="0"/>
          <c:showCatName val="0"/>
          <c:showSerName val="0"/>
          <c:showPercent val="0"/>
          <c:showBubbleSize val="0"/>
        </c:dLbls>
        <c:marker val="1"/>
        <c:smooth val="0"/>
        <c:axId val="43635840"/>
        <c:axId val="43637376"/>
      </c:lineChart>
      <c:catAx>
        <c:axId val="43635840"/>
        <c:scaling>
          <c:orientation val="minMax"/>
        </c:scaling>
        <c:delete val="0"/>
        <c:axPos val="b"/>
        <c:numFmt formatCode="General" sourceLinked="1"/>
        <c:majorTickMark val="out"/>
        <c:minorTickMark val="none"/>
        <c:tickLblPos val="nextTo"/>
        <c:txPr>
          <a:bodyPr/>
          <a:lstStyle/>
          <a:p>
            <a:pPr>
              <a:defRPr sz="900" baseline="0"/>
            </a:pPr>
            <a:endParaRPr lang="en-US"/>
          </a:p>
        </c:txPr>
        <c:crossAx val="43637376"/>
        <c:crosses val="autoZero"/>
        <c:auto val="1"/>
        <c:lblAlgn val="ctr"/>
        <c:lblOffset val="100"/>
        <c:tickLblSkip val="4"/>
        <c:noMultiLvlLbl val="0"/>
      </c:catAx>
      <c:valAx>
        <c:axId val="43637376"/>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1"/>
        <c:majorTickMark val="out"/>
        <c:minorTickMark val="none"/>
        <c:tickLblPos val="nextTo"/>
        <c:crossAx val="43635840"/>
        <c:crosses val="autoZero"/>
        <c:crossBetween val="midCat"/>
      </c:valAx>
    </c:plotArea>
    <c:legend>
      <c:legendPos val="r"/>
      <c:layout>
        <c:manualLayout>
          <c:xMode val="edge"/>
          <c:yMode val="edge"/>
          <c:x val="0.37575371828521437"/>
          <c:y val="0.61407370953630802"/>
          <c:w val="0.27247856517935259"/>
          <c:h val="0.2289588801399825"/>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Midwest</a:t>
            </a:r>
          </a:p>
        </c:rich>
      </c:tx>
      <c:overlay val="0"/>
    </c:title>
    <c:autoTitleDeleted val="0"/>
    <c:plotArea>
      <c:layout>
        <c:manualLayout>
          <c:layoutTarget val="inner"/>
          <c:xMode val="edge"/>
          <c:yMode val="edge"/>
          <c:x val="0.15717493819496628"/>
          <c:y val="0.14712313134771196"/>
          <c:w val="0.76539048801472442"/>
          <c:h val="0.71221140835656416"/>
        </c:manualLayout>
      </c:layout>
      <c:lineChart>
        <c:grouping val="standard"/>
        <c:varyColors val="0"/>
        <c:ser>
          <c:idx val="0"/>
          <c:order val="0"/>
          <c:tx>
            <c:strRef>
              <c:f>Compare_FS!$AH$72</c:f>
              <c:strCache>
                <c:ptCount val="1"/>
                <c:pt idx="0">
                  <c:v>  AHS-based</c:v>
                </c:pt>
              </c:strCache>
            </c:strRef>
          </c:tx>
          <c:cat>
            <c:numRef>
              <c:f>Compare_FS!$AG$73:$AG$99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Compare_FS!$AH$73:$AH$99</c:f>
              <c:numCache>
                <c:formatCode>#,##0</c:formatCode>
                <c:ptCount val="27"/>
                <c:pt idx="1">
                  <c:v>850.45869663083533</c:v>
                </c:pt>
                <c:pt idx="2">
                  <c:v>870.88149077750643</c:v>
                </c:pt>
                <c:pt idx="3">
                  <c:v>887.09906481981852</c:v>
                </c:pt>
                <c:pt idx="4">
                  <c:v>898.80517018082764</c:v>
                </c:pt>
                <c:pt idx="5">
                  <c:v>908.53322663690312</c:v>
                </c:pt>
                <c:pt idx="6">
                  <c:v>915.87823287908418</c:v>
                </c:pt>
                <c:pt idx="7">
                  <c:v>919.30293290763166</c:v>
                </c:pt>
                <c:pt idx="8">
                  <c:v>919.9980857670763</c:v>
                </c:pt>
                <c:pt idx="9">
                  <c:v>918.93961820957929</c:v>
                </c:pt>
                <c:pt idx="10">
                  <c:v>920.13478782734819</c:v>
                </c:pt>
                <c:pt idx="11">
                  <c:v>924.67026482971232</c:v>
                </c:pt>
                <c:pt idx="12">
                  <c:v>931.5475515178</c:v>
                </c:pt>
                <c:pt idx="13">
                  <c:v>938.79262907283476</c:v>
                </c:pt>
                <c:pt idx="14">
                  <c:v>943.90949502353988</c:v>
                </c:pt>
                <c:pt idx="15">
                  <c:v>950.47013185264382</c:v>
                </c:pt>
                <c:pt idx="16">
                  <c:v>959.85071599479795</c:v>
                </c:pt>
                <c:pt idx="17">
                  <c:v>968.63394249381156</c:v>
                </c:pt>
                <c:pt idx="18">
                  <c:v>978.1678780661249</c:v>
                </c:pt>
                <c:pt idx="19">
                  <c:v>986.14390191712778</c:v>
                </c:pt>
                <c:pt idx="20">
                  <c:v>995.69213010092722</c:v>
                </c:pt>
                <c:pt idx="21">
                  <c:v>1004.7438556527778</c:v>
                </c:pt>
                <c:pt idx="22">
                  <c:v>1016.5980025572431</c:v>
                </c:pt>
                <c:pt idx="23">
                  <c:v>1026.2596062840946</c:v>
                </c:pt>
                <c:pt idx="24">
                  <c:v>1030.7626027790307</c:v>
                </c:pt>
                <c:pt idx="25">
                  <c:v>1033.6008307731474</c:v>
                </c:pt>
                <c:pt idx="26">
                  <c:v>1037.8188323459788</c:v>
                </c:pt>
              </c:numCache>
            </c:numRef>
          </c:val>
          <c:smooth val="0"/>
          <c:extLst>
            <c:ext xmlns:c16="http://schemas.microsoft.com/office/drawing/2014/chart" uri="{C3380CC4-5D6E-409C-BE32-E72D297353CC}">
              <c16:uniqueId val="{00000000-ACC8-4C7A-B994-86687181B993}"/>
            </c:ext>
          </c:extLst>
        </c:ser>
        <c:ser>
          <c:idx val="1"/>
          <c:order val="1"/>
          <c:tx>
            <c:strRef>
              <c:f>Compare_FS!$AI$72</c:f>
              <c:strCache>
                <c:ptCount val="1"/>
                <c:pt idx="0">
                  <c:v>RECS</c:v>
                </c:pt>
              </c:strCache>
            </c:strRef>
          </c:tx>
          <c:marker>
            <c:symbol val="square"/>
            <c:size val="5"/>
          </c:marker>
          <c:cat>
            <c:numRef>
              <c:f>Compare_FS!$AG$73:$AG$99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Compare_FS!$AI$73:$AI$99</c:f>
              <c:numCache>
                <c:formatCode>General</c:formatCode>
                <c:ptCount val="27"/>
                <c:pt idx="0">
                  <c:v>1033.8983050847457</c:v>
                </c:pt>
                <c:pt idx="3">
                  <c:v>979.62962962962956</c:v>
                </c:pt>
                <c:pt idx="6">
                  <c:v>1041.818181818182</c:v>
                </c:pt>
                <c:pt idx="9">
                  <c:v>998.11320754716974</c:v>
                </c:pt>
                <c:pt idx="13">
                  <c:v>886.66666666666674</c:v>
                </c:pt>
                <c:pt idx="17">
                  <c:v>1126.6533066132265</c:v>
                </c:pt>
                <c:pt idx="21">
                  <c:v>1043.9769785690632</c:v>
                </c:pt>
              </c:numCache>
            </c:numRef>
          </c:val>
          <c:smooth val="0"/>
          <c:extLst>
            <c:ext xmlns:c16="http://schemas.microsoft.com/office/drawing/2014/chart" uri="{C3380CC4-5D6E-409C-BE32-E72D297353CC}">
              <c16:uniqueId val="{00000001-ACC8-4C7A-B994-86687181B993}"/>
            </c:ext>
          </c:extLst>
        </c:ser>
        <c:dLbls>
          <c:showLegendKey val="0"/>
          <c:showVal val="0"/>
          <c:showCatName val="0"/>
          <c:showSerName val="0"/>
          <c:showPercent val="0"/>
          <c:showBubbleSize val="0"/>
        </c:dLbls>
        <c:marker val="1"/>
        <c:smooth val="0"/>
        <c:axId val="43646336"/>
        <c:axId val="43693184"/>
      </c:lineChart>
      <c:catAx>
        <c:axId val="43646336"/>
        <c:scaling>
          <c:orientation val="minMax"/>
        </c:scaling>
        <c:delete val="0"/>
        <c:axPos val="b"/>
        <c:numFmt formatCode="General" sourceLinked="1"/>
        <c:majorTickMark val="out"/>
        <c:minorTickMark val="none"/>
        <c:tickLblPos val="nextTo"/>
        <c:txPr>
          <a:bodyPr/>
          <a:lstStyle/>
          <a:p>
            <a:pPr>
              <a:defRPr sz="900" baseline="0"/>
            </a:pPr>
            <a:endParaRPr lang="en-US"/>
          </a:p>
        </c:txPr>
        <c:crossAx val="43693184"/>
        <c:crosses val="autoZero"/>
        <c:auto val="1"/>
        <c:lblAlgn val="ctr"/>
        <c:lblOffset val="100"/>
        <c:tickLblSkip val="4"/>
        <c:noMultiLvlLbl val="0"/>
      </c:catAx>
      <c:valAx>
        <c:axId val="43693184"/>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3646336"/>
        <c:crosses val="autoZero"/>
        <c:crossBetween val="midCat"/>
      </c:valAx>
    </c:plotArea>
    <c:legend>
      <c:legendPos val="r"/>
      <c:layout>
        <c:manualLayout>
          <c:xMode val="edge"/>
          <c:yMode val="edge"/>
          <c:x val="0.26448737386087606"/>
          <c:y val="0.47860685650409651"/>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South</a:t>
            </a:r>
          </a:p>
        </c:rich>
      </c:tx>
      <c:overlay val="0"/>
    </c:title>
    <c:autoTitleDeleted val="0"/>
    <c:plotArea>
      <c:layout>
        <c:manualLayout>
          <c:layoutTarget val="inner"/>
          <c:xMode val="edge"/>
          <c:yMode val="edge"/>
          <c:x val="0.15751495202443958"/>
          <c:y val="0.14317039915465116"/>
          <c:w val="0.77012757626608142"/>
          <c:h val="0.72482223812932478"/>
        </c:manualLayout>
      </c:layout>
      <c:lineChart>
        <c:grouping val="standard"/>
        <c:varyColors val="0"/>
        <c:ser>
          <c:idx val="0"/>
          <c:order val="0"/>
          <c:tx>
            <c:strRef>
              <c:f>Compare_FS!$AH$102</c:f>
              <c:strCache>
                <c:ptCount val="1"/>
                <c:pt idx="0">
                  <c:v>  AHS-based</c:v>
                </c:pt>
              </c:strCache>
            </c:strRef>
          </c:tx>
          <c:cat>
            <c:numRef>
              <c:f>Compare_FS!$AG$103:$AG$129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Compare_FS!$AH$103:$AH$129</c:f>
              <c:numCache>
                <c:formatCode>#,##0</c:formatCode>
                <c:ptCount val="27"/>
                <c:pt idx="1">
                  <c:v>856.08807057635875</c:v>
                </c:pt>
                <c:pt idx="2">
                  <c:v>876.64604770807023</c:v>
                </c:pt>
                <c:pt idx="3">
                  <c:v>892.97096945478575</c:v>
                </c:pt>
                <c:pt idx="4">
                  <c:v>904.75456011259303</c:v>
                </c:pt>
                <c:pt idx="5">
                  <c:v>914.54700872289231</c:v>
                </c:pt>
                <c:pt idx="6">
                  <c:v>921.9406331836102</c:v>
                </c:pt>
                <c:pt idx="7">
                  <c:v>925.38800205802681</c:v>
                </c:pt>
                <c:pt idx="8">
                  <c:v>926.08775628777971</c:v>
                </c:pt>
                <c:pt idx="9">
                  <c:v>925.0222824997461</c:v>
                </c:pt>
                <c:pt idx="10">
                  <c:v>926.2253632091805</c:v>
                </c:pt>
                <c:pt idx="11">
                  <c:v>930.79086153552998</c:v>
                </c:pt>
                <c:pt idx="12">
                  <c:v>937.71367050312551</c:v>
                </c:pt>
                <c:pt idx="13">
                  <c:v>945.00670482664657</c:v>
                </c:pt>
                <c:pt idx="14">
                  <c:v>950.15744044319172</c:v>
                </c:pt>
                <c:pt idx="15">
                  <c:v>956.76150357645133</c:v>
                </c:pt>
                <c:pt idx="16">
                  <c:v>965.99611365928581</c:v>
                </c:pt>
                <c:pt idx="17">
                  <c:v>974.62536971789086</c:v>
                </c:pt>
                <c:pt idx="18">
                  <c:v>984.00576610761391</c:v>
                </c:pt>
                <c:pt idx="19">
                  <c:v>991.8149092522699</c:v>
                </c:pt>
                <c:pt idx="20">
                  <c:v>1001.2012442859852</c:v>
                </c:pt>
                <c:pt idx="21">
                  <c:v>1010.0840347620356</c:v>
                </c:pt>
                <c:pt idx="22">
                  <c:v>1021.7793360719519</c:v>
                </c:pt>
                <c:pt idx="23">
                  <c:v>1031.2659731194565</c:v>
                </c:pt>
                <c:pt idx="24">
                  <c:v>1035.5654908497111</c:v>
                </c:pt>
                <c:pt idx="25">
                  <c:v>1038.1906237801591</c:v>
                </c:pt>
                <c:pt idx="26">
                  <c:v>1042.1998572009347</c:v>
                </c:pt>
              </c:numCache>
            </c:numRef>
          </c:val>
          <c:smooth val="0"/>
          <c:extLst>
            <c:ext xmlns:c16="http://schemas.microsoft.com/office/drawing/2014/chart" uri="{C3380CC4-5D6E-409C-BE32-E72D297353CC}">
              <c16:uniqueId val="{00000000-A4B7-4A67-A2B0-8A64DD35BB67}"/>
            </c:ext>
          </c:extLst>
        </c:ser>
        <c:ser>
          <c:idx val="1"/>
          <c:order val="1"/>
          <c:tx>
            <c:strRef>
              <c:f>Compare_FS!$AI$102</c:f>
              <c:strCache>
                <c:ptCount val="1"/>
                <c:pt idx="0">
                  <c:v>RECS</c:v>
                </c:pt>
              </c:strCache>
            </c:strRef>
          </c:tx>
          <c:marker>
            <c:symbol val="square"/>
            <c:size val="5"/>
          </c:marker>
          <c:cat>
            <c:numRef>
              <c:f>Compare_FS!$AG$103:$AG$129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Compare_FS!$AI$103:$AI$129</c:f>
              <c:numCache>
                <c:formatCode>General</c:formatCode>
                <c:ptCount val="27"/>
                <c:pt idx="0">
                  <c:v>819.23076923076917</c:v>
                </c:pt>
                <c:pt idx="3">
                  <c:v>854.6875</c:v>
                </c:pt>
                <c:pt idx="6">
                  <c:v>849.25373134328368</c:v>
                </c:pt>
                <c:pt idx="9">
                  <c:v>877.04918032786873</c:v>
                </c:pt>
                <c:pt idx="13">
                  <c:v>943.54838709677426</c:v>
                </c:pt>
                <c:pt idx="17">
                  <c:v>954.43611150417428</c:v>
                </c:pt>
                <c:pt idx="21">
                  <c:v>926.46324946373409</c:v>
                </c:pt>
              </c:numCache>
            </c:numRef>
          </c:val>
          <c:smooth val="0"/>
          <c:extLst>
            <c:ext xmlns:c16="http://schemas.microsoft.com/office/drawing/2014/chart" uri="{C3380CC4-5D6E-409C-BE32-E72D297353CC}">
              <c16:uniqueId val="{00000001-A4B7-4A67-A2B0-8A64DD35BB67}"/>
            </c:ext>
          </c:extLst>
        </c:ser>
        <c:dLbls>
          <c:showLegendKey val="0"/>
          <c:showVal val="0"/>
          <c:showCatName val="0"/>
          <c:showSerName val="0"/>
          <c:showPercent val="0"/>
          <c:showBubbleSize val="0"/>
        </c:dLbls>
        <c:marker val="1"/>
        <c:smooth val="0"/>
        <c:axId val="43718912"/>
        <c:axId val="43724800"/>
      </c:lineChart>
      <c:catAx>
        <c:axId val="43718912"/>
        <c:scaling>
          <c:orientation val="minMax"/>
        </c:scaling>
        <c:delete val="0"/>
        <c:axPos val="b"/>
        <c:numFmt formatCode="0" sourceLinked="0"/>
        <c:majorTickMark val="out"/>
        <c:minorTickMark val="none"/>
        <c:tickLblPos val="nextTo"/>
        <c:txPr>
          <a:bodyPr/>
          <a:lstStyle/>
          <a:p>
            <a:pPr>
              <a:defRPr sz="900" baseline="0"/>
            </a:pPr>
            <a:endParaRPr lang="en-US"/>
          </a:p>
        </c:txPr>
        <c:crossAx val="43724800"/>
        <c:crosses val="autoZero"/>
        <c:auto val="1"/>
        <c:lblAlgn val="ctr"/>
        <c:lblOffset val="100"/>
        <c:tickLblSkip val="4"/>
        <c:noMultiLvlLbl val="0"/>
      </c:catAx>
      <c:valAx>
        <c:axId val="43724800"/>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3718912"/>
        <c:crosses val="autoZero"/>
        <c:crossBetween val="midCat"/>
      </c:valAx>
    </c:plotArea>
    <c:legend>
      <c:legendPos val="r"/>
      <c:layout>
        <c:manualLayout>
          <c:xMode val="edge"/>
          <c:yMode val="edge"/>
          <c:x val="0.20444214964932658"/>
          <c:y val="0.47969424276510891"/>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Northeast</a:t>
            </a:r>
          </a:p>
        </c:rich>
      </c:tx>
      <c:overlay val="0"/>
    </c:title>
    <c:autoTitleDeleted val="0"/>
    <c:plotArea>
      <c:layout>
        <c:manualLayout>
          <c:layoutTarget val="inner"/>
          <c:xMode val="edge"/>
          <c:yMode val="edge"/>
          <c:x val="0.15717493819496628"/>
          <c:y val="0.14712313134771196"/>
          <c:w val="0.76539048801472442"/>
          <c:h val="0.71221140835656416"/>
        </c:manualLayout>
      </c:layout>
      <c:lineChart>
        <c:grouping val="standard"/>
        <c:varyColors val="0"/>
        <c:ser>
          <c:idx val="0"/>
          <c:order val="0"/>
          <c:tx>
            <c:strRef>
              <c:f>Compare_FS!$AH$42</c:f>
              <c:strCache>
                <c:ptCount val="1"/>
                <c:pt idx="0">
                  <c:v>  AHS-based</c:v>
                </c:pt>
              </c:strCache>
            </c:strRef>
          </c:tx>
          <c:cat>
            <c:numRef>
              <c:f>Compare_FS!$AG$43:$AG$69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Compare_FS!$AH$43:$AH$69</c:f>
              <c:numCache>
                <c:formatCode>#,##0</c:formatCode>
                <c:ptCount val="27"/>
                <c:pt idx="1">
                  <c:v>881.17623091966152</c:v>
                </c:pt>
                <c:pt idx="2">
                  <c:v>903.0171667026591</c:v>
                </c:pt>
                <c:pt idx="3">
                  <c:v>920.52633933356401</c:v>
                </c:pt>
                <c:pt idx="4">
                  <c:v>933.37586330542263</c:v>
                </c:pt>
                <c:pt idx="5">
                  <c:v>944.18800515475073</c:v>
                </c:pt>
                <c:pt idx="6">
                  <c:v>952.53691624183045</c:v>
                </c:pt>
                <c:pt idx="7">
                  <c:v>956.81702335077614</c:v>
                </c:pt>
                <c:pt idx="8">
                  <c:v>958.25941757315297</c:v>
                </c:pt>
                <c:pt idx="9">
                  <c:v>957.87497706299905</c:v>
                </c:pt>
                <c:pt idx="10">
                  <c:v>959.8397668758256</c:v>
                </c:pt>
                <c:pt idx="11">
                  <c:v>965.29348040924094</c:v>
                </c:pt>
                <c:pt idx="12">
                  <c:v>973.20080331561928</c:v>
                </c:pt>
                <c:pt idx="13">
                  <c:v>981.50339752977959</c:v>
                </c:pt>
                <c:pt idx="14">
                  <c:v>987.59061570803999</c:v>
                </c:pt>
                <c:pt idx="15">
                  <c:v>995.19754252016173</c:v>
                </c:pt>
                <c:pt idx="16">
                  <c:v>1007.0812575398804</c:v>
                </c:pt>
                <c:pt idx="17">
                  <c:v>1018.3795592837155</c:v>
                </c:pt>
                <c:pt idx="18">
                  <c:v>1030.5088620167755</c:v>
                </c:pt>
                <c:pt idx="19">
                  <c:v>1041.0369580136548</c:v>
                </c:pt>
                <c:pt idx="20">
                  <c:v>1053.2649416125205</c:v>
                </c:pt>
                <c:pt idx="21">
                  <c:v>1065.0102704116591</c:v>
                </c:pt>
                <c:pt idx="22">
                  <c:v>1079.7737299662372</c:v>
                </c:pt>
                <c:pt idx="23">
                  <c:v>1092.2574042079102</c:v>
                </c:pt>
                <c:pt idx="24">
                  <c:v>1099.2838912223935</c:v>
                </c:pt>
                <c:pt idx="25">
                  <c:v>1104.5533649133347</c:v>
                </c:pt>
                <c:pt idx="26">
                  <c:v>1110.4992214375932</c:v>
                </c:pt>
              </c:numCache>
            </c:numRef>
          </c:val>
          <c:smooth val="0"/>
          <c:extLst>
            <c:ext xmlns:c16="http://schemas.microsoft.com/office/drawing/2014/chart" uri="{C3380CC4-5D6E-409C-BE32-E72D297353CC}">
              <c16:uniqueId val="{00000000-A789-4A6E-88D9-AC6125B962F8}"/>
            </c:ext>
          </c:extLst>
        </c:ser>
        <c:ser>
          <c:idx val="1"/>
          <c:order val="1"/>
          <c:tx>
            <c:strRef>
              <c:f>Compare_FS!$AI$42</c:f>
              <c:strCache>
                <c:ptCount val="1"/>
                <c:pt idx="0">
                  <c:v>RECS</c:v>
                </c:pt>
              </c:strCache>
            </c:strRef>
          </c:tx>
          <c:marker>
            <c:symbol val="square"/>
            <c:size val="5"/>
          </c:marker>
          <c:cat>
            <c:numRef>
              <c:f>Compare_FS!$AG$43:$AG$69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Compare_FS!$AI$43:$AI$69</c:f>
              <c:numCache>
                <c:formatCode>General</c:formatCode>
                <c:ptCount val="27"/>
                <c:pt idx="0">
                  <c:v>1002.9411764705882</c:v>
                </c:pt>
                <c:pt idx="3">
                  <c:v>1006.8493150684932</c:v>
                </c:pt>
                <c:pt idx="6">
                  <c:v>1108.8235294117649</c:v>
                </c:pt>
                <c:pt idx="9">
                  <c:v>1095.7142857142856</c:v>
                </c:pt>
                <c:pt idx="13">
                  <c:v>890.90909090909099</c:v>
                </c:pt>
                <c:pt idx="17">
                  <c:v>1258.4299262381455</c:v>
                </c:pt>
                <c:pt idx="21">
                  <c:v>976.3198334693792</c:v>
                </c:pt>
              </c:numCache>
            </c:numRef>
          </c:val>
          <c:smooth val="0"/>
          <c:extLst>
            <c:ext xmlns:c16="http://schemas.microsoft.com/office/drawing/2014/chart" uri="{C3380CC4-5D6E-409C-BE32-E72D297353CC}">
              <c16:uniqueId val="{00000001-A789-4A6E-88D9-AC6125B962F8}"/>
            </c:ext>
          </c:extLst>
        </c:ser>
        <c:dLbls>
          <c:showLegendKey val="0"/>
          <c:showVal val="0"/>
          <c:showCatName val="0"/>
          <c:showSerName val="0"/>
          <c:showPercent val="0"/>
          <c:showBubbleSize val="0"/>
        </c:dLbls>
        <c:marker val="1"/>
        <c:smooth val="0"/>
        <c:axId val="43775104"/>
        <c:axId val="43776640"/>
      </c:lineChart>
      <c:catAx>
        <c:axId val="43775104"/>
        <c:scaling>
          <c:orientation val="minMax"/>
        </c:scaling>
        <c:delete val="0"/>
        <c:axPos val="b"/>
        <c:numFmt formatCode="General" sourceLinked="1"/>
        <c:majorTickMark val="out"/>
        <c:minorTickMark val="none"/>
        <c:tickLblPos val="nextTo"/>
        <c:txPr>
          <a:bodyPr/>
          <a:lstStyle/>
          <a:p>
            <a:pPr>
              <a:defRPr sz="900" baseline="0"/>
            </a:pPr>
            <a:endParaRPr lang="en-US"/>
          </a:p>
        </c:txPr>
        <c:crossAx val="43776640"/>
        <c:crosses val="autoZero"/>
        <c:auto val="1"/>
        <c:lblAlgn val="ctr"/>
        <c:lblOffset val="100"/>
        <c:tickLblSkip val="4"/>
        <c:noMultiLvlLbl val="0"/>
      </c:catAx>
      <c:valAx>
        <c:axId val="43776640"/>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3775104"/>
        <c:crosses val="autoZero"/>
        <c:crossBetween val="midCat"/>
      </c:valAx>
    </c:plotArea>
    <c:legend>
      <c:legendPos val="r"/>
      <c:layout>
        <c:manualLayout>
          <c:xMode val="edge"/>
          <c:yMode val="edge"/>
          <c:x val="0.26448737386087606"/>
          <c:y val="0.47860685650409651"/>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West</a:t>
            </a:r>
          </a:p>
        </c:rich>
      </c:tx>
      <c:overlay val="0"/>
    </c:title>
    <c:autoTitleDeleted val="0"/>
    <c:plotArea>
      <c:layout>
        <c:manualLayout>
          <c:layoutTarget val="inner"/>
          <c:xMode val="edge"/>
          <c:yMode val="edge"/>
          <c:x val="0.15751495202443958"/>
          <c:y val="0.14317039915465116"/>
          <c:w val="0.77012757626608142"/>
          <c:h val="0.72482223812932478"/>
        </c:manualLayout>
      </c:layout>
      <c:lineChart>
        <c:grouping val="standard"/>
        <c:varyColors val="0"/>
        <c:ser>
          <c:idx val="0"/>
          <c:order val="0"/>
          <c:tx>
            <c:strRef>
              <c:f>Compare_FS!$AH$132</c:f>
              <c:strCache>
                <c:ptCount val="1"/>
                <c:pt idx="0">
                  <c:v>  AHS-based</c:v>
                </c:pt>
              </c:strCache>
            </c:strRef>
          </c:tx>
          <c:cat>
            <c:numRef>
              <c:f>Compare_FS!$AG$133:$AG$159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Compare_FS!$AH$133:$AH$159</c:f>
              <c:numCache>
                <c:formatCode>#,##0</c:formatCode>
                <c:ptCount val="27"/>
                <c:pt idx="1">
                  <c:v>782.00651097904279</c:v>
                </c:pt>
                <c:pt idx="2">
                  <c:v>799.69410389856819</c:v>
                </c:pt>
                <c:pt idx="3">
                  <c:v>813.47430061837167</c:v>
                </c:pt>
                <c:pt idx="4">
                  <c:v>823.08246356110772</c:v>
                </c:pt>
                <c:pt idx="5">
                  <c:v>830.85236305968112</c:v>
                </c:pt>
                <c:pt idx="6">
                  <c:v>836.42157028836255</c:v>
                </c:pt>
                <c:pt idx="7">
                  <c:v>838.39707921779393</c:v>
                </c:pt>
                <c:pt idx="8">
                  <c:v>837.87809943977277</c:v>
                </c:pt>
                <c:pt idx="9">
                  <c:v>835.7624845385169</c:v>
                </c:pt>
                <c:pt idx="10">
                  <c:v>835.69634920883414</c:v>
                </c:pt>
                <c:pt idx="11">
                  <c:v>838.65680799465144</c:v>
                </c:pt>
                <c:pt idx="12">
                  <c:v>843.72693711063164</c:v>
                </c:pt>
                <c:pt idx="13">
                  <c:v>849.11248568335918</c:v>
                </c:pt>
                <c:pt idx="14">
                  <c:v>852.55763239740702</c:v>
                </c:pt>
                <c:pt idx="15">
                  <c:v>857.29218698215323</c:v>
                </c:pt>
                <c:pt idx="16">
                  <c:v>863.82913819906457</c:v>
                </c:pt>
                <c:pt idx="17">
                  <c:v>869.78991270759343</c:v>
                </c:pt>
                <c:pt idx="18">
                  <c:v>876.38583939997125</c:v>
                </c:pt>
                <c:pt idx="19">
                  <c:v>881.54856897289199</c:v>
                </c:pt>
                <c:pt idx="20">
                  <c:v>888.07926183072493</c:v>
                </c:pt>
                <c:pt idx="21">
                  <c:v>894.12739858538202</c:v>
                </c:pt>
                <c:pt idx="22">
                  <c:v>902.62499110126271</c:v>
                </c:pt>
                <c:pt idx="23">
                  <c:v>909.1301123093499</c:v>
                </c:pt>
                <c:pt idx="24">
                  <c:v>911.0344401098539</c:v>
                </c:pt>
                <c:pt idx="25">
                  <c:v>911.45017789420638</c:v>
                </c:pt>
                <c:pt idx="26">
                  <c:v>913.06598228077746</c:v>
                </c:pt>
              </c:numCache>
            </c:numRef>
          </c:val>
          <c:smooth val="0"/>
          <c:extLst>
            <c:ext xmlns:c16="http://schemas.microsoft.com/office/drawing/2014/chart" uri="{C3380CC4-5D6E-409C-BE32-E72D297353CC}">
              <c16:uniqueId val="{00000000-3901-4ACF-ADF1-EF9A8ACA3BDA}"/>
            </c:ext>
          </c:extLst>
        </c:ser>
        <c:ser>
          <c:idx val="1"/>
          <c:order val="1"/>
          <c:tx>
            <c:strRef>
              <c:f>Compare_FS!$AI$132</c:f>
              <c:strCache>
                <c:ptCount val="1"/>
                <c:pt idx="0">
                  <c:v>RECS</c:v>
                </c:pt>
              </c:strCache>
            </c:strRef>
          </c:tx>
          <c:marker>
            <c:symbol val="square"/>
            <c:size val="5"/>
          </c:marker>
          <c:cat>
            <c:numRef>
              <c:f>Compare_FS!$AG$133:$AG$159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Compare_FS!$AI$133:$AI$159</c:f>
              <c:numCache>
                <c:formatCode>General</c:formatCode>
                <c:ptCount val="27"/>
                <c:pt idx="0">
                  <c:v>968.42105263157896</c:v>
                </c:pt>
                <c:pt idx="3">
                  <c:v>937.93103448275861</c:v>
                </c:pt>
                <c:pt idx="6">
                  <c:v>820</c:v>
                </c:pt>
                <c:pt idx="9">
                  <c:v>893.22033898305074</c:v>
                </c:pt>
                <c:pt idx="13">
                  <c:v>832.69230769230774</c:v>
                </c:pt>
                <c:pt idx="17">
                  <c:v>832.87070854638421</c:v>
                </c:pt>
                <c:pt idx="21">
                  <c:v>828.51642146584504</c:v>
                </c:pt>
              </c:numCache>
            </c:numRef>
          </c:val>
          <c:smooth val="0"/>
          <c:extLst>
            <c:ext xmlns:c16="http://schemas.microsoft.com/office/drawing/2014/chart" uri="{C3380CC4-5D6E-409C-BE32-E72D297353CC}">
              <c16:uniqueId val="{00000001-3901-4ACF-ADF1-EF9A8ACA3BDA}"/>
            </c:ext>
          </c:extLst>
        </c:ser>
        <c:dLbls>
          <c:showLegendKey val="0"/>
          <c:showVal val="0"/>
          <c:showCatName val="0"/>
          <c:showSerName val="0"/>
          <c:showPercent val="0"/>
          <c:showBubbleSize val="0"/>
        </c:dLbls>
        <c:marker val="1"/>
        <c:smooth val="0"/>
        <c:axId val="43352448"/>
        <c:axId val="43353984"/>
      </c:lineChart>
      <c:catAx>
        <c:axId val="43352448"/>
        <c:scaling>
          <c:orientation val="minMax"/>
        </c:scaling>
        <c:delete val="0"/>
        <c:axPos val="b"/>
        <c:numFmt formatCode="0" sourceLinked="0"/>
        <c:majorTickMark val="out"/>
        <c:minorTickMark val="none"/>
        <c:tickLblPos val="nextTo"/>
        <c:txPr>
          <a:bodyPr/>
          <a:lstStyle/>
          <a:p>
            <a:pPr>
              <a:defRPr sz="900" baseline="0"/>
            </a:pPr>
            <a:endParaRPr lang="en-US"/>
          </a:p>
        </c:txPr>
        <c:crossAx val="43353984"/>
        <c:crosses val="autoZero"/>
        <c:auto val="1"/>
        <c:lblAlgn val="ctr"/>
        <c:lblOffset val="100"/>
        <c:tickLblSkip val="4"/>
        <c:noMultiLvlLbl val="0"/>
      </c:catAx>
      <c:valAx>
        <c:axId val="43353984"/>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3352448"/>
        <c:crosses val="autoZero"/>
        <c:crossBetween val="midCat"/>
      </c:valAx>
    </c:plotArea>
    <c:legend>
      <c:legendPos val="r"/>
      <c:layout>
        <c:manualLayout>
          <c:xMode val="edge"/>
          <c:yMode val="edge"/>
          <c:x val="0.20444214964932658"/>
          <c:y val="0.47969424276510891"/>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Northeast</a:t>
            </a:r>
          </a:p>
        </c:rich>
      </c:tx>
      <c:overlay val="0"/>
    </c:title>
    <c:autoTitleDeleted val="0"/>
    <c:plotArea>
      <c:layout>
        <c:manualLayout>
          <c:layoutTarget val="inner"/>
          <c:xMode val="edge"/>
          <c:yMode val="edge"/>
          <c:x val="0.15717493819496628"/>
          <c:y val="0.14712313134771196"/>
          <c:w val="0.76539048801472442"/>
          <c:h val="0.71221140835656416"/>
        </c:manualLayout>
      </c:layout>
      <c:lineChart>
        <c:grouping val="standard"/>
        <c:varyColors val="0"/>
        <c:ser>
          <c:idx val="0"/>
          <c:order val="0"/>
          <c:tx>
            <c:strRef>
              <c:f>Compare_FS!$AV$42</c:f>
              <c:strCache>
                <c:ptCount val="1"/>
                <c:pt idx="0">
                  <c:v>  AHS-based</c:v>
                </c:pt>
              </c:strCache>
            </c:strRef>
          </c:tx>
          <c:cat>
            <c:numRef>
              <c:f>Compare_FS!$AU$43:$AU$69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Compare_FS!$AV$43:$AV$69</c:f>
              <c:numCache>
                <c:formatCode>#,##0</c:formatCode>
                <c:ptCount val="27"/>
                <c:pt idx="1">
                  <c:v>845.21973168316833</c:v>
                </c:pt>
                <c:pt idx="2">
                  <c:v>851.44375770749866</c:v>
                </c:pt>
                <c:pt idx="3">
                  <c:v>850.58308135372886</c:v>
                </c:pt>
                <c:pt idx="4">
                  <c:v>875.86520240246648</c:v>
                </c:pt>
                <c:pt idx="5">
                  <c:v>901.13793578367506</c:v>
                </c:pt>
                <c:pt idx="6">
                  <c:v>926.90299356528942</c:v>
                </c:pt>
                <c:pt idx="7">
                  <c:v>942.57787216735608</c:v>
                </c:pt>
                <c:pt idx="8">
                  <c:v>956.87964215044394</c:v>
                </c:pt>
                <c:pt idx="9">
                  <c:v>971.15029726572789</c:v>
                </c:pt>
                <c:pt idx="10">
                  <c:v>980.03782948940227</c:v>
                </c:pt>
                <c:pt idx="11">
                  <c:v>988.92427029099304</c:v>
                </c:pt>
                <c:pt idx="12">
                  <c:v>997.43505547803636</c:v>
                </c:pt>
                <c:pt idx="13">
                  <c:v>1005.9384095410609</c:v>
                </c:pt>
                <c:pt idx="14">
                  <c:v>1014.6864753431329</c:v>
                </c:pt>
                <c:pt idx="15">
                  <c:v>1023.4312534805125</c:v>
                </c:pt>
                <c:pt idx="16">
                  <c:v>1032.1867283831136</c:v>
                </c:pt>
                <c:pt idx="17">
                  <c:v>1040.9391511585568</c:v>
                </c:pt>
                <c:pt idx="18">
                  <c:v>1040.8053292171417</c:v>
                </c:pt>
                <c:pt idx="19">
                  <c:v>1040.6715425593231</c:v>
                </c:pt>
                <c:pt idx="20">
                  <c:v>1040.8135584565664</c:v>
                </c:pt>
                <c:pt idx="21">
                  <c:v>1040.9556121850267</c:v>
                </c:pt>
                <c:pt idx="22">
                  <c:v>1046.9342633921822</c:v>
                </c:pt>
                <c:pt idx="23">
                  <c:v>1052.9112561435811</c:v>
                </c:pt>
                <c:pt idx="24">
                  <c:v>1058.7123521659119</c:v>
                </c:pt>
                <c:pt idx="25">
                  <c:v>1064.5099314082058</c:v>
                </c:pt>
                <c:pt idx="26">
                  <c:v>1081.5134406937368</c:v>
                </c:pt>
              </c:numCache>
            </c:numRef>
          </c:val>
          <c:smooth val="0"/>
          <c:extLst>
            <c:ext xmlns:c16="http://schemas.microsoft.com/office/drawing/2014/chart" uri="{C3380CC4-5D6E-409C-BE32-E72D297353CC}">
              <c16:uniqueId val="{00000000-3FEF-4064-BE08-6F11B6E7D24B}"/>
            </c:ext>
          </c:extLst>
        </c:ser>
        <c:ser>
          <c:idx val="1"/>
          <c:order val="1"/>
          <c:tx>
            <c:strRef>
              <c:f>Compare_FS!$AW$42</c:f>
              <c:strCache>
                <c:ptCount val="1"/>
                <c:pt idx="0">
                  <c:v>RECS</c:v>
                </c:pt>
              </c:strCache>
            </c:strRef>
          </c:tx>
          <c:marker>
            <c:symbol val="square"/>
            <c:size val="5"/>
          </c:marker>
          <c:cat>
            <c:numRef>
              <c:f>Compare_FS!$AU$43:$AU$69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Compare_FS!$AW$43:$AW$69</c:f>
              <c:numCache>
                <c:formatCode>General</c:formatCode>
                <c:ptCount val="27"/>
                <c:pt idx="0">
                  <c:v>785.71428571428578</c:v>
                </c:pt>
                <c:pt idx="3">
                  <c:v>742.85714285714289</c:v>
                </c:pt>
                <c:pt idx="6">
                  <c:v>980</c:v>
                </c:pt>
                <c:pt idx="9">
                  <c:v>1000</c:v>
                </c:pt>
                <c:pt idx="13">
                  <c:v>940</c:v>
                </c:pt>
                <c:pt idx="17">
                  <c:v>1045.9418070444103</c:v>
                </c:pt>
                <c:pt idx="21">
                  <c:v>902.67872100069917</c:v>
                </c:pt>
              </c:numCache>
            </c:numRef>
          </c:val>
          <c:smooth val="0"/>
          <c:extLst>
            <c:ext xmlns:c16="http://schemas.microsoft.com/office/drawing/2014/chart" uri="{C3380CC4-5D6E-409C-BE32-E72D297353CC}">
              <c16:uniqueId val="{00000001-3FEF-4064-BE08-6F11B6E7D24B}"/>
            </c:ext>
          </c:extLst>
        </c:ser>
        <c:dLbls>
          <c:showLegendKey val="0"/>
          <c:showVal val="0"/>
          <c:showCatName val="0"/>
          <c:showSerName val="0"/>
          <c:showPercent val="0"/>
          <c:showBubbleSize val="0"/>
        </c:dLbls>
        <c:marker val="1"/>
        <c:smooth val="0"/>
        <c:axId val="43371520"/>
        <c:axId val="43483904"/>
      </c:lineChart>
      <c:catAx>
        <c:axId val="43371520"/>
        <c:scaling>
          <c:orientation val="minMax"/>
        </c:scaling>
        <c:delete val="0"/>
        <c:axPos val="b"/>
        <c:numFmt formatCode="General" sourceLinked="1"/>
        <c:majorTickMark val="out"/>
        <c:minorTickMark val="none"/>
        <c:tickLblPos val="nextTo"/>
        <c:txPr>
          <a:bodyPr/>
          <a:lstStyle/>
          <a:p>
            <a:pPr>
              <a:defRPr sz="900" baseline="0"/>
            </a:pPr>
            <a:endParaRPr lang="en-US"/>
          </a:p>
        </c:txPr>
        <c:crossAx val="43483904"/>
        <c:crosses val="autoZero"/>
        <c:auto val="1"/>
        <c:lblAlgn val="ctr"/>
        <c:lblOffset val="100"/>
        <c:tickLblSkip val="4"/>
        <c:noMultiLvlLbl val="0"/>
      </c:catAx>
      <c:valAx>
        <c:axId val="43483904"/>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3371520"/>
        <c:crosses val="autoZero"/>
        <c:crossBetween val="midCat"/>
      </c:valAx>
    </c:plotArea>
    <c:legend>
      <c:legendPos val="r"/>
      <c:layout>
        <c:manualLayout>
          <c:xMode val="edge"/>
          <c:yMode val="edge"/>
          <c:x val="0.37673926282828607"/>
          <c:y val="0.52444013269033229"/>
          <c:w val="0.28350983847758249"/>
          <c:h val="0.21460702578970661"/>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Midwest</a:t>
            </a:r>
          </a:p>
        </c:rich>
      </c:tx>
      <c:overlay val="0"/>
    </c:title>
    <c:autoTitleDeleted val="0"/>
    <c:plotArea>
      <c:layout>
        <c:manualLayout>
          <c:layoutTarget val="inner"/>
          <c:xMode val="edge"/>
          <c:yMode val="edge"/>
          <c:x val="0.15717493819496628"/>
          <c:y val="0.14712313134771196"/>
          <c:w val="0.76539048801472442"/>
          <c:h val="0.71221140835656416"/>
        </c:manualLayout>
      </c:layout>
      <c:lineChart>
        <c:grouping val="standard"/>
        <c:varyColors val="0"/>
        <c:ser>
          <c:idx val="0"/>
          <c:order val="0"/>
          <c:tx>
            <c:strRef>
              <c:f>Compare_FS!$AV$72</c:f>
              <c:strCache>
                <c:ptCount val="1"/>
                <c:pt idx="0">
                  <c:v>  AHS-based</c:v>
                </c:pt>
              </c:strCache>
            </c:strRef>
          </c:tx>
          <c:cat>
            <c:numRef>
              <c:f>Compare_FS!$AU$73:$AU$99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Compare_FS!$AV$73:$AV$99</c:f>
              <c:numCache>
                <c:formatCode>#,##0</c:formatCode>
                <c:ptCount val="27"/>
                <c:pt idx="1">
                  <c:v>812.20990421477688</c:v>
                </c:pt>
                <c:pt idx="2">
                  <c:v>818.19085259015924</c:v>
                </c:pt>
                <c:pt idx="3">
                  <c:v>817.36378971804288</c:v>
                </c:pt>
                <c:pt idx="4">
                  <c:v>841.65852438360662</c:v>
                </c:pt>
                <c:pt idx="5">
                  <c:v>865.94423801445168</c:v>
                </c:pt>
                <c:pt idx="6">
                  <c:v>890.70304844972145</c:v>
                </c:pt>
                <c:pt idx="7">
                  <c:v>905.76574891769303</c:v>
                </c:pt>
                <c:pt idx="8">
                  <c:v>919.5089671515284</c:v>
                </c:pt>
                <c:pt idx="9">
                  <c:v>933.22228570028619</c:v>
                </c:pt>
                <c:pt idx="10">
                  <c:v>941.7627177625161</c:v>
                </c:pt>
                <c:pt idx="11">
                  <c:v>950.302101027856</c:v>
                </c:pt>
                <c:pt idx="12">
                  <c:v>958.48049980682822</c:v>
                </c:pt>
                <c:pt idx="13">
                  <c:v>966.65175768231586</c:v>
                </c:pt>
                <c:pt idx="14">
                  <c:v>975.05817014622744</c:v>
                </c:pt>
                <c:pt idx="15">
                  <c:v>983.4614233443001</c:v>
                </c:pt>
                <c:pt idx="16">
                  <c:v>991.87495554832833</c:v>
                </c:pt>
                <c:pt idx="17">
                  <c:v>1000.2855548251976</c:v>
                </c:pt>
                <c:pt idx="18">
                  <c:v>1000.156959263423</c:v>
                </c:pt>
                <c:pt idx="19">
                  <c:v>1000.0283976072541</c:v>
                </c:pt>
                <c:pt idx="20">
                  <c:v>1000.164867112133</c:v>
                </c:pt>
                <c:pt idx="21">
                  <c:v>1000.3013729707415</c:v>
                </c:pt>
                <c:pt idx="22">
                  <c:v>1006.0465295759086</c:v>
                </c:pt>
                <c:pt idx="23">
                  <c:v>1011.7900924958595</c:v>
                </c:pt>
                <c:pt idx="24">
                  <c:v>1017.3646282858073</c:v>
                </c:pt>
                <c:pt idx="25">
                  <c:v>1022.9357846426092</c:v>
                </c:pt>
                <c:pt idx="26">
                  <c:v>1039.2752264829153</c:v>
                </c:pt>
              </c:numCache>
            </c:numRef>
          </c:val>
          <c:smooth val="0"/>
          <c:extLst>
            <c:ext xmlns:c16="http://schemas.microsoft.com/office/drawing/2014/chart" uri="{C3380CC4-5D6E-409C-BE32-E72D297353CC}">
              <c16:uniqueId val="{00000000-DDEA-46CF-A0E1-03B3932180C0}"/>
            </c:ext>
          </c:extLst>
        </c:ser>
        <c:ser>
          <c:idx val="1"/>
          <c:order val="1"/>
          <c:tx>
            <c:strRef>
              <c:f>Compare_FS!$AW$72</c:f>
              <c:strCache>
                <c:ptCount val="1"/>
                <c:pt idx="0">
                  <c:v>RECS</c:v>
                </c:pt>
              </c:strCache>
            </c:strRef>
          </c:tx>
          <c:marker>
            <c:symbol val="square"/>
            <c:size val="5"/>
          </c:marker>
          <c:cat>
            <c:numRef>
              <c:f>Compare_FS!$AU$73:$AU$99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Compare_FS!$AW$73:$AW$99</c:f>
              <c:numCache>
                <c:formatCode>General</c:formatCode>
                <c:ptCount val="27"/>
                <c:pt idx="0">
                  <c:v>899.99999999999989</c:v>
                </c:pt>
                <c:pt idx="3">
                  <c:v>850.00000000000011</c:v>
                </c:pt>
                <c:pt idx="6">
                  <c:v>962.5</c:v>
                </c:pt>
                <c:pt idx="9">
                  <c:v>992.85714285714289</c:v>
                </c:pt>
                <c:pt idx="13">
                  <c:v>890.90909090909088</c:v>
                </c:pt>
                <c:pt idx="17">
                  <c:v>1020.4918032786887</c:v>
                </c:pt>
                <c:pt idx="21">
                  <c:v>1093.4074869400179</c:v>
                </c:pt>
              </c:numCache>
            </c:numRef>
          </c:val>
          <c:smooth val="0"/>
          <c:extLst>
            <c:ext xmlns:c16="http://schemas.microsoft.com/office/drawing/2014/chart" uri="{C3380CC4-5D6E-409C-BE32-E72D297353CC}">
              <c16:uniqueId val="{00000001-DDEA-46CF-A0E1-03B3932180C0}"/>
            </c:ext>
          </c:extLst>
        </c:ser>
        <c:dLbls>
          <c:showLegendKey val="0"/>
          <c:showVal val="0"/>
          <c:showCatName val="0"/>
          <c:showSerName val="0"/>
          <c:showPercent val="0"/>
          <c:showBubbleSize val="0"/>
        </c:dLbls>
        <c:marker val="1"/>
        <c:smooth val="0"/>
        <c:axId val="43394944"/>
        <c:axId val="43396480"/>
      </c:lineChart>
      <c:catAx>
        <c:axId val="43394944"/>
        <c:scaling>
          <c:orientation val="minMax"/>
        </c:scaling>
        <c:delete val="0"/>
        <c:axPos val="b"/>
        <c:numFmt formatCode="General" sourceLinked="1"/>
        <c:majorTickMark val="out"/>
        <c:minorTickMark val="none"/>
        <c:tickLblPos val="nextTo"/>
        <c:txPr>
          <a:bodyPr/>
          <a:lstStyle/>
          <a:p>
            <a:pPr>
              <a:defRPr sz="900" baseline="0"/>
            </a:pPr>
            <a:endParaRPr lang="en-US"/>
          </a:p>
        </c:txPr>
        <c:crossAx val="43396480"/>
        <c:crosses val="autoZero"/>
        <c:auto val="1"/>
        <c:lblAlgn val="ctr"/>
        <c:lblOffset val="100"/>
        <c:tickLblSkip val="4"/>
        <c:noMultiLvlLbl val="0"/>
      </c:catAx>
      <c:valAx>
        <c:axId val="43396480"/>
        <c:scaling>
          <c:orientation val="minMax"/>
        </c:scaling>
        <c:delete val="0"/>
        <c:axPos val="l"/>
        <c:majorGridlines/>
        <c:title>
          <c:tx>
            <c:rich>
              <a:bodyPr rot="-5400000" vert="horz"/>
              <a:lstStyle/>
              <a:p>
                <a:pPr>
                  <a:defRPr sz="1200" baseline="0"/>
                </a:pPr>
                <a:r>
                  <a:rPr lang="en-US"/>
                  <a:t>Square feet per unit</a:t>
                </a:r>
              </a:p>
            </c:rich>
          </c:tx>
          <c:overlay val="0"/>
        </c:title>
        <c:numFmt formatCode="#,##0" sourceLinked="0"/>
        <c:majorTickMark val="out"/>
        <c:minorTickMark val="none"/>
        <c:tickLblPos val="nextTo"/>
        <c:crossAx val="43394944"/>
        <c:crosses val="autoZero"/>
        <c:crossBetween val="midCat"/>
      </c:valAx>
    </c:plotArea>
    <c:legend>
      <c:legendPos val="r"/>
      <c:layout>
        <c:manualLayout>
          <c:xMode val="edge"/>
          <c:yMode val="edge"/>
          <c:x val="0.27283809774300133"/>
          <c:y val="0.52014358018331819"/>
          <c:w val="0.27803412073490813"/>
          <c:h val="0.21044036162146398"/>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South</a:t>
            </a:r>
          </a:p>
        </c:rich>
      </c:tx>
      <c:overlay val="0"/>
    </c:title>
    <c:autoTitleDeleted val="0"/>
    <c:plotArea>
      <c:layout>
        <c:manualLayout>
          <c:layoutTarget val="inner"/>
          <c:xMode val="edge"/>
          <c:yMode val="edge"/>
          <c:x val="0.15751495202443958"/>
          <c:y val="0.14317039915465116"/>
          <c:w val="0.77012757626608142"/>
          <c:h val="0.72482223812932478"/>
        </c:manualLayout>
      </c:layout>
      <c:lineChart>
        <c:grouping val="standard"/>
        <c:varyColors val="0"/>
        <c:ser>
          <c:idx val="0"/>
          <c:order val="0"/>
          <c:tx>
            <c:strRef>
              <c:f>Compare_FS!$AV$102</c:f>
              <c:strCache>
                <c:ptCount val="1"/>
                <c:pt idx="0">
                  <c:v>  AHS-based</c:v>
                </c:pt>
              </c:strCache>
            </c:strRef>
          </c:tx>
          <c:cat>
            <c:numRef>
              <c:f>Compare_FS!$AU$103:$AU$129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Compare_FS!$AV$103:$AV$129</c:f>
              <c:numCache>
                <c:formatCode>#,##0</c:formatCode>
                <c:ptCount val="27"/>
                <c:pt idx="1">
                  <c:v>881.62091011192467</c:v>
                </c:pt>
                <c:pt idx="2">
                  <c:v>888.11298700322379</c:v>
                </c:pt>
                <c:pt idx="3">
                  <c:v>887.21524379884863</c:v>
                </c:pt>
                <c:pt idx="4">
                  <c:v>913.58619295329061</c:v>
                </c:pt>
                <c:pt idx="5">
                  <c:v>939.94735014041271</c:v>
                </c:pt>
                <c:pt idx="6">
                  <c:v>966.82203472128322</c:v>
                </c:pt>
                <c:pt idx="7">
                  <c:v>983.17198517916972</c:v>
                </c:pt>
                <c:pt idx="8">
                  <c:v>998.08969118633127</c:v>
                </c:pt>
                <c:pt idx="9">
                  <c:v>1012.9749422979867</c:v>
                </c:pt>
                <c:pt idx="10">
                  <c:v>1022.2452349260129</c:v>
                </c:pt>
                <c:pt idx="11">
                  <c:v>1031.5143891275513</c:v>
                </c:pt>
                <c:pt idx="12">
                  <c:v>1040.3917093096372</c:v>
                </c:pt>
                <c:pt idx="13">
                  <c:v>1049.2612783306049</c:v>
                </c:pt>
                <c:pt idx="14">
                  <c:v>1058.3860981201087</c:v>
                </c:pt>
                <c:pt idx="15">
                  <c:v>1067.5074886546749</c:v>
                </c:pt>
                <c:pt idx="16">
                  <c:v>1076.6400366333191</c:v>
                </c:pt>
                <c:pt idx="17">
                  <c:v>1085.7694010384835</c:v>
                </c:pt>
                <c:pt idx="18">
                  <c:v>1085.6298157716456</c:v>
                </c:pt>
                <c:pt idx="19">
                  <c:v>1085.4902673079678</c:v>
                </c:pt>
                <c:pt idx="20">
                  <c:v>1085.6383994207006</c:v>
                </c:pt>
                <c:pt idx="21">
                  <c:v>1085.7865709939324</c:v>
                </c:pt>
                <c:pt idx="22">
                  <c:v>1092.0227054817035</c:v>
                </c:pt>
                <c:pt idx="23">
                  <c:v>1098.2571100888076</c:v>
                </c:pt>
                <c:pt idx="24">
                  <c:v>1104.3080426015508</c:v>
                </c:pt>
                <c:pt idx="25">
                  <c:v>1110.3553068766744</c:v>
                </c:pt>
                <c:pt idx="26">
                  <c:v>1128.0911083132476</c:v>
                </c:pt>
              </c:numCache>
            </c:numRef>
          </c:val>
          <c:smooth val="0"/>
          <c:extLst>
            <c:ext xmlns:c16="http://schemas.microsoft.com/office/drawing/2014/chart" uri="{C3380CC4-5D6E-409C-BE32-E72D297353CC}">
              <c16:uniqueId val="{00000000-19A2-4C15-BBBF-88EC5902196D}"/>
            </c:ext>
          </c:extLst>
        </c:ser>
        <c:ser>
          <c:idx val="1"/>
          <c:order val="1"/>
          <c:tx>
            <c:strRef>
              <c:f>Compare_FS!$AW$102</c:f>
              <c:strCache>
                <c:ptCount val="1"/>
                <c:pt idx="0">
                  <c:v>RECS</c:v>
                </c:pt>
              </c:strCache>
            </c:strRef>
          </c:tx>
          <c:marker>
            <c:symbol val="square"/>
            <c:size val="5"/>
          </c:marker>
          <c:cat>
            <c:numRef>
              <c:f>Compare_FS!$AU$103:$AU$129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Compare_FS!$AW$103:$AW$129</c:f>
              <c:numCache>
                <c:formatCode>General</c:formatCode>
                <c:ptCount val="27"/>
                <c:pt idx="0">
                  <c:v>786.95652173913061</c:v>
                </c:pt>
                <c:pt idx="3">
                  <c:v>831.81818181818176</c:v>
                </c:pt>
                <c:pt idx="6">
                  <c:v>884.21052631578948</c:v>
                </c:pt>
                <c:pt idx="9">
                  <c:v>980.7692307692306</c:v>
                </c:pt>
                <c:pt idx="13">
                  <c:v>1060</c:v>
                </c:pt>
                <c:pt idx="17">
                  <c:v>1060.540872771973</c:v>
                </c:pt>
                <c:pt idx="21">
                  <c:v>1067.2823188945329</c:v>
                </c:pt>
              </c:numCache>
            </c:numRef>
          </c:val>
          <c:smooth val="0"/>
          <c:extLst>
            <c:ext xmlns:c16="http://schemas.microsoft.com/office/drawing/2014/chart" uri="{C3380CC4-5D6E-409C-BE32-E72D297353CC}">
              <c16:uniqueId val="{00000001-19A2-4C15-BBBF-88EC5902196D}"/>
            </c:ext>
          </c:extLst>
        </c:ser>
        <c:dLbls>
          <c:showLegendKey val="0"/>
          <c:showVal val="0"/>
          <c:showCatName val="0"/>
          <c:showSerName val="0"/>
          <c:showPercent val="0"/>
          <c:showBubbleSize val="0"/>
        </c:dLbls>
        <c:marker val="1"/>
        <c:smooth val="0"/>
        <c:axId val="43430656"/>
        <c:axId val="43432192"/>
      </c:lineChart>
      <c:catAx>
        <c:axId val="43430656"/>
        <c:scaling>
          <c:orientation val="minMax"/>
        </c:scaling>
        <c:delete val="0"/>
        <c:axPos val="b"/>
        <c:numFmt formatCode="0" sourceLinked="0"/>
        <c:majorTickMark val="out"/>
        <c:minorTickMark val="none"/>
        <c:tickLblPos val="nextTo"/>
        <c:txPr>
          <a:bodyPr/>
          <a:lstStyle/>
          <a:p>
            <a:pPr>
              <a:defRPr sz="900" baseline="0"/>
            </a:pPr>
            <a:endParaRPr lang="en-US"/>
          </a:p>
        </c:txPr>
        <c:crossAx val="43432192"/>
        <c:crosses val="autoZero"/>
        <c:auto val="1"/>
        <c:lblAlgn val="ctr"/>
        <c:lblOffset val="100"/>
        <c:tickLblSkip val="4"/>
        <c:noMultiLvlLbl val="0"/>
      </c:catAx>
      <c:valAx>
        <c:axId val="43432192"/>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3430656"/>
        <c:crosses val="autoZero"/>
        <c:crossBetween val="midCat"/>
      </c:valAx>
    </c:plotArea>
    <c:legend>
      <c:legendPos val="r"/>
      <c:layout>
        <c:manualLayout>
          <c:xMode val="edge"/>
          <c:yMode val="edge"/>
          <c:x val="0.56783012779140307"/>
          <c:y val="0.46237822544909157"/>
          <c:w val="0.28937287552170732"/>
          <c:h val="0.23509152265057776"/>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West</a:t>
            </a:r>
          </a:p>
        </c:rich>
      </c:tx>
      <c:overlay val="0"/>
    </c:title>
    <c:autoTitleDeleted val="0"/>
    <c:plotArea>
      <c:layout>
        <c:manualLayout>
          <c:layoutTarget val="inner"/>
          <c:xMode val="edge"/>
          <c:yMode val="edge"/>
          <c:x val="0.15751495202443958"/>
          <c:y val="0.14317039915465116"/>
          <c:w val="0.77012757626608142"/>
          <c:h val="0.72482223812932478"/>
        </c:manualLayout>
      </c:layout>
      <c:lineChart>
        <c:grouping val="standard"/>
        <c:varyColors val="0"/>
        <c:ser>
          <c:idx val="0"/>
          <c:order val="0"/>
          <c:tx>
            <c:strRef>
              <c:f>Compare_FS!$AV$132</c:f>
              <c:strCache>
                <c:ptCount val="1"/>
                <c:pt idx="0">
                  <c:v>  AHS-based</c:v>
                </c:pt>
              </c:strCache>
            </c:strRef>
          </c:tx>
          <c:cat>
            <c:numRef>
              <c:f>Compare_FS!$AU$133:$AU$159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Compare_FS!$AV$133:$AV$159</c:f>
              <c:numCache>
                <c:formatCode>#,##0</c:formatCode>
                <c:ptCount val="27"/>
                <c:pt idx="1">
                  <c:v>856.3247659077083</c:v>
                </c:pt>
                <c:pt idx="2">
                  <c:v>862.6305671431744</c:v>
                </c:pt>
                <c:pt idx="3">
                  <c:v>861.75858267625176</c:v>
                </c:pt>
                <c:pt idx="4">
                  <c:v>887.37287630566971</c:v>
                </c:pt>
                <c:pt idx="5">
                  <c:v>912.97765892641416</c:v>
                </c:pt>
                <c:pt idx="6">
                  <c:v>939.08123441855605</c:v>
                </c:pt>
                <c:pt idx="7">
                  <c:v>954.9620595417656</c:v>
                </c:pt>
                <c:pt idx="8">
                  <c:v>969.45173527193936</c:v>
                </c:pt>
                <c:pt idx="9">
                  <c:v>983.90988732739322</c:v>
                </c:pt>
                <c:pt idx="10">
                  <c:v>992.91418960010435</c:v>
                </c:pt>
                <c:pt idx="11">
                  <c:v>1001.9173861109349</c:v>
                </c:pt>
                <c:pt idx="12">
                  <c:v>1010.5399914049125</c:v>
                </c:pt>
                <c:pt idx="13">
                  <c:v>1019.1550679400394</c:v>
                </c:pt>
                <c:pt idx="14">
                  <c:v>1028.0180713926286</c:v>
                </c:pt>
                <c:pt idx="15">
                  <c:v>1036.8777439850965</c:v>
                </c:pt>
                <c:pt idx="16">
                  <c:v>1045.7482538836882</c:v>
                </c:pt>
                <c:pt idx="17">
                  <c:v>1054.6156715543354</c:v>
                </c:pt>
                <c:pt idx="18">
                  <c:v>1054.4800913751699</c:v>
                </c:pt>
                <c:pt idx="19">
                  <c:v>1054.3445469431797</c:v>
                </c:pt>
                <c:pt idx="20">
                  <c:v>1054.4884287355744</c:v>
                </c:pt>
                <c:pt idx="21">
                  <c:v>1054.6323488562368</c:v>
                </c:pt>
                <c:pt idx="22">
                  <c:v>1060.689551384171</c:v>
                </c:pt>
                <c:pt idx="23">
                  <c:v>1066.7450736665025</c:v>
                </c:pt>
                <c:pt idx="24">
                  <c:v>1072.6223881767048</c:v>
                </c:pt>
                <c:pt idx="25">
                  <c:v>1078.4961397011778</c:v>
                </c:pt>
                <c:pt idx="26">
                  <c:v>1095.7230519025127</c:v>
                </c:pt>
              </c:numCache>
            </c:numRef>
          </c:val>
          <c:smooth val="0"/>
          <c:extLst>
            <c:ext xmlns:c16="http://schemas.microsoft.com/office/drawing/2014/chart" uri="{C3380CC4-5D6E-409C-BE32-E72D297353CC}">
              <c16:uniqueId val="{00000000-D086-4D67-B56C-197FA1F909B8}"/>
            </c:ext>
          </c:extLst>
        </c:ser>
        <c:ser>
          <c:idx val="1"/>
          <c:order val="1"/>
          <c:tx>
            <c:strRef>
              <c:f>Compare_FS!$AW$132</c:f>
              <c:strCache>
                <c:ptCount val="1"/>
                <c:pt idx="0">
                  <c:v>RECS</c:v>
                </c:pt>
              </c:strCache>
            </c:strRef>
          </c:tx>
          <c:marker>
            <c:symbol val="square"/>
            <c:size val="5"/>
          </c:marker>
          <c:cat>
            <c:numRef>
              <c:f>Compare_FS!$AU$133:$AU$159</c:f>
              <c:numCache>
                <c:formatCode>General</c:formatCode>
                <c:ptCount val="27"/>
                <c:pt idx="0">
                  <c:v>1984</c:v>
                </c:pt>
                <c:pt idx="1">
                  <c:v>1985</c:v>
                </c:pt>
                <c:pt idx="2">
                  <c:v>1986</c:v>
                </c:pt>
                <c:pt idx="3">
                  <c:v>1987</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numCache>
            </c:numRef>
          </c:cat>
          <c:val>
            <c:numRef>
              <c:f>Compare_FS!$AW$133:$AW$159</c:f>
              <c:numCache>
                <c:formatCode>General</c:formatCode>
                <c:ptCount val="27"/>
                <c:pt idx="0">
                  <c:v>950</c:v>
                </c:pt>
                <c:pt idx="3">
                  <c:v>1040</c:v>
                </c:pt>
                <c:pt idx="6">
                  <c:v>991.66666666666674</c:v>
                </c:pt>
                <c:pt idx="9">
                  <c:v>990</c:v>
                </c:pt>
                <c:pt idx="13">
                  <c:v>970.58823529411768</c:v>
                </c:pt>
                <c:pt idx="17">
                  <c:v>1101.1904761904764</c:v>
                </c:pt>
                <c:pt idx="21">
                  <c:v>828.51642146584504</c:v>
                </c:pt>
              </c:numCache>
            </c:numRef>
          </c:val>
          <c:smooth val="0"/>
          <c:extLst>
            <c:ext xmlns:c16="http://schemas.microsoft.com/office/drawing/2014/chart" uri="{C3380CC4-5D6E-409C-BE32-E72D297353CC}">
              <c16:uniqueId val="{00000001-D086-4D67-B56C-197FA1F909B8}"/>
            </c:ext>
          </c:extLst>
        </c:ser>
        <c:dLbls>
          <c:showLegendKey val="0"/>
          <c:showVal val="0"/>
          <c:showCatName val="0"/>
          <c:showSerName val="0"/>
          <c:showPercent val="0"/>
          <c:showBubbleSize val="0"/>
        </c:dLbls>
        <c:marker val="1"/>
        <c:smooth val="0"/>
        <c:axId val="43445248"/>
        <c:axId val="44061440"/>
      </c:lineChart>
      <c:catAx>
        <c:axId val="43445248"/>
        <c:scaling>
          <c:orientation val="minMax"/>
        </c:scaling>
        <c:delete val="0"/>
        <c:axPos val="b"/>
        <c:numFmt formatCode="0" sourceLinked="0"/>
        <c:majorTickMark val="out"/>
        <c:minorTickMark val="none"/>
        <c:tickLblPos val="nextTo"/>
        <c:txPr>
          <a:bodyPr/>
          <a:lstStyle/>
          <a:p>
            <a:pPr>
              <a:defRPr sz="900" baseline="0"/>
            </a:pPr>
            <a:endParaRPr lang="en-US"/>
          </a:p>
        </c:txPr>
        <c:crossAx val="44061440"/>
        <c:crosses val="autoZero"/>
        <c:auto val="1"/>
        <c:lblAlgn val="ctr"/>
        <c:lblOffset val="100"/>
        <c:tickLblSkip val="4"/>
        <c:noMultiLvlLbl val="0"/>
      </c:catAx>
      <c:valAx>
        <c:axId val="44061440"/>
        <c:scaling>
          <c:orientation val="minMax"/>
        </c:scaling>
        <c:delete val="0"/>
        <c:axPos val="l"/>
        <c:majorGridlines/>
        <c:title>
          <c:tx>
            <c:rich>
              <a:bodyPr rot="-5400000" vert="horz"/>
              <a:lstStyle/>
              <a:p>
                <a:pPr>
                  <a:defRPr sz="1200" baseline="0"/>
                </a:pPr>
                <a:r>
                  <a:rPr lang="en-US"/>
                  <a:t>Square</a:t>
                </a:r>
                <a:r>
                  <a:rPr lang="en-US" baseline="0"/>
                  <a:t> feet per unit</a:t>
                </a:r>
                <a:endParaRPr lang="en-US"/>
              </a:p>
            </c:rich>
          </c:tx>
          <c:overlay val="0"/>
        </c:title>
        <c:numFmt formatCode="#,##0" sourceLinked="0"/>
        <c:majorTickMark val="out"/>
        <c:minorTickMark val="none"/>
        <c:tickLblPos val="nextTo"/>
        <c:crossAx val="43445248"/>
        <c:crosses val="autoZero"/>
        <c:crossBetween val="midCat"/>
      </c:valAx>
    </c:plotArea>
    <c:legend>
      <c:legendPos val="r"/>
      <c:layout>
        <c:manualLayout>
          <c:xMode val="edge"/>
          <c:yMode val="edge"/>
          <c:x val="0.29649238405868722"/>
          <c:y val="0.53147414825573991"/>
          <c:w val="0.3030341207349081"/>
          <c:h val="0.25673665791776029"/>
        </c:manualLayout>
      </c:layout>
      <c:overlay val="0"/>
      <c:spPr>
        <a:solidFill>
          <a:schemeClr val="bg1"/>
        </a:solidFill>
        <a:ln>
          <a:solidFill>
            <a:sysClr val="windowText" lastClr="000000"/>
          </a:solidFill>
        </a:ln>
      </c:spPr>
    </c:legend>
    <c:plotVisOnly val="1"/>
    <c:dispBlanksAs val="gap"/>
    <c:showDLblsOverMax val="0"/>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RECS_ManHome!$AD$6</c:f>
              <c:strCache>
                <c:ptCount val="1"/>
                <c:pt idx="0">
                  <c:v>ManH Size</c:v>
                </c:pt>
              </c:strCache>
            </c:strRef>
          </c:tx>
          <c:cat>
            <c:numRef>
              <c:f>RECS_ManHome!$AC$7:$AC$47</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RECS_ManHome!$AD$7:$AD$47</c:f>
              <c:numCache>
                <c:formatCode>General</c:formatCode>
                <c:ptCount val="41"/>
                <c:pt idx="0">
                  <c:v>692.60907613424581</c:v>
                </c:pt>
                <c:pt idx="1">
                  <c:v>714.43854708814183</c:v>
                </c:pt>
                <c:pt idx="2">
                  <c:v>736.26801804203785</c:v>
                </c:pt>
                <c:pt idx="3">
                  <c:v>758.09748899593387</c:v>
                </c:pt>
                <c:pt idx="4">
                  <c:v>779.92695994983001</c:v>
                </c:pt>
                <c:pt idx="5">
                  <c:v>787.62029271181484</c:v>
                </c:pt>
                <c:pt idx="6">
                  <c:v>795.31362547379968</c:v>
                </c:pt>
                <c:pt idx="7">
                  <c:v>803.00695823578451</c:v>
                </c:pt>
                <c:pt idx="8">
                  <c:v>810.70029099776934</c:v>
                </c:pt>
                <c:pt idx="9">
                  <c:v>818.39362375975418</c:v>
                </c:pt>
                <c:pt idx="10">
                  <c:v>826.08695652173913</c:v>
                </c:pt>
                <c:pt idx="11">
                  <c:v>830.34953111679454</c:v>
                </c:pt>
                <c:pt idx="12">
                  <c:v>834.61210571184995</c:v>
                </c:pt>
                <c:pt idx="13">
                  <c:v>838.87468030690536</c:v>
                </c:pt>
                <c:pt idx="14">
                  <c:v>843.13725490196077</c:v>
                </c:pt>
                <c:pt idx="15">
                  <c:v>850.32679738562092</c:v>
                </c:pt>
                <c:pt idx="16">
                  <c:v>857.51633986928107</c:v>
                </c:pt>
                <c:pt idx="17">
                  <c:v>864.70588235294122</c:v>
                </c:pt>
                <c:pt idx="18">
                  <c:v>890.57315233785823</c:v>
                </c:pt>
                <c:pt idx="19">
                  <c:v>916.44042232277525</c:v>
                </c:pt>
                <c:pt idx="20">
                  <c:v>942.30769230769226</c:v>
                </c:pt>
                <c:pt idx="21">
                  <c:v>957.90209790209792</c:v>
                </c:pt>
                <c:pt idx="22">
                  <c:v>973.49650349650358</c:v>
                </c:pt>
                <c:pt idx="23">
                  <c:v>989.09090909090912</c:v>
                </c:pt>
                <c:pt idx="24">
                  <c:v>998.20392109726617</c:v>
                </c:pt>
                <c:pt idx="25">
                  <c:v>1007.3169331036232</c:v>
                </c:pt>
                <c:pt idx="26">
                  <c:v>1016.4299451099803</c:v>
                </c:pt>
                <c:pt idx="27">
                  <c:v>1025.5429571163374</c:v>
                </c:pt>
                <c:pt idx="28">
                  <c:v>1034.6559691226946</c:v>
                </c:pt>
                <c:pt idx="29">
                  <c:v>1043.7689811290518</c:v>
                </c:pt>
                <c:pt idx="30">
                  <c:v>1052.8819931354089</c:v>
                </c:pt>
                <c:pt idx="31">
                  <c:v>1061.9950051417659</c:v>
                </c:pt>
                <c:pt idx="32">
                  <c:v>1061.9984984170167</c:v>
                </c:pt>
                <c:pt idx="33">
                  <c:v>1062.0019916922674</c:v>
                </c:pt>
                <c:pt idx="34">
                  <c:v>1062.0054849675182</c:v>
                </c:pt>
                <c:pt idx="35">
                  <c:v>1062.008978242769</c:v>
                </c:pt>
                <c:pt idx="36">
                  <c:v>1068.2567336820766</c:v>
                </c:pt>
                <c:pt idx="37">
                  <c:v>1074.5044891213843</c:v>
                </c:pt>
                <c:pt idx="38">
                  <c:v>1080.7522445606919</c:v>
                </c:pt>
                <c:pt idx="39">
                  <c:v>1087</c:v>
                </c:pt>
                <c:pt idx="40" formatCode="#,##0.0">
                  <c:v>1104.3627450980393</c:v>
                </c:pt>
              </c:numCache>
            </c:numRef>
          </c:val>
          <c:smooth val="0"/>
          <c:extLst>
            <c:ext xmlns:c16="http://schemas.microsoft.com/office/drawing/2014/chart" uri="{C3380CC4-5D6E-409C-BE32-E72D297353CC}">
              <c16:uniqueId val="{00000000-DBFA-433F-A7C7-524928B543E4}"/>
            </c:ext>
          </c:extLst>
        </c:ser>
        <c:dLbls>
          <c:showLegendKey val="0"/>
          <c:showVal val="0"/>
          <c:showCatName val="0"/>
          <c:showSerName val="0"/>
          <c:showPercent val="0"/>
          <c:showBubbleSize val="0"/>
        </c:dLbls>
        <c:marker val="1"/>
        <c:smooth val="0"/>
        <c:axId val="155534080"/>
        <c:axId val="155535616"/>
      </c:lineChart>
      <c:catAx>
        <c:axId val="155534080"/>
        <c:scaling>
          <c:orientation val="minMax"/>
        </c:scaling>
        <c:delete val="0"/>
        <c:axPos val="b"/>
        <c:numFmt formatCode="General" sourceLinked="1"/>
        <c:majorTickMark val="out"/>
        <c:minorTickMark val="none"/>
        <c:tickLblPos val="nextTo"/>
        <c:crossAx val="155535616"/>
        <c:crosses val="autoZero"/>
        <c:auto val="1"/>
        <c:lblAlgn val="ctr"/>
        <c:lblOffset val="100"/>
        <c:tickLblSkip val="5"/>
        <c:noMultiLvlLbl val="0"/>
      </c:catAx>
      <c:valAx>
        <c:axId val="155535616"/>
        <c:scaling>
          <c:orientation val="minMax"/>
        </c:scaling>
        <c:delete val="0"/>
        <c:axPos val="l"/>
        <c:majorGridlines/>
        <c:numFmt formatCode="General" sourceLinked="1"/>
        <c:majorTickMark val="out"/>
        <c:minorTickMark val="none"/>
        <c:tickLblPos val="nextTo"/>
        <c:crossAx val="155534080"/>
        <c:crosses val="autoZero"/>
        <c:crossBetween val="midCat"/>
      </c:valAx>
    </c:plotArea>
    <c:plotVisOnly val="1"/>
    <c:dispBlanksAs val="gap"/>
    <c:showDLblsOverMax val="0"/>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2661854768154"/>
          <c:y val="3.75116652085156E-2"/>
          <c:w val="0.81024715660542435"/>
          <c:h val="0.79523549139690874"/>
        </c:manualLayout>
      </c:layout>
      <c:lineChart>
        <c:grouping val="standard"/>
        <c:varyColors val="0"/>
        <c:ser>
          <c:idx val="0"/>
          <c:order val="0"/>
          <c:tx>
            <c:strRef>
              <c:f>RECS_ManHome!$AM$6</c:f>
              <c:strCache>
                <c:ptCount val="1"/>
                <c:pt idx="0">
                  <c:v>Annual</c:v>
                </c:pt>
              </c:strCache>
            </c:strRef>
          </c:tx>
          <c:marker>
            <c:symbol val="diamond"/>
            <c:size val="6"/>
          </c:marker>
          <c:cat>
            <c:numRef>
              <c:f>RECS_ManHome!$AL$7:$AL$54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RECS_ManHome!$AM$7:$AM$54</c:f>
              <c:numCache>
                <c:formatCode>General</c:formatCode>
                <c:ptCount val="48"/>
                <c:pt idx="0">
                  <c:v>692.60907613424581</c:v>
                </c:pt>
                <c:pt idx="1">
                  <c:v>714.43854708814183</c:v>
                </c:pt>
                <c:pt idx="2">
                  <c:v>736.26801804203785</c:v>
                </c:pt>
                <c:pt idx="3">
                  <c:v>758.09748899593387</c:v>
                </c:pt>
                <c:pt idx="4">
                  <c:v>779.92695994983001</c:v>
                </c:pt>
                <c:pt idx="5">
                  <c:v>787.62029271181484</c:v>
                </c:pt>
                <c:pt idx="6">
                  <c:v>795.31362547379968</c:v>
                </c:pt>
                <c:pt idx="7">
                  <c:v>803.00695823578451</c:v>
                </c:pt>
                <c:pt idx="8">
                  <c:v>810.70029099776934</c:v>
                </c:pt>
                <c:pt idx="9">
                  <c:v>818.39362375975418</c:v>
                </c:pt>
                <c:pt idx="10">
                  <c:v>826.08695652173913</c:v>
                </c:pt>
                <c:pt idx="11">
                  <c:v>830.34953111679454</c:v>
                </c:pt>
                <c:pt idx="12">
                  <c:v>834.61210571184995</c:v>
                </c:pt>
                <c:pt idx="13">
                  <c:v>838.87468030690536</c:v>
                </c:pt>
                <c:pt idx="14">
                  <c:v>843.13725490196077</c:v>
                </c:pt>
                <c:pt idx="15">
                  <c:v>850.32679738562092</c:v>
                </c:pt>
                <c:pt idx="16">
                  <c:v>857.51633986928107</c:v>
                </c:pt>
                <c:pt idx="17">
                  <c:v>864.70588235294122</c:v>
                </c:pt>
                <c:pt idx="18">
                  <c:v>890.57315233785823</c:v>
                </c:pt>
                <c:pt idx="19">
                  <c:v>916.44042232277525</c:v>
                </c:pt>
                <c:pt idx="20">
                  <c:v>942.30769230769226</c:v>
                </c:pt>
                <c:pt idx="21">
                  <c:v>957.90209790209792</c:v>
                </c:pt>
                <c:pt idx="22">
                  <c:v>973.49650349650358</c:v>
                </c:pt>
                <c:pt idx="23">
                  <c:v>989.09090909090912</c:v>
                </c:pt>
                <c:pt idx="24">
                  <c:v>998.20392109726617</c:v>
                </c:pt>
                <c:pt idx="25">
                  <c:v>1007.3169331036232</c:v>
                </c:pt>
                <c:pt idx="26">
                  <c:v>1016.4299451099803</c:v>
                </c:pt>
                <c:pt idx="27">
                  <c:v>1025.5429571163374</c:v>
                </c:pt>
                <c:pt idx="28">
                  <c:v>1034.6559691226946</c:v>
                </c:pt>
                <c:pt idx="29">
                  <c:v>1043.7689811290518</c:v>
                </c:pt>
                <c:pt idx="30">
                  <c:v>1052.8819931354089</c:v>
                </c:pt>
                <c:pt idx="31">
                  <c:v>1061.9950051417659</c:v>
                </c:pt>
                <c:pt idx="32">
                  <c:v>1061.9984984170167</c:v>
                </c:pt>
                <c:pt idx="33">
                  <c:v>1062.0019916922674</c:v>
                </c:pt>
                <c:pt idx="34">
                  <c:v>1062.0054849675182</c:v>
                </c:pt>
                <c:pt idx="35">
                  <c:v>1062.008978242769</c:v>
                </c:pt>
                <c:pt idx="36">
                  <c:v>1068.2567336820766</c:v>
                </c:pt>
                <c:pt idx="37">
                  <c:v>1074.5044891213843</c:v>
                </c:pt>
                <c:pt idx="38">
                  <c:v>1080.7522445606919</c:v>
                </c:pt>
                <c:pt idx="39">
                  <c:v>1087</c:v>
                </c:pt>
                <c:pt idx="40">
                  <c:v>1104.3627450980393</c:v>
                </c:pt>
                <c:pt idx="41">
                  <c:v>1121.7254901960787</c:v>
                </c:pt>
                <c:pt idx="42">
                  <c:v>1139.088235294118</c:v>
                </c:pt>
                <c:pt idx="43">
                  <c:v>1156.4509803921574</c:v>
                </c:pt>
                <c:pt idx="44">
                  <c:v>1173.8137254901967</c:v>
                </c:pt>
                <c:pt idx="45">
                  <c:v>1191.1764705882354</c:v>
                </c:pt>
                <c:pt idx="46">
                  <c:v>1196</c:v>
                </c:pt>
                <c:pt idx="47">
                  <c:v>1201</c:v>
                </c:pt>
              </c:numCache>
            </c:numRef>
          </c:val>
          <c:smooth val="0"/>
          <c:extLst>
            <c:ext xmlns:c16="http://schemas.microsoft.com/office/drawing/2014/chart" uri="{C3380CC4-5D6E-409C-BE32-E72D297353CC}">
              <c16:uniqueId val="{00000000-9604-4354-A277-EC0B2874065B}"/>
            </c:ext>
          </c:extLst>
        </c:ser>
        <c:ser>
          <c:idx val="1"/>
          <c:order val="1"/>
          <c:tx>
            <c:strRef>
              <c:f>RECS_ManHome!$AN$6</c:f>
              <c:strCache>
                <c:ptCount val="1"/>
                <c:pt idx="0">
                  <c:v>RECS_Years</c:v>
                </c:pt>
              </c:strCache>
            </c:strRef>
          </c:tx>
          <c:marker>
            <c:symbol val="square"/>
            <c:size val="5"/>
          </c:marker>
          <c:cat>
            <c:numRef>
              <c:f>RECS_ManHome!$AL$7:$AL$54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RECS_ManHome!$AN$7:$AN$54</c:f>
              <c:numCache>
                <c:formatCode>General</c:formatCode>
                <c:ptCount val="48"/>
                <c:pt idx="10">
                  <c:v>826.08695652173913</c:v>
                </c:pt>
                <c:pt idx="14">
                  <c:v>843.13725490196077</c:v>
                </c:pt>
                <c:pt idx="17">
                  <c:v>864.70588235294122</c:v>
                </c:pt>
                <c:pt idx="23">
                  <c:v>989.09090909090912</c:v>
                </c:pt>
                <c:pt idx="31">
                  <c:v>1061.9950051417659</c:v>
                </c:pt>
                <c:pt idx="35">
                  <c:v>1062.008978242769</c:v>
                </c:pt>
                <c:pt idx="39">
                  <c:v>1087</c:v>
                </c:pt>
                <c:pt idx="45" formatCode="#,##0.0">
                  <c:v>1191.1764705882354</c:v>
                </c:pt>
              </c:numCache>
            </c:numRef>
          </c:val>
          <c:smooth val="0"/>
          <c:extLst>
            <c:ext xmlns:c16="http://schemas.microsoft.com/office/drawing/2014/chart" uri="{C3380CC4-5D6E-409C-BE32-E72D297353CC}">
              <c16:uniqueId val="{00000001-9604-4354-A277-EC0B2874065B}"/>
            </c:ext>
          </c:extLst>
        </c:ser>
        <c:dLbls>
          <c:showLegendKey val="0"/>
          <c:showVal val="0"/>
          <c:showCatName val="0"/>
          <c:showSerName val="0"/>
          <c:showPercent val="0"/>
          <c:showBubbleSize val="0"/>
        </c:dLbls>
        <c:marker val="1"/>
        <c:smooth val="0"/>
        <c:axId val="155566464"/>
        <c:axId val="155568000"/>
      </c:lineChart>
      <c:catAx>
        <c:axId val="155566464"/>
        <c:scaling>
          <c:orientation val="minMax"/>
        </c:scaling>
        <c:delete val="0"/>
        <c:axPos val="b"/>
        <c:numFmt formatCode="General" sourceLinked="1"/>
        <c:majorTickMark val="out"/>
        <c:minorTickMark val="none"/>
        <c:tickLblPos val="nextTo"/>
        <c:crossAx val="155568000"/>
        <c:crosses val="autoZero"/>
        <c:auto val="1"/>
        <c:lblAlgn val="ctr"/>
        <c:lblOffset val="100"/>
        <c:tickLblSkip val="5"/>
        <c:noMultiLvlLbl val="0"/>
      </c:catAx>
      <c:valAx>
        <c:axId val="155568000"/>
        <c:scaling>
          <c:orientation val="minMax"/>
        </c:scaling>
        <c:delete val="0"/>
        <c:axPos val="l"/>
        <c:majorGridlines/>
        <c:title>
          <c:tx>
            <c:rich>
              <a:bodyPr rot="-5400000" vert="horz"/>
              <a:lstStyle/>
              <a:p>
                <a:pPr>
                  <a:defRPr sz="1100" baseline="0"/>
                </a:pPr>
                <a:r>
                  <a:rPr lang="en-US" sz="1100" baseline="0"/>
                  <a:t>Square feet per unit</a:t>
                </a:r>
              </a:p>
            </c:rich>
          </c:tx>
          <c:overlay val="0"/>
        </c:title>
        <c:numFmt formatCode="#,##0" sourceLinked="0"/>
        <c:majorTickMark val="out"/>
        <c:minorTickMark val="none"/>
        <c:tickLblPos val="nextTo"/>
        <c:crossAx val="155566464"/>
        <c:crosses val="autoZero"/>
        <c:crossBetween val="midCat"/>
      </c:valAx>
    </c:plotArea>
    <c:legend>
      <c:legendPos val="r"/>
      <c:layout>
        <c:manualLayout>
          <c:xMode val="edge"/>
          <c:yMode val="edge"/>
          <c:x val="0.19373556430446195"/>
          <c:y val="0.50887540099154271"/>
          <c:w val="0.21348588671599272"/>
          <c:h val="0.15681661981804321"/>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50" Type="http://schemas.openxmlformats.org/officeDocument/2006/relationships/chart" Target="../charts/chart50.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3" Type="http://schemas.openxmlformats.org/officeDocument/2006/relationships/chart" Target="../charts/chart53.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8" Type="http://schemas.openxmlformats.org/officeDocument/2006/relationships/chart" Target="../charts/chart8.xml"/><Relationship Id="rId51" Type="http://schemas.openxmlformats.org/officeDocument/2006/relationships/chart" Target="../charts/chart5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4" Type="http://schemas.openxmlformats.org/officeDocument/2006/relationships/chart" Target="../charts/chart5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10" Type="http://schemas.openxmlformats.org/officeDocument/2006/relationships/chart" Target="../charts/chart70.xml"/><Relationship Id="rId4" Type="http://schemas.openxmlformats.org/officeDocument/2006/relationships/chart" Target="../charts/chart64.xml"/><Relationship Id="rId9" Type="http://schemas.openxmlformats.org/officeDocument/2006/relationships/chart" Target="../charts/chart6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4" Type="http://schemas.openxmlformats.org/officeDocument/2006/relationships/chart" Target="../charts/chart7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6.xml"/><Relationship Id="rId2" Type="http://schemas.openxmlformats.org/officeDocument/2006/relationships/chart" Target="../charts/chart85.xml"/><Relationship Id="rId1" Type="http://schemas.openxmlformats.org/officeDocument/2006/relationships/chart" Target="../charts/chart84.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4.xml"/><Relationship Id="rId3" Type="http://schemas.openxmlformats.org/officeDocument/2006/relationships/chart" Target="../charts/chart89.xml"/><Relationship Id="rId7" Type="http://schemas.openxmlformats.org/officeDocument/2006/relationships/chart" Target="../charts/chart93.xml"/><Relationship Id="rId2" Type="http://schemas.openxmlformats.org/officeDocument/2006/relationships/chart" Target="../charts/chart88.xml"/><Relationship Id="rId1" Type="http://schemas.openxmlformats.org/officeDocument/2006/relationships/chart" Target="../charts/chart87.xml"/><Relationship Id="rId6" Type="http://schemas.openxmlformats.org/officeDocument/2006/relationships/chart" Target="../charts/chart92.xml"/><Relationship Id="rId5" Type="http://schemas.openxmlformats.org/officeDocument/2006/relationships/chart" Target="../charts/chart91.xml"/><Relationship Id="rId10" Type="http://schemas.openxmlformats.org/officeDocument/2006/relationships/chart" Target="../charts/chart96.xml"/><Relationship Id="rId4" Type="http://schemas.openxmlformats.org/officeDocument/2006/relationships/chart" Target="../charts/chart90.xml"/><Relationship Id="rId9" Type="http://schemas.openxmlformats.org/officeDocument/2006/relationships/chart" Target="../charts/chart9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4.xml"/><Relationship Id="rId3" Type="http://schemas.openxmlformats.org/officeDocument/2006/relationships/chart" Target="../charts/chart99.xml"/><Relationship Id="rId7" Type="http://schemas.openxmlformats.org/officeDocument/2006/relationships/chart" Target="../charts/chart103.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5" Type="http://schemas.openxmlformats.org/officeDocument/2006/relationships/chart" Target="../charts/chart101.xml"/><Relationship Id="rId4" Type="http://schemas.openxmlformats.org/officeDocument/2006/relationships/chart" Target="../charts/chart10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07.xml"/><Relationship Id="rId7" Type="http://schemas.openxmlformats.org/officeDocument/2006/relationships/chart" Target="../charts/chart111.xml"/><Relationship Id="rId2" Type="http://schemas.openxmlformats.org/officeDocument/2006/relationships/chart" Target="../charts/chart106.xml"/><Relationship Id="rId1" Type="http://schemas.openxmlformats.org/officeDocument/2006/relationships/chart" Target="../charts/chart105.xml"/><Relationship Id="rId6" Type="http://schemas.openxmlformats.org/officeDocument/2006/relationships/chart" Target="../charts/chart110.xml"/><Relationship Id="rId5" Type="http://schemas.openxmlformats.org/officeDocument/2006/relationships/chart" Target="../charts/chart109.xml"/><Relationship Id="rId4" Type="http://schemas.openxmlformats.org/officeDocument/2006/relationships/chart" Target="../charts/chart10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13.xml"/><Relationship Id="rId1" Type="http://schemas.openxmlformats.org/officeDocument/2006/relationships/chart" Target="../charts/chart112.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chart" Target="../charts/chart115.xml"/><Relationship Id="rId1" Type="http://schemas.openxmlformats.org/officeDocument/2006/relationships/chart" Target="../charts/chart11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18.xml"/><Relationship Id="rId2" Type="http://schemas.openxmlformats.org/officeDocument/2006/relationships/chart" Target="../charts/chart117.xml"/><Relationship Id="rId1" Type="http://schemas.openxmlformats.org/officeDocument/2006/relationships/chart" Target="../charts/chart116.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26.xml"/><Relationship Id="rId13" Type="http://schemas.openxmlformats.org/officeDocument/2006/relationships/chart" Target="../charts/chart131.xml"/><Relationship Id="rId18" Type="http://schemas.openxmlformats.org/officeDocument/2006/relationships/chart" Target="../charts/chart136.xml"/><Relationship Id="rId3" Type="http://schemas.openxmlformats.org/officeDocument/2006/relationships/chart" Target="../charts/chart121.xml"/><Relationship Id="rId21" Type="http://schemas.openxmlformats.org/officeDocument/2006/relationships/chart" Target="../charts/chart139.xml"/><Relationship Id="rId7" Type="http://schemas.openxmlformats.org/officeDocument/2006/relationships/chart" Target="../charts/chart125.xml"/><Relationship Id="rId12" Type="http://schemas.openxmlformats.org/officeDocument/2006/relationships/chart" Target="../charts/chart130.xml"/><Relationship Id="rId17" Type="http://schemas.openxmlformats.org/officeDocument/2006/relationships/chart" Target="../charts/chart135.xml"/><Relationship Id="rId25" Type="http://schemas.openxmlformats.org/officeDocument/2006/relationships/chart" Target="../charts/chart143.xml"/><Relationship Id="rId2" Type="http://schemas.openxmlformats.org/officeDocument/2006/relationships/chart" Target="../charts/chart120.xml"/><Relationship Id="rId16" Type="http://schemas.openxmlformats.org/officeDocument/2006/relationships/chart" Target="../charts/chart134.xml"/><Relationship Id="rId20" Type="http://schemas.openxmlformats.org/officeDocument/2006/relationships/chart" Target="../charts/chart138.xml"/><Relationship Id="rId1" Type="http://schemas.openxmlformats.org/officeDocument/2006/relationships/chart" Target="../charts/chart119.xml"/><Relationship Id="rId6" Type="http://schemas.openxmlformats.org/officeDocument/2006/relationships/chart" Target="../charts/chart124.xml"/><Relationship Id="rId11" Type="http://schemas.openxmlformats.org/officeDocument/2006/relationships/chart" Target="../charts/chart129.xml"/><Relationship Id="rId24" Type="http://schemas.openxmlformats.org/officeDocument/2006/relationships/chart" Target="../charts/chart142.xml"/><Relationship Id="rId5" Type="http://schemas.openxmlformats.org/officeDocument/2006/relationships/chart" Target="../charts/chart123.xml"/><Relationship Id="rId15" Type="http://schemas.openxmlformats.org/officeDocument/2006/relationships/chart" Target="../charts/chart133.xml"/><Relationship Id="rId23" Type="http://schemas.openxmlformats.org/officeDocument/2006/relationships/chart" Target="../charts/chart141.xml"/><Relationship Id="rId10" Type="http://schemas.openxmlformats.org/officeDocument/2006/relationships/chart" Target="../charts/chart128.xml"/><Relationship Id="rId19" Type="http://schemas.openxmlformats.org/officeDocument/2006/relationships/chart" Target="../charts/chart137.xml"/><Relationship Id="rId4" Type="http://schemas.openxmlformats.org/officeDocument/2006/relationships/chart" Target="../charts/chart122.xml"/><Relationship Id="rId9" Type="http://schemas.openxmlformats.org/officeDocument/2006/relationships/chart" Target="../charts/chart127.xml"/><Relationship Id="rId14" Type="http://schemas.openxmlformats.org/officeDocument/2006/relationships/chart" Target="../charts/chart132.xml"/><Relationship Id="rId22" Type="http://schemas.openxmlformats.org/officeDocument/2006/relationships/chart" Target="../charts/chart14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45.xml"/><Relationship Id="rId1" Type="http://schemas.openxmlformats.org/officeDocument/2006/relationships/chart" Target="../charts/chart144.xml"/></Relationships>
</file>

<file path=xl/drawings/drawing1.xml><?xml version="1.0" encoding="utf-8"?>
<xdr:wsDr xmlns:xdr="http://schemas.openxmlformats.org/drawingml/2006/spreadsheetDrawing" xmlns:a="http://schemas.openxmlformats.org/drawingml/2006/main">
  <xdr:twoCellAnchor>
    <xdr:from>
      <xdr:col>185</xdr:col>
      <xdr:colOff>38100</xdr:colOff>
      <xdr:row>17</xdr:row>
      <xdr:rowOff>57150</xdr:rowOff>
    </xdr:from>
    <xdr:to>
      <xdr:col>192</xdr:col>
      <xdr:colOff>342900</xdr:colOff>
      <xdr:row>34</xdr:row>
      <xdr:rowOff>47625</xdr:rowOff>
    </xdr:to>
    <xdr:graphicFrame macro="">
      <xdr:nvGraphicFramePr>
        <xdr:cNvPr id="1355" name="Chart 1">
          <a:extLst>
            <a:ext uri="{FF2B5EF4-FFF2-40B4-BE49-F238E27FC236}">
              <a16:creationId xmlns:a16="http://schemas.microsoft.com/office/drawing/2014/main" id="{00000000-0008-0000-0000-00004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194</xdr:col>
      <xdr:colOff>561975</xdr:colOff>
      <xdr:row>17</xdr:row>
      <xdr:rowOff>85725</xdr:rowOff>
    </xdr:from>
    <xdr:to>
      <xdr:col>202</xdr:col>
      <xdr:colOff>257175</xdr:colOff>
      <xdr:row>34</xdr:row>
      <xdr:rowOff>76200</xdr:rowOff>
    </xdr:to>
    <xdr:graphicFrame macro="">
      <xdr:nvGraphicFramePr>
        <xdr:cNvPr id="1356" name="Chart 2">
          <a:extLst>
            <a:ext uri="{FF2B5EF4-FFF2-40B4-BE49-F238E27FC236}">
              <a16:creationId xmlns:a16="http://schemas.microsoft.com/office/drawing/2014/main" id="{00000000-0008-0000-0000-00004C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216</xdr:col>
      <xdr:colOff>600075</xdr:colOff>
      <xdr:row>20</xdr:row>
      <xdr:rowOff>0</xdr:rowOff>
    </xdr:from>
    <xdr:to>
      <xdr:col>224</xdr:col>
      <xdr:colOff>295275</xdr:colOff>
      <xdr:row>36</xdr:row>
      <xdr:rowOff>152400</xdr:rowOff>
    </xdr:to>
    <xdr:graphicFrame macro="">
      <xdr:nvGraphicFramePr>
        <xdr:cNvPr id="1357" name="Chart 3">
          <a:extLst>
            <a:ext uri="{FF2B5EF4-FFF2-40B4-BE49-F238E27FC236}">
              <a16:creationId xmlns:a16="http://schemas.microsoft.com/office/drawing/2014/main" id="{00000000-0008-0000-0000-00004D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226</xdr:col>
      <xdr:colOff>47625</xdr:colOff>
      <xdr:row>20</xdr:row>
      <xdr:rowOff>9525</xdr:rowOff>
    </xdr:from>
    <xdr:to>
      <xdr:col>233</xdr:col>
      <xdr:colOff>352425</xdr:colOff>
      <xdr:row>37</xdr:row>
      <xdr:rowOff>0</xdr:rowOff>
    </xdr:to>
    <xdr:graphicFrame macro="">
      <xdr:nvGraphicFramePr>
        <xdr:cNvPr id="1358" name="Chart 4">
          <a:extLst>
            <a:ext uri="{FF2B5EF4-FFF2-40B4-BE49-F238E27FC236}">
              <a16:creationId xmlns:a16="http://schemas.microsoft.com/office/drawing/2014/main" id="{00000000-0008-0000-0000-00004E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256</xdr:col>
      <xdr:colOff>590550</xdr:colOff>
      <xdr:row>17</xdr:row>
      <xdr:rowOff>57150</xdr:rowOff>
    </xdr:from>
    <xdr:to>
      <xdr:col>264</xdr:col>
      <xdr:colOff>285750</xdr:colOff>
      <xdr:row>34</xdr:row>
      <xdr:rowOff>47625</xdr:rowOff>
    </xdr:to>
    <xdr:graphicFrame macro="">
      <xdr:nvGraphicFramePr>
        <xdr:cNvPr id="1359" name="Chart 7">
          <a:extLst>
            <a:ext uri="{FF2B5EF4-FFF2-40B4-BE49-F238E27FC236}">
              <a16:creationId xmlns:a16="http://schemas.microsoft.com/office/drawing/2014/main" id="{00000000-0008-0000-0000-00004F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247</xdr:col>
      <xdr:colOff>476250</xdr:colOff>
      <xdr:row>17</xdr:row>
      <xdr:rowOff>104775</xdr:rowOff>
    </xdr:from>
    <xdr:to>
      <xdr:col>255</xdr:col>
      <xdr:colOff>171450</xdr:colOff>
      <xdr:row>34</xdr:row>
      <xdr:rowOff>95250</xdr:rowOff>
    </xdr:to>
    <xdr:graphicFrame macro="">
      <xdr:nvGraphicFramePr>
        <xdr:cNvPr id="1360" name="Chart 9">
          <a:extLst>
            <a:ext uri="{FF2B5EF4-FFF2-40B4-BE49-F238E27FC236}">
              <a16:creationId xmlns:a16="http://schemas.microsoft.com/office/drawing/2014/main" id="{00000000-0008-0000-0000-000050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185</xdr:col>
      <xdr:colOff>123825</xdr:colOff>
      <xdr:row>49</xdr:row>
      <xdr:rowOff>142875</xdr:rowOff>
    </xdr:from>
    <xdr:to>
      <xdr:col>192</xdr:col>
      <xdr:colOff>428625</xdr:colOff>
      <xdr:row>66</xdr:row>
      <xdr:rowOff>95250</xdr:rowOff>
    </xdr:to>
    <xdr:graphicFrame macro="">
      <xdr:nvGraphicFramePr>
        <xdr:cNvPr id="1361" name="Chart 5">
          <a:extLst>
            <a:ext uri="{FF2B5EF4-FFF2-40B4-BE49-F238E27FC236}">
              <a16:creationId xmlns:a16="http://schemas.microsoft.com/office/drawing/2014/main" id="{00000000-0008-0000-0000-000051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185</xdr:col>
      <xdr:colOff>152400</xdr:colOff>
      <xdr:row>82</xdr:row>
      <xdr:rowOff>38100</xdr:rowOff>
    </xdr:from>
    <xdr:to>
      <xdr:col>192</xdr:col>
      <xdr:colOff>457200</xdr:colOff>
      <xdr:row>98</xdr:row>
      <xdr:rowOff>114300</xdr:rowOff>
    </xdr:to>
    <xdr:graphicFrame macro="">
      <xdr:nvGraphicFramePr>
        <xdr:cNvPr id="1362" name="Chart 13">
          <a:extLst>
            <a:ext uri="{FF2B5EF4-FFF2-40B4-BE49-F238E27FC236}">
              <a16:creationId xmlns:a16="http://schemas.microsoft.com/office/drawing/2014/main" id="{00000000-0008-0000-0000-000052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185</xdr:col>
      <xdr:colOff>209550</xdr:colOff>
      <xdr:row>114</xdr:row>
      <xdr:rowOff>28575</xdr:rowOff>
    </xdr:from>
    <xdr:to>
      <xdr:col>192</xdr:col>
      <xdr:colOff>514350</xdr:colOff>
      <xdr:row>130</xdr:row>
      <xdr:rowOff>104775</xdr:rowOff>
    </xdr:to>
    <xdr:graphicFrame macro="">
      <xdr:nvGraphicFramePr>
        <xdr:cNvPr id="1363" name="Chart 14">
          <a:extLst>
            <a:ext uri="{FF2B5EF4-FFF2-40B4-BE49-F238E27FC236}">
              <a16:creationId xmlns:a16="http://schemas.microsoft.com/office/drawing/2014/main" id="{00000000-0008-0000-0000-000053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185</xdr:col>
      <xdr:colOff>247650</xdr:colOff>
      <xdr:row>148</xdr:row>
      <xdr:rowOff>114300</xdr:rowOff>
    </xdr:from>
    <xdr:to>
      <xdr:col>192</xdr:col>
      <xdr:colOff>552450</xdr:colOff>
      <xdr:row>167</xdr:row>
      <xdr:rowOff>104775</xdr:rowOff>
    </xdr:to>
    <xdr:graphicFrame macro="">
      <xdr:nvGraphicFramePr>
        <xdr:cNvPr id="1364" name="Chart 15">
          <a:extLst>
            <a:ext uri="{FF2B5EF4-FFF2-40B4-BE49-F238E27FC236}">
              <a16:creationId xmlns:a16="http://schemas.microsoft.com/office/drawing/2014/main" id="{00000000-0008-0000-0000-000054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257</xdr:col>
      <xdr:colOff>361950</xdr:colOff>
      <xdr:row>44</xdr:row>
      <xdr:rowOff>123825</xdr:rowOff>
    </xdr:from>
    <xdr:to>
      <xdr:col>265</xdr:col>
      <xdr:colOff>57150</xdr:colOff>
      <xdr:row>61</xdr:row>
      <xdr:rowOff>114300</xdr:rowOff>
    </xdr:to>
    <xdr:graphicFrame macro="">
      <xdr:nvGraphicFramePr>
        <xdr:cNvPr id="1365" name="Chart 16">
          <a:extLst>
            <a:ext uri="{FF2B5EF4-FFF2-40B4-BE49-F238E27FC236}">
              <a16:creationId xmlns:a16="http://schemas.microsoft.com/office/drawing/2014/main" id="{00000000-0008-0000-0000-000055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257</xdr:col>
      <xdr:colOff>219075</xdr:colOff>
      <xdr:row>74</xdr:row>
      <xdr:rowOff>19050</xdr:rowOff>
    </xdr:from>
    <xdr:to>
      <xdr:col>264</xdr:col>
      <xdr:colOff>523875</xdr:colOff>
      <xdr:row>91</xdr:row>
      <xdr:rowOff>9525</xdr:rowOff>
    </xdr:to>
    <xdr:graphicFrame macro="">
      <xdr:nvGraphicFramePr>
        <xdr:cNvPr id="1366" name="Chart 19">
          <a:extLst>
            <a:ext uri="{FF2B5EF4-FFF2-40B4-BE49-F238E27FC236}">
              <a16:creationId xmlns:a16="http://schemas.microsoft.com/office/drawing/2014/main" id="{00000000-0008-0000-0000-000056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257</xdr:col>
      <xdr:colOff>342900</xdr:colOff>
      <xdr:row>103</xdr:row>
      <xdr:rowOff>66675</xdr:rowOff>
    </xdr:from>
    <xdr:to>
      <xdr:col>265</xdr:col>
      <xdr:colOff>38100</xdr:colOff>
      <xdr:row>120</xdr:row>
      <xdr:rowOff>57150</xdr:rowOff>
    </xdr:to>
    <xdr:graphicFrame macro="">
      <xdr:nvGraphicFramePr>
        <xdr:cNvPr id="1367" name="Chart 20">
          <a:extLst>
            <a:ext uri="{FF2B5EF4-FFF2-40B4-BE49-F238E27FC236}">
              <a16:creationId xmlns:a16="http://schemas.microsoft.com/office/drawing/2014/main" id="{00000000-0008-0000-0000-000057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268</xdr:col>
      <xdr:colOff>171450</xdr:colOff>
      <xdr:row>16</xdr:row>
      <xdr:rowOff>152400</xdr:rowOff>
    </xdr:from>
    <xdr:to>
      <xdr:col>275</xdr:col>
      <xdr:colOff>457200</xdr:colOff>
      <xdr:row>34</xdr:row>
      <xdr:rowOff>85725</xdr:rowOff>
    </xdr:to>
    <xdr:graphicFrame macro="">
      <xdr:nvGraphicFramePr>
        <xdr:cNvPr id="1368" name="Chart 21">
          <a:extLst>
            <a:ext uri="{FF2B5EF4-FFF2-40B4-BE49-F238E27FC236}">
              <a16:creationId xmlns:a16="http://schemas.microsoft.com/office/drawing/2014/main" id="{00000000-0008-0000-0000-000058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268</xdr:col>
      <xdr:colOff>38100</xdr:colOff>
      <xdr:row>44</xdr:row>
      <xdr:rowOff>104775</xdr:rowOff>
    </xdr:from>
    <xdr:to>
      <xdr:col>275</xdr:col>
      <xdr:colOff>342900</xdr:colOff>
      <xdr:row>61</xdr:row>
      <xdr:rowOff>95250</xdr:rowOff>
    </xdr:to>
    <xdr:graphicFrame macro="">
      <xdr:nvGraphicFramePr>
        <xdr:cNvPr id="1369" name="Chart 22">
          <a:extLst>
            <a:ext uri="{FF2B5EF4-FFF2-40B4-BE49-F238E27FC236}">
              <a16:creationId xmlns:a16="http://schemas.microsoft.com/office/drawing/2014/main" id="{00000000-0008-0000-0000-000059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257</xdr:col>
      <xdr:colOff>447675</xdr:colOff>
      <xdr:row>131</xdr:row>
      <xdr:rowOff>133350</xdr:rowOff>
    </xdr:from>
    <xdr:to>
      <xdr:col>265</xdr:col>
      <xdr:colOff>142875</xdr:colOff>
      <xdr:row>148</xdr:row>
      <xdr:rowOff>123825</xdr:rowOff>
    </xdr:to>
    <xdr:graphicFrame macro="">
      <xdr:nvGraphicFramePr>
        <xdr:cNvPr id="1370" name="Chart 23">
          <a:extLst>
            <a:ext uri="{FF2B5EF4-FFF2-40B4-BE49-F238E27FC236}">
              <a16:creationId xmlns:a16="http://schemas.microsoft.com/office/drawing/2014/main" id="{00000000-0008-0000-0000-00005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268</xdr:col>
      <xdr:colOff>104775</xdr:colOff>
      <xdr:row>73</xdr:row>
      <xdr:rowOff>123825</xdr:rowOff>
    </xdr:from>
    <xdr:to>
      <xdr:col>275</xdr:col>
      <xdr:colOff>409575</xdr:colOff>
      <xdr:row>90</xdr:row>
      <xdr:rowOff>114300</xdr:rowOff>
    </xdr:to>
    <xdr:graphicFrame macro="">
      <xdr:nvGraphicFramePr>
        <xdr:cNvPr id="1371" name="Chart 24">
          <a:extLst>
            <a:ext uri="{FF2B5EF4-FFF2-40B4-BE49-F238E27FC236}">
              <a16:creationId xmlns:a16="http://schemas.microsoft.com/office/drawing/2014/main" id="{00000000-0008-0000-0000-00005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267</xdr:col>
      <xdr:colOff>581025</xdr:colOff>
      <xdr:row>102</xdr:row>
      <xdr:rowOff>133350</xdr:rowOff>
    </xdr:from>
    <xdr:to>
      <xdr:col>275</xdr:col>
      <xdr:colOff>276225</xdr:colOff>
      <xdr:row>119</xdr:row>
      <xdr:rowOff>123825</xdr:rowOff>
    </xdr:to>
    <xdr:graphicFrame macro="">
      <xdr:nvGraphicFramePr>
        <xdr:cNvPr id="1372" name="Chart 25">
          <a:extLst>
            <a:ext uri="{FF2B5EF4-FFF2-40B4-BE49-F238E27FC236}">
              <a16:creationId xmlns:a16="http://schemas.microsoft.com/office/drawing/2014/main" id="{00000000-0008-0000-0000-00005C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237</xdr:col>
      <xdr:colOff>28575</xdr:colOff>
      <xdr:row>19</xdr:row>
      <xdr:rowOff>47625</xdr:rowOff>
    </xdr:from>
    <xdr:to>
      <xdr:col>244</xdr:col>
      <xdr:colOff>333375</xdr:colOff>
      <xdr:row>36</xdr:row>
      <xdr:rowOff>38100</xdr:rowOff>
    </xdr:to>
    <xdr:graphicFrame macro="">
      <xdr:nvGraphicFramePr>
        <xdr:cNvPr id="1373" name="Chart 26">
          <a:extLst>
            <a:ext uri="{FF2B5EF4-FFF2-40B4-BE49-F238E27FC236}">
              <a16:creationId xmlns:a16="http://schemas.microsoft.com/office/drawing/2014/main" id="{00000000-0008-0000-0000-00005D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205</xdr:col>
      <xdr:colOff>228600</xdr:colOff>
      <xdr:row>17</xdr:row>
      <xdr:rowOff>114300</xdr:rowOff>
    </xdr:from>
    <xdr:to>
      <xdr:col>212</xdr:col>
      <xdr:colOff>533400</xdr:colOff>
      <xdr:row>34</xdr:row>
      <xdr:rowOff>104775</xdr:rowOff>
    </xdr:to>
    <xdr:graphicFrame macro="">
      <xdr:nvGraphicFramePr>
        <xdr:cNvPr id="1374" name="Chart 27">
          <a:extLst>
            <a:ext uri="{FF2B5EF4-FFF2-40B4-BE49-F238E27FC236}">
              <a16:creationId xmlns:a16="http://schemas.microsoft.com/office/drawing/2014/main" id="{00000000-0008-0000-0000-00005E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74</xdr:col>
      <xdr:colOff>485775</xdr:colOff>
      <xdr:row>173</xdr:row>
      <xdr:rowOff>123825</xdr:rowOff>
    </xdr:from>
    <xdr:to>
      <xdr:col>82</xdr:col>
      <xdr:colOff>180975</xdr:colOff>
      <xdr:row>190</xdr:row>
      <xdr:rowOff>114300</xdr:rowOff>
    </xdr:to>
    <xdr:graphicFrame macro="">
      <xdr:nvGraphicFramePr>
        <xdr:cNvPr id="1375" name="Chart 8">
          <a:extLst>
            <a:ext uri="{FF2B5EF4-FFF2-40B4-BE49-F238E27FC236}">
              <a16:creationId xmlns:a16="http://schemas.microsoft.com/office/drawing/2014/main" id="{00000000-0008-0000-0000-00005F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81</xdr:col>
      <xdr:colOff>200025</xdr:colOff>
      <xdr:row>222</xdr:row>
      <xdr:rowOff>28575</xdr:rowOff>
    </xdr:from>
    <xdr:to>
      <xdr:col>88</xdr:col>
      <xdr:colOff>533400</xdr:colOff>
      <xdr:row>239</xdr:row>
      <xdr:rowOff>152400</xdr:rowOff>
    </xdr:to>
    <xdr:graphicFrame macro="">
      <xdr:nvGraphicFramePr>
        <xdr:cNvPr id="1376" name="Chart 10">
          <a:extLst>
            <a:ext uri="{FF2B5EF4-FFF2-40B4-BE49-F238E27FC236}">
              <a16:creationId xmlns:a16="http://schemas.microsoft.com/office/drawing/2014/main" id="{00000000-0008-0000-0000-000060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88</xdr:col>
      <xdr:colOff>257175</xdr:colOff>
      <xdr:row>241</xdr:row>
      <xdr:rowOff>19050</xdr:rowOff>
    </xdr:from>
    <xdr:to>
      <xdr:col>95</xdr:col>
      <xdr:colOff>123825</xdr:colOff>
      <xdr:row>258</xdr:row>
      <xdr:rowOff>9525</xdr:rowOff>
    </xdr:to>
    <xdr:graphicFrame macro="">
      <xdr:nvGraphicFramePr>
        <xdr:cNvPr id="1377" name="Chart 17">
          <a:extLst>
            <a:ext uri="{FF2B5EF4-FFF2-40B4-BE49-F238E27FC236}">
              <a16:creationId xmlns:a16="http://schemas.microsoft.com/office/drawing/2014/main" id="{00000000-0008-0000-0000-000061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94</xdr:col>
      <xdr:colOff>438150</xdr:colOff>
      <xdr:row>223</xdr:row>
      <xdr:rowOff>66675</xdr:rowOff>
    </xdr:from>
    <xdr:to>
      <xdr:col>101</xdr:col>
      <xdr:colOff>381000</xdr:colOff>
      <xdr:row>240</xdr:row>
      <xdr:rowOff>57150</xdr:rowOff>
    </xdr:to>
    <xdr:graphicFrame macro="">
      <xdr:nvGraphicFramePr>
        <xdr:cNvPr id="1378" name="Chart 18">
          <a:extLst>
            <a:ext uri="{FF2B5EF4-FFF2-40B4-BE49-F238E27FC236}">
              <a16:creationId xmlns:a16="http://schemas.microsoft.com/office/drawing/2014/main" id="{00000000-0008-0000-0000-000062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100</xdr:col>
      <xdr:colOff>266700</xdr:colOff>
      <xdr:row>241</xdr:row>
      <xdr:rowOff>47625</xdr:rowOff>
    </xdr:from>
    <xdr:to>
      <xdr:col>107</xdr:col>
      <xdr:colOff>171450</xdr:colOff>
      <xdr:row>258</xdr:row>
      <xdr:rowOff>38100</xdr:rowOff>
    </xdr:to>
    <xdr:graphicFrame macro="">
      <xdr:nvGraphicFramePr>
        <xdr:cNvPr id="1379" name="Chart 1">
          <a:extLst>
            <a:ext uri="{FF2B5EF4-FFF2-40B4-BE49-F238E27FC236}">
              <a16:creationId xmlns:a16="http://schemas.microsoft.com/office/drawing/2014/main" id="{00000000-0008-0000-0000-000063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74</xdr:col>
      <xdr:colOff>304800</xdr:colOff>
      <xdr:row>288</xdr:row>
      <xdr:rowOff>133350</xdr:rowOff>
    </xdr:from>
    <xdr:to>
      <xdr:col>82</xdr:col>
      <xdr:colOff>0</xdr:colOff>
      <xdr:row>305</xdr:row>
      <xdr:rowOff>123825</xdr:rowOff>
    </xdr:to>
    <xdr:graphicFrame macro="">
      <xdr:nvGraphicFramePr>
        <xdr:cNvPr id="1380" name="Chart 2">
          <a:extLst>
            <a:ext uri="{FF2B5EF4-FFF2-40B4-BE49-F238E27FC236}">
              <a16:creationId xmlns:a16="http://schemas.microsoft.com/office/drawing/2014/main" id="{00000000-0008-0000-0000-000064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80</xdr:col>
      <xdr:colOff>409575</xdr:colOff>
      <xdr:row>339</xdr:row>
      <xdr:rowOff>28575</xdr:rowOff>
    </xdr:from>
    <xdr:to>
      <xdr:col>88</xdr:col>
      <xdr:colOff>495300</xdr:colOff>
      <xdr:row>356</xdr:row>
      <xdr:rowOff>19050</xdr:rowOff>
    </xdr:to>
    <xdr:graphicFrame macro="">
      <xdr:nvGraphicFramePr>
        <xdr:cNvPr id="1381" name="Chart 3">
          <a:extLst>
            <a:ext uri="{FF2B5EF4-FFF2-40B4-BE49-F238E27FC236}">
              <a16:creationId xmlns:a16="http://schemas.microsoft.com/office/drawing/2014/main" id="{00000000-0008-0000-0000-000065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88</xdr:col>
      <xdr:colOff>619125</xdr:colOff>
      <xdr:row>357</xdr:row>
      <xdr:rowOff>28575</xdr:rowOff>
    </xdr:from>
    <xdr:to>
      <xdr:col>95</xdr:col>
      <xdr:colOff>485775</xdr:colOff>
      <xdr:row>374</xdr:row>
      <xdr:rowOff>19050</xdr:rowOff>
    </xdr:to>
    <xdr:graphicFrame macro="">
      <xdr:nvGraphicFramePr>
        <xdr:cNvPr id="1382" name="Chart 4">
          <a:extLst>
            <a:ext uri="{FF2B5EF4-FFF2-40B4-BE49-F238E27FC236}">
              <a16:creationId xmlns:a16="http://schemas.microsoft.com/office/drawing/2014/main" id="{00000000-0008-0000-0000-000066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100</xdr:col>
      <xdr:colOff>85725</xdr:colOff>
      <xdr:row>357</xdr:row>
      <xdr:rowOff>0</xdr:rowOff>
    </xdr:from>
    <xdr:to>
      <xdr:col>106</xdr:col>
      <xdr:colOff>600075</xdr:colOff>
      <xdr:row>373</xdr:row>
      <xdr:rowOff>152400</xdr:rowOff>
    </xdr:to>
    <xdr:graphicFrame macro="">
      <xdr:nvGraphicFramePr>
        <xdr:cNvPr id="1384" name="Chart 9">
          <a:extLst>
            <a:ext uri="{FF2B5EF4-FFF2-40B4-BE49-F238E27FC236}">
              <a16:creationId xmlns:a16="http://schemas.microsoft.com/office/drawing/2014/main" id="{00000000-0008-0000-0000-000068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74</xdr:col>
      <xdr:colOff>371475</xdr:colOff>
      <xdr:row>410</xdr:row>
      <xdr:rowOff>14287</xdr:rowOff>
    </xdr:from>
    <xdr:to>
      <xdr:col>82</xdr:col>
      <xdr:colOff>66675</xdr:colOff>
      <xdr:row>427</xdr:row>
      <xdr:rowOff>4762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81</xdr:col>
      <xdr:colOff>419100</xdr:colOff>
      <xdr:row>461</xdr:row>
      <xdr:rowOff>4762</xdr:rowOff>
    </xdr:from>
    <xdr:to>
      <xdr:col>89</xdr:col>
      <xdr:colOff>466725</xdr:colOff>
      <xdr:row>477</xdr:row>
      <xdr:rowOff>157162</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88</xdr:col>
      <xdr:colOff>552450</xdr:colOff>
      <xdr:row>479</xdr:row>
      <xdr:rowOff>33337</xdr:rowOff>
    </xdr:from>
    <xdr:to>
      <xdr:col>95</xdr:col>
      <xdr:colOff>419100</xdr:colOff>
      <xdr:row>496</xdr:row>
      <xdr:rowOff>23812</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94</xdr:col>
      <xdr:colOff>466725</xdr:colOff>
      <xdr:row>460</xdr:row>
      <xdr:rowOff>61912</xdr:rowOff>
    </xdr:from>
    <xdr:to>
      <xdr:col>101</xdr:col>
      <xdr:colOff>409575</xdr:colOff>
      <xdr:row>477</xdr:row>
      <xdr:rowOff>52387</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100</xdr:col>
      <xdr:colOff>523875</xdr:colOff>
      <xdr:row>480</xdr:row>
      <xdr:rowOff>61912</xdr:rowOff>
    </xdr:from>
    <xdr:to>
      <xdr:col>107</xdr:col>
      <xdr:colOff>428625</xdr:colOff>
      <xdr:row>497</xdr:row>
      <xdr:rowOff>52387</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119</xdr:col>
      <xdr:colOff>257175</xdr:colOff>
      <xdr:row>537</xdr:row>
      <xdr:rowOff>61912</xdr:rowOff>
    </xdr:from>
    <xdr:to>
      <xdr:col>126</xdr:col>
      <xdr:colOff>161925</xdr:colOff>
      <xdr:row>554</xdr:row>
      <xdr:rowOff>52387</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128</xdr:col>
      <xdr:colOff>28575</xdr:colOff>
      <xdr:row>545</xdr:row>
      <xdr:rowOff>100012</xdr:rowOff>
    </xdr:from>
    <xdr:to>
      <xdr:col>134</xdr:col>
      <xdr:colOff>552450</xdr:colOff>
      <xdr:row>562</xdr:row>
      <xdr:rowOff>90487</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135</xdr:col>
      <xdr:colOff>380999</xdr:colOff>
      <xdr:row>545</xdr:row>
      <xdr:rowOff>80961</xdr:rowOff>
    </xdr:from>
    <xdr:to>
      <xdr:col>142</xdr:col>
      <xdr:colOff>581025</xdr:colOff>
      <xdr:row>563</xdr:row>
      <xdr:rowOff>152399</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104</xdr:col>
      <xdr:colOff>361950</xdr:colOff>
      <xdr:row>605</xdr:row>
      <xdr:rowOff>4762</xdr:rowOff>
    </xdr:from>
    <xdr:to>
      <xdr:col>111</xdr:col>
      <xdr:colOff>342900</xdr:colOff>
      <xdr:row>622</xdr:row>
      <xdr:rowOff>157162</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112</xdr:col>
      <xdr:colOff>390525</xdr:colOff>
      <xdr:row>602</xdr:row>
      <xdr:rowOff>4762</xdr:rowOff>
    </xdr:from>
    <xdr:to>
      <xdr:col>119</xdr:col>
      <xdr:colOff>409575</xdr:colOff>
      <xdr:row>619</xdr:row>
      <xdr:rowOff>157162</xdr:rowOff>
    </xdr:to>
    <xdr:graphicFrame macro="">
      <xdr:nvGraphicFramePr>
        <xdr:cNvPr id="12" name="Chart 1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98</xdr:col>
      <xdr:colOff>504825</xdr:colOff>
      <xdr:row>671</xdr:row>
      <xdr:rowOff>42862</xdr:rowOff>
    </xdr:from>
    <xdr:to>
      <xdr:col>105</xdr:col>
      <xdr:colOff>476250</xdr:colOff>
      <xdr:row>688</xdr:row>
      <xdr:rowOff>33337</xdr:rowOff>
    </xdr:to>
    <xdr:graphicFrame macro="">
      <xdr:nvGraphicFramePr>
        <xdr:cNvPr id="14" name="Chart 13">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112</xdr:col>
      <xdr:colOff>447675</xdr:colOff>
      <xdr:row>666</xdr:row>
      <xdr:rowOff>80962</xdr:rowOff>
    </xdr:from>
    <xdr:to>
      <xdr:col>119</xdr:col>
      <xdr:colOff>666750</xdr:colOff>
      <xdr:row>683</xdr:row>
      <xdr:rowOff>71437</xdr:rowOff>
    </xdr:to>
    <xdr:graphicFrame macro="">
      <xdr:nvGraphicFramePr>
        <xdr:cNvPr id="15" name="Chart 14">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94</xdr:col>
      <xdr:colOff>371475</xdr:colOff>
      <xdr:row>339</xdr:row>
      <xdr:rowOff>90487</xdr:rowOff>
    </xdr:from>
    <xdr:to>
      <xdr:col>101</xdr:col>
      <xdr:colOff>314325</xdr:colOff>
      <xdr:row>356</xdr:row>
      <xdr:rowOff>80962</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109</xdr:col>
      <xdr:colOff>133351</xdr:colOff>
      <xdr:row>341</xdr:row>
      <xdr:rowOff>57150</xdr:rowOff>
    </xdr:from>
    <xdr:to>
      <xdr:col>115</xdr:col>
      <xdr:colOff>190501</xdr:colOff>
      <xdr:row>357</xdr:row>
      <xdr:rowOff>152400</xdr:rowOff>
    </xdr:to>
    <xdr:graphicFrame macro="">
      <xdr:nvGraphicFramePr>
        <xdr:cNvPr id="46" name="Chart 3">
          <a:extLst>
            <a:ext uri="{FF2B5EF4-FFF2-40B4-BE49-F238E27FC236}">
              <a16:creationId xmlns:a16="http://schemas.microsoft.com/office/drawing/2014/main" id="{00000000-0008-0000-00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115</xdr:col>
      <xdr:colOff>409575</xdr:colOff>
      <xdr:row>341</xdr:row>
      <xdr:rowOff>57150</xdr:rowOff>
    </xdr:from>
    <xdr:to>
      <xdr:col>121</xdr:col>
      <xdr:colOff>38100</xdr:colOff>
      <xdr:row>357</xdr:row>
      <xdr:rowOff>152400</xdr:rowOff>
    </xdr:to>
    <xdr:graphicFrame macro="">
      <xdr:nvGraphicFramePr>
        <xdr:cNvPr id="47" name="Chart 3">
          <a:extLst>
            <a:ext uri="{FF2B5EF4-FFF2-40B4-BE49-F238E27FC236}">
              <a16:creationId xmlns:a16="http://schemas.microsoft.com/office/drawing/2014/main" id="{00000000-0008-0000-00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109</xdr:col>
      <xdr:colOff>123825</xdr:colOff>
      <xdr:row>359</xdr:row>
      <xdr:rowOff>19050</xdr:rowOff>
    </xdr:from>
    <xdr:to>
      <xdr:col>115</xdr:col>
      <xdr:colOff>180975</xdr:colOff>
      <xdr:row>375</xdr:row>
      <xdr:rowOff>114300</xdr:rowOff>
    </xdr:to>
    <xdr:graphicFrame macro="">
      <xdr:nvGraphicFramePr>
        <xdr:cNvPr id="48" name="Chart 3">
          <a:extLst>
            <a:ext uri="{FF2B5EF4-FFF2-40B4-BE49-F238E27FC236}">
              <a16:creationId xmlns:a16="http://schemas.microsoft.com/office/drawing/2014/main" id="{00000000-0008-0000-00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115</xdr:col>
      <xdr:colOff>419100</xdr:colOff>
      <xdr:row>359</xdr:row>
      <xdr:rowOff>0</xdr:rowOff>
    </xdr:from>
    <xdr:to>
      <xdr:col>121</xdr:col>
      <xdr:colOff>47625</xdr:colOff>
      <xdr:row>375</xdr:row>
      <xdr:rowOff>95250</xdr:rowOff>
    </xdr:to>
    <xdr:graphicFrame macro="">
      <xdr:nvGraphicFramePr>
        <xdr:cNvPr id="49" name="Chart 3">
          <a:extLst>
            <a:ext uri="{FF2B5EF4-FFF2-40B4-BE49-F238E27FC236}">
              <a16:creationId xmlns:a16="http://schemas.microsoft.com/office/drawing/2014/main" id="{00000000-0008-0000-00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109</xdr:col>
      <xdr:colOff>38100</xdr:colOff>
      <xdr:row>421</xdr:row>
      <xdr:rowOff>28575</xdr:rowOff>
    </xdr:from>
    <xdr:to>
      <xdr:col>115</xdr:col>
      <xdr:colOff>123825</xdr:colOff>
      <xdr:row>437</xdr:row>
      <xdr:rowOff>104775</xdr:rowOff>
    </xdr:to>
    <xdr:graphicFrame macro="">
      <xdr:nvGraphicFramePr>
        <xdr:cNvPr id="50" name="Chart 3">
          <a:extLst>
            <a:ext uri="{FF2B5EF4-FFF2-40B4-BE49-F238E27FC236}">
              <a16:creationId xmlns:a16="http://schemas.microsoft.com/office/drawing/2014/main" id="{00000000-0008-0000-0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115</xdr:col>
      <xdr:colOff>285750</xdr:colOff>
      <xdr:row>421</xdr:row>
      <xdr:rowOff>28575</xdr:rowOff>
    </xdr:from>
    <xdr:to>
      <xdr:col>120</xdr:col>
      <xdr:colOff>695325</xdr:colOff>
      <xdr:row>437</xdr:row>
      <xdr:rowOff>95250</xdr:rowOff>
    </xdr:to>
    <xdr:graphicFrame macro="">
      <xdr:nvGraphicFramePr>
        <xdr:cNvPr id="51" name="Chart 3">
          <a:extLst>
            <a:ext uri="{FF2B5EF4-FFF2-40B4-BE49-F238E27FC236}">
              <a16:creationId xmlns:a16="http://schemas.microsoft.com/office/drawing/2014/main" id="{00000000-0008-0000-00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109</xdr:col>
      <xdr:colOff>66675</xdr:colOff>
      <xdr:row>438</xdr:row>
      <xdr:rowOff>95250</xdr:rowOff>
    </xdr:from>
    <xdr:to>
      <xdr:col>115</xdr:col>
      <xdr:colOff>123825</xdr:colOff>
      <xdr:row>464</xdr:row>
      <xdr:rowOff>28575</xdr:rowOff>
    </xdr:to>
    <xdr:graphicFrame macro="">
      <xdr:nvGraphicFramePr>
        <xdr:cNvPr id="52" name="Chart 3">
          <a:extLst>
            <a:ext uri="{FF2B5EF4-FFF2-40B4-BE49-F238E27FC236}">
              <a16:creationId xmlns:a16="http://schemas.microsoft.com/office/drawing/2014/main" id="{00000000-0008-0000-00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115</xdr:col>
      <xdr:colOff>285750</xdr:colOff>
      <xdr:row>438</xdr:row>
      <xdr:rowOff>104775</xdr:rowOff>
    </xdr:from>
    <xdr:to>
      <xdr:col>120</xdr:col>
      <xdr:colOff>771525</xdr:colOff>
      <xdr:row>464</xdr:row>
      <xdr:rowOff>38100</xdr:rowOff>
    </xdr:to>
    <xdr:graphicFrame macro="">
      <xdr:nvGraphicFramePr>
        <xdr:cNvPr id="53" name="Chart 3">
          <a:extLst>
            <a:ext uri="{FF2B5EF4-FFF2-40B4-BE49-F238E27FC236}">
              <a16:creationId xmlns:a16="http://schemas.microsoft.com/office/drawing/2014/main" id="{00000000-0008-0000-0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95</xdr:col>
      <xdr:colOff>23812</xdr:colOff>
      <xdr:row>588</xdr:row>
      <xdr:rowOff>80962</xdr:rowOff>
    </xdr:from>
    <xdr:to>
      <xdr:col>101</xdr:col>
      <xdr:colOff>576262</xdr:colOff>
      <xdr:row>605</xdr:row>
      <xdr:rowOff>71437</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90</xdr:col>
      <xdr:colOff>138112</xdr:colOff>
      <xdr:row>652</xdr:row>
      <xdr:rowOff>71437</xdr:rowOff>
    </xdr:from>
    <xdr:to>
      <xdr:col>96</xdr:col>
      <xdr:colOff>490537</xdr:colOff>
      <xdr:row>669</xdr:row>
      <xdr:rowOff>61912</xdr:rowOff>
    </xdr:to>
    <xdr:graphicFrame macro="">
      <xdr:nvGraphicFramePr>
        <xdr:cNvPr id="19" name="Chart 18">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74</xdr:col>
      <xdr:colOff>476250</xdr:colOff>
      <xdr:row>193</xdr:row>
      <xdr:rowOff>95250</xdr:rowOff>
    </xdr:from>
    <xdr:to>
      <xdr:col>82</xdr:col>
      <xdr:colOff>171450</xdr:colOff>
      <xdr:row>210</xdr:row>
      <xdr:rowOff>85725</xdr:rowOff>
    </xdr:to>
    <xdr:graphicFrame macro="">
      <xdr:nvGraphicFramePr>
        <xdr:cNvPr id="54" name="Chart 8">
          <a:extLst>
            <a:ext uri="{FF2B5EF4-FFF2-40B4-BE49-F238E27FC236}">
              <a16:creationId xmlns:a16="http://schemas.microsoft.com/office/drawing/2014/main" id="{00000000-0008-0000-00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409575</xdr:colOff>
      <xdr:row>5</xdr:row>
      <xdr:rowOff>23812</xdr:rowOff>
    </xdr:from>
    <xdr:to>
      <xdr:col>15</xdr:col>
      <xdr:colOff>104775</xdr:colOff>
      <xdr:row>22</xdr:row>
      <xdr:rowOff>14287</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50</xdr:row>
      <xdr:rowOff>157162</xdr:rowOff>
    </xdr:from>
    <xdr:to>
      <xdr:col>15</xdr:col>
      <xdr:colOff>409575</xdr:colOff>
      <xdr:row>67</xdr:row>
      <xdr:rowOff>147637</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152400</xdr:colOff>
      <xdr:row>80</xdr:row>
      <xdr:rowOff>128587</xdr:rowOff>
    </xdr:from>
    <xdr:to>
      <xdr:col>15</xdr:col>
      <xdr:colOff>409575</xdr:colOff>
      <xdr:row>98</xdr:row>
      <xdr:rowOff>9525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295274</xdr:colOff>
      <xdr:row>156</xdr:row>
      <xdr:rowOff>152399</xdr:rowOff>
    </xdr:from>
    <xdr:to>
      <xdr:col>15</xdr:col>
      <xdr:colOff>380999</xdr:colOff>
      <xdr:row>173</xdr:row>
      <xdr:rowOff>138111</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190499</xdr:colOff>
      <xdr:row>4</xdr:row>
      <xdr:rowOff>71437</xdr:rowOff>
    </xdr:from>
    <xdr:to>
      <xdr:col>17</xdr:col>
      <xdr:colOff>28574</xdr:colOff>
      <xdr:row>24</xdr:row>
      <xdr:rowOff>66675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19049</xdr:colOff>
      <xdr:row>42</xdr:row>
      <xdr:rowOff>23811</xdr:rowOff>
    </xdr:from>
    <xdr:to>
      <xdr:col>16</xdr:col>
      <xdr:colOff>561974</xdr:colOff>
      <xdr:row>60</xdr:row>
      <xdr:rowOff>142874</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533399</xdr:colOff>
      <xdr:row>85</xdr:row>
      <xdr:rowOff>28575</xdr:rowOff>
    </xdr:from>
    <xdr:to>
      <xdr:col>17</xdr:col>
      <xdr:colOff>104774</xdr:colOff>
      <xdr:row>102</xdr:row>
      <xdr:rowOff>33337</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82</xdr:col>
      <xdr:colOff>38100</xdr:colOff>
      <xdr:row>15</xdr:row>
      <xdr:rowOff>19050</xdr:rowOff>
    </xdr:from>
    <xdr:to>
      <xdr:col>89</xdr:col>
      <xdr:colOff>342900</xdr:colOff>
      <xdr:row>32</xdr:row>
      <xdr:rowOff>9525</xdr:rowOff>
    </xdr:to>
    <xdr:graphicFrame macro="">
      <xdr:nvGraphicFramePr>
        <xdr:cNvPr id="2169" name="Chart 1">
          <a:extLst>
            <a:ext uri="{FF2B5EF4-FFF2-40B4-BE49-F238E27FC236}">
              <a16:creationId xmlns:a16="http://schemas.microsoft.com/office/drawing/2014/main" id="{00000000-0008-0000-0700-000079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0</xdr:colOff>
      <xdr:row>15</xdr:row>
      <xdr:rowOff>0</xdr:rowOff>
    </xdr:from>
    <xdr:to>
      <xdr:col>99</xdr:col>
      <xdr:colOff>304800</xdr:colOff>
      <xdr:row>31</xdr:row>
      <xdr:rowOff>152400</xdr:rowOff>
    </xdr:to>
    <xdr:graphicFrame macro="">
      <xdr:nvGraphicFramePr>
        <xdr:cNvPr id="2170" name="Chart 2">
          <a:extLst>
            <a:ext uri="{FF2B5EF4-FFF2-40B4-BE49-F238E27FC236}">
              <a16:creationId xmlns:a16="http://schemas.microsoft.com/office/drawing/2014/main" id="{00000000-0008-0000-0700-00007A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102</xdr:col>
      <xdr:colOff>542925</xdr:colOff>
      <xdr:row>15</xdr:row>
      <xdr:rowOff>38100</xdr:rowOff>
    </xdr:from>
    <xdr:to>
      <xdr:col>110</xdr:col>
      <xdr:colOff>238125</xdr:colOff>
      <xdr:row>32</xdr:row>
      <xdr:rowOff>28575</xdr:rowOff>
    </xdr:to>
    <xdr:graphicFrame macro="">
      <xdr:nvGraphicFramePr>
        <xdr:cNvPr id="2171" name="Chart 3">
          <a:extLst>
            <a:ext uri="{FF2B5EF4-FFF2-40B4-BE49-F238E27FC236}">
              <a16:creationId xmlns:a16="http://schemas.microsoft.com/office/drawing/2014/main" id="{00000000-0008-0000-0700-00007B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111</xdr:col>
      <xdr:colOff>533400</xdr:colOff>
      <xdr:row>15</xdr:row>
      <xdr:rowOff>57150</xdr:rowOff>
    </xdr:from>
    <xdr:to>
      <xdr:col>119</xdr:col>
      <xdr:colOff>228600</xdr:colOff>
      <xdr:row>32</xdr:row>
      <xdr:rowOff>47625</xdr:rowOff>
    </xdr:to>
    <xdr:graphicFrame macro="">
      <xdr:nvGraphicFramePr>
        <xdr:cNvPr id="2172" name="Chart 4">
          <a:extLst>
            <a:ext uri="{FF2B5EF4-FFF2-40B4-BE49-F238E27FC236}">
              <a16:creationId xmlns:a16="http://schemas.microsoft.com/office/drawing/2014/main" id="{00000000-0008-0000-0700-00007C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132</xdr:col>
      <xdr:colOff>600075</xdr:colOff>
      <xdr:row>14</xdr:row>
      <xdr:rowOff>142875</xdr:rowOff>
    </xdr:from>
    <xdr:to>
      <xdr:col>140</xdr:col>
      <xdr:colOff>295275</xdr:colOff>
      <xdr:row>31</xdr:row>
      <xdr:rowOff>133350</xdr:rowOff>
    </xdr:to>
    <xdr:graphicFrame macro="">
      <xdr:nvGraphicFramePr>
        <xdr:cNvPr id="2173" name="Chart 5">
          <a:extLst>
            <a:ext uri="{FF2B5EF4-FFF2-40B4-BE49-F238E27FC236}">
              <a16:creationId xmlns:a16="http://schemas.microsoft.com/office/drawing/2014/main" id="{00000000-0008-0000-0700-00007D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123</xdr:col>
      <xdr:colOff>209550</xdr:colOff>
      <xdr:row>15</xdr:row>
      <xdr:rowOff>152400</xdr:rowOff>
    </xdr:from>
    <xdr:to>
      <xdr:col>130</xdr:col>
      <xdr:colOff>514350</xdr:colOff>
      <xdr:row>32</xdr:row>
      <xdr:rowOff>142875</xdr:rowOff>
    </xdr:to>
    <xdr:graphicFrame macro="">
      <xdr:nvGraphicFramePr>
        <xdr:cNvPr id="2174" name="Chart 6">
          <a:extLst>
            <a:ext uri="{FF2B5EF4-FFF2-40B4-BE49-F238E27FC236}">
              <a16:creationId xmlns:a16="http://schemas.microsoft.com/office/drawing/2014/main" id="{00000000-0008-0000-0700-00007E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82</xdr:col>
      <xdr:colOff>152400</xdr:colOff>
      <xdr:row>44</xdr:row>
      <xdr:rowOff>66675</xdr:rowOff>
    </xdr:from>
    <xdr:to>
      <xdr:col>89</xdr:col>
      <xdr:colOff>457200</xdr:colOff>
      <xdr:row>61</xdr:row>
      <xdr:rowOff>57150</xdr:rowOff>
    </xdr:to>
    <xdr:graphicFrame macro="">
      <xdr:nvGraphicFramePr>
        <xdr:cNvPr id="2175" name="Chart 7">
          <a:extLst>
            <a:ext uri="{FF2B5EF4-FFF2-40B4-BE49-F238E27FC236}">
              <a16:creationId xmlns:a16="http://schemas.microsoft.com/office/drawing/2014/main" id="{00000000-0008-0000-0700-00007F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81</xdr:col>
      <xdr:colOff>600075</xdr:colOff>
      <xdr:row>71</xdr:row>
      <xdr:rowOff>152400</xdr:rowOff>
    </xdr:from>
    <xdr:to>
      <xdr:col>89</xdr:col>
      <xdr:colOff>295275</xdr:colOff>
      <xdr:row>88</xdr:row>
      <xdr:rowOff>142875</xdr:rowOff>
    </xdr:to>
    <xdr:graphicFrame macro="">
      <xdr:nvGraphicFramePr>
        <xdr:cNvPr id="2176" name="Chart 8">
          <a:extLst>
            <a:ext uri="{FF2B5EF4-FFF2-40B4-BE49-F238E27FC236}">
              <a16:creationId xmlns:a16="http://schemas.microsoft.com/office/drawing/2014/main" id="{00000000-0008-0000-0700-000080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82</xdr:col>
      <xdr:colOff>9525</xdr:colOff>
      <xdr:row>101</xdr:row>
      <xdr:rowOff>57150</xdr:rowOff>
    </xdr:from>
    <xdr:to>
      <xdr:col>89</xdr:col>
      <xdr:colOff>314325</xdr:colOff>
      <xdr:row>118</xdr:row>
      <xdr:rowOff>47625</xdr:rowOff>
    </xdr:to>
    <xdr:graphicFrame macro="">
      <xdr:nvGraphicFramePr>
        <xdr:cNvPr id="2177" name="Chart 9">
          <a:extLst>
            <a:ext uri="{FF2B5EF4-FFF2-40B4-BE49-F238E27FC236}">
              <a16:creationId xmlns:a16="http://schemas.microsoft.com/office/drawing/2014/main" id="{00000000-0008-0000-0700-000081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82</xdr:col>
      <xdr:colOff>38100</xdr:colOff>
      <xdr:row>130</xdr:row>
      <xdr:rowOff>152400</xdr:rowOff>
    </xdr:from>
    <xdr:to>
      <xdr:col>89</xdr:col>
      <xdr:colOff>342900</xdr:colOff>
      <xdr:row>147</xdr:row>
      <xdr:rowOff>142875</xdr:rowOff>
    </xdr:to>
    <xdr:graphicFrame macro="">
      <xdr:nvGraphicFramePr>
        <xdr:cNvPr id="2178" name="Chart 10">
          <a:extLst>
            <a:ext uri="{FF2B5EF4-FFF2-40B4-BE49-F238E27FC236}">
              <a16:creationId xmlns:a16="http://schemas.microsoft.com/office/drawing/2014/main" id="{00000000-0008-0000-0700-000082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409575</xdr:colOff>
      <xdr:row>10</xdr:row>
      <xdr:rowOff>9525</xdr:rowOff>
    </xdr:from>
    <xdr:to>
      <xdr:col>19</xdr:col>
      <xdr:colOff>104775</xdr:colOff>
      <xdr:row>27</xdr:row>
      <xdr:rowOff>0</xdr:rowOff>
    </xdr:to>
    <xdr:graphicFrame macro="">
      <xdr:nvGraphicFramePr>
        <xdr:cNvPr id="3121" name="Chart 2">
          <a:extLst>
            <a:ext uri="{FF2B5EF4-FFF2-40B4-BE49-F238E27FC236}">
              <a16:creationId xmlns:a16="http://schemas.microsoft.com/office/drawing/2014/main" id="{00000000-0008-0000-0800-000031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95250</xdr:colOff>
      <xdr:row>11</xdr:row>
      <xdr:rowOff>57150</xdr:rowOff>
    </xdr:from>
    <xdr:to>
      <xdr:col>32</xdr:col>
      <xdr:colOff>400050</xdr:colOff>
      <xdr:row>28</xdr:row>
      <xdr:rowOff>47625</xdr:rowOff>
    </xdr:to>
    <xdr:graphicFrame macro="">
      <xdr:nvGraphicFramePr>
        <xdr:cNvPr id="3122" name="Chart 1">
          <a:extLst>
            <a:ext uri="{FF2B5EF4-FFF2-40B4-BE49-F238E27FC236}">
              <a16:creationId xmlns:a16="http://schemas.microsoft.com/office/drawing/2014/main" id="{00000000-0008-0000-0800-000032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314325</xdr:colOff>
      <xdr:row>13</xdr:row>
      <xdr:rowOff>152400</xdr:rowOff>
    </xdr:from>
    <xdr:to>
      <xdr:col>46</xdr:col>
      <xdr:colOff>9525</xdr:colOff>
      <xdr:row>30</xdr:row>
      <xdr:rowOff>142875</xdr:rowOff>
    </xdr:to>
    <xdr:graphicFrame macro="">
      <xdr:nvGraphicFramePr>
        <xdr:cNvPr id="3123" name="Chart 3">
          <a:extLst>
            <a:ext uri="{FF2B5EF4-FFF2-40B4-BE49-F238E27FC236}">
              <a16:creationId xmlns:a16="http://schemas.microsoft.com/office/drawing/2014/main" id="{00000000-0008-0000-0800-000033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228600</xdr:colOff>
      <xdr:row>11</xdr:row>
      <xdr:rowOff>57150</xdr:rowOff>
    </xdr:from>
    <xdr:to>
      <xdr:col>60</xdr:col>
      <xdr:colOff>533400</xdr:colOff>
      <xdr:row>28</xdr:row>
      <xdr:rowOff>47625</xdr:rowOff>
    </xdr:to>
    <xdr:graphicFrame macro="">
      <xdr:nvGraphicFramePr>
        <xdr:cNvPr id="3124" name="Chart 5">
          <a:extLst>
            <a:ext uri="{FF2B5EF4-FFF2-40B4-BE49-F238E27FC236}">
              <a16:creationId xmlns:a16="http://schemas.microsoft.com/office/drawing/2014/main" id="{00000000-0008-0000-0800-000034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438151</xdr:colOff>
      <xdr:row>216</xdr:row>
      <xdr:rowOff>95249</xdr:rowOff>
    </xdr:from>
    <xdr:to>
      <xdr:col>24</xdr:col>
      <xdr:colOff>66675</xdr:colOff>
      <xdr:row>235</xdr:row>
      <xdr:rowOff>57149</xdr:rowOff>
    </xdr:to>
    <xdr:graphicFrame macro="">
      <xdr:nvGraphicFramePr>
        <xdr:cNvPr id="5158" name="Chart 1">
          <a:extLst>
            <a:ext uri="{FF2B5EF4-FFF2-40B4-BE49-F238E27FC236}">
              <a16:creationId xmlns:a16="http://schemas.microsoft.com/office/drawing/2014/main" id="{00000000-0008-0000-0900-000026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212</xdr:row>
      <xdr:rowOff>47625</xdr:rowOff>
    </xdr:from>
    <xdr:to>
      <xdr:col>12</xdr:col>
      <xdr:colOff>581025</xdr:colOff>
      <xdr:row>229</xdr:row>
      <xdr:rowOff>9525</xdr:rowOff>
    </xdr:to>
    <xdr:graphicFrame macro="">
      <xdr:nvGraphicFramePr>
        <xdr:cNvPr id="5159" name="Chart 2">
          <a:extLst>
            <a:ext uri="{FF2B5EF4-FFF2-40B4-BE49-F238E27FC236}">
              <a16:creationId xmlns:a16="http://schemas.microsoft.com/office/drawing/2014/main" id="{00000000-0008-0000-0900-000027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523875</xdr:colOff>
      <xdr:row>196</xdr:row>
      <xdr:rowOff>142875</xdr:rowOff>
    </xdr:from>
    <xdr:to>
      <xdr:col>24</xdr:col>
      <xdr:colOff>600075</xdr:colOff>
      <xdr:row>213</xdr:row>
      <xdr:rowOff>133350</xdr:rowOff>
    </xdr:to>
    <xdr:graphicFrame macro="">
      <xdr:nvGraphicFramePr>
        <xdr:cNvPr id="5160" name="Chart 3">
          <a:extLst>
            <a:ext uri="{FF2B5EF4-FFF2-40B4-BE49-F238E27FC236}">
              <a16:creationId xmlns:a16="http://schemas.microsoft.com/office/drawing/2014/main" id="{00000000-0008-0000-0900-000028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17</xdr:col>
      <xdr:colOff>323850</xdr:colOff>
      <xdr:row>217</xdr:row>
      <xdr:rowOff>57150</xdr:rowOff>
    </xdr:from>
    <xdr:to>
      <xdr:col>25</xdr:col>
      <xdr:colOff>19050</xdr:colOff>
      <xdr:row>234</xdr:row>
      <xdr:rowOff>47625</xdr:rowOff>
    </xdr:to>
    <xdr:graphicFrame macro="">
      <xdr:nvGraphicFramePr>
        <xdr:cNvPr id="15398" name="Chart 1">
          <a:extLst>
            <a:ext uri="{FF2B5EF4-FFF2-40B4-BE49-F238E27FC236}">
              <a16:creationId xmlns:a16="http://schemas.microsoft.com/office/drawing/2014/main" id="{00000000-0008-0000-0A00-0000263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213</xdr:row>
      <xdr:rowOff>47625</xdr:rowOff>
    </xdr:from>
    <xdr:to>
      <xdr:col>13</xdr:col>
      <xdr:colOff>314325</xdr:colOff>
      <xdr:row>231</xdr:row>
      <xdr:rowOff>9525</xdr:rowOff>
    </xdr:to>
    <xdr:graphicFrame macro="">
      <xdr:nvGraphicFramePr>
        <xdr:cNvPr id="15399" name="Chart 2">
          <a:extLst>
            <a:ext uri="{FF2B5EF4-FFF2-40B4-BE49-F238E27FC236}">
              <a16:creationId xmlns:a16="http://schemas.microsoft.com/office/drawing/2014/main" id="{00000000-0008-0000-0A00-0000273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523875</xdr:colOff>
      <xdr:row>197</xdr:row>
      <xdr:rowOff>142875</xdr:rowOff>
    </xdr:from>
    <xdr:to>
      <xdr:col>24</xdr:col>
      <xdr:colOff>600075</xdr:colOff>
      <xdr:row>214</xdr:row>
      <xdr:rowOff>133350</xdr:rowOff>
    </xdr:to>
    <xdr:graphicFrame macro="">
      <xdr:nvGraphicFramePr>
        <xdr:cNvPr id="15400" name="Chart 3">
          <a:extLst>
            <a:ext uri="{FF2B5EF4-FFF2-40B4-BE49-F238E27FC236}">
              <a16:creationId xmlns:a16="http://schemas.microsoft.com/office/drawing/2014/main" id="{00000000-0008-0000-0A00-0000283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323850</xdr:colOff>
      <xdr:row>216</xdr:row>
      <xdr:rowOff>57150</xdr:rowOff>
    </xdr:from>
    <xdr:to>
      <xdr:col>25</xdr:col>
      <xdr:colOff>19050</xdr:colOff>
      <xdr:row>233</xdr:row>
      <xdr:rowOff>47625</xdr:rowOff>
    </xdr:to>
    <xdr:graphicFrame macro="">
      <xdr:nvGraphicFramePr>
        <xdr:cNvPr id="27686" name="Chart 1">
          <a:extLst>
            <a:ext uri="{FF2B5EF4-FFF2-40B4-BE49-F238E27FC236}">
              <a16:creationId xmlns:a16="http://schemas.microsoft.com/office/drawing/2014/main" id="{00000000-0008-0000-0B00-000026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212</xdr:row>
      <xdr:rowOff>47624</xdr:rowOff>
    </xdr:from>
    <xdr:to>
      <xdr:col>13</xdr:col>
      <xdr:colOff>400050</xdr:colOff>
      <xdr:row>231</xdr:row>
      <xdr:rowOff>123824</xdr:rowOff>
    </xdr:to>
    <xdr:graphicFrame macro="">
      <xdr:nvGraphicFramePr>
        <xdr:cNvPr id="27687" name="Chart 2">
          <a:extLst>
            <a:ext uri="{FF2B5EF4-FFF2-40B4-BE49-F238E27FC236}">
              <a16:creationId xmlns:a16="http://schemas.microsoft.com/office/drawing/2014/main" id="{00000000-0008-0000-0B00-000027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523875</xdr:colOff>
      <xdr:row>196</xdr:row>
      <xdr:rowOff>142875</xdr:rowOff>
    </xdr:from>
    <xdr:to>
      <xdr:col>24</xdr:col>
      <xdr:colOff>600075</xdr:colOff>
      <xdr:row>213</xdr:row>
      <xdr:rowOff>133350</xdr:rowOff>
    </xdr:to>
    <xdr:graphicFrame macro="">
      <xdr:nvGraphicFramePr>
        <xdr:cNvPr id="27688" name="Chart 3">
          <a:extLst>
            <a:ext uri="{FF2B5EF4-FFF2-40B4-BE49-F238E27FC236}">
              <a16:creationId xmlns:a16="http://schemas.microsoft.com/office/drawing/2014/main" id="{00000000-0008-0000-0B00-000028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19</xdr:col>
      <xdr:colOff>123825</xdr:colOff>
      <xdr:row>8</xdr:row>
      <xdr:rowOff>104775</xdr:rowOff>
    </xdr:from>
    <xdr:to>
      <xdr:col>26</xdr:col>
      <xdr:colOff>428625</xdr:colOff>
      <xdr:row>25</xdr:row>
      <xdr:rowOff>95250</xdr:rowOff>
    </xdr:to>
    <xdr:graphicFrame macro="">
      <xdr:nvGraphicFramePr>
        <xdr:cNvPr id="28697" name="Chart 1">
          <a:extLst>
            <a:ext uri="{FF2B5EF4-FFF2-40B4-BE49-F238E27FC236}">
              <a16:creationId xmlns:a16="http://schemas.microsoft.com/office/drawing/2014/main" id="{00000000-0008-0000-0C00-000019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504825</xdr:colOff>
      <xdr:row>46</xdr:row>
      <xdr:rowOff>114300</xdr:rowOff>
    </xdr:from>
    <xdr:to>
      <xdr:col>21</xdr:col>
      <xdr:colOff>200025</xdr:colOff>
      <xdr:row>63</xdr:row>
      <xdr:rowOff>104775</xdr:rowOff>
    </xdr:to>
    <xdr:graphicFrame macro="">
      <xdr:nvGraphicFramePr>
        <xdr:cNvPr id="28698" name="Chart 2">
          <a:extLst>
            <a:ext uri="{FF2B5EF4-FFF2-40B4-BE49-F238E27FC236}">
              <a16:creationId xmlns:a16="http://schemas.microsoft.com/office/drawing/2014/main" id="{00000000-0008-0000-0C00-00001A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581025</xdr:colOff>
      <xdr:row>21</xdr:row>
      <xdr:rowOff>14287</xdr:rowOff>
    </xdr:from>
    <xdr:to>
      <xdr:col>47</xdr:col>
      <xdr:colOff>276225</xdr:colOff>
      <xdr:row>38</xdr:row>
      <xdr:rowOff>4762</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26</xdr:col>
      <xdr:colOff>209550</xdr:colOff>
      <xdr:row>12</xdr:row>
      <xdr:rowOff>95250</xdr:rowOff>
    </xdr:from>
    <xdr:to>
      <xdr:col>33</xdr:col>
      <xdr:colOff>514350</xdr:colOff>
      <xdr:row>29</xdr:row>
      <xdr:rowOff>85725</xdr:rowOff>
    </xdr:to>
    <xdr:graphicFrame macro="">
      <xdr:nvGraphicFramePr>
        <xdr:cNvPr id="29757" name="Chart 1">
          <a:extLst>
            <a:ext uri="{FF2B5EF4-FFF2-40B4-BE49-F238E27FC236}">
              <a16:creationId xmlns:a16="http://schemas.microsoft.com/office/drawing/2014/main" id="{00000000-0008-0000-0D00-00003D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504825</xdr:colOff>
      <xdr:row>51</xdr:row>
      <xdr:rowOff>114300</xdr:rowOff>
    </xdr:from>
    <xdr:to>
      <xdr:col>28</xdr:col>
      <xdr:colOff>200025</xdr:colOff>
      <xdr:row>68</xdr:row>
      <xdr:rowOff>104775</xdr:rowOff>
    </xdr:to>
    <xdr:graphicFrame macro="">
      <xdr:nvGraphicFramePr>
        <xdr:cNvPr id="29758" name="Chart 2">
          <a:extLst>
            <a:ext uri="{FF2B5EF4-FFF2-40B4-BE49-F238E27FC236}">
              <a16:creationId xmlns:a16="http://schemas.microsoft.com/office/drawing/2014/main" id="{00000000-0008-0000-0D00-00003E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209551</xdr:colOff>
      <xdr:row>54</xdr:row>
      <xdr:rowOff>57150</xdr:rowOff>
    </xdr:from>
    <xdr:to>
      <xdr:col>49</xdr:col>
      <xdr:colOff>190501</xdr:colOff>
      <xdr:row>73</xdr:row>
      <xdr:rowOff>85725</xdr:rowOff>
    </xdr:to>
    <xdr:graphicFrame macro="">
      <xdr:nvGraphicFramePr>
        <xdr:cNvPr id="29759" name="Chart 3">
          <a:extLst>
            <a:ext uri="{FF2B5EF4-FFF2-40B4-BE49-F238E27FC236}">
              <a16:creationId xmlns:a16="http://schemas.microsoft.com/office/drawing/2014/main" id="{00000000-0008-0000-0D00-00003F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76</xdr:col>
      <xdr:colOff>438150</xdr:colOff>
      <xdr:row>12</xdr:row>
      <xdr:rowOff>38100</xdr:rowOff>
    </xdr:from>
    <xdr:to>
      <xdr:col>83</xdr:col>
      <xdr:colOff>752475</xdr:colOff>
      <xdr:row>29</xdr:row>
      <xdr:rowOff>28575</xdr:rowOff>
    </xdr:to>
    <xdr:graphicFrame macro="">
      <xdr:nvGraphicFramePr>
        <xdr:cNvPr id="29760" name="Chart 4">
          <a:extLst>
            <a:ext uri="{FF2B5EF4-FFF2-40B4-BE49-F238E27FC236}">
              <a16:creationId xmlns:a16="http://schemas.microsoft.com/office/drawing/2014/main" id="{00000000-0008-0000-0D00-000040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161925</xdr:colOff>
      <xdr:row>78</xdr:row>
      <xdr:rowOff>0</xdr:rowOff>
    </xdr:from>
    <xdr:to>
      <xdr:col>49</xdr:col>
      <xdr:colOff>295275</xdr:colOff>
      <xdr:row>98</xdr:row>
      <xdr:rowOff>0</xdr:rowOff>
    </xdr:to>
    <xdr:graphicFrame macro="">
      <xdr:nvGraphicFramePr>
        <xdr:cNvPr id="29761" name="Chart 5">
          <a:extLst>
            <a:ext uri="{FF2B5EF4-FFF2-40B4-BE49-F238E27FC236}">
              <a16:creationId xmlns:a16="http://schemas.microsoft.com/office/drawing/2014/main" id="{00000000-0008-0000-0D00-000041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352425</xdr:colOff>
      <xdr:row>58</xdr:row>
      <xdr:rowOff>71437</xdr:rowOff>
    </xdr:from>
    <xdr:to>
      <xdr:col>8</xdr:col>
      <xdr:colOff>476250</xdr:colOff>
      <xdr:row>75</xdr:row>
      <xdr:rowOff>61912</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92</xdr:col>
      <xdr:colOff>476250</xdr:colOff>
      <xdr:row>51</xdr:row>
      <xdr:rowOff>80962</xdr:rowOff>
    </xdr:from>
    <xdr:to>
      <xdr:col>100</xdr:col>
      <xdr:colOff>171450</xdr:colOff>
      <xdr:row>68</xdr:row>
      <xdr:rowOff>71437</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108</xdr:col>
      <xdr:colOff>581025</xdr:colOff>
      <xdr:row>14</xdr:row>
      <xdr:rowOff>33337</xdr:rowOff>
    </xdr:from>
    <xdr:to>
      <xdr:col>116</xdr:col>
      <xdr:colOff>276225</xdr:colOff>
      <xdr:row>31</xdr:row>
      <xdr:rowOff>23812</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93</xdr:col>
      <xdr:colOff>371475</xdr:colOff>
      <xdr:row>11</xdr:row>
      <xdr:rowOff>57150</xdr:rowOff>
    </xdr:from>
    <xdr:to>
      <xdr:col>100</xdr:col>
      <xdr:colOff>323850</xdr:colOff>
      <xdr:row>29</xdr:row>
      <xdr:rowOff>119062</xdr:rowOff>
    </xdr:to>
    <xdr:graphicFrame macro="">
      <xdr:nvGraphicFramePr>
        <xdr:cNvPr id="6" name="Chart 5">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41</xdr:col>
      <xdr:colOff>142875</xdr:colOff>
      <xdr:row>102</xdr:row>
      <xdr:rowOff>142875</xdr:rowOff>
    </xdr:from>
    <xdr:to>
      <xdr:col>48</xdr:col>
      <xdr:colOff>447675</xdr:colOff>
      <xdr:row>119</xdr:row>
      <xdr:rowOff>133350</xdr:rowOff>
    </xdr:to>
    <xdr:graphicFrame macro="">
      <xdr:nvGraphicFramePr>
        <xdr:cNvPr id="3" name="Chart 2">
          <a:extLst>
            <a:ext uri="{FF2B5EF4-FFF2-40B4-BE49-F238E27FC236}">
              <a16:creationId xmlns:a16="http://schemas.microsoft.com/office/drawing/2014/main" id="{854A115B-D1D3-4A0C-8DB8-86099A910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26</xdr:col>
      <xdr:colOff>123825</xdr:colOff>
      <xdr:row>10</xdr:row>
      <xdr:rowOff>104775</xdr:rowOff>
    </xdr:from>
    <xdr:to>
      <xdr:col>33</xdr:col>
      <xdr:colOff>428625</xdr:colOff>
      <xdr:row>27</xdr:row>
      <xdr:rowOff>95250</xdr:rowOff>
    </xdr:to>
    <xdr:graphicFrame macro="">
      <xdr:nvGraphicFramePr>
        <xdr:cNvPr id="30781" name="Chart 1">
          <a:extLst>
            <a:ext uri="{FF2B5EF4-FFF2-40B4-BE49-F238E27FC236}">
              <a16:creationId xmlns:a16="http://schemas.microsoft.com/office/drawing/2014/main" id="{00000000-0008-0000-0E00-00003D7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485775</xdr:colOff>
      <xdr:row>55</xdr:row>
      <xdr:rowOff>57150</xdr:rowOff>
    </xdr:from>
    <xdr:to>
      <xdr:col>28</xdr:col>
      <xdr:colOff>180975</xdr:colOff>
      <xdr:row>72</xdr:row>
      <xdr:rowOff>47625</xdr:rowOff>
    </xdr:to>
    <xdr:graphicFrame macro="">
      <xdr:nvGraphicFramePr>
        <xdr:cNvPr id="30782" name="Chart 2">
          <a:extLst>
            <a:ext uri="{FF2B5EF4-FFF2-40B4-BE49-F238E27FC236}">
              <a16:creationId xmlns:a16="http://schemas.microsoft.com/office/drawing/2014/main" id="{00000000-0008-0000-0E00-00003E7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123825</xdr:colOff>
      <xdr:row>71</xdr:row>
      <xdr:rowOff>0</xdr:rowOff>
    </xdr:from>
    <xdr:to>
      <xdr:col>48</xdr:col>
      <xdr:colOff>466725</xdr:colOff>
      <xdr:row>89</xdr:row>
      <xdr:rowOff>47625</xdr:rowOff>
    </xdr:to>
    <xdr:graphicFrame macro="">
      <xdr:nvGraphicFramePr>
        <xdr:cNvPr id="30783" name="Chart 5">
          <a:extLst>
            <a:ext uri="{FF2B5EF4-FFF2-40B4-BE49-F238E27FC236}">
              <a16:creationId xmlns:a16="http://schemas.microsoft.com/office/drawing/2014/main" id="{00000000-0008-0000-0E00-00003F7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104775</xdr:colOff>
      <xdr:row>53</xdr:row>
      <xdr:rowOff>133350</xdr:rowOff>
    </xdr:from>
    <xdr:to>
      <xdr:col>48</xdr:col>
      <xdr:colOff>409575</xdr:colOff>
      <xdr:row>70</xdr:row>
      <xdr:rowOff>123825</xdr:rowOff>
    </xdr:to>
    <xdr:graphicFrame macro="">
      <xdr:nvGraphicFramePr>
        <xdr:cNvPr id="30784" name="Chart 6">
          <a:extLst>
            <a:ext uri="{FF2B5EF4-FFF2-40B4-BE49-F238E27FC236}">
              <a16:creationId xmlns:a16="http://schemas.microsoft.com/office/drawing/2014/main" id="{00000000-0008-0000-0E00-0000407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78</xdr:col>
      <xdr:colOff>390525</xdr:colOff>
      <xdr:row>13</xdr:row>
      <xdr:rowOff>123825</xdr:rowOff>
    </xdr:from>
    <xdr:to>
      <xdr:col>86</xdr:col>
      <xdr:colOff>85725</xdr:colOff>
      <xdr:row>30</xdr:row>
      <xdr:rowOff>114300</xdr:rowOff>
    </xdr:to>
    <xdr:graphicFrame macro="">
      <xdr:nvGraphicFramePr>
        <xdr:cNvPr id="30785" name="Chart 3">
          <a:extLst>
            <a:ext uri="{FF2B5EF4-FFF2-40B4-BE49-F238E27FC236}">
              <a16:creationId xmlns:a16="http://schemas.microsoft.com/office/drawing/2014/main" id="{00000000-0008-0000-0E00-0000417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81</xdr:col>
      <xdr:colOff>190501</xdr:colOff>
      <xdr:row>52</xdr:row>
      <xdr:rowOff>42862</xdr:rowOff>
    </xdr:from>
    <xdr:to>
      <xdr:col>89</xdr:col>
      <xdr:colOff>114301</xdr:colOff>
      <xdr:row>68</xdr:row>
      <xdr:rowOff>76200</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99</xdr:col>
      <xdr:colOff>266700</xdr:colOff>
      <xdr:row>11</xdr:row>
      <xdr:rowOff>90486</xdr:rowOff>
    </xdr:from>
    <xdr:to>
      <xdr:col>106</xdr:col>
      <xdr:colOff>581025</xdr:colOff>
      <xdr:row>29</xdr:row>
      <xdr:rowOff>104775</xdr:rowOff>
    </xdr:to>
    <xdr:graphicFrame macro="">
      <xdr:nvGraphicFramePr>
        <xdr:cNvPr id="5" name="Chart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99</xdr:col>
      <xdr:colOff>266699</xdr:colOff>
      <xdr:row>30</xdr:row>
      <xdr:rowOff>142875</xdr:rowOff>
    </xdr:from>
    <xdr:to>
      <xdr:col>106</xdr:col>
      <xdr:colOff>542924</xdr:colOff>
      <xdr:row>56</xdr:row>
      <xdr:rowOff>142875</xdr:rowOff>
    </xdr:to>
    <xdr:graphicFrame macro="">
      <xdr:nvGraphicFramePr>
        <xdr:cNvPr id="10" name="Chart 5">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123825</xdr:colOff>
      <xdr:row>10</xdr:row>
      <xdr:rowOff>104775</xdr:rowOff>
    </xdr:from>
    <xdr:to>
      <xdr:col>33</xdr:col>
      <xdr:colOff>428625</xdr:colOff>
      <xdr:row>27</xdr:row>
      <xdr:rowOff>95250</xdr:rowOff>
    </xdr:to>
    <xdr:graphicFrame macro="">
      <xdr:nvGraphicFramePr>
        <xdr:cNvPr id="31805" name="Chart 1">
          <a:extLst>
            <a:ext uri="{FF2B5EF4-FFF2-40B4-BE49-F238E27FC236}">
              <a16:creationId xmlns:a16="http://schemas.microsoft.com/office/drawing/2014/main" id="{00000000-0008-0000-0F00-00003D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504825</xdr:colOff>
      <xdr:row>51</xdr:row>
      <xdr:rowOff>114300</xdr:rowOff>
    </xdr:from>
    <xdr:to>
      <xdr:col>28</xdr:col>
      <xdr:colOff>200025</xdr:colOff>
      <xdr:row>68</xdr:row>
      <xdr:rowOff>104775</xdr:rowOff>
    </xdr:to>
    <xdr:graphicFrame macro="">
      <xdr:nvGraphicFramePr>
        <xdr:cNvPr id="31806" name="Chart 2">
          <a:extLst>
            <a:ext uri="{FF2B5EF4-FFF2-40B4-BE49-F238E27FC236}">
              <a16:creationId xmlns:a16="http://schemas.microsoft.com/office/drawing/2014/main" id="{00000000-0008-0000-0F00-00003E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38100</xdr:colOff>
      <xdr:row>72</xdr:row>
      <xdr:rowOff>95250</xdr:rowOff>
    </xdr:from>
    <xdr:to>
      <xdr:col>48</xdr:col>
      <xdr:colOff>400050</xdr:colOff>
      <xdr:row>90</xdr:row>
      <xdr:rowOff>19050</xdr:rowOff>
    </xdr:to>
    <xdr:graphicFrame macro="">
      <xdr:nvGraphicFramePr>
        <xdr:cNvPr id="31807" name="Chart 3">
          <a:extLst>
            <a:ext uri="{FF2B5EF4-FFF2-40B4-BE49-F238E27FC236}">
              <a16:creationId xmlns:a16="http://schemas.microsoft.com/office/drawing/2014/main" id="{00000000-0008-0000-0F00-00003F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95250</xdr:colOff>
      <xdr:row>52</xdr:row>
      <xdr:rowOff>76200</xdr:rowOff>
    </xdr:from>
    <xdr:to>
      <xdr:col>48</xdr:col>
      <xdr:colOff>400050</xdr:colOff>
      <xdr:row>69</xdr:row>
      <xdr:rowOff>66675</xdr:rowOff>
    </xdr:to>
    <xdr:graphicFrame macro="">
      <xdr:nvGraphicFramePr>
        <xdr:cNvPr id="31808" name="Chart 4">
          <a:extLst>
            <a:ext uri="{FF2B5EF4-FFF2-40B4-BE49-F238E27FC236}">
              <a16:creationId xmlns:a16="http://schemas.microsoft.com/office/drawing/2014/main" id="{00000000-0008-0000-0F00-000040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83</xdr:col>
      <xdr:colOff>76200</xdr:colOff>
      <xdr:row>13</xdr:row>
      <xdr:rowOff>133350</xdr:rowOff>
    </xdr:from>
    <xdr:to>
      <xdr:col>90</xdr:col>
      <xdr:colOff>152400</xdr:colOff>
      <xdr:row>32</xdr:row>
      <xdr:rowOff>28575</xdr:rowOff>
    </xdr:to>
    <xdr:graphicFrame macro="">
      <xdr:nvGraphicFramePr>
        <xdr:cNvPr id="31809" name="Chart 5">
          <a:extLst>
            <a:ext uri="{FF2B5EF4-FFF2-40B4-BE49-F238E27FC236}">
              <a16:creationId xmlns:a16="http://schemas.microsoft.com/office/drawing/2014/main" id="{00000000-0008-0000-0F00-000041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70</xdr:col>
      <xdr:colOff>161924</xdr:colOff>
      <xdr:row>60</xdr:row>
      <xdr:rowOff>109537</xdr:rowOff>
    </xdr:from>
    <xdr:to>
      <xdr:col>77</xdr:col>
      <xdr:colOff>361950</xdr:colOff>
      <xdr:row>79</xdr:row>
      <xdr:rowOff>66675</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93</xdr:col>
      <xdr:colOff>114300</xdr:colOff>
      <xdr:row>60</xdr:row>
      <xdr:rowOff>14287</xdr:rowOff>
    </xdr:from>
    <xdr:to>
      <xdr:col>100</xdr:col>
      <xdr:colOff>419100</xdr:colOff>
      <xdr:row>77</xdr:row>
      <xdr:rowOff>4762</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409574</xdr:colOff>
      <xdr:row>52</xdr:row>
      <xdr:rowOff>71437</xdr:rowOff>
    </xdr:from>
    <xdr:to>
      <xdr:col>9</xdr:col>
      <xdr:colOff>190499</xdr:colOff>
      <xdr:row>71</xdr:row>
      <xdr:rowOff>76200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171450</xdr:colOff>
      <xdr:row>15</xdr:row>
      <xdr:rowOff>42862</xdr:rowOff>
    </xdr:from>
    <xdr:to>
      <xdr:col>24</xdr:col>
      <xdr:colOff>476250</xdr:colOff>
      <xdr:row>31</xdr:row>
      <xdr:rowOff>157162</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609600</xdr:colOff>
      <xdr:row>4</xdr:row>
      <xdr:rowOff>190500</xdr:rowOff>
    </xdr:to>
    <xdr:pic>
      <xdr:nvPicPr>
        <xdr:cNvPr id="2" name="Picture 1">
          <a:extLst>
            <a:ext uri="{FF2B5EF4-FFF2-40B4-BE49-F238E27FC236}">
              <a16:creationId xmlns:a16="http://schemas.microsoft.com/office/drawing/2014/main" id="{8E917BE7-C378-4F0A-A19C-3D8C51521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14097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609600</xdr:colOff>
      <xdr:row>4</xdr:row>
      <xdr:rowOff>190500</xdr:rowOff>
    </xdr:to>
    <xdr:pic>
      <xdr:nvPicPr>
        <xdr:cNvPr id="2" name="Picture 1">
          <a:extLst>
            <a:ext uri="{FF2B5EF4-FFF2-40B4-BE49-F238E27FC236}">
              <a16:creationId xmlns:a16="http://schemas.microsoft.com/office/drawing/2014/main" id="{5AC82824-455D-4482-ACED-5ADB3B246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14097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609600</xdr:colOff>
      <xdr:row>4</xdr:row>
      <xdr:rowOff>190500</xdr:rowOff>
    </xdr:to>
    <xdr:pic>
      <xdr:nvPicPr>
        <xdr:cNvPr id="2" name="Picture 1">
          <a:extLst>
            <a:ext uri="{FF2B5EF4-FFF2-40B4-BE49-F238E27FC236}">
              <a16:creationId xmlns:a16="http://schemas.microsoft.com/office/drawing/2014/main" id="{588FBE39-1A71-4E6C-A088-000E5C961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14097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371475</xdr:colOff>
      <xdr:row>37</xdr:row>
      <xdr:rowOff>4762</xdr:rowOff>
    </xdr:from>
    <xdr:to>
      <xdr:col>13</xdr:col>
      <xdr:colOff>66675</xdr:colOff>
      <xdr:row>53</xdr:row>
      <xdr:rowOff>157162</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414337</xdr:colOff>
      <xdr:row>58</xdr:row>
      <xdr:rowOff>42862</xdr:rowOff>
    </xdr:from>
    <xdr:to>
      <xdr:col>13</xdr:col>
      <xdr:colOff>109537</xdr:colOff>
      <xdr:row>75</xdr:row>
      <xdr:rowOff>33337</xdr:rowOff>
    </xdr:to>
    <xdr:graphicFrame macro="">
      <xdr:nvGraphicFramePr>
        <xdr:cNvPr id="4" name="Chart 3">
          <a:extLst>
            <a:ext uri="{FF2B5EF4-FFF2-40B4-BE49-F238E27FC236}">
              <a16:creationId xmlns:a16="http://schemas.microsoft.com/office/drawing/2014/main" id="{BBCA7005-A7AF-433E-B4D2-2444053B8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304799</xdr:colOff>
      <xdr:row>21</xdr:row>
      <xdr:rowOff>47625</xdr:rowOff>
    </xdr:from>
    <xdr:to>
      <xdr:col>15</xdr:col>
      <xdr:colOff>371474</xdr:colOff>
      <xdr:row>40</xdr:row>
      <xdr:rowOff>123825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352425</xdr:colOff>
      <xdr:row>17</xdr:row>
      <xdr:rowOff>100012</xdr:rowOff>
    </xdr:from>
    <xdr:to>
      <xdr:col>33</xdr:col>
      <xdr:colOff>47625</xdr:colOff>
      <xdr:row>34</xdr:row>
      <xdr:rowOff>90487</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276225</xdr:colOff>
      <xdr:row>17</xdr:row>
      <xdr:rowOff>100012</xdr:rowOff>
    </xdr:from>
    <xdr:to>
      <xdr:col>47</xdr:col>
      <xdr:colOff>581025</xdr:colOff>
      <xdr:row>34</xdr:row>
      <xdr:rowOff>90487</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590550</xdr:colOff>
      <xdr:row>16</xdr:row>
      <xdr:rowOff>147637</xdr:rowOff>
    </xdr:from>
    <xdr:to>
      <xdr:col>15</xdr:col>
      <xdr:colOff>285750</xdr:colOff>
      <xdr:row>33</xdr:row>
      <xdr:rowOff>138112</xdr:rowOff>
    </xdr:to>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42</xdr:row>
      <xdr:rowOff>4762</xdr:rowOff>
    </xdr:from>
    <xdr:to>
      <xdr:col>15</xdr:col>
      <xdr:colOff>323850</xdr:colOff>
      <xdr:row>58</xdr:row>
      <xdr:rowOff>157162</xdr:rowOff>
    </xdr:to>
    <xdr:graphicFrame macro="">
      <xdr:nvGraphicFramePr>
        <xdr:cNvPr id="4" name="Chart 3">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209550</xdr:colOff>
      <xdr:row>73</xdr:row>
      <xdr:rowOff>147637</xdr:rowOff>
    </xdr:from>
    <xdr:to>
      <xdr:col>15</xdr:col>
      <xdr:colOff>514350</xdr:colOff>
      <xdr:row>90</xdr:row>
      <xdr:rowOff>138112</xdr:rowOff>
    </xdr:to>
    <xdr:graphicFrame macro="">
      <xdr:nvGraphicFramePr>
        <xdr:cNvPr id="5" name="Chart 4">
          <a:extLst>
            <a:ext uri="{FF2B5EF4-FFF2-40B4-BE49-F238E27FC236}">
              <a16:creationId xmlns:a16="http://schemas.microsoft.com/office/drawing/2014/main" id="{00000000-0008-0000-1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105</xdr:row>
      <xdr:rowOff>4762</xdr:rowOff>
    </xdr:from>
    <xdr:to>
      <xdr:col>15</xdr:col>
      <xdr:colOff>457200</xdr:colOff>
      <xdr:row>121</xdr:row>
      <xdr:rowOff>157162</xdr:rowOff>
    </xdr:to>
    <xdr:graphicFrame macro="">
      <xdr:nvGraphicFramePr>
        <xdr:cNvPr id="6" name="Chart 5">
          <a:extLst>
            <a:ext uri="{FF2B5EF4-FFF2-40B4-BE49-F238E27FC236}">
              <a16:creationId xmlns:a16="http://schemas.microsoft.com/office/drawing/2014/main" id="{00000000-0008-0000-1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361950</xdr:colOff>
      <xdr:row>133</xdr:row>
      <xdr:rowOff>100012</xdr:rowOff>
    </xdr:from>
    <xdr:to>
      <xdr:col>16</xdr:col>
      <xdr:colOff>57150</xdr:colOff>
      <xdr:row>150</xdr:row>
      <xdr:rowOff>90487</xdr:rowOff>
    </xdr:to>
    <xdr:graphicFrame macro="">
      <xdr:nvGraphicFramePr>
        <xdr:cNvPr id="7" name="Chart 6">
          <a:extLst>
            <a:ext uri="{FF2B5EF4-FFF2-40B4-BE49-F238E27FC236}">
              <a16:creationId xmlns:a16="http://schemas.microsoft.com/office/drawing/2014/main" id="{00000000-0008-0000-1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76200</xdr:colOff>
      <xdr:row>41</xdr:row>
      <xdr:rowOff>157162</xdr:rowOff>
    </xdr:from>
    <xdr:to>
      <xdr:col>29</xdr:col>
      <xdr:colOff>381000</xdr:colOff>
      <xdr:row>58</xdr:row>
      <xdr:rowOff>147637</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485774</xdr:colOff>
      <xdr:row>72</xdr:row>
      <xdr:rowOff>33336</xdr:rowOff>
    </xdr:from>
    <xdr:to>
      <xdr:col>29</xdr:col>
      <xdr:colOff>209549</xdr:colOff>
      <xdr:row>90</xdr:row>
      <xdr:rowOff>76199</xdr:rowOff>
    </xdr:to>
    <xdr:graphicFrame macro="">
      <xdr:nvGraphicFramePr>
        <xdr:cNvPr id="8" name="Chart 7">
          <a:extLst>
            <a:ext uri="{FF2B5EF4-FFF2-40B4-BE49-F238E27FC236}">
              <a16:creationId xmlns:a16="http://schemas.microsoft.com/office/drawing/2014/main" id="{00000000-0008-0000-1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104775</xdr:colOff>
      <xdr:row>101</xdr:row>
      <xdr:rowOff>4762</xdr:rowOff>
    </xdr:from>
    <xdr:to>
      <xdr:col>29</xdr:col>
      <xdr:colOff>409575</xdr:colOff>
      <xdr:row>117</xdr:row>
      <xdr:rowOff>157162</xdr:rowOff>
    </xdr:to>
    <xdr:graphicFrame macro="">
      <xdr:nvGraphicFramePr>
        <xdr:cNvPr id="9" name="Chart 8">
          <a:extLst>
            <a:ext uri="{FF2B5EF4-FFF2-40B4-BE49-F238E27FC236}">
              <a16:creationId xmlns:a16="http://schemas.microsoft.com/office/drawing/2014/main" id="{00000000-0008-0000-1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28575</xdr:colOff>
      <xdr:row>132</xdr:row>
      <xdr:rowOff>90487</xdr:rowOff>
    </xdr:from>
    <xdr:to>
      <xdr:col>29</xdr:col>
      <xdr:colOff>333375</xdr:colOff>
      <xdr:row>149</xdr:row>
      <xdr:rowOff>80962</xdr:rowOff>
    </xdr:to>
    <xdr:graphicFrame macro="">
      <xdr:nvGraphicFramePr>
        <xdr:cNvPr id="10" name="Chart 9">
          <a:extLst>
            <a:ext uri="{FF2B5EF4-FFF2-40B4-BE49-F238E27FC236}">
              <a16:creationId xmlns:a16="http://schemas.microsoft.com/office/drawing/2014/main" id="{00000000-0008-0000-18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0</xdr:colOff>
      <xdr:row>42</xdr:row>
      <xdr:rowOff>0</xdr:rowOff>
    </xdr:from>
    <xdr:to>
      <xdr:col>44</xdr:col>
      <xdr:colOff>304800</xdr:colOff>
      <xdr:row>58</xdr:row>
      <xdr:rowOff>152400</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0</xdr:colOff>
      <xdr:row>72</xdr:row>
      <xdr:rowOff>0</xdr:rowOff>
    </xdr:from>
    <xdr:to>
      <xdr:col>44</xdr:col>
      <xdr:colOff>333375</xdr:colOff>
      <xdr:row>90</xdr:row>
      <xdr:rowOff>42863</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0</xdr:colOff>
      <xdr:row>101</xdr:row>
      <xdr:rowOff>0</xdr:rowOff>
    </xdr:from>
    <xdr:to>
      <xdr:col>43</xdr:col>
      <xdr:colOff>304800</xdr:colOff>
      <xdr:row>117</xdr:row>
      <xdr:rowOff>152400</xdr:rowOff>
    </xdr:to>
    <xdr:graphicFrame macro="">
      <xdr:nvGraphicFramePr>
        <xdr:cNvPr id="19" name="Chart 18">
          <a:extLst>
            <a:ext uri="{FF2B5EF4-FFF2-40B4-BE49-F238E27FC236}">
              <a16:creationId xmlns:a16="http://schemas.microsoft.com/office/drawing/2014/main" id="{00000000-0008-0000-1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36</xdr:col>
      <xdr:colOff>0</xdr:colOff>
      <xdr:row>132</xdr:row>
      <xdr:rowOff>0</xdr:rowOff>
    </xdr:from>
    <xdr:to>
      <xdr:col>43</xdr:col>
      <xdr:colOff>304800</xdr:colOff>
      <xdr:row>148</xdr:row>
      <xdr:rowOff>152400</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50</xdr:col>
      <xdr:colOff>533400</xdr:colOff>
      <xdr:row>41</xdr:row>
      <xdr:rowOff>152400</xdr:rowOff>
    </xdr:from>
    <xdr:to>
      <xdr:col>58</xdr:col>
      <xdr:colOff>228600</xdr:colOff>
      <xdr:row>58</xdr:row>
      <xdr:rowOff>142875</xdr:rowOff>
    </xdr:to>
    <xdr:graphicFrame macro="">
      <xdr:nvGraphicFramePr>
        <xdr:cNvPr id="21" name="Chart 20">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51</xdr:col>
      <xdr:colOff>0</xdr:colOff>
      <xdr:row>72</xdr:row>
      <xdr:rowOff>0</xdr:rowOff>
    </xdr:from>
    <xdr:to>
      <xdr:col>58</xdr:col>
      <xdr:colOff>333375</xdr:colOff>
      <xdr:row>90</xdr:row>
      <xdr:rowOff>42863</xdr:rowOff>
    </xdr:to>
    <xdr:graphicFrame macro="">
      <xdr:nvGraphicFramePr>
        <xdr:cNvPr id="22" name="Chart 21">
          <a:extLst>
            <a:ext uri="{FF2B5EF4-FFF2-40B4-BE49-F238E27FC236}">
              <a16:creationId xmlns:a16="http://schemas.microsoft.com/office/drawing/2014/main" id="{00000000-0008-0000-1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51</xdr:col>
      <xdr:colOff>0</xdr:colOff>
      <xdr:row>101</xdr:row>
      <xdr:rowOff>0</xdr:rowOff>
    </xdr:from>
    <xdr:to>
      <xdr:col>58</xdr:col>
      <xdr:colOff>304800</xdr:colOff>
      <xdr:row>117</xdr:row>
      <xdr:rowOff>152400</xdr:rowOff>
    </xdr:to>
    <xdr:graphicFrame macro="">
      <xdr:nvGraphicFramePr>
        <xdr:cNvPr id="23" name="Chart 22">
          <a:extLst>
            <a:ext uri="{FF2B5EF4-FFF2-40B4-BE49-F238E27FC236}">
              <a16:creationId xmlns:a16="http://schemas.microsoft.com/office/drawing/2014/main" id="{00000000-0008-0000-1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51</xdr:col>
      <xdr:colOff>104775</xdr:colOff>
      <xdr:row>131</xdr:row>
      <xdr:rowOff>133350</xdr:rowOff>
    </xdr:from>
    <xdr:to>
      <xdr:col>58</xdr:col>
      <xdr:colOff>409575</xdr:colOff>
      <xdr:row>148</xdr:row>
      <xdr:rowOff>123825</xdr:rowOff>
    </xdr:to>
    <xdr:graphicFrame macro="">
      <xdr:nvGraphicFramePr>
        <xdr:cNvPr id="24" name="Chart 23">
          <a:extLst>
            <a:ext uri="{FF2B5EF4-FFF2-40B4-BE49-F238E27FC236}">
              <a16:creationId xmlns:a16="http://schemas.microsoft.com/office/drawing/2014/main" id="{00000000-0008-0000-1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39</xdr:col>
      <xdr:colOff>381001</xdr:colOff>
      <xdr:row>162</xdr:row>
      <xdr:rowOff>19050</xdr:rowOff>
    </xdr:from>
    <xdr:to>
      <xdr:col>47</xdr:col>
      <xdr:colOff>95251</xdr:colOff>
      <xdr:row>181</xdr:row>
      <xdr:rowOff>9525</xdr:rowOff>
    </xdr:to>
    <xdr:graphicFrame macro="">
      <xdr:nvGraphicFramePr>
        <xdr:cNvPr id="26" name="Chart 25">
          <a:extLst>
            <a:ext uri="{FF2B5EF4-FFF2-40B4-BE49-F238E27FC236}">
              <a16:creationId xmlns:a16="http://schemas.microsoft.com/office/drawing/2014/main" id="{00000000-0008-0000-18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438150</xdr:colOff>
      <xdr:row>181</xdr:row>
      <xdr:rowOff>142875</xdr:rowOff>
    </xdr:from>
    <xdr:to>
      <xdr:col>39</xdr:col>
      <xdr:colOff>209550</xdr:colOff>
      <xdr:row>200</xdr:row>
      <xdr:rowOff>0</xdr:rowOff>
    </xdr:to>
    <xdr:graphicFrame macro="">
      <xdr:nvGraphicFramePr>
        <xdr:cNvPr id="27" name="Chart 26">
          <a:extLst>
            <a:ext uri="{FF2B5EF4-FFF2-40B4-BE49-F238E27FC236}">
              <a16:creationId xmlns:a16="http://schemas.microsoft.com/office/drawing/2014/main" id="{00000000-0008-0000-18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31</xdr:col>
      <xdr:colOff>438149</xdr:colOff>
      <xdr:row>162</xdr:row>
      <xdr:rowOff>28575</xdr:rowOff>
    </xdr:from>
    <xdr:to>
      <xdr:col>39</xdr:col>
      <xdr:colOff>200024</xdr:colOff>
      <xdr:row>180</xdr:row>
      <xdr:rowOff>161924</xdr:rowOff>
    </xdr:to>
    <xdr:graphicFrame macro="">
      <xdr:nvGraphicFramePr>
        <xdr:cNvPr id="28" name="Chart 27">
          <a:extLst>
            <a:ext uri="{FF2B5EF4-FFF2-40B4-BE49-F238E27FC236}">
              <a16:creationId xmlns:a16="http://schemas.microsoft.com/office/drawing/2014/main" id="{00000000-0008-0000-1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39</xdr:col>
      <xdr:colOff>371475</xdr:colOff>
      <xdr:row>181</xdr:row>
      <xdr:rowOff>152400</xdr:rowOff>
    </xdr:from>
    <xdr:to>
      <xdr:col>47</xdr:col>
      <xdr:colOff>142875</xdr:colOff>
      <xdr:row>200</xdr:row>
      <xdr:rowOff>9525</xdr:rowOff>
    </xdr:to>
    <xdr:graphicFrame macro="">
      <xdr:nvGraphicFramePr>
        <xdr:cNvPr id="29" name="Chart 28">
          <a:extLst>
            <a:ext uri="{FF2B5EF4-FFF2-40B4-BE49-F238E27FC236}">
              <a16:creationId xmlns:a16="http://schemas.microsoft.com/office/drawing/2014/main" id="{00000000-0008-0000-18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52</xdr:col>
      <xdr:colOff>76200</xdr:colOff>
      <xdr:row>162</xdr:row>
      <xdr:rowOff>57150</xdr:rowOff>
    </xdr:from>
    <xdr:to>
      <xdr:col>59</xdr:col>
      <xdr:colOff>381000</xdr:colOff>
      <xdr:row>181</xdr:row>
      <xdr:rowOff>9524</xdr:rowOff>
    </xdr:to>
    <xdr:graphicFrame macro="">
      <xdr:nvGraphicFramePr>
        <xdr:cNvPr id="30" name="Chart 29">
          <a:extLst>
            <a:ext uri="{FF2B5EF4-FFF2-40B4-BE49-F238E27FC236}">
              <a16:creationId xmlns:a16="http://schemas.microsoft.com/office/drawing/2014/main" id="{00000000-0008-0000-18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59</xdr:col>
      <xdr:colOff>533400</xdr:colOff>
      <xdr:row>162</xdr:row>
      <xdr:rowOff>66674</xdr:rowOff>
    </xdr:from>
    <xdr:to>
      <xdr:col>67</xdr:col>
      <xdr:colOff>219075</xdr:colOff>
      <xdr:row>181</xdr:row>
      <xdr:rowOff>47624</xdr:rowOff>
    </xdr:to>
    <xdr:graphicFrame macro="">
      <xdr:nvGraphicFramePr>
        <xdr:cNvPr id="31" name="Chart 30">
          <a:extLst>
            <a:ext uri="{FF2B5EF4-FFF2-40B4-BE49-F238E27FC236}">
              <a16:creationId xmlns:a16="http://schemas.microsoft.com/office/drawing/2014/main" id="{00000000-0008-0000-18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52</xdr:col>
      <xdr:colOff>66675</xdr:colOff>
      <xdr:row>181</xdr:row>
      <xdr:rowOff>133350</xdr:rowOff>
    </xdr:from>
    <xdr:to>
      <xdr:col>59</xdr:col>
      <xdr:colOff>390525</xdr:colOff>
      <xdr:row>200</xdr:row>
      <xdr:rowOff>0</xdr:rowOff>
    </xdr:to>
    <xdr:graphicFrame macro="">
      <xdr:nvGraphicFramePr>
        <xdr:cNvPr id="32" name="Chart 31">
          <a:extLst>
            <a:ext uri="{FF2B5EF4-FFF2-40B4-BE49-F238E27FC236}">
              <a16:creationId xmlns:a16="http://schemas.microsoft.com/office/drawing/2014/main" id="{00000000-0008-0000-18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59</xdr:col>
      <xdr:colOff>542925</xdr:colOff>
      <xdr:row>181</xdr:row>
      <xdr:rowOff>133350</xdr:rowOff>
    </xdr:from>
    <xdr:to>
      <xdr:col>67</xdr:col>
      <xdr:colOff>219075</xdr:colOff>
      <xdr:row>200</xdr:row>
      <xdr:rowOff>0</xdr:rowOff>
    </xdr:to>
    <xdr:graphicFrame macro="">
      <xdr:nvGraphicFramePr>
        <xdr:cNvPr id="33" name="Chart 32">
          <a:extLst>
            <a:ext uri="{FF2B5EF4-FFF2-40B4-BE49-F238E27FC236}">
              <a16:creationId xmlns:a16="http://schemas.microsoft.com/office/drawing/2014/main" id="{00000000-0008-0000-18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466725</xdr:colOff>
      <xdr:row>12</xdr:row>
      <xdr:rowOff>109537</xdr:rowOff>
    </xdr:from>
    <xdr:to>
      <xdr:col>49</xdr:col>
      <xdr:colOff>161925</xdr:colOff>
      <xdr:row>29</xdr:row>
      <xdr:rowOff>100012</xdr:rowOff>
    </xdr:to>
    <xdr:graphicFrame macro="">
      <xdr:nvGraphicFramePr>
        <xdr:cNvPr id="2" name="Chart 1">
          <a:extLst>
            <a:ext uri="{FF2B5EF4-FFF2-40B4-BE49-F238E27FC236}">
              <a16:creationId xmlns:a16="http://schemas.microsoft.com/office/drawing/2014/main" id="{1D04D0A5-A13A-4241-81F3-89806538E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514350</xdr:colOff>
      <xdr:row>32</xdr:row>
      <xdr:rowOff>47625</xdr:rowOff>
    </xdr:from>
    <xdr:to>
      <xdr:col>49</xdr:col>
      <xdr:colOff>233362</xdr:colOff>
      <xdr:row>50</xdr:row>
      <xdr:rowOff>61912</xdr:rowOff>
    </xdr:to>
    <xdr:graphicFrame macro="">
      <xdr:nvGraphicFramePr>
        <xdr:cNvPr id="3" name="Chart 2">
          <a:extLst>
            <a:ext uri="{FF2B5EF4-FFF2-40B4-BE49-F238E27FC236}">
              <a16:creationId xmlns:a16="http://schemas.microsoft.com/office/drawing/2014/main" id="{AB08929A-040C-40C9-A1DA-399BEB34E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esidential_indica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d3g086/My%20Documents/OIT/MECS98/98MEC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NewResConst\History\startsal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upporting_Sheets_SRB/startsal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HS_2013_summary_4.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HS_2013_extrac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HS_2015_extrac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HS_2017_extra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Indicators/residential_indicator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upporting_Sheets_SRB/Residential_Floor_Space_2013_SR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sheetName val="General_inputs"/>
      <sheetName val="National"/>
      <sheetName val="Northeast"/>
      <sheetName val="Northeast (2)"/>
      <sheetName val="Midwest "/>
      <sheetName val="South"/>
      <sheetName val="West"/>
      <sheetName val="AER08_table2.1b"/>
      <sheetName val="AER09_table2.1b"/>
      <sheetName val="RECS_data"/>
      <sheetName val="Northeast_data"/>
      <sheetName val="Number of Housing Units"/>
      <sheetName val="Ave. Housing Size"/>
      <sheetName val="Final Floorspace Estimates"/>
      <sheetName val="Midwest_data"/>
      <sheetName val="South_data"/>
      <sheetName val="West_data"/>
      <sheetName val="Conversion_Factors"/>
      <sheetName val="National_Calibration"/>
      <sheetName val="Chart1"/>
      <sheetName val="Weather_Factors"/>
      <sheetName val="CDD_by_Division08"/>
      <sheetName val="CDD_by_Division09"/>
      <sheetName val="HDD_by_Division09"/>
      <sheetName val="HDD_by_Division08"/>
      <sheetName val="CDD_by_Division10"/>
      <sheetName val="HDD_by_Division10"/>
      <sheetName val="Charts (www)"/>
      <sheetName val="Charts (other)"/>
    </sheetNames>
    <sheetDataSet>
      <sheetData sheetId="0" refreshError="1"/>
      <sheetData sheetId="1" refreshError="1"/>
      <sheetData sheetId="2">
        <row r="6">
          <cell r="F6">
            <v>1985</v>
          </cell>
          <cell r="M6">
            <v>37</v>
          </cell>
          <cell r="U6" t="str">
            <v>1985 = 1</v>
          </cell>
        </row>
        <row r="7">
          <cell r="F7">
            <v>1996</v>
          </cell>
        </row>
      </sheetData>
      <sheetData sheetId="3">
        <row r="44">
          <cell r="T44">
            <v>134.57705901076559</v>
          </cell>
        </row>
        <row r="45">
          <cell r="T45">
            <v>137.65210572489016</v>
          </cell>
        </row>
        <row r="46">
          <cell r="T46">
            <v>141.06102941176471</v>
          </cell>
        </row>
        <row r="47">
          <cell r="T47">
            <v>143.09207132530119</v>
          </cell>
        </row>
        <row r="48">
          <cell r="T48">
            <v>141.80651897374699</v>
          </cell>
        </row>
        <row r="49">
          <cell r="T49">
            <v>141.41617688234402</v>
          </cell>
        </row>
        <row r="50">
          <cell r="T50">
            <v>142.67050289687137</v>
          </cell>
        </row>
        <row r="51">
          <cell r="T51">
            <v>146.99176488816488</v>
          </cell>
        </row>
        <row r="52">
          <cell r="T52">
            <v>151.652212994058</v>
          </cell>
        </row>
        <row r="53">
          <cell r="T53">
            <v>155.23220763274335</v>
          </cell>
        </row>
        <row r="54">
          <cell r="T54">
            <v>160.09502829316344</v>
          </cell>
        </row>
        <row r="55">
          <cell r="T55">
            <v>165.12202883026924</v>
          </cell>
        </row>
        <row r="56">
          <cell r="T56">
            <v>168.05439159574465</v>
          </cell>
        </row>
        <row r="57">
          <cell r="T57">
            <v>172.16956690439326</v>
          </cell>
        </row>
        <row r="58">
          <cell r="T58">
            <v>177.12719345923185</v>
          </cell>
        </row>
        <row r="59">
          <cell r="T59">
            <v>181.08103336787565</v>
          </cell>
        </row>
        <row r="60">
          <cell r="T60">
            <v>185.69757992987459</v>
          </cell>
        </row>
        <row r="61">
          <cell r="T61">
            <v>192.74274162472835</v>
          </cell>
        </row>
        <row r="62">
          <cell r="T62">
            <v>197.49013448973238</v>
          </cell>
        </row>
        <row r="63">
          <cell r="T63">
            <v>203.8432695113201</v>
          </cell>
        </row>
        <row r="64">
          <cell r="T64">
            <v>208.62932140979257</v>
          </cell>
        </row>
        <row r="65">
          <cell r="T65">
            <v>213.51672013010224</v>
          </cell>
        </row>
        <row r="66">
          <cell r="T66">
            <v>218.50614083826025</v>
          </cell>
        </row>
        <row r="67">
          <cell r="T67">
            <v>223.5982233644861</v>
          </cell>
        </row>
        <row r="68">
          <cell r="T68">
            <v>229.15556104698237</v>
          </cell>
        </row>
        <row r="69">
          <cell r="T69">
            <v>236.71265154104569</v>
          </cell>
        </row>
        <row r="70">
          <cell r="T70">
            <v>241.6708950003636</v>
          </cell>
        </row>
        <row r="71">
          <cell r="T71">
            <v>248.04241495135557</v>
          </cell>
        </row>
        <row r="72">
          <cell r="T72">
            <v>252.22044492082662</v>
          </cell>
        </row>
        <row r="73">
          <cell r="T73">
            <v>257.98300621365854</v>
          </cell>
        </row>
        <row r="74">
          <cell r="T74">
            <v>261.90928622658834</v>
          </cell>
        </row>
        <row r="75">
          <cell r="P75">
            <v>54.616392054628285</v>
          </cell>
          <cell r="Q75">
            <v>70.050330941663006</v>
          </cell>
          <cell r="R75">
            <v>89.796580476807478</v>
          </cell>
          <cell r="S75">
            <v>50.575960519135343</v>
          </cell>
          <cell r="T75">
            <v>265.03926399223411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AuthNotSA"/>
      <sheetName val="AuthNotSA Percent Change"/>
      <sheetName val="AuthNotSA Year Ago % Chg"/>
      <sheetName val="AuthNotSA_p"/>
      <sheetName val="AuthNotSA_1"/>
      <sheetName val="AuthNotSA_2"/>
      <sheetName val="ANS Seas Fac"/>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l_Data"/>
      <sheetName val="Calc_FlrSpace"/>
      <sheetName val="Sheet1"/>
      <sheetName val="Sheet2"/>
      <sheetName val="Sheet3"/>
      <sheetName val="compare_CNH"/>
    </sheetNames>
    <sheetDataSet>
      <sheetData sheetId="0"/>
      <sheetData sheetId="1">
        <row r="64">
          <cell r="CR64">
            <v>2329.4060517822213</v>
          </cell>
        </row>
        <row r="65">
          <cell r="CR65">
            <v>2379.586249206428</v>
          </cell>
        </row>
        <row r="66">
          <cell r="CR66">
            <v>2073.2421531362961</v>
          </cell>
        </row>
        <row r="67">
          <cell r="CR67">
            <v>1187.8280450664031</v>
          </cell>
        </row>
        <row r="68">
          <cell r="CR68">
            <v>1312.4324328693742</v>
          </cell>
        </row>
        <row r="69">
          <cell r="CR69">
            <v>1952.5754993754019</v>
          </cell>
        </row>
        <row r="70">
          <cell r="CR70"/>
        </row>
        <row r="71">
          <cell r="CR71"/>
        </row>
        <row r="72">
          <cell r="CR72">
            <v>12164.999355791728</v>
          </cell>
        </row>
        <row r="73">
          <cell r="CR73">
            <v>11621.561292813496</v>
          </cell>
        </row>
        <row r="74">
          <cell r="CR74">
            <v>1866.460748229696</v>
          </cell>
        </row>
        <row r="75">
          <cell r="CR75">
            <v>7078.2068783695422</v>
          </cell>
        </row>
        <row r="76">
          <cell r="CR76">
            <v>543.4380629782396</v>
          </cell>
        </row>
        <row r="77">
          <cell r="CR77">
            <v>21109.666982390969</v>
          </cell>
        </row>
        <row r="78">
          <cell r="CR78"/>
        </row>
        <row r="79">
          <cell r="CR79"/>
        </row>
        <row r="80">
          <cell r="CR80">
            <v>6295</v>
          </cell>
        </row>
        <row r="81">
          <cell r="CR81">
            <v>6115</v>
          </cell>
        </row>
        <row r="82">
          <cell r="CR82">
            <v>1385</v>
          </cell>
        </row>
        <row r="83">
          <cell r="CR83">
            <v>4388</v>
          </cell>
        </row>
        <row r="84">
          <cell r="CR84">
            <v>180</v>
          </cell>
        </row>
        <row r="85">
          <cell r="CR85">
            <v>12068</v>
          </cell>
        </row>
        <row r="93">
          <cell r="CR93">
            <v>2111.37041384349</v>
          </cell>
        </row>
        <row r="94">
          <cell r="CR94">
            <v>2168.0289656118625</v>
          </cell>
        </row>
        <row r="95">
          <cell r="CR95">
            <v>1709.0885213035278</v>
          </cell>
        </row>
        <row r="96">
          <cell r="CR96">
            <v>1023.9558185750883</v>
          </cell>
        </row>
        <row r="97">
          <cell r="CR97">
            <v>1183.4426241776493</v>
          </cell>
        </row>
        <row r="98">
          <cell r="CR98">
            <v>1875.9622326336614</v>
          </cell>
        </row>
        <row r="101">
          <cell r="CR101">
            <v>19201.158111130891</v>
          </cell>
        </row>
        <row r="102">
          <cell r="CR102">
            <v>18107.552817222251</v>
          </cell>
        </row>
        <row r="103">
          <cell r="CR103">
            <v>1165.2463985398547</v>
          </cell>
        </row>
        <row r="104">
          <cell r="CR104">
            <v>5546.0629544249832</v>
          </cell>
        </row>
        <row r="105">
          <cell r="CR105">
            <v>1093.6052939086705</v>
          </cell>
        </row>
        <row r="106">
          <cell r="CR106">
            <v>25912.467464095764</v>
          </cell>
        </row>
        <row r="109">
          <cell r="CR109">
            <v>9858</v>
          </cell>
        </row>
        <row r="110">
          <cell r="CR110">
            <v>9398</v>
          </cell>
        </row>
        <row r="111">
          <cell r="CR111">
            <v>723</v>
          </cell>
        </row>
        <row r="112">
          <cell r="CR112">
            <v>3462</v>
          </cell>
        </row>
        <row r="113">
          <cell r="CR113">
            <v>460</v>
          </cell>
        </row>
        <row r="114">
          <cell r="CR114">
            <v>14043</v>
          </cell>
        </row>
        <row r="122">
          <cell r="CR122">
            <v>2125.476228611094</v>
          </cell>
        </row>
        <row r="123">
          <cell r="CR123">
            <v>2203.097031799844</v>
          </cell>
        </row>
        <row r="124">
          <cell r="CR124">
            <v>1850.3503814625094</v>
          </cell>
        </row>
        <row r="125">
          <cell r="CR125">
            <v>1037.7242138644042</v>
          </cell>
        </row>
        <row r="126">
          <cell r="CR126">
            <v>1548.7287893592209</v>
          </cell>
        </row>
        <row r="127">
          <cell r="CR127">
            <v>1904.1470830909868</v>
          </cell>
        </row>
        <row r="130">
          <cell r="CR130">
            <v>32389.72545870765</v>
          </cell>
        </row>
        <row r="131">
          <cell r="CR131">
            <v>28483.626225641838</v>
          </cell>
        </row>
        <row r="132">
          <cell r="CR132">
            <v>2206.4779689350758</v>
          </cell>
        </row>
        <row r="133">
          <cell r="CR133">
            <v>8354.5403097775343</v>
          </cell>
        </row>
        <row r="134">
          <cell r="CR134">
            <v>3906.0992330658237</v>
          </cell>
        </row>
        <row r="135">
          <cell r="CR135">
            <v>42950.743737420271</v>
          </cell>
        </row>
        <row r="138">
          <cell r="CR138">
            <v>11606</v>
          </cell>
        </row>
        <row r="139">
          <cell r="CR139">
            <v>10554</v>
          </cell>
        </row>
        <row r="140">
          <cell r="CR140">
            <v>911</v>
          </cell>
        </row>
        <row r="141">
          <cell r="CR141">
            <v>3904</v>
          </cell>
        </row>
        <row r="142">
          <cell r="CR142">
            <v>1052</v>
          </cell>
        </row>
        <row r="143">
          <cell r="CR143">
            <v>16421</v>
          </cell>
        </row>
      </sheetData>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 names"/>
      <sheetName val="Sheet1"/>
      <sheetName val="Pivot Tables"/>
      <sheetName val="PT-data"/>
      <sheetName val="Sheet3"/>
      <sheetName val="PT-data_2013"/>
      <sheetName val="Sheet2"/>
      <sheetName val="PT-data_2013_2"/>
    </sheetNames>
    <sheetDataSet>
      <sheetData sheetId="0"/>
      <sheetData sheetId="1"/>
      <sheetData sheetId="2"/>
      <sheetData sheetId="3"/>
      <sheetData sheetId="4"/>
      <sheetData sheetId="5"/>
      <sheetData sheetId="6">
        <row r="10">
          <cell r="H10">
            <v>80942183.237173021</v>
          </cell>
        </row>
        <row r="11">
          <cell r="H11">
            <v>13488022.041043295</v>
          </cell>
        </row>
        <row r="12">
          <cell r="H12">
            <v>19272799.215762127</v>
          </cell>
        </row>
        <row r="13">
          <cell r="H13">
            <v>30690104.194577102</v>
          </cell>
        </row>
        <row r="14">
          <cell r="H14">
            <v>17491257.785790503</v>
          </cell>
        </row>
        <row r="17">
          <cell r="H17">
            <v>27992325.015253749</v>
          </cell>
        </row>
        <row r="18">
          <cell r="H18">
            <v>7078206.8783695642</v>
          </cell>
        </row>
        <row r="19">
          <cell r="H19">
            <v>5546062.9544250015</v>
          </cell>
        </row>
        <row r="20">
          <cell r="H20">
            <v>8354540.309777569</v>
          </cell>
        </row>
        <row r="21">
          <cell r="H21">
            <v>7013514.8726816131</v>
          </cell>
        </row>
        <row r="26">
          <cell r="H26">
            <v>6917166.333509963</v>
          </cell>
        </row>
        <row r="27">
          <cell r="H27">
            <v>543438.06297823996</v>
          </cell>
        </row>
        <row r="28">
          <cell r="H28">
            <v>1093605.2939086691</v>
          </cell>
        </row>
        <row r="29">
          <cell r="H29">
            <v>3906099.2330658161</v>
          </cell>
        </row>
        <row r="30">
          <cell r="H30">
            <v>1374023.7435572383</v>
          </cell>
        </row>
      </sheetData>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 names"/>
      <sheetName val="Sheet1"/>
      <sheetName val="Pivot Tables"/>
      <sheetName val="PT-data"/>
    </sheetNames>
    <sheetDataSet>
      <sheetData sheetId="0"/>
      <sheetData sheetId="1"/>
      <sheetData sheetId="2">
        <row r="35">
          <cell r="T35">
            <v>83272182.492301807</v>
          </cell>
        </row>
        <row r="36">
          <cell r="T36">
            <v>13729589.032989755</v>
          </cell>
        </row>
        <row r="37">
          <cell r="T37">
            <v>19804576.211488992</v>
          </cell>
        </row>
        <row r="38">
          <cell r="T38">
            <v>31445112.642965887</v>
          </cell>
        </row>
        <row r="39">
          <cell r="T39">
            <v>18292904.604857184</v>
          </cell>
        </row>
        <row r="64">
          <cell r="T64">
            <v>28046801.648980901</v>
          </cell>
        </row>
        <row r="65">
          <cell r="T65">
            <v>7211320.7275806107</v>
          </cell>
        </row>
        <row r="66">
          <cell r="T66">
            <v>5596742.1926694307</v>
          </cell>
        </row>
        <row r="67">
          <cell r="T67">
            <v>8554054.0436477643</v>
          </cell>
        </row>
        <row r="68">
          <cell r="T68">
            <v>6684684.6850830996</v>
          </cell>
        </row>
        <row r="92">
          <cell r="T92">
            <v>6901738.1001692237</v>
          </cell>
        </row>
        <row r="93">
          <cell r="T93">
            <v>514908.40484750993</v>
          </cell>
        </row>
        <row r="94">
          <cell r="T94">
            <v>989709.09104615997</v>
          </cell>
        </row>
        <row r="95">
          <cell r="T95">
            <v>3928952.0941592809</v>
          </cell>
        </row>
        <row r="96">
          <cell r="T96">
            <v>1468168.5101162735</v>
          </cell>
        </row>
      </sheetData>
      <sheetData sheetId="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 search"/>
      <sheetName val="extract_data"/>
      <sheetName val="Pivot Tables"/>
      <sheetName val="SqFt Test"/>
      <sheetName val="PT-data"/>
    </sheetNames>
    <sheetDataSet>
      <sheetData sheetId="0"/>
      <sheetData sheetId="1"/>
      <sheetData sheetId="2">
        <row r="31">
          <cell r="K31">
            <v>94867481.277413994</v>
          </cell>
        </row>
        <row r="36">
          <cell r="T36">
            <v>85790283.818839788</v>
          </cell>
        </row>
        <row r="37">
          <cell r="T37">
            <v>13970769.420452226</v>
          </cell>
        </row>
        <row r="38">
          <cell r="T38">
            <v>20544005.443131872</v>
          </cell>
        </row>
        <row r="39">
          <cell r="T39">
            <v>32546772.765327051</v>
          </cell>
        </row>
        <row r="40">
          <cell r="T40">
            <v>18728736.189928621</v>
          </cell>
        </row>
        <row r="46">
          <cell r="K46">
            <v>85790283.818839788</v>
          </cell>
        </row>
        <row r="66">
          <cell r="T66">
            <v>28967212.002365146</v>
          </cell>
        </row>
        <row r="67">
          <cell r="T67">
            <v>7357198.434837766</v>
          </cell>
        </row>
        <row r="68">
          <cell r="T68">
            <v>5483785.618248798</v>
          </cell>
        </row>
        <row r="69">
          <cell r="T69">
            <v>9139730.4503123276</v>
          </cell>
        </row>
        <row r="70">
          <cell r="T70">
            <v>6986497.4989662496</v>
          </cell>
        </row>
        <row r="76">
          <cell r="K76">
            <v>28967212.002365142</v>
          </cell>
        </row>
        <row r="96">
          <cell r="T96">
            <v>6727423.6770818429</v>
          </cell>
        </row>
        <row r="97">
          <cell r="T97">
            <v>493646.8342993001</v>
          </cell>
        </row>
        <row r="98">
          <cell r="T98">
            <v>1015136.5755645899</v>
          </cell>
        </row>
        <row r="99">
          <cell r="T99">
            <v>3749981.2067702403</v>
          </cell>
        </row>
        <row r="100">
          <cell r="T100">
            <v>1468659.0604477117</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sheetName val="General_inputs"/>
      <sheetName val="National"/>
      <sheetName val="Northeast"/>
      <sheetName val="Midwest "/>
      <sheetName val="South"/>
      <sheetName val="West"/>
      <sheetName val="AER08_table2.1b"/>
      <sheetName val="AER09_table2.1b"/>
      <sheetName val="RECS_data"/>
      <sheetName val="Northeast_data"/>
      <sheetName val="Midwest_data"/>
      <sheetName val="South_data"/>
      <sheetName val="West_data"/>
      <sheetName val="Conversion_Factors"/>
      <sheetName val="National_Calibration"/>
      <sheetName val="Weather_norm_consumption"/>
      <sheetName val="Weather_Factors"/>
      <sheetName val="CDD_by_Division08"/>
      <sheetName val="CDD_by_Division09"/>
      <sheetName val="HDD_by_Division09"/>
      <sheetName val="HDD_by_Division08"/>
      <sheetName val="Charts (www)"/>
      <sheetName val="Charts (oth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E7">
            <v>77.371132743362836</v>
          </cell>
        </row>
        <row r="8">
          <cell r="E8">
            <v>78.809185840707968</v>
          </cell>
        </row>
        <row r="9">
          <cell r="E9">
            <v>80.775999999999996</v>
          </cell>
        </row>
        <row r="10">
          <cell r="E10">
            <v>82.367999999999995</v>
          </cell>
        </row>
        <row r="11">
          <cell r="E11">
            <v>83.527000000000001</v>
          </cell>
        </row>
        <row r="12">
          <cell r="E12">
            <v>83.918000000000006</v>
          </cell>
        </row>
        <row r="13">
          <cell r="E13">
            <v>85.29</v>
          </cell>
        </row>
        <row r="14">
          <cell r="E14">
            <v>86.789000000000001</v>
          </cell>
        </row>
        <row r="15">
          <cell r="E15">
            <v>88.457999999999998</v>
          </cell>
        </row>
        <row r="16">
          <cell r="E16">
            <v>89.478999999999999</v>
          </cell>
        </row>
        <row r="17">
          <cell r="E17">
            <v>91.123999999999995</v>
          </cell>
        </row>
        <row r="18">
          <cell r="E18">
            <v>92.83</v>
          </cell>
        </row>
        <row r="19">
          <cell r="E19">
            <v>93.347000000000008</v>
          </cell>
        </row>
        <row r="20">
          <cell r="E20">
            <v>94.311999999999998</v>
          </cell>
        </row>
        <row r="21">
          <cell r="E21">
            <v>95.668999999999997</v>
          </cell>
        </row>
        <row r="22">
          <cell r="E22">
            <v>96.426000000000002</v>
          </cell>
        </row>
        <row r="23">
          <cell r="E23">
            <v>97.106999999999999</v>
          </cell>
        </row>
        <row r="24">
          <cell r="E24">
            <v>98.990000000000009</v>
          </cell>
        </row>
        <row r="25">
          <cell r="E25">
            <v>99.626999999999995</v>
          </cell>
        </row>
        <row r="26">
          <cell r="E26">
            <v>101.018</v>
          </cell>
        </row>
        <row r="27">
          <cell r="E27">
            <v>102.81575000000001</v>
          </cell>
        </row>
        <row r="28">
          <cell r="E28">
            <v>104.6135</v>
          </cell>
        </row>
        <row r="29">
          <cell r="E29">
            <v>106.41125</v>
          </cell>
        </row>
        <row r="30">
          <cell r="E30">
            <v>108.209</v>
          </cell>
        </row>
        <row r="31">
          <cell r="E31">
            <v>109.291</v>
          </cell>
        </row>
        <row r="32">
          <cell r="E32">
            <v>111.27800000000001</v>
          </cell>
        </row>
        <row r="33">
          <cell r="E33">
            <v>112</v>
          </cell>
        </row>
        <row r="34">
          <cell r="E34">
            <v>113.343</v>
          </cell>
        </row>
        <row r="35">
          <cell r="E35">
            <v>114.384</v>
          </cell>
        </row>
        <row r="36">
          <cell r="E36">
            <v>116.011</v>
          </cell>
        </row>
        <row r="37">
          <cell r="E37">
            <v>116.783</v>
          </cell>
        </row>
        <row r="38">
          <cell r="E38">
            <v>117.181</v>
          </cell>
        </row>
      </sheetData>
      <sheetData sheetId="17" refreshError="1"/>
      <sheetData sheetId="18"/>
      <sheetData sheetId="19"/>
      <sheetData sheetId="20"/>
      <sheetData sheetId="21"/>
      <sheetData sheetId="22"/>
      <sheetData sheetId="23"/>
      <sheetData sheetId="2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5"/>
      <sheetName val="Chart6"/>
      <sheetName val="Chart7"/>
      <sheetName val="Sheet1"/>
      <sheetName val="Sheet2"/>
      <sheetName val="AHS_stock_data"/>
      <sheetName val="Estimated_inventory"/>
      <sheetName val="RECS-Stock"/>
      <sheetName val="Chart8"/>
      <sheetName val="Chart9"/>
      <sheetName val="Chart10"/>
      <sheetName val="Chart11"/>
      <sheetName val="Chart12"/>
      <sheetName val="Chart13"/>
      <sheetName val="AHS"/>
      <sheetName val="RECS"/>
      <sheetName val="RECS_number"/>
      <sheetName val="RECS_Vintage_size"/>
      <sheetName val="RECS_Total_SF"/>
      <sheetName val="RECS_Total_Units"/>
      <sheetName val="REC_Total_SF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75">
          <cell r="V75">
            <v>0.83842151321513969</v>
          </cell>
        </row>
        <row r="76">
          <cell r="V76">
            <v>0.94412210941295216</v>
          </cell>
        </row>
      </sheetData>
      <sheetData sheetId="18" refreshError="1"/>
      <sheetData sheetId="19"/>
      <sheetData sheetId="20">
        <row r="77">
          <cell r="D77">
            <v>826.08695652173913</v>
          </cell>
          <cell r="E77">
            <v>843.13725490196077</v>
          </cell>
          <cell r="F77">
            <v>864.70588235294122</v>
          </cell>
          <cell r="G77">
            <v>942.30769230769226</v>
          </cell>
          <cell r="H77">
            <v>989.09090909090912</v>
          </cell>
          <cell r="I77">
            <v>995.23809523809518</v>
          </cell>
          <cell r="J77">
            <v>1061.9950051417659</v>
          </cell>
          <cell r="K77">
            <v>1062.008978242769</v>
          </cell>
          <cell r="L77">
            <v>1087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census.gov/data/tables/time-series/econ/mhs/historical-annual-placements.html"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census.gov/construction/nrc/historical_data/"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G667"/>
  <sheetViews>
    <sheetView tabSelected="1" topLeftCell="BW187" zoomScaleNormal="100" workbookViewId="0">
      <selection activeCell="CF201" sqref="CF201"/>
    </sheetView>
  </sheetViews>
  <sheetFormatPr defaultRowHeight="12.75" x14ac:dyDescent="0.2"/>
  <cols>
    <col min="1" max="13" width="9.140625" style="280"/>
    <col min="14" max="14" width="9.140625" style="273"/>
    <col min="15" max="25" width="9.140625" style="280"/>
    <col min="26" max="37" width="9.140625" style="273"/>
    <col min="76" max="76" width="10.7109375" customWidth="1"/>
    <col min="85" max="85" width="9.140625" style="280"/>
    <col min="87" max="87" width="12.42578125" customWidth="1"/>
    <col min="89" max="89" width="15.140625" customWidth="1"/>
    <col min="90" max="90" width="11.85546875" customWidth="1"/>
    <col min="91" max="91" width="12.5703125" customWidth="1"/>
    <col min="92" max="92" width="10.28515625" customWidth="1"/>
    <col min="93" max="93" width="10.42578125" customWidth="1"/>
    <col min="94" max="94" width="10.140625" customWidth="1"/>
    <col min="95" max="95" width="10.7109375" customWidth="1"/>
    <col min="98" max="98" width="12.42578125" customWidth="1"/>
    <col min="100" max="100" width="9.7109375" customWidth="1"/>
    <col min="102" max="102" width="10.140625" customWidth="1"/>
    <col min="103" max="103" width="10.28515625" customWidth="1"/>
    <col min="104" max="104" width="10.42578125" customWidth="1"/>
    <col min="105" max="105" width="10.140625" customWidth="1"/>
    <col min="106" max="106" width="10.7109375" customWidth="1"/>
    <col min="109" max="109" width="8.5703125" customWidth="1"/>
    <col min="110" max="111" width="9.7109375" customWidth="1"/>
    <col min="113" max="113" width="10.140625" customWidth="1"/>
    <col min="114" max="114" width="10.28515625" customWidth="1"/>
    <col min="115" max="115" width="10.42578125" customWidth="1"/>
    <col min="116" max="116" width="10.140625" customWidth="1"/>
    <col min="117" max="117" width="10.7109375" customWidth="1"/>
    <col min="120" max="120" width="13.7109375" customWidth="1"/>
    <col min="121" max="121" width="12.85546875" customWidth="1"/>
    <col min="130" max="130" width="13.5703125" customWidth="1"/>
    <col min="131" max="131" width="13.42578125" customWidth="1"/>
    <col min="142" max="142" width="12.42578125" customWidth="1"/>
    <col min="144" max="144" width="9.7109375" customWidth="1"/>
    <col min="146" max="146" width="10.140625" customWidth="1"/>
    <col min="147" max="147" width="10.28515625" customWidth="1"/>
    <col min="148" max="148" width="10.42578125" customWidth="1"/>
    <col min="149" max="149" width="10.140625" customWidth="1"/>
    <col min="150" max="150" width="10.7109375" customWidth="1"/>
    <col min="155" max="155" width="9.140625" style="280"/>
    <col min="156" max="156" width="12.42578125" style="280" customWidth="1"/>
    <col min="157" max="157" width="9.140625" style="280"/>
    <col min="158" max="158" width="9.7109375" style="280" customWidth="1"/>
    <col min="159" max="159" width="9.140625" style="280"/>
    <col min="160" max="160" width="10.140625" style="280" customWidth="1"/>
    <col min="161" max="161" width="10.28515625" style="280" customWidth="1"/>
    <col min="162" max="162" width="10.42578125" style="280" customWidth="1"/>
    <col min="163" max="163" width="10.140625" style="280" customWidth="1"/>
    <col min="164" max="164" width="10.7109375" style="280" customWidth="1"/>
    <col min="165" max="165" width="10.5703125" style="280" bestFit="1" customWidth="1"/>
    <col min="166" max="169" width="9.140625" style="280"/>
    <col min="170" max="177" width="8.85546875" style="280"/>
    <col min="178" max="178" width="11.85546875" style="280" customWidth="1"/>
    <col min="179" max="183" width="8.85546875" style="280"/>
    <col min="184" max="184" width="9.140625" style="280"/>
    <col min="280" max="280" width="10.28515625" customWidth="1"/>
    <col min="288" max="288" width="9.140625" style="341"/>
  </cols>
  <sheetData>
    <row r="1" spans="3:293" ht="18" x14ac:dyDescent="0.25">
      <c r="C1" s="209">
        <v>1985</v>
      </c>
      <c r="O1" s="209">
        <v>1987</v>
      </c>
      <c r="AA1" s="209">
        <v>1989</v>
      </c>
      <c r="AM1" s="209">
        <v>1991</v>
      </c>
      <c r="AY1" s="209">
        <v>1993</v>
      </c>
      <c r="BK1" s="209">
        <v>1995</v>
      </c>
      <c r="BW1" s="209">
        <v>1997</v>
      </c>
      <c r="CI1" s="209">
        <v>1999</v>
      </c>
      <c r="CT1" s="209">
        <v>2001</v>
      </c>
      <c r="DE1" s="209">
        <v>2003</v>
      </c>
      <c r="DP1" s="209">
        <v>2005</v>
      </c>
      <c r="EA1" s="209">
        <v>2007</v>
      </c>
      <c r="EL1" s="209">
        <v>2009</v>
      </c>
      <c r="EZ1" s="209">
        <v>2011</v>
      </c>
      <c r="FN1" s="209">
        <v>2013</v>
      </c>
      <c r="JS1" s="281" t="s">
        <v>602</v>
      </c>
      <c r="JU1" t="s">
        <v>82</v>
      </c>
    </row>
    <row r="2" spans="3:293" x14ac:dyDescent="0.2">
      <c r="FN2" s="353" t="s">
        <v>700</v>
      </c>
      <c r="JT2" t="s">
        <v>27</v>
      </c>
      <c r="KG2" t="s">
        <v>591</v>
      </c>
    </row>
    <row r="3" spans="3:293" x14ac:dyDescent="0.2">
      <c r="GD3" t="s">
        <v>34</v>
      </c>
      <c r="GH3">
        <v>1000</v>
      </c>
      <c r="HJ3" t="s">
        <v>34</v>
      </c>
      <c r="HN3">
        <v>1000</v>
      </c>
      <c r="JT3" t="s">
        <v>488</v>
      </c>
      <c r="JU3" s="269" t="s">
        <v>0</v>
      </c>
      <c r="JV3" s="269" t="s">
        <v>1</v>
      </c>
      <c r="JW3" s="269" t="s">
        <v>2</v>
      </c>
      <c r="JX3" s="269" t="s">
        <v>3</v>
      </c>
      <c r="JY3" s="269" t="s">
        <v>4</v>
      </c>
      <c r="JZ3" s="269" t="s">
        <v>5</v>
      </c>
      <c r="KA3" s="269" t="s">
        <v>6</v>
      </c>
      <c r="KB3" s="493"/>
    </row>
    <row r="4" spans="3:293" ht="18" x14ac:dyDescent="0.25">
      <c r="C4" s="286" t="s">
        <v>24</v>
      </c>
      <c r="O4" s="286" t="s">
        <v>24</v>
      </c>
      <c r="AA4" s="279" t="s">
        <v>24</v>
      </c>
      <c r="AM4" s="8" t="s">
        <v>24</v>
      </c>
      <c r="AY4" s="8" t="s">
        <v>24</v>
      </c>
      <c r="BK4" s="8" t="s">
        <v>24</v>
      </c>
      <c r="BW4" s="8" t="s">
        <v>24</v>
      </c>
      <c r="CI4" s="8" t="s">
        <v>24</v>
      </c>
      <c r="CT4" s="8" t="s">
        <v>24</v>
      </c>
      <c r="DE4" s="8" t="s">
        <v>24</v>
      </c>
      <c r="DP4" s="8" t="s">
        <v>24</v>
      </c>
      <c r="DR4" t="s">
        <v>25</v>
      </c>
      <c r="EA4" s="8" t="s">
        <v>24</v>
      </c>
      <c r="EC4" t="s">
        <v>25</v>
      </c>
      <c r="EL4" s="8" t="s">
        <v>24</v>
      </c>
      <c r="EZ4" s="286" t="s">
        <v>24</v>
      </c>
      <c r="FC4" s="422" t="s">
        <v>745</v>
      </c>
      <c r="FN4" s="351" t="s">
        <v>24</v>
      </c>
      <c r="FO4" s="341"/>
      <c r="FP4" s="341"/>
      <c r="FQ4" s="422" t="s">
        <v>746</v>
      </c>
      <c r="FR4" s="341"/>
      <c r="FS4" s="341"/>
      <c r="FT4" s="341"/>
      <c r="FU4" s="341"/>
      <c r="FV4" s="341"/>
      <c r="FW4" s="341"/>
      <c r="FX4" s="341"/>
      <c r="FY4" s="341"/>
      <c r="GY4" t="s">
        <v>43</v>
      </c>
      <c r="HT4" t="s">
        <v>42</v>
      </c>
      <c r="IA4" t="s">
        <v>558</v>
      </c>
      <c r="IE4" t="s">
        <v>43</v>
      </c>
      <c r="IY4" t="s">
        <v>43</v>
      </c>
      <c r="JF4" t="s">
        <v>559</v>
      </c>
      <c r="JJ4" t="s">
        <v>43</v>
      </c>
      <c r="JT4">
        <v>1999</v>
      </c>
      <c r="JU4" s="2">
        <f t="shared" ref="JU4:JU10" si="0">GE8</f>
        <v>13731.725805588263</v>
      </c>
      <c r="JV4" s="2">
        <f t="shared" ref="JV4:KA10" si="1">GF8</f>
        <v>5890.630524605147</v>
      </c>
      <c r="JW4" s="2">
        <f t="shared" si="1"/>
        <v>10393.762094314892</v>
      </c>
      <c r="JX4" s="2">
        <f t="shared" si="1"/>
        <v>10272.317825172686</v>
      </c>
      <c r="JY4" s="2">
        <f t="shared" si="1"/>
        <v>12848.628085373453</v>
      </c>
      <c r="JZ4" s="2">
        <f t="shared" si="1"/>
        <v>8834.1477718180067</v>
      </c>
      <c r="KA4" s="2">
        <f t="shared" si="1"/>
        <v>9527.7993463470375</v>
      </c>
      <c r="KB4" s="344"/>
      <c r="KC4" s="2">
        <f>SUM(JU4:KA4)</f>
        <v>71499.011453219486</v>
      </c>
      <c r="KD4" s="2">
        <f t="shared" ref="KD4:KD9" si="2">SUM(JU4:KA4)</f>
        <v>71499.011453219486</v>
      </c>
    </row>
    <row r="5" spans="3:293" x14ac:dyDescent="0.2">
      <c r="C5" s="281" t="s">
        <v>18</v>
      </c>
      <c r="O5" s="281" t="s">
        <v>18</v>
      </c>
      <c r="AA5" s="274" t="s">
        <v>18</v>
      </c>
      <c r="AM5" s="1" t="s">
        <v>18</v>
      </c>
      <c r="AY5" s="1" t="s">
        <v>18</v>
      </c>
      <c r="BK5" s="1" t="s">
        <v>18</v>
      </c>
      <c r="BW5" s="1" t="s">
        <v>18</v>
      </c>
      <c r="CI5" s="1" t="s">
        <v>18</v>
      </c>
      <c r="CT5" s="1" t="s">
        <v>18</v>
      </c>
      <c r="DE5" s="1" t="s">
        <v>18</v>
      </c>
      <c r="DP5" s="1" t="s">
        <v>18</v>
      </c>
      <c r="EA5" s="1" t="s">
        <v>18</v>
      </c>
      <c r="EL5" s="1" t="s">
        <v>18</v>
      </c>
      <c r="EZ5" s="281" t="s">
        <v>18</v>
      </c>
      <c r="FN5" s="342" t="s">
        <v>18</v>
      </c>
      <c r="FO5" s="341"/>
      <c r="FP5" s="341"/>
      <c r="FQ5" s="341"/>
      <c r="FR5" s="341"/>
      <c r="FS5" s="341"/>
      <c r="FT5" s="341"/>
      <c r="FU5" s="341"/>
      <c r="FV5" s="341"/>
      <c r="FW5" s="341"/>
      <c r="FX5" s="341"/>
      <c r="FY5" s="341"/>
      <c r="GD5" s="1" t="s">
        <v>27</v>
      </c>
      <c r="GN5" t="s">
        <v>28</v>
      </c>
      <c r="GU5" t="s">
        <v>558</v>
      </c>
      <c r="GY5" s="1" t="s">
        <v>40</v>
      </c>
      <c r="HJ5" t="s">
        <v>32</v>
      </c>
      <c r="HT5" t="s">
        <v>28</v>
      </c>
      <c r="IE5" s="1" t="s">
        <v>40</v>
      </c>
      <c r="IO5" t="s">
        <v>33</v>
      </c>
      <c r="IY5" t="s">
        <v>28</v>
      </c>
      <c r="JJ5" s="1" t="s">
        <v>40</v>
      </c>
      <c r="JT5">
        <v>2001</v>
      </c>
      <c r="JU5" s="2">
        <f t="shared" si="0"/>
        <v>13789.339534451954</v>
      </c>
      <c r="JV5" s="2">
        <f t="shared" si="1"/>
        <v>5828.8465457168131</v>
      </c>
      <c r="JW5" s="2">
        <f t="shared" si="1"/>
        <v>10535.531481864553</v>
      </c>
      <c r="JX5" s="2">
        <f t="shared" si="1"/>
        <v>10345.51575882086</v>
      </c>
      <c r="JY5" s="2">
        <f t="shared" si="1"/>
        <v>13273.609398621491</v>
      </c>
      <c r="JZ5" s="2">
        <f t="shared" si="1"/>
        <v>8932.7566775058731</v>
      </c>
      <c r="KA5" s="2">
        <f t="shared" si="1"/>
        <v>9912.1062027953794</v>
      </c>
      <c r="KB5" s="344"/>
      <c r="KD5" s="2">
        <f t="shared" si="2"/>
        <v>72617.70559977692</v>
      </c>
      <c r="KF5">
        <v>1999</v>
      </c>
      <c r="KG5" s="282">
        <f>CR22</f>
        <v>102794.06383428312</v>
      </c>
    </row>
    <row r="6" spans="3:293" x14ac:dyDescent="0.2">
      <c r="D6" s="280" t="s">
        <v>0</v>
      </c>
      <c r="E6" s="280" t="s">
        <v>1</v>
      </c>
      <c r="F6" s="280" t="s">
        <v>2</v>
      </c>
      <c r="G6" s="280" t="s">
        <v>3</v>
      </c>
      <c r="H6" s="280" t="s">
        <v>4</v>
      </c>
      <c r="I6" s="280" t="s">
        <v>5</v>
      </c>
      <c r="J6" s="280" t="s">
        <v>6</v>
      </c>
      <c r="K6" s="280" t="s">
        <v>7</v>
      </c>
      <c r="L6" s="280" t="s">
        <v>19</v>
      </c>
      <c r="P6" s="280" t="s">
        <v>0</v>
      </c>
      <c r="Q6" s="280" t="s">
        <v>1</v>
      </c>
      <c r="R6" s="280" t="s">
        <v>2</v>
      </c>
      <c r="S6" s="280" t="s">
        <v>3</v>
      </c>
      <c r="T6" s="280" t="s">
        <v>4</v>
      </c>
      <c r="U6" s="280" t="s">
        <v>5</v>
      </c>
      <c r="V6" s="280" t="s">
        <v>6</v>
      </c>
      <c r="W6" s="280" t="s">
        <v>7</v>
      </c>
      <c r="X6" s="280" t="s">
        <v>19</v>
      </c>
      <c r="AB6" s="273" t="s">
        <v>0</v>
      </c>
      <c r="AC6" s="273" t="s">
        <v>1</v>
      </c>
      <c r="AD6" s="273" t="s">
        <v>2</v>
      </c>
      <c r="AE6" s="273" t="s">
        <v>3</v>
      </c>
      <c r="AF6" s="273" t="s">
        <v>4</v>
      </c>
      <c r="AG6" s="273" t="s">
        <v>5</v>
      </c>
      <c r="AH6" s="273" t="s">
        <v>6</v>
      </c>
      <c r="AI6" s="273" t="s">
        <v>7</v>
      </c>
      <c r="AJ6" s="273" t="s">
        <v>19</v>
      </c>
      <c r="AN6" t="s">
        <v>0</v>
      </c>
      <c r="AO6" t="s">
        <v>1</v>
      </c>
      <c r="AP6" t="s">
        <v>2</v>
      </c>
      <c r="AQ6" t="s">
        <v>3</v>
      </c>
      <c r="AR6" t="s">
        <v>4</v>
      </c>
      <c r="AS6" t="s">
        <v>5</v>
      </c>
      <c r="AT6" t="s">
        <v>6</v>
      </c>
      <c r="AU6" t="s">
        <v>7</v>
      </c>
      <c r="AV6" t="s">
        <v>19</v>
      </c>
      <c r="AZ6" t="s">
        <v>0</v>
      </c>
      <c r="BA6" t="s">
        <v>1</v>
      </c>
      <c r="BB6" t="s">
        <v>2</v>
      </c>
      <c r="BC6" t="s">
        <v>3</v>
      </c>
      <c r="BD6" t="s">
        <v>4</v>
      </c>
      <c r="BE6" t="s">
        <v>5</v>
      </c>
      <c r="BF6" t="s">
        <v>6</v>
      </c>
      <c r="BG6" t="s">
        <v>7</v>
      </c>
      <c r="BH6" t="s">
        <v>19</v>
      </c>
      <c r="BL6" t="s">
        <v>0</v>
      </c>
      <c r="BM6" t="s">
        <v>1</v>
      </c>
      <c r="BN6" t="s">
        <v>2</v>
      </c>
      <c r="BO6" t="s">
        <v>3</v>
      </c>
      <c r="BP6" t="s">
        <v>4</v>
      </c>
      <c r="BQ6" t="s">
        <v>5</v>
      </c>
      <c r="BR6" t="s">
        <v>6</v>
      </c>
      <c r="BS6" t="s">
        <v>7</v>
      </c>
      <c r="BT6" t="s">
        <v>19</v>
      </c>
      <c r="BX6" t="s">
        <v>0</v>
      </c>
      <c r="BY6" t="s">
        <v>1</v>
      </c>
      <c r="BZ6" t="s">
        <v>2</v>
      </c>
      <c r="CA6" t="s">
        <v>3</v>
      </c>
      <c r="CB6" t="s">
        <v>4</v>
      </c>
      <c r="CC6" t="s">
        <v>5</v>
      </c>
      <c r="CD6" t="s">
        <v>6</v>
      </c>
      <c r="CE6" t="s">
        <v>7</v>
      </c>
      <c r="CF6" t="s">
        <v>19</v>
      </c>
      <c r="CJ6" t="s">
        <v>0</v>
      </c>
      <c r="CK6" t="s">
        <v>1</v>
      </c>
      <c r="CL6" t="s">
        <v>2</v>
      </c>
      <c r="CM6" t="s">
        <v>3</v>
      </c>
      <c r="CN6" t="s">
        <v>4</v>
      </c>
      <c r="CO6" t="s">
        <v>5</v>
      </c>
      <c r="CP6" t="s">
        <v>6</v>
      </c>
      <c r="CQ6" t="s">
        <v>7</v>
      </c>
      <c r="CR6" t="s">
        <v>19</v>
      </c>
      <c r="CU6" t="s">
        <v>0</v>
      </c>
      <c r="CV6" t="s">
        <v>1</v>
      </c>
      <c r="CW6" t="s">
        <v>2</v>
      </c>
      <c r="CX6" t="s">
        <v>3</v>
      </c>
      <c r="CY6" t="s">
        <v>4</v>
      </c>
      <c r="CZ6" t="s">
        <v>5</v>
      </c>
      <c r="DA6" t="s">
        <v>6</v>
      </c>
      <c r="DB6" t="s">
        <v>7</v>
      </c>
      <c r="DC6" t="s">
        <v>19</v>
      </c>
      <c r="DF6" t="s">
        <v>0</v>
      </c>
      <c r="DG6" t="s">
        <v>1</v>
      </c>
      <c r="DH6" t="s">
        <v>2</v>
      </c>
      <c r="DI6" t="s">
        <v>3</v>
      </c>
      <c r="DJ6" t="s">
        <v>4</v>
      </c>
      <c r="DK6" t="s">
        <v>5</v>
      </c>
      <c r="DL6" t="s">
        <v>6</v>
      </c>
      <c r="DM6" t="s">
        <v>7</v>
      </c>
      <c r="DN6" t="s">
        <v>19</v>
      </c>
      <c r="DQ6" t="s">
        <v>0</v>
      </c>
      <c r="DR6" t="s">
        <v>1</v>
      </c>
      <c r="DS6" t="s">
        <v>2</v>
      </c>
      <c r="DT6" t="s">
        <v>3</v>
      </c>
      <c r="DU6" t="s">
        <v>4</v>
      </c>
      <c r="DV6" t="s">
        <v>5</v>
      </c>
      <c r="DW6" t="s">
        <v>6</v>
      </c>
      <c r="DX6" t="s">
        <v>7</v>
      </c>
      <c r="DY6" t="s">
        <v>19</v>
      </c>
      <c r="EB6" t="s">
        <v>0</v>
      </c>
      <c r="EC6" t="s">
        <v>1</v>
      </c>
      <c r="ED6" t="s">
        <v>2</v>
      </c>
      <c r="EE6" t="s">
        <v>3</v>
      </c>
      <c r="EF6" t="s">
        <v>4</v>
      </c>
      <c r="EG6" t="s">
        <v>5</v>
      </c>
      <c r="EH6" t="s">
        <v>6</v>
      </c>
      <c r="EI6" t="s">
        <v>7</v>
      </c>
      <c r="EJ6" t="s">
        <v>19</v>
      </c>
      <c r="EK6" s="1"/>
      <c r="EM6" t="s">
        <v>0</v>
      </c>
      <c r="EN6" t="s">
        <v>1</v>
      </c>
      <c r="EO6" t="s">
        <v>2</v>
      </c>
      <c r="EP6" t="s">
        <v>3</v>
      </c>
      <c r="EQ6" t="s">
        <v>4</v>
      </c>
      <c r="ER6" t="s">
        <v>5</v>
      </c>
      <c r="ES6" t="s">
        <v>6</v>
      </c>
      <c r="ET6" t="s">
        <v>7</v>
      </c>
      <c r="EU6" t="s">
        <v>19</v>
      </c>
      <c r="FA6" s="280" t="s">
        <v>0</v>
      </c>
      <c r="FB6" s="280" t="s">
        <v>1</v>
      </c>
      <c r="FC6" s="280" t="s">
        <v>2</v>
      </c>
      <c r="FD6" s="280" t="s">
        <v>3</v>
      </c>
      <c r="FE6" s="280" t="s">
        <v>4</v>
      </c>
      <c r="FF6" s="280" t="s">
        <v>5</v>
      </c>
      <c r="FG6" s="280" t="s">
        <v>6</v>
      </c>
      <c r="FH6" s="280" t="s">
        <v>7</v>
      </c>
      <c r="FI6" s="280" t="s">
        <v>19</v>
      </c>
      <c r="FN6" s="341"/>
      <c r="FO6" s="341" t="s">
        <v>0</v>
      </c>
      <c r="FP6" s="341" t="s">
        <v>1</v>
      </c>
      <c r="FQ6" s="341" t="s">
        <v>2</v>
      </c>
      <c r="FR6" s="341" t="s">
        <v>3</v>
      </c>
      <c r="FS6" s="341" t="s">
        <v>4</v>
      </c>
      <c r="FT6" s="341" t="s">
        <v>5</v>
      </c>
      <c r="FU6" s="341" t="s">
        <v>6</v>
      </c>
      <c r="FV6" s="341" t="s">
        <v>7</v>
      </c>
      <c r="FW6" s="341" t="s">
        <v>19</v>
      </c>
      <c r="FX6" s="341"/>
      <c r="FY6" s="341"/>
      <c r="GE6" t="s">
        <v>0</v>
      </c>
      <c r="GF6" t="s">
        <v>1</v>
      </c>
      <c r="GG6" t="s">
        <v>2</v>
      </c>
      <c r="GH6" t="s">
        <v>3</v>
      </c>
      <c r="GI6" t="s">
        <v>4</v>
      </c>
      <c r="GJ6" t="s">
        <v>5</v>
      </c>
      <c r="GK6" t="s">
        <v>6</v>
      </c>
      <c r="GN6" t="s">
        <v>29</v>
      </c>
      <c r="GO6" t="s">
        <v>30</v>
      </c>
      <c r="GU6" t="s">
        <v>35</v>
      </c>
      <c r="HK6" t="s">
        <v>0</v>
      </c>
      <c r="HL6" t="s">
        <v>1</v>
      </c>
      <c r="HM6" t="s">
        <v>2</v>
      </c>
      <c r="HN6" t="s">
        <v>3</v>
      </c>
      <c r="HO6" t="s">
        <v>4</v>
      </c>
      <c r="HP6" t="s">
        <v>5</v>
      </c>
      <c r="HQ6" t="s">
        <v>6</v>
      </c>
      <c r="HT6" t="s">
        <v>29</v>
      </c>
      <c r="HU6" t="s">
        <v>30</v>
      </c>
      <c r="IA6" t="s">
        <v>35</v>
      </c>
      <c r="IP6" t="s">
        <v>0</v>
      </c>
      <c r="IQ6" t="s">
        <v>1</v>
      </c>
      <c r="IR6" t="s">
        <v>2</v>
      </c>
      <c r="IS6" t="s">
        <v>3</v>
      </c>
      <c r="IT6" t="s">
        <v>4</v>
      </c>
      <c r="IU6" t="s">
        <v>5</v>
      </c>
      <c r="IV6" t="s">
        <v>6</v>
      </c>
      <c r="IY6" t="s">
        <v>29</v>
      </c>
      <c r="IZ6" t="s">
        <v>30</v>
      </c>
      <c r="JF6" t="s">
        <v>35</v>
      </c>
      <c r="JT6">
        <v>2003</v>
      </c>
      <c r="JU6" s="2">
        <f t="shared" si="0"/>
        <v>13166.365635428274</v>
      </c>
      <c r="JV6" s="2">
        <f t="shared" si="1"/>
        <v>5593.1359783909338</v>
      </c>
      <c r="JW6" s="2">
        <f t="shared" si="1"/>
        <v>10018.711324909014</v>
      </c>
      <c r="JX6" s="2">
        <f t="shared" si="1"/>
        <v>9859.4062327653228</v>
      </c>
      <c r="JY6" s="2">
        <f t="shared" si="1"/>
        <v>12808.310514938008</v>
      </c>
      <c r="JZ6" s="2">
        <f t="shared" si="1"/>
        <v>8871.2601802033496</v>
      </c>
      <c r="KA6" s="2">
        <f t="shared" si="1"/>
        <v>9834.9297807339226</v>
      </c>
      <c r="KB6" s="344"/>
      <c r="KC6" t="s">
        <v>30</v>
      </c>
      <c r="KD6" s="2">
        <f t="shared" si="2"/>
        <v>70152.119647368818</v>
      </c>
      <c r="KF6">
        <f>KF5+1</f>
        <v>2000</v>
      </c>
    </row>
    <row r="7" spans="3:293" x14ac:dyDescent="0.2">
      <c r="DS7" t="s">
        <v>26</v>
      </c>
      <c r="DT7" t="s">
        <v>26</v>
      </c>
      <c r="DU7" t="s">
        <v>26</v>
      </c>
      <c r="DV7" t="s">
        <v>26</v>
      </c>
      <c r="DW7" t="s">
        <v>26</v>
      </c>
      <c r="EF7" t="s">
        <v>26</v>
      </c>
      <c r="EG7" t="s">
        <v>26</v>
      </c>
      <c r="EH7" t="s">
        <v>26</v>
      </c>
      <c r="EX7" s="2"/>
      <c r="EY7" s="282"/>
      <c r="FI7" s="280" t="s">
        <v>724</v>
      </c>
      <c r="FJ7" s="282"/>
      <c r="FK7" s="282"/>
      <c r="FL7" s="282"/>
      <c r="FM7" s="282"/>
      <c r="FN7" s="341"/>
      <c r="FO7" s="341"/>
      <c r="FP7" s="341"/>
      <c r="FQ7" s="341"/>
      <c r="FR7" s="341"/>
      <c r="FS7" s="341"/>
      <c r="FT7" s="341"/>
      <c r="FU7" s="341"/>
      <c r="FV7" s="341"/>
      <c r="FW7" s="341"/>
      <c r="FX7" s="341"/>
      <c r="FY7" s="341"/>
      <c r="FZ7" s="282"/>
      <c r="GA7" s="282"/>
      <c r="GB7" s="282"/>
      <c r="GC7" s="2"/>
      <c r="GD7" s="11">
        <v>1997</v>
      </c>
      <c r="GE7" s="2">
        <f t="shared" ref="GE7:GK7" si="3">BX18+BX19</f>
        <v>13238.675573965274</v>
      </c>
      <c r="GF7" s="2">
        <f t="shared" si="3"/>
        <v>5697.0200151893705</v>
      </c>
      <c r="GG7" s="2">
        <f t="shared" si="3"/>
        <v>10383.325308685691</v>
      </c>
      <c r="GH7" s="2">
        <f t="shared" si="3"/>
        <v>10044.144882481836</v>
      </c>
      <c r="GI7" s="2">
        <f t="shared" si="3"/>
        <v>12384.14874034989</v>
      </c>
      <c r="GJ7" s="2">
        <f t="shared" si="3"/>
        <v>8876.9727430982784</v>
      </c>
      <c r="GK7" s="2">
        <f t="shared" si="3"/>
        <v>7327.0950881031804</v>
      </c>
      <c r="GL7" s="2">
        <f>SUM(GE7:GK7)</f>
        <v>67951.382351873515</v>
      </c>
      <c r="GM7" s="11">
        <f>GD7</f>
        <v>1997</v>
      </c>
      <c r="GN7" s="2">
        <f t="shared" ref="GN7:GN13" si="4">SUM(GE7:GJ7)</f>
        <v>60624.28726377034</v>
      </c>
      <c r="GO7">
        <f>EXP(GS7)</f>
        <v>62203.842818360703</v>
      </c>
      <c r="GP7">
        <f t="shared" ref="GP7:GP13" si="5">LN(GN7)</f>
        <v>11.012450871696785</v>
      </c>
      <c r="GQ7">
        <v>0</v>
      </c>
      <c r="GR7">
        <f t="shared" ref="GR7:GR13" si="6">GP7</f>
        <v>11.012450871696785</v>
      </c>
      <c r="GS7">
        <f>$GV$7+GQ7*$GU$7</f>
        <v>11.038172058464534</v>
      </c>
      <c r="GU7" s="13">
        <f t="array" ref="GU7:GV12">LINEST(GR7:GR13,GQ7:GQ13,TRUE,TRUE)</f>
        <v>-5.9846282837446065E-3</v>
      </c>
      <c r="GV7">
        <v>11.038172058464534</v>
      </c>
      <c r="GY7" t="s">
        <v>41</v>
      </c>
      <c r="GZ7" t="s">
        <v>30</v>
      </c>
      <c r="HJ7" s="11">
        <v>1997</v>
      </c>
      <c r="HK7" s="2">
        <f t="shared" ref="HK7:HQ7" si="7">BX20</f>
        <v>6166.0808005615136</v>
      </c>
      <c r="HL7" s="2">
        <f t="shared" si="7"/>
        <v>1608.0287468728714</v>
      </c>
      <c r="HM7" s="2">
        <f t="shared" si="7"/>
        <v>1974.0038961175023</v>
      </c>
      <c r="HN7" s="2">
        <f t="shared" si="7"/>
        <v>3537.2808487035782</v>
      </c>
      <c r="HO7" s="2">
        <f t="shared" si="7"/>
        <v>5814.3768939900547</v>
      </c>
      <c r="HP7" s="2">
        <f t="shared" si="7"/>
        <v>4331.8750069505513</v>
      </c>
      <c r="HQ7" s="2">
        <f t="shared" si="7"/>
        <v>1556.818229577101</v>
      </c>
      <c r="HR7" s="2"/>
      <c r="HS7" s="11">
        <f>HJ7</f>
        <v>1997</v>
      </c>
      <c r="HT7" s="2">
        <f t="shared" ref="HT7:HT14" si="8">SUM(HK7:HP7)</f>
        <v>23431.646193196069</v>
      </c>
      <c r="HU7">
        <f>EXP(HY7)</f>
        <v>23125.309288404911</v>
      </c>
      <c r="HV7">
        <f t="shared" ref="HV7:HV13" si="9">LN(HT7)</f>
        <v>10.061842789093303</v>
      </c>
      <c r="HW7">
        <v>0</v>
      </c>
      <c r="HX7">
        <f t="shared" ref="HX7:HX14" si="10">HV7</f>
        <v>10.061842789093303</v>
      </c>
      <c r="HY7">
        <f>$IB$7+HW7*$IA$7</f>
        <v>10.048682936924912</v>
      </c>
      <c r="IA7" s="13">
        <f t="array" ref="IA7:IB12">LINEST(HX7:HX13,HW7:HW13,TRUE,TRUE)</f>
        <v>-9.0871993266743775E-3</v>
      </c>
      <c r="IB7">
        <v>10.048682936924912</v>
      </c>
      <c r="IE7" t="s">
        <v>41</v>
      </c>
      <c r="IF7" t="s">
        <v>30</v>
      </c>
      <c r="IO7" s="11">
        <v>1997</v>
      </c>
      <c r="IP7" s="2">
        <f t="shared" ref="IP7:IV7" si="11">BX21</f>
        <v>35.429437008300006</v>
      </c>
      <c r="IQ7" s="2">
        <f t="shared" si="11"/>
        <v>16.209391437699999</v>
      </c>
      <c r="IR7" s="2">
        <f t="shared" si="11"/>
        <v>117.80943427634</v>
      </c>
      <c r="IS7" s="2">
        <f t="shared" si="11"/>
        <v>729.65148363604442</v>
      </c>
      <c r="IT7" s="2">
        <f t="shared" si="11"/>
        <v>2372.5162144807373</v>
      </c>
      <c r="IU7" s="2">
        <f t="shared" si="11"/>
        <v>1515.6482071383475</v>
      </c>
      <c r="IV7" s="2">
        <f t="shared" si="11"/>
        <v>1745.4471512269556</v>
      </c>
      <c r="IW7" s="2"/>
      <c r="IX7" s="11">
        <f>IO7</f>
        <v>1997</v>
      </c>
      <c r="IY7" s="2">
        <f t="shared" ref="IY7:IY13" si="12">SUM(IP7:IU7)</f>
        <v>4787.2641679774697</v>
      </c>
      <c r="IZ7">
        <f>EXP(JD7)</f>
        <v>4756.9195365418536</v>
      </c>
      <c r="JA7">
        <f t="shared" ref="JA7:JA13" si="13">LN(IY7)</f>
        <v>8.4737143723231032</v>
      </c>
      <c r="JB7">
        <v>0</v>
      </c>
      <c r="JC7">
        <f t="shared" ref="JC7:JC13" si="14">JA7</f>
        <v>8.4737143723231032</v>
      </c>
      <c r="JD7">
        <f>$JG$7+JB7*$JF$7</f>
        <v>8.4673555815408239</v>
      </c>
      <c r="JF7" s="13">
        <f t="array" ref="JF7:JG12">LINEST(JC7:JC13,JB7:JB13,TRUE,TRUE)</f>
        <v>-2.7922328141355448E-2</v>
      </c>
      <c r="JG7">
        <v>8.4673555815408239</v>
      </c>
      <c r="JJ7" t="s">
        <v>41</v>
      </c>
      <c r="JK7" t="s">
        <v>30</v>
      </c>
      <c r="JT7">
        <v>2005</v>
      </c>
      <c r="JU7" s="2">
        <f t="shared" si="0"/>
        <v>12481.297041804262</v>
      </c>
      <c r="JV7" s="2">
        <f t="shared" si="1"/>
        <v>5438.3769144300359</v>
      </c>
      <c r="JW7" s="2">
        <f t="shared" si="1"/>
        <v>9806.0960087019484</v>
      </c>
      <c r="JX7" s="2">
        <f t="shared" si="1"/>
        <v>9712.3691816152623</v>
      </c>
      <c r="JY7" s="2">
        <f t="shared" si="1"/>
        <v>12481.377771247651</v>
      </c>
      <c r="JZ7" s="2">
        <f t="shared" si="1"/>
        <v>8840.2172084159029</v>
      </c>
      <c r="KA7" s="2">
        <f t="shared" si="1"/>
        <v>9824.6386934930324</v>
      </c>
      <c r="KB7" s="344"/>
      <c r="KC7" s="2">
        <f t="shared" ref="KC7:KC12" si="15">GZ8</f>
        <v>72318.450769245828</v>
      </c>
      <c r="KD7" s="2">
        <f t="shared" si="2"/>
        <v>68584.372819708093</v>
      </c>
      <c r="KF7" s="280">
        <f t="shared" ref="KF7:KF19" si="16">KF6+1</f>
        <v>2001</v>
      </c>
      <c r="KG7" s="282">
        <f>DC22</f>
        <v>106257.7265921973</v>
      </c>
    </row>
    <row r="8" spans="3:293" x14ac:dyDescent="0.2">
      <c r="C8" s="281" t="s">
        <v>8</v>
      </c>
      <c r="O8" s="281" t="s">
        <v>8</v>
      </c>
      <c r="AA8" s="274" t="s">
        <v>8</v>
      </c>
      <c r="AM8" s="1" t="s">
        <v>8</v>
      </c>
      <c r="AY8" s="1" t="s">
        <v>8</v>
      </c>
      <c r="BK8" s="1" t="s">
        <v>8</v>
      </c>
      <c r="BW8" s="1" t="s">
        <v>8</v>
      </c>
      <c r="CF8" s="2"/>
      <c r="CG8" s="282"/>
      <c r="CI8" s="1" t="s">
        <v>8</v>
      </c>
      <c r="CR8" s="2"/>
      <c r="CT8" s="1" t="s">
        <v>8</v>
      </c>
      <c r="DC8" s="2"/>
      <c r="DE8" s="1" t="s">
        <v>8</v>
      </c>
      <c r="DN8" s="2"/>
      <c r="DP8" s="1" t="s">
        <v>8</v>
      </c>
      <c r="DS8" t="s">
        <v>26</v>
      </c>
      <c r="DT8" t="s">
        <v>26</v>
      </c>
      <c r="DU8" t="s">
        <v>26</v>
      </c>
      <c r="DV8" t="s">
        <v>26</v>
      </c>
      <c r="DW8" t="s">
        <v>26</v>
      </c>
      <c r="EA8" s="1" t="s">
        <v>8</v>
      </c>
      <c r="ED8" t="s">
        <v>26</v>
      </c>
      <c r="EE8" t="s">
        <v>26</v>
      </c>
      <c r="EF8" t="s">
        <v>26</v>
      </c>
      <c r="EG8" t="s">
        <v>26</v>
      </c>
      <c r="EH8" t="s">
        <v>26</v>
      </c>
      <c r="EL8" s="1" t="s">
        <v>8</v>
      </c>
      <c r="EU8" s="2"/>
      <c r="EX8" s="2"/>
      <c r="EY8" s="282"/>
      <c r="EZ8" s="281" t="s">
        <v>8</v>
      </c>
      <c r="FI8" s="282"/>
      <c r="FJ8" s="282"/>
      <c r="FK8" s="282"/>
      <c r="FL8" s="282"/>
      <c r="FM8" s="282"/>
      <c r="FN8" s="342" t="s">
        <v>8</v>
      </c>
      <c r="FO8" s="341"/>
      <c r="FP8" s="341"/>
      <c r="FQ8" s="341"/>
      <c r="FR8" s="341"/>
      <c r="FS8" s="341"/>
      <c r="FT8" s="341"/>
      <c r="FU8" s="341"/>
      <c r="FV8" s="341"/>
      <c r="FW8" s="344"/>
      <c r="FX8" s="341"/>
      <c r="FY8" s="341"/>
      <c r="FZ8" s="282"/>
      <c r="GA8" s="282"/>
      <c r="GB8" s="282"/>
      <c r="GC8" s="2"/>
      <c r="GD8" s="11">
        <v>1999</v>
      </c>
      <c r="GE8" s="2">
        <f t="shared" ref="GE8:GK8" si="17">CJ18+CJ19</f>
        <v>13731.725805588263</v>
      </c>
      <c r="GF8" s="2">
        <f t="shared" si="17"/>
        <v>5890.630524605147</v>
      </c>
      <c r="GG8" s="2">
        <f t="shared" si="17"/>
        <v>10393.762094314892</v>
      </c>
      <c r="GH8" s="2">
        <f t="shared" si="17"/>
        <v>10272.317825172686</v>
      </c>
      <c r="GI8" s="2">
        <f t="shared" si="17"/>
        <v>12848.628085373453</v>
      </c>
      <c r="GJ8" s="2">
        <f t="shared" si="17"/>
        <v>8834.1477718180067</v>
      </c>
      <c r="GK8" s="2">
        <f t="shared" si="17"/>
        <v>9527.7993463470375</v>
      </c>
      <c r="GL8" s="2">
        <f t="shared" ref="GL8:GL14" si="18">SUM(GE8:GK8)</f>
        <v>71499.011453219486</v>
      </c>
      <c r="GM8" s="11">
        <f t="shared" ref="GM8:GM14" si="19">GD8</f>
        <v>1999</v>
      </c>
      <c r="GN8" s="2">
        <f t="shared" si="4"/>
        <v>61971.212106872452</v>
      </c>
      <c r="GO8">
        <f t="shared" ref="GO8:GO13" si="20">EXP(GS8)</f>
        <v>61463.74709764649</v>
      </c>
      <c r="GP8">
        <f t="shared" si="5"/>
        <v>11.034425235340024</v>
      </c>
      <c r="GQ8">
        <v>2</v>
      </c>
      <c r="GR8">
        <f t="shared" si="6"/>
        <v>11.034425235340024</v>
      </c>
      <c r="GS8">
        <f t="shared" ref="GS8:GS13" si="21">$GV$7+GQ8*$GU$7</f>
        <v>11.026202801897044</v>
      </c>
      <c r="GU8">
        <v>1.8906880444231255E-3</v>
      </c>
      <c r="GV8">
        <v>1.3633945380148633E-2</v>
      </c>
      <c r="GX8" s="11">
        <f t="shared" ref="GX8:GX14" si="22">GM8</f>
        <v>1999</v>
      </c>
      <c r="GY8" s="2">
        <f t="shared" ref="GY8:GY14" si="23">SUM(GE8:GK8)</f>
        <v>71499.011453219486</v>
      </c>
      <c r="GZ8">
        <f t="shared" ref="GZ8:GZ13" si="24">EXP(HD8)</f>
        <v>72318.450769245828</v>
      </c>
      <c r="HA8">
        <f t="shared" ref="HA8:HA13" si="25">LN(GY8)</f>
        <v>11.177438902757423</v>
      </c>
      <c r="HB8">
        <v>0</v>
      </c>
      <c r="HC8">
        <f t="shared" ref="HC8:HC13" si="26">HA8</f>
        <v>11.177438902757423</v>
      </c>
      <c r="HD8">
        <f t="shared" ref="HD8:HD13" si="27">$HG$8+HB8*$HF$8</f>
        <v>11.188834572951178</v>
      </c>
      <c r="HE8">
        <f t="shared" ref="HE8:HE13" si="28">(GY8-GZ8)^2</f>
        <v>671480.7926497201</v>
      </c>
      <c r="HF8" s="13">
        <f t="array" ref="HF8:HG12">LINEST(HC8:HC13,HB8:HB13,TRUE,TRUE)</f>
        <v>-7.6752039456623421E-3</v>
      </c>
      <c r="HG8">
        <v>11.188834572951178</v>
      </c>
      <c r="HJ8" s="11">
        <v>1999</v>
      </c>
      <c r="HK8" s="2">
        <f t="shared" ref="HK8:HQ8" si="29">CJ20</f>
        <v>5759.8137758875009</v>
      </c>
      <c r="HL8" s="2">
        <f t="shared" si="29"/>
        <v>1519.3258619064379</v>
      </c>
      <c r="HM8" s="2">
        <f t="shared" si="29"/>
        <v>1797.9806068493858</v>
      </c>
      <c r="HN8" s="2">
        <f t="shared" si="29"/>
        <v>3354.406284914096</v>
      </c>
      <c r="HO8" s="2">
        <f t="shared" si="29"/>
        <v>5659.8456081821523</v>
      </c>
      <c r="HP8" s="2">
        <f t="shared" si="29"/>
        <v>4403.1582061558338</v>
      </c>
      <c r="HQ8" s="2">
        <f t="shared" si="29"/>
        <v>2021.0920180915298</v>
      </c>
      <c r="HR8" s="2"/>
      <c r="HS8" s="11">
        <f t="shared" ref="HS8:HS14" si="30">HJ8</f>
        <v>1999</v>
      </c>
      <c r="HT8" s="2">
        <f t="shared" si="8"/>
        <v>22494.530343895407</v>
      </c>
      <c r="HU8">
        <f t="shared" ref="HU8:HU13" si="31">EXP(HY8)</f>
        <v>22708.816911853035</v>
      </c>
      <c r="HV8">
        <f t="shared" si="9"/>
        <v>10.021027462813061</v>
      </c>
      <c r="HW8">
        <v>2</v>
      </c>
      <c r="HX8">
        <f t="shared" si="10"/>
        <v>10.021027462813061</v>
      </c>
      <c r="HY8">
        <f t="shared" ref="HY8:HY14" si="32">$IB$7+HW8*$IA$7</f>
        <v>10.030508538271564</v>
      </c>
      <c r="IA8">
        <v>1.2401606733887884E-3</v>
      </c>
      <c r="IB8">
        <v>8.9429257954344518E-3</v>
      </c>
      <c r="ID8" s="11">
        <f t="shared" ref="ID8:ID14" si="33">HS8</f>
        <v>1999</v>
      </c>
      <c r="IE8" s="2">
        <f t="shared" ref="IE8:IE13" si="34">SUM(HK8:HQ8)</f>
        <v>24515.622361986938</v>
      </c>
      <c r="IF8">
        <f t="shared" ref="IF8:IF13" si="35">EXP(IJ8)</f>
        <v>24617.040956059311</v>
      </c>
      <c r="IG8">
        <f t="shared" ref="IG8:IG13" si="36">LN(IE8)</f>
        <v>10.107065840750115</v>
      </c>
      <c r="IH8">
        <v>0</v>
      </c>
      <c r="II8">
        <f t="shared" ref="II8:II13" si="37">IG8</f>
        <v>10.107065840750115</v>
      </c>
      <c r="IJ8">
        <f t="shared" ref="IJ8:IJ13" si="38">$IM$8+IH8*$IL$8</f>
        <v>10.11119420389049</v>
      </c>
      <c r="IK8">
        <f t="shared" ref="IK8:IK14" si="39">(IE8-IF8)^2</f>
        <v>10285.731223616731</v>
      </c>
      <c r="IL8" s="13">
        <f t="array" ref="IL8:IM12">LINEST(II8:II13,IH8:IH13,TRUE,TRUE)</f>
        <v>-6.9704742272293958E-3</v>
      </c>
      <c r="IM8">
        <v>10.11119420389049</v>
      </c>
      <c r="IO8" s="11">
        <v>1999</v>
      </c>
      <c r="IP8" s="2">
        <f t="shared" ref="IP8:IV8" si="40">CJ21</f>
        <v>37.513102551499998</v>
      </c>
      <c r="IQ8" s="2">
        <f t="shared" si="40"/>
        <v>16.261309679299998</v>
      </c>
      <c r="IR8" s="2">
        <f t="shared" si="40"/>
        <v>102.40729552607998</v>
      </c>
      <c r="IS8" s="2">
        <f t="shared" si="40"/>
        <v>601.58513447374332</v>
      </c>
      <c r="IT8" s="2">
        <f t="shared" si="40"/>
        <v>2103.5987465911835</v>
      </c>
      <c r="IU8" s="2">
        <f t="shared" si="40"/>
        <v>1517.6772156534907</v>
      </c>
      <c r="IV8" s="2">
        <f t="shared" si="40"/>
        <v>2400.3862144058899</v>
      </c>
      <c r="IW8" s="2"/>
      <c r="IX8" s="11">
        <f t="shared" ref="IX8:IX14" si="41">IO8</f>
        <v>1999</v>
      </c>
      <c r="IY8" s="2">
        <f t="shared" si="12"/>
        <v>4379.0428044752971</v>
      </c>
      <c r="IZ8">
        <f t="shared" ref="IZ8:IZ13" si="42">EXP(JD8)</f>
        <v>4498.5523556512962</v>
      </c>
      <c r="JA8">
        <f t="shared" si="13"/>
        <v>8.3845854416966006</v>
      </c>
      <c r="JB8">
        <v>2</v>
      </c>
      <c r="JC8">
        <f t="shared" si="14"/>
        <v>8.3845854416966006</v>
      </c>
      <c r="JD8">
        <f t="shared" ref="JD8:JD13" si="43">$JG$7+JB8*$JF$7</f>
        <v>8.4115109252581135</v>
      </c>
      <c r="JF8">
        <v>2.0439247571893775E-3</v>
      </c>
      <c r="JG8">
        <v>1.4738951030473169E-2</v>
      </c>
      <c r="JI8" s="11">
        <f t="shared" ref="JI8:JI14" si="44">IX8</f>
        <v>1999</v>
      </c>
      <c r="JJ8" s="2">
        <f t="shared" ref="JJ8:JJ13" si="45">SUM(IP8:IV8)</f>
        <v>6779.4290188811865</v>
      </c>
      <c r="JK8">
        <f t="shared" ref="JK8:JK13" si="46">EXP(JO8)</f>
        <v>6891.3446811197855</v>
      </c>
      <c r="JL8">
        <f t="shared" ref="JL8:JL13" si="47">LN(JJ8)</f>
        <v>8.821648161883866</v>
      </c>
      <c r="JM8">
        <v>0</v>
      </c>
      <c r="JN8">
        <f t="shared" ref="JN8:JN13" si="48">JL8</f>
        <v>8.821648161883866</v>
      </c>
      <c r="JO8">
        <f t="shared" ref="JO8:JO13" si="49">$JR$8+JM8*$JQ$8</f>
        <v>8.8380215091339842</v>
      </c>
      <c r="JQ8" s="13">
        <f t="array" ref="JQ8:JR12">LINEST(JN8:JN13,JM8:JM13,TRUE,TRUE)</f>
        <v>-1.9275682622631865E-2</v>
      </c>
      <c r="JR8">
        <v>8.8380215091339842</v>
      </c>
      <c r="JT8">
        <v>2007</v>
      </c>
      <c r="JU8" s="2">
        <f t="shared" si="0"/>
        <v>12078.063377388717</v>
      </c>
      <c r="JV8" s="2">
        <f t="shared" si="1"/>
        <v>5429.1595781670403</v>
      </c>
      <c r="JW8" s="2">
        <f t="shared" si="1"/>
        <v>9802.8829778502059</v>
      </c>
      <c r="JX8" s="2">
        <f t="shared" si="1"/>
        <v>9557.115396180654</v>
      </c>
      <c r="JY8" s="2">
        <f t="shared" si="1"/>
        <v>12360.712287146218</v>
      </c>
      <c r="JZ8" s="2">
        <f t="shared" si="1"/>
        <v>8673.202046190574</v>
      </c>
      <c r="KA8" s="2">
        <f t="shared" si="1"/>
        <v>9576.7934702747243</v>
      </c>
      <c r="KB8" s="344"/>
      <c r="KC8" s="2">
        <f t="shared" si="15"/>
        <v>71216.810001447608</v>
      </c>
      <c r="KD8" s="2">
        <f t="shared" si="2"/>
        <v>67477.929133198137</v>
      </c>
      <c r="KF8" s="280">
        <f t="shared" si="16"/>
        <v>2002</v>
      </c>
    </row>
    <row r="9" spans="3:293" x14ac:dyDescent="0.2">
      <c r="C9" s="280" t="s">
        <v>9</v>
      </c>
      <c r="D9" s="282">
        <v>1920.7658259109396</v>
      </c>
      <c r="E9" s="282">
        <v>1598.6233293512698</v>
      </c>
      <c r="F9" s="282">
        <v>1724.7492915114428</v>
      </c>
      <c r="G9" s="282">
        <v>1799.7006014883823</v>
      </c>
      <c r="H9" s="282">
        <v>1761.8850232351749</v>
      </c>
      <c r="I9" s="282">
        <v>1866.9983173557009</v>
      </c>
      <c r="J9" s="282">
        <v>2008.4275683865551</v>
      </c>
      <c r="K9" s="282"/>
      <c r="L9" s="282">
        <v>1799.1388139863623</v>
      </c>
      <c r="O9" s="280" t="s">
        <v>9</v>
      </c>
      <c r="P9" s="282">
        <v>1922</v>
      </c>
      <c r="Q9" s="282">
        <v>1625</v>
      </c>
      <c r="R9" s="282">
        <v>1731</v>
      </c>
      <c r="S9" s="282">
        <v>1796</v>
      </c>
      <c r="T9" s="282">
        <v>1783</v>
      </c>
      <c r="U9" s="282">
        <v>1873</v>
      </c>
      <c r="V9" s="282">
        <v>1970</v>
      </c>
      <c r="W9" s="282"/>
      <c r="X9" s="282">
        <v>1807</v>
      </c>
      <c r="AA9" s="273" t="s">
        <v>9</v>
      </c>
      <c r="AB9" s="275">
        <v>1916</v>
      </c>
      <c r="AC9" s="275">
        <v>1643</v>
      </c>
      <c r="AD9" s="275">
        <v>1701</v>
      </c>
      <c r="AE9" s="275">
        <v>1753</v>
      </c>
      <c r="AF9" s="275">
        <v>1769</v>
      </c>
      <c r="AG9" s="275">
        <v>1912</v>
      </c>
      <c r="AH9" s="275">
        <v>2100</v>
      </c>
      <c r="AI9" s="275"/>
      <c r="AJ9" s="275">
        <v>1839</v>
      </c>
      <c r="AM9" t="s">
        <v>9</v>
      </c>
      <c r="AN9" s="2">
        <v>1897</v>
      </c>
      <c r="AO9" s="2">
        <v>1586</v>
      </c>
      <c r="AP9" s="2">
        <v>1699</v>
      </c>
      <c r="AQ9" s="2">
        <v>1799</v>
      </c>
      <c r="AR9" s="2">
        <v>1767</v>
      </c>
      <c r="AS9" s="2">
        <v>1891</v>
      </c>
      <c r="AT9" s="2">
        <v>2077</v>
      </c>
      <c r="AU9" s="2"/>
      <c r="AV9" s="2">
        <v>1822</v>
      </c>
      <c r="AY9" t="s">
        <v>9</v>
      </c>
      <c r="AZ9" s="2">
        <v>1892.5649723840529</v>
      </c>
      <c r="BA9" s="2">
        <v>1602.0989522475386</v>
      </c>
      <c r="BB9" s="2">
        <v>1706.8764396334288</v>
      </c>
      <c r="BC9" s="2">
        <v>1785.7391655436518</v>
      </c>
      <c r="BD9" s="2">
        <v>1792.7012534868566</v>
      </c>
      <c r="BE9" s="2">
        <v>1907.9953465374174</v>
      </c>
      <c r="BF9" s="2">
        <v>2107.5004006878162</v>
      </c>
      <c r="BG9" s="2"/>
      <c r="BH9" s="2">
        <v>1823.9365262620652</v>
      </c>
      <c r="BK9" t="s">
        <v>9</v>
      </c>
      <c r="BL9" s="2">
        <v>1926.3749241823216</v>
      </c>
      <c r="BM9" s="2">
        <v>1582.2045203897098</v>
      </c>
      <c r="BN9" s="2">
        <v>1739.2111665850332</v>
      </c>
      <c r="BO9" s="2">
        <v>1763.355298704839</v>
      </c>
      <c r="BP9" s="2">
        <v>1780.9160870953956</v>
      </c>
      <c r="BQ9" s="2">
        <v>1924.7074547709699</v>
      </c>
      <c r="BR9" s="2">
        <v>2099.1590341835745</v>
      </c>
      <c r="BS9" s="2"/>
      <c r="BT9" s="2">
        <v>1846.0922187919045</v>
      </c>
      <c r="BW9" t="s">
        <v>9</v>
      </c>
      <c r="BX9" s="2">
        <v>1996.4134368423317</v>
      </c>
      <c r="BY9" s="2">
        <v>1672.9230047618762</v>
      </c>
      <c r="BZ9" s="2">
        <v>1770.2466473796451</v>
      </c>
      <c r="CA9" s="2">
        <v>1855.6702679866166</v>
      </c>
      <c r="CB9" s="2">
        <v>1874.4216643360774</v>
      </c>
      <c r="CC9" s="2">
        <v>1965.2685700753784</v>
      </c>
      <c r="CD9" s="2">
        <v>2094.2471199836855</v>
      </c>
      <c r="CE9" s="2"/>
      <c r="CF9" s="2">
        <v>1899.0270119536222</v>
      </c>
      <c r="CG9" s="282"/>
      <c r="CI9" t="s">
        <v>9</v>
      </c>
      <c r="CJ9" s="2">
        <v>2059.0938049463925</v>
      </c>
      <c r="CK9" s="2">
        <v>1679.9524293765876</v>
      </c>
      <c r="CL9" s="2">
        <v>1797.8980952481329</v>
      </c>
      <c r="CM9" s="2">
        <v>1907.1695378386801</v>
      </c>
      <c r="CN9" s="2">
        <v>1959.7477517471639</v>
      </c>
      <c r="CO9" s="2">
        <v>2096.3273713069693</v>
      </c>
      <c r="CP9" s="2">
        <v>2367.757699692243</v>
      </c>
      <c r="CQ9" s="2"/>
      <c r="CR9" s="2">
        <v>2005.2287052455326</v>
      </c>
      <c r="CT9" t="s">
        <v>9</v>
      </c>
      <c r="CU9" s="2">
        <v>2100.4686210120335</v>
      </c>
      <c r="CV9" s="2">
        <v>1654.4578013063092</v>
      </c>
      <c r="CW9" s="2">
        <v>1771.7256309300935</v>
      </c>
      <c r="CX9" s="2">
        <v>1877.1108635156463</v>
      </c>
      <c r="CY9" s="2">
        <v>1938.0072126703781</v>
      </c>
      <c r="CZ9" s="2">
        <v>2073.8805341206553</v>
      </c>
      <c r="DA9" s="2">
        <v>2310.6743095902211</v>
      </c>
      <c r="DB9" s="2">
        <v>2592.6430573000794</v>
      </c>
      <c r="DC9" s="2">
        <v>2002.6255448473948</v>
      </c>
      <c r="DE9" t="s">
        <v>9</v>
      </c>
      <c r="DF9" s="2">
        <v>2112.1386670231454</v>
      </c>
      <c r="DG9" s="2">
        <v>1698.8204739577982</v>
      </c>
      <c r="DH9" s="2">
        <v>1817.563221237127</v>
      </c>
      <c r="DI9" s="2">
        <v>1922.5391178524303</v>
      </c>
      <c r="DJ9" s="2">
        <v>1968.7122096295616</v>
      </c>
      <c r="DK9" s="2">
        <v>2119.598983879856</v>
      </c>
      <c r="DL9" s="2">
        <v>2371.5105363007224</v>
      </c>
      <c r="DM9" s="2">
        <v>2642.7841264157109</v>
      </c>
      <c r="DN9" s="2">
        <v>2061.5203873737855</v>
      </c>
      <c r="DP9" t="s">
        <v>9</v>
      </c>
      <c r="DQ9" s="2">
        <v>2135.7778485679491</v>
      </c>
      <c r="DR9" s="2">
        <v>1731.2190943168996</v>
      </c>
      <c r="DS9" s="2">
        <v>1823.5063629784581</v>
      </c>
      <c r="DT9" s="2">
        <v>1958.8289669605517</v>
      </c>
      <c r="DU9" s="2">
        <v>2048.1505540768549</v>
      </c>
      <c r="DV9" s="2">
        <v>2191.3083036484618</v>
      </c>
      <c r="DW9" s="2">
        <v>2439.851853426293</v>
      </c>
      <c r="DX9" s="2">
        <v>2705.5282206264014</v>
      </c>
      <c r="DY9" s="2">
        <v>2132.1749141281994</v>
      </c>
      <c r="EA9" t="s">
        <v>9</v>
      </c>
      <c r="EB9" s="2">
        <v>2158.1765961374376</v>
      </c>
      <c r="EC9" s="2">
        <v>1710.3652050246358</v>
      </c>
      <c r="ED9" s="2">
        <v>1818.1344353006348</v>
      </c>
      <c r="EE9" s="2">
        <v>1990.3683835292979</v>
      </c>
      <c r="EF9" s="2">
        <v>2030.43519568804</v>
      </c>
      <c r="EG9" s="2">
        <v>2173.30629449956</v>
      </c>
      <c r="EH9" s="2">
        <v>2413.7927401318448</v>
      </c>
      <c r="EI9" s="2">
        <v>2688.2596058476156</v>
      </c>
      <c r="EJ9" s="2">
        <v>2144.1387372624781</v>
      </c>
      <c r="EL9" t="s">
        <v>9</v>
      </c>
      <c r="EM9" s="2">
        <v>2150.0590074216625</v>
      </c>
      <c r="EN9" s="2">
        <v>1736.7146967541503</v>
      </c>
      <c r="EO9" s="2">
        <v>1789.7289991745522</v>
      </c>
      <c r="EP9" s="2">
        <v>2033.6498526214361</v>
      </c>
      <c r="EQ9" s="2">
        <v>2063.753348675325</v>
      </c>
      <c r="ER9" s="2">
        <v>2158.4766802924005</v>
      </c>
      <c r="ES9" s="2">
        <v>2421.6003389707967</v>
      </c>
      <c r="ET9" s="2">
        <v>2640.3620226372905</v>
      </c>
      <c r="EU9" s="2">
        <v>2157.5500543334942</v>
      </c>
      <c r="EX9" s="2"/>
      <c r="EY9" s="282"/>
      <c r="EZ9" s="280" t="s">
        <v>9</v>
      </c>
      <c r="FA9" s="282">
        <v>2103.4705924193645</v>
      </c>
      <c r="FB9" s="282">
        <v>1742.3310343362093</v>
      </c>
      <c r="FC9" s="282">
        <v>1839.5024910661125</v>
      </c>
      <c r="FD9" s="282">
        <v>1981.6918164491383</v>
      </c>
      <c r="FE9" s="282">
        <v>2058.7405494814939</v>
      </c>
      <c r="FF9" s="282">
        <v>2119.8674015397519</v>
      </c>
      <c r="FG9" s="282">
        <v>2422.6887317022474</v>
      </c>
      <c r="FH9" s="282">
        <v>2748.852874416687</v>
      </c>
      <c r="FI9" s="289">
        <v>2168.8563181406221</v>
      </c>
      <c r="FJ9" s="282"/>
      <c r="FK9" s="282"/>
      <c r="FL9" s="282"/>
      <c r="FM9" s="282"/>
      <c r="FN9" s="341" t="s">
        <v>9</v>
      </c>
      <c r="FO9" s="344">
        <v>2048.8403926881083</v>
      </c>
      <c r="FP9" s="344">
        <v>1821.3941705121099</v>
      </c>
      <c r="FQ9" s="344">
        <v>1790.1201299607126</v>
      </c>
      <c r="FR9" s="344">
        <v>1981.7837594080324</v>
      </c>
      <c r="FS9" s="344">
        <v>2068.7454024815875</v>
      </c>
      <c r="FT9" s="344">
        <v>2114.7169441121432</v>
      </c>
      <c r="FU9" s="344">
        <v>2408.409568943855</v>
      </c>
      <c r="FV9" s="344">
        <v>2608.899334919955</v>
      </c>
      <c r="FW9" s="289">
        <v>2147.5019338858456</v>
      </c>
      <c r="FX9" s="341"/>
      <c r="FY9" s="341"/>
      <c r="FZ9" s="282"/>
      <c r="GA9" s="282"/>
      <c r="GB9" s="282"/>
      <c r="GC9" s="2"/>
      <c r="GD9" s="11">
        <v>2001</v>
      </c>
      <c r="GE9" s="2">
        <f t="shared" ref="GE9:GK9" si="50">CU18+CU19</f>
        <v>13789.339534451954</v>
      </c>
      <c r="GF9" s="2">
        <f t="shared" si="50"/>
        <v>5828.8465457168131</v>
      </c>
      <c r="GG9" s="2">
        <f t="shared" si="50"/>
        <v>10535.531481864553</v>
      </c>
      <c r="GH9" s="2">
        <f t="shared" si="50"/>
        <v>10345.51575882086</v>
      </c>
      <c r="GI9" s="2">
        <f t="shared" si="50"/>
        <v>13273.609398621491</v>
      </c>
      <c r="GJ9" s="2">
        <f t="shared" si="50"/>
        <v>8932.7566775058731</v>
      </c>
      <c r="GK9" s="2">
        <f t="shared" si="50"/>
        <v>9912.1062027953794</v>
      </c>
      <c r="GL9" s="2">
        <f t="shared" si="18"/>
        <v>72617.70559977692</v>
      </c>
      <c r="GM9" s="11">
        <f t="shared" si="19"/>
        <v>2001</v>
      </c>
      <c r="GN9" s="2">
        <f t="shared" si="4"/>
        <v>62705.599396981546</v>
      </c>
      <c r="GO9">
        <f t="shared" si="20"/>
        <v>60732.456969175495</v>
      </c>
      <c r="GP9">
        <f t="shared" si="5"/>
        <v>11.046206027210653</v>
      </c>
      <c r="GQ9">
        <v>4</v>
      </c>
      <c r="GR9">
        <f t="shared" si="6"/>
        <v>11.046206027210653</v>
      </c>
      <c r="GS9">
        <f t="shared" si="21"/>
        <v>11.014233545329555</v>
      </c>
      <c r="GU9">
        <v>0.66709358540264352</v>
      </c>
      <c r="GV9">
        <v>2.0009161489386529E-2</v>
      </c>
      <c r="GX9" s="11">
        <f t="shared" si="22"/>
        <v>2001</v>
      </c>
      <c r="GY9" s="2">
        <f t="shared" si="23"/>
        <v>72617.70559977692</v>
      </c>
      <c r="GZ9">
        <f t="shared" si="24"/>
        <v>71216.810001447608</v>
      </c>
      <c r="HA9">
        <f t="shared" si="25"/>
        <v>11.192964049864097</v>
      </c>
      <c r="HB9">
        <v>2</v>
      </c>
      <c r="HC9">
        <f t="shared" si="26"/>
        <v>11.192964049864097</v>
      </c>
      <c r="HD9">
        <f t="shared" si="27"/>
        <v>11.173484165059854</v>
      </c>
      <c r="HE9">
        <f t="shared" si="28"/>
        <v>1962508.477418443</v>
      </c>
      <c r="HF9" s="15">
        <v>1.5373806356946832E-3</v>
      </c>
      <c r="HG9">
        <v>9.3093020520872687E-3</v>
      </c>
      <c r="HJ9" s="11">
        <v>2001</v>
      </c>
      <c r="HK9" s="2">
        <f t="shared" ref="HK9:HQ9" si="51">CU20</f>
        <v>5375.390605161022</v>
      </c>
      <c r="HL9" s="2">
        <f t="shared" si="51"/>
        <v>1425.8982580970769</v>
      </c>
      <c r="HM9" s="2">
        <f t="shared" si="51"/>
        <v>1864.9057159787992</v>
      </c>
      <c r="HN9" s="2">
        <f t="shared" si="51"/>
        <v>3456.4629761369074</v>
      </c>
      <c r="HO9" s="2">
        <f t="shared" si="51"/>
        <v>5550.1231868986506</v>
      </c>
      <c r="HP9" s="2">
        <f t="shared" si="51"/>
        <v>4365.8980092340289</v>
      </c>
      <c r="HQ9" s="2">
        <f t="shared" si="51"/>
        <v>2190.3728615456898</v>
      </c>
      <c r="HR9" s="2"/>
      <c r="HS9" s="11">
        <f t="shared" si="30"/>
        <v>2001</v>
      </c>
      <c r="HT9" s="2">
        <f t="shared" si="8"/>
        <v>22038.678751506486</v>
      </c>
      <c r="HU9">
        <f t="shared" si="31"/>
        <v>22299.825663072574</v>
      </c>
      <c r="HV9">
        <f t="shared" si="9"/>
        <v>10.000554313716123</v>
      </c>
      <c r="HW9">
        <v>4</v>
      </c>
      <c r="HX9">
        <f t="shared" si="10"/>
        <v>10.000554313716123</v>
      </c>
      <c r="HY9">
        <f t="shared" si="32"/>
        <v>10.012334139618215</v>
      </c>
      <c r="IA9">
        <v>0.91480854800864309</v>
      </c>
      <c r="IB9">
        <v>1.3124626910196533E-2</v>
      </c>
      <c r="ID9" s="11">
        <f t="shared" si="33"/>
        <v>2001</v>
      </c>
      <c r="IE9" s="2">
        <f t="shared" si="34"/>
        <v>24229.051613052176</v>
      </c>
      <c r="IF9">
        <f t="shared" si="35"/>
        <v>24276.23714078567</v>
      </c>
      <c r="IG9">
        <f t="shared" si="36"/>
        <v>10.09530767202317</v>
      </c>
      <c r="IH9">
        <v>2</v>
      </c>
      <c r="II9">
        <f t="shared" si="37"/>
        <v>10.09530767202317</v>
      </c>
      <c r="IJ9">
        <f t="shared" si="38"/>
        <v>10.097253255436032</v>
      </c>
      <c r="IK9">
        <f t="shared" si="39"/>
        <v>2226.4740274883675</v>
      </c>
      <c r="IL9" s="15">
        <v>1.2264352077008289E-3</v>
      </c>
      <c r="IM9">
        <v>7.4264339817460912E-3</v>
      </c>
      <c r="IO9" s="11">
        <v>2001</v>
      </c>
      <c r="IP9" s="2">
        <f t="shared" ref="IP9:IV9" si="52">CU21</f>
        <v>56.140796059100005</v>
      </c>
      <c r="IQ9" s="2">
        <f t="shared" si="52"/>
        <v>23.506495982300002</v>
      </c>
      <c r="IR9" s="2">
        <f t="shared" si="52"/>
        <v>100.69828062954001</v>
      </c>
      <c r="IS9" s="2">
        <f t="shared" si="52"/>
        <v>594.31925623098221</v>
      </c>
      <c r="IT9" s="2">
        <f t="shared" si="52"/>
        <v>2093.3308423382309</v>
      </c>
      <c r="IU9" s="2">
        <f t="shared" si="52"/>
        <v>1530.4189350944616</v>
      </c>
      <c r="IV9" s="2">
        <f t="shared" si="52"/>
        <v>2439.2343082056095</v>
      </c>
      <c r="IW9" s="2"/>
      <c r="IX9" s="11">
        <f t="shared" si="41"/>
        <v>2001</v>
      </c>
      <c r="IY9" s="2">
        <f t="shared" si="12"/>
        <v>4398.4146063346143</v>
      </c>
      <c r="IZ9">
        <f t="shared" si="42"/>
        <v>4254.218121849397</v>
      </c>
      <c r="JA9">
        <f t="shared" si="13"/>
        <v>8.3889994382345456</v>
      </c>
      <c r="JB9">
        <v>4</v>
      </c>
      <c r="JC9">
        <f t="shared" si="14"/>
        <v>8.3889994382345456</v>
      </c>
      <c r="JD9">
        <f t="shared" si="43"/>
        <v>8.3556662689754013</v>
      </c>
      <c r="JF9">
        <v>0.97390758322968196</v>
      </c>
      <c r="JG9">
        <v>2.1630866424204687E-2</v>
      </c>
      <c r="JI9" s="11">
        <f t="shared" si="44"/>
        <v>2001</v>
      </c>
      <c r="JJ9" s="2">
        <f t="shared" si="45"/>
        <v>6837.6489145402238</v>
      </c>
      <c r="JK9">
        <f t="shared" si="46"/>
        <v>6630.7297426566884</v>
      </c>
      <c r="JL9">
        <f t="shared" si="47"/>
        <v>8.8301992255848809</v>
      </c>
      <c r="JM9">
        <v>2</v>
      </c>
      <c r="JN9">
        <f t="shared" si="48"/>
        <v>8.8301992255848809</v>
      </c>
      <c r="JO9">
        <f t="shared" si="49"/>
        <v>8.7994701438887208</v>
      </c>
      <c r="JQ9" s="15">
        <v>2.1885367050358496E-3</v>
      </c>
      <c r="JR9">
        <v>1.3252247859914294E-2</v>
      </c>
      <c r="JT9">
        <v>2009</v>
      </c>
      <c r="JU9" s="2">
        <f t="shared" si="0"/>
        <v>12070.971824672715</v>
      </c>
      <c r="JV9" s="2">
        <f t="shared" si="1"/>
        <v>5406.101715699635</v>
      </c>
      <c r="JW9" s="2">
        <f t="shared" si="1"/>
        <v>10035.850078851259</v>
      </c>
      <c r="JX9" s="2">
        <f t="shared" si="1"/>
        <v>9691.9670145747459</v>
      </c>
      <c r="JY9" s="2">
        <f t="shared" si="1"/>
        <v>12131.638337768671</v>
      </c>
      <c r="JZ9" s="2">
        <f t="shared" si="1"/>
        <v>8634.0608837270975</v>
      </c>
      <c r="KA9" s="2">
        <f t="shared" si="1"/>
        <v>9439.5839263324015</v>
      </c>
      <c r="KB9" s="344"/>
      <c r="KC9" s="2">
        <f t="shared" si="15"/>
        <v>70131.950737793304</v>
      </c>
      <c r="KD9" s="2">
        <f t="shared" si="2"/>
        <v>67410.173781626538</v>
      </c>
      <c r="KF9" s="280">
        <f t="shared" si="16"/>
        <v>2003</v>
      </c>
      <c r="KG9" s="282">
        <f>DN22</f>
        <v>105839.67536320801</v>
      </c>
    </row>
    <row r="10" spans="3:293" x14ac:dyDescent="0.2">
      <c r="C10" s="280" t="s">
        <v>10</v>
      </c>
      <c r="D10" s="282">
        <v>1922.6881190272645</v>
      </c>
      <c r="E10" s="282">
        <v>1610.251412277903</v>
      </c>
      <c r="F10" s="282">
        <v>1730.0285359259844</v>
      </c>
      <c r="G10" s="282">
        <v>1805.7402736086419</v>
      </c>
      <c r="H10" s="282">
        <v>1764.4922987959267</v>
      </c>
      <c r="I10" s="282">
        <v>1874.7669191907914</v>
      </c>
      <c r="J10" s="282">
        <v>2035.7214595128678</v>
      </c>
      <c r="K10" s="282"/>
      <c r="L10" s="282">
        <v>1805.3963606012105</v>
      </c>
      <c r="O10" s="280" t="s">
        <v>10</v>
      </c>
      <c r="P10" s="282">
        <v>1927</v>
      </c>
      <c r="Q10" s="282">
        <v>1633</v>
      </c>
      <c r="R10" s="282">
        <v>1732</v>
      </c>
      <c r="S10" s="282">
        <v>1804</v>
      </c>
      <c r="T10" s="282">
        <v>1789</v>
      </c>
      <c r="U10" s="282">
        <v>1887</v>
      </c>
      <c r="V10" s="282">
        <v>1992</v>
      </c>
      <c r="W10" s="282"/>
      <c r="X10" s="282">
        <v>1815</v>
      </c>
      <c r="AA10" s="273" t="s">
        <v>10</v>
      </c>
      <c r="AB10" s="275">
        <v>1907</v>
      </c>
      <c r="AC10" s="275">
        <v>1646</v>
      </c>
      <c r="AD10" s="275">
        <v>1698</v>
      </c>
      <c r="AE10" s="275">
        <v>1760</v>
      </c>
      <c r="AF10" s="275">
        <v>1764</v>
      </c>
      <c r="AG10" s="275">
        <v>1905</v>
      </c>
      <c r="AH10" s="275">
        <v>2097</v>
      </c>
      <c r="AI10" s="275"/>
      <c r="AJ10" s="275">
        <v>1832</v>
      </c>
      <c r="AM10" t="s">
        <v>10</v>
      </c>
      <c r="AN10" s="2">
        <v>1897</v>
      </c>
      <c r="AO10" s="2">
        <v>1588</v>
      </c>
      <c r="AP10" s="2">
        <v>1694</v>
      </c>
      <c r="AQ10" s="2">
        <v>1806</v>
      </c>
      <c r="AR10" s="2">
        <v>1772</v>
      </c>
      <c r="AS10" s="2">
        <v>1878</v>
      </c>
      <c r="AT10" s="2">
        <v>2072</v>
      </c>
      <c r="AU10" s="2"/>
      <c r="AV10" s="2">
        <v>1818</v>
      </c>
      <c r="AY10" t="s">
        <v>10</v>
      </c>
      <c r="AZ10" s="2">
        <v>1897.5934513659126</v>
      </c>
      <c r="BA10" s="2">
        <v>1594.3776001713904</v>
      </c>
      <c r="BB10" s="2">
        <v>1710.8951742988154</v>
      </c>
      <c r="BC10" s="2">
        <v>1790.4850600433167</v>
      </c>
      <c r="BD10" s="2">
        <v>1795.8151168720208</v>
      </c>
      <c r="BE10" s="2">
        <v>1898.1860176882426</v>
      </c>
      <c r="BF10" s="2">
        <v>2109.2096304899405</v>
      </c>
      <c r="BG10" s="2"/>
      <c r="BH10" s="2">
        <v>1824.9411839081097</v>
      </c>
      <c r="BK10" t="s">
        <v>10</v>
      </c>
      <c r="BL10" s="2">
        <v>1933.9854835553069</v>
      </c>
      <c r="BM10" s="2">
        <v>1579.8244707836309</v>
      </c>
      <c r="BN10" s="2">
        <v>1730.96804310728</v>
      </c>
      <c r="BO10" s="2">
        <v>1763.3724968825745</v>
      </c>
      <c r="BP10" s="2">
        <v>1774.9920397902556</v>
      </c>
      <c r="BQ10" s="2">
        <v>1930.9139271845895</v>
      </c>
      <c r="BR10" s="2">
        <v>2094.4086484392947</v>
      </c>
      <c r="BS10" s="2"/>
      <c r="BT10" s="2">
        <v>1845.1087690380637</v>
      </c>
      <c r="BW10" t="s">
        <v>10</v>
      </c>
      <c r="BX10" s="2">
        <v>1997.5851110151768</v>
      </c>
      <c r="BY10" s="2">
        <v>1674.6055178593069</v>
      </c>
      <c r="BZ10" s="2">
        <v>1779.5066540512069</v>
      </c>
      <c r="CA10" s="2">
        <v>1925.3997584605781</v>
      </c>
      <c r="CB10" s="2">
        <v>2042.2658086580211</v>
      </c>
      <c r="CC10" s="2">
        <v>2132.3891944693196</v>
      </c>
      <c r="CD10" s="2">
        <v>2305.1821290917137</v>
      </c>
      <c r="CE10" s="2"/>
      <c r="CF10" s="2">
        <v>1979.4063440953928</v>
      </c>
      <c r="CG10" s="282"/>
      <c r="CI10" t="s">
        <v>10</v>
      </c>
      <c r="CJ10" s="2">
        <v>2062.095493865781</v>
      </c>
      <c r="CK10" s="2">
        <v>1682.1080828912261</v>
      </c>
      <c r="CL10" s="2">
        <v>1806.8204642347928</v>
      </c>
      <c r="CM10" s="2">
        <v>1970.1094811246001</v>
      </c>
      <c r="CN10" s="2">
        <v>2126.4913459739028</v>
      </c>
      <c r="CO10" s="2">
        <v>2292.4067915645874</v>
      </c>
      <c r="CP10" s="2">
        <v>2644.4967976712792</v>
      </c>
      <c r="CQ10" s="2"/>
      <c r="CR10" s="2">
        <v>2094.1050292888108</v>
      </c>
      <c r="CT10" t="s">
        <v>10</v>
      </c>
      <c r="CU10" s="2">
        <v>2105.6902276496503</v>
      </c>
      <c r="CV10" s="2">
        <v>1657.7118386165193</v>
      </c>
      <c r="CW10" s="2">
        <v>1779.7452130337331</v>
      </c>
      <c r="CX10" s="2">
        <v>1935.3147504470812</v>
      </c>
      <c r="CY10" s="2">
        <v>2090.5783492918504</v>
      </c>
      <c r="CZ10" s="2">
        <v>2257.6869388707464</v>
      </c>
      <c r="DA10" s="2">
        <v>2556.3547916629814</v>
      </c>
      <c r="DB10" s="2">
        <v>2744.0733890484944</v>
      </c>
      <c r="DC10" s="2">
        <v>2085.0245213630815</v>
      </c>
      <c r="DE10" t="s">
        <v>10</v>
      </c>
      <c r="DF10" s="2">
        <v>2117.124187191137</v>
      </c>
      <c r="DG10" s="2">
        <v>1701.8620250413685</v>
      </c>
      <c r="DH10" s="2">
        <v>1824.3814910962265</v>
      </c>
      <c r="DI10" s="2">
        <v>1981.0999048705478</v>
      </c>
      <c r="DJ10" s="2">
        <v>2115.4026801843261</v>
      </c>
      <c r="DK10" s="2">
        <v>2283.4811760199682</v>
      </c>
      <c r="DL10" s="2">
        <v>2585.8117150204412</v>
      </c>
      <c r="DM10" s="2">
        <v>2793.5618945689735</v>
      </c>
      <c r="DN10" s="2">
        <v>2140.4658196641531</v>
      </c>
      <c r="DP10" t="s">
        <v>10</v>
      </c>
      <c r="DQ10" s="2">
        <v>2139.6832562987315</v>
      </c>
      <c r="DR10" s="2">
        <v>1735.5144635018987</v>
      </c>
      <c r="DS10" s="2">
        <v>1828.5342381042065</v>
      </c>
      <c r="DT10" s="2">
        <v>2002.2007680523723</v>
      </c>
      <c r="DU10" s="2">
        <v>2144.7622946578635</v>
      </c>
      <c r="DV10" s="2">
        <v>2336.9633291120886</v>
      </c>
      <c r="DW10" s="2">
        <v>2649.0001964736134</v>
      </c>
      <c r="DX10" s="2">
        <v>2837.6438640000997</v>
      </c>
      <c r="DY10" s="2">
        <v>2198.695283544218</v>
      </c>
      <c r="EA10" t="s">
        <v>10</v>
      </c>
      <c r="EB10" s="2">
        <v>2162.3018609288015</v>
      </c>
      <c r="EC10" s="2">
        <v>1716.7972605580189</v>
      </c>
      <c r="ED10" s="2">
        <v>1821.5274559185286</v>
      </c>
      <c r="EE10" s="2">
        <v>2028.8721542690894</v>
      </c>
      <c r="EF10" s="2">
        <v>2132.0287181961885</v>
      </c>
      <c r="EG10" s="2">
        <v>2328.3959250928865</v>
      </c>
      <c r="EH10" s="2">
        <v>2625.3262535606955</v>
      </c>
      <c r="EI10" s="2">
        <v>2821.4566221808273</v>
      </c>
      <c r="EJ10" s="2">
        <v>2214.3196937967141</v>
      </c>
      <c r="EL10" t="s">
        <v>10</v>
      </c>
      <c r="EM10" s="2">
        <v>2153.0962964771411</v>
      </c>
      <c r="EN10" s="2">
        <v>1746.7204567882445</v>
      </c>
      <c r="EO10" s="2">
        <v>1793.2839151826611</v>
      </c>
      <c r="EP10" s="2">
        <v>2071.8993859042007</v>
      </c>
      <c r="EQ10" s="2">
        <v>2164.3117402158668</v>
      </c>
      <c r="ER10" s="2">
        <v>2309.1220687940768</v>
      </c>
      <c r="ES10" s="2">
        <v>2605.8848284183741</v>
      </c>
      <c r="ET10" s="2">
        <v>2749.0056136092444</v>
      </c>
      <c r="EU10" s="2">
        <v>2221.4490661673394</v>
      </c>
      <c r="EX10" s="2"/>
      <c r="EY10" s="282"/>
      <c r="EZ10" s="280" t="s">
        <v>10</v>
      </c>
      <c r="FA10" s="282">
        <v>2107.7609031239349</v>
      </c>
      <c r="FB10" s="282">
        <v>1751.788686363836</v>
      </c>
      <c r="FC10" s="282">
        <v>1843.6956225137676</v>
      </c>
      <c r="FD10" s="282">
        <v>2020.7212024198086</v>
      </c>
      <c r="FE10" s="282">
        <v>2162.6216171323003</v>
      </c>
      <c r="FF10" s="282">
        <v>2299.8032450450528</v>
      </c>
      <c r="FG10" s="282">
        <v>2651.2700755326687</v>
      </c>
      <c r="FH10" s="282">
        <v>2876.6703139999527</v>
      </c>
      <c r="FI10" s="289">
        <v>2244.9795655531025</v>
      </c>
      <c r="FJ10" s="282"/>
      <c r="FK10" s="282"/>
      <c r="FL10" s="282"/>
      <c r="FM10" s="282"/>
      <c r="FN10" s="341" t="s">
        <v>10</v>
      </c>
      <c r="FO10" s="344">
        <v>2051.1797986340152</v>
      </c>
      <c r="FP10" s="344">
        <v>1830.86718300644</v>
      </c>
      <c r="FQ10" s="344">
        <v>1793.6924155914764</v>
      </c>
      <c r="FR10" s="344">
        <v>2022.4277698157296</v>
      </c>
      <c r="FS10" s="344">
        <v>2172.0472756728959</v>
      </c>
      <c r="FT10" s="344">
        <v>2271.1872792864888</v>
      </c>
      <c r="FU10" s="344">
        <v>2585.3229937190786</v>
      </c>
      <c r="FV10" s="344">
        <v>2713.3237223172955</v>
      </c>
      <c r="FW10" s="289">
        <v>2212.504902323004</v>
      </c>
      <c r="FX10" s="341"/>
      <c r="FY10" s="341"/>
      <c r="FZ10" s="282"/>
      <c r="GA10" s="282"/>
      <c r="GB10" s="282"/>
      <c r="GC10" s="2"/>
      <c r="GD10" s="11">
        <v>2003</v>
      </c>
      <c r="GE10" s="2">
        <f t="shared" ref="GE10:GK10" si="53">+DF18+DF19</f>
        <v>13166.365635428274</v>
      </c>
      <c r="GF10" s="2">
        <f t="shared" si="53"/>
        <v>5593.1359783909338</v>
      </c>
      <c r="GG10" s="2">
        <f t="shared" si="53"/>
        <v>10018.711324909014</v>
      </c>
      <c r="GH10" s="2">
        <f t="shared" si="53"/>
        <v>9859.4062327653228</v>
      </c>
      <c r="GI10" s="2">
        <f t="shared" si="53"/>
        <v>12808.310514938008</v>
      </c>
      <c r="GJ10" s="2">
        <f t="shared" si="53"/>
        <v>8871.2601802033496</v>
      </c>
      <c r="GK10" s="2">
        <f t="shared" si="53"/>
        <v>9834.9297807339226</v>
      </c>
      <c r="GL10" s="2">
        <f t="shared" si="18"/>
        <v>70152.119647368818</v>
      </c>
      <c r="GM10" s="11">
        <f t="shared" si="19"/>
        <v>2003</v>
      </c>
      <c r="GN10" s="2">
        <f t="shared" si="4"/>
        <v>60317.189866634901</v>
      </c>
      <c r="GO10">
        <f t="shared" si="20"/>
        <v>60009.867664804202</v>
      </c>
      <c r="GP10">
        <f t="shared" si="5"/>
        <v>11.00737241450503</v>
      </c>
      <c r="GQ10">
        <v>6</v>
      </c>
      <c r="GR10">
        <f t="shared" si="6"/>
        <v>11.00737241450503</v>
      </c>
      <c r="GS10">
        <f t="shared" si="21"/>
        <v>11.002264288762067</v>
      </c>
      <c r="GU10">
        <v>10.019235979719404</v>
      </c>
      <c r="GV10">
        <v>5</v>
      </c>
      <c r="GX10" s="11">
        <f t="shared" si="22"/>
        <v>2003</v>
      </c>
      <c r="GY10" s="2">
        <f t="shared" si="23"/>
        <v>70152.119647368818</v>
      </c>
      <c r="GZ10">
        <f t="shared" si="24"/>
        <v>70131.950737793304</v>
      </c>
      <c r="HA10">
        <f t="shared" si="25"/>
        <v>11.158421301002395</v>
      </c>
      <c r="HB10">
        <v>4</v>
      </c>
      <c r="HC10">
        <f t="shared" si="26"/>
        <v>11.158421301002395</v>
      </c>
      <c r="HD10">
        <f t="shared" si="27"/>
        <v>11.158133757168528</v>
      </c>
      <c r="HE10">
        <f t="shared" si="28"/>
        <v>406.78491346524743</v>
      </c>
      <c r="HF10">
        <v>0.86170634730766715</v>
      </c>
      <c r="HG10">
        <v>1.2862649234532876E-2</v>
      </c>
      <c r="HJ10" s="11">
        <v>2003</v>
      </c>
      <c r="HK10" s="2">
        <f t="shared" ref="HK10:HQ10" si="54">DF20</f>
        <v>5276.4647022923127</v>
      </c>
      <c r="HL10" s="2">
        <f t="shared" si="54"/>
        <v>1488.6365867656564</v>
      </c>
      <c r="HM10" s="2">
        <f t="shared" si="54"/>
        <v>1835.6991250426263</v>
      </c>
      <c r="HN10" s="2">
        <f t="shared" si="54"/>
        <v>3395.9185405301937</v>
      </c>
      <c r="HO10" s="2">
        <f t="shared" si="54"/>
        <v>5764.2317060886726</v>
      </c>
      <c r="HP10" s="2">
        <f t="shared" si="54"/>
        <v>4240.079522319802</v>
      </c>
      <c r="HQ10" s="2">
        <f t="shared" si="54"/>
        <v>2141.4730289361109</v>
      </c>
      <c r="HR10" s="2"/>
      <c r="HS10" s="11">
        <f t="shared" si="30"/>
        <v>2003</v>
      </c>
      <c r="HT10" s="2">
        <f t="shared" si="8"/>
        <v>22001.030183039264</v>
      </c>
      <c r="HU10">
        <f t="shared" si="31"/>
        <v>21898.200444950086</v>
      </c>
      <c r="HV10">
        <f t="shared" si="9"/>
        <v>9.9988445577459117</v>
      </c>
      <c r="HW10">
        <v>6</v>
      </c>
      <c r="HX10">
        <f t="shared" si="10"/>
        <v>9.9988445577459117</v>
      </c>
      <c r="HY10">
        <f t="shared" si="32"/>
        <v>9.9941597409648661</v>
      </c>
      <c r="IA10">
        <v>53.691334437019179</v>
      </c>
      <c r="IB10">
        <v>5</v>
      </c>
      <c r="ID10" s="11">
        <f t="shared" si="33"/>
        <v>2003</v>
      </c>
      <c r="IE10" s="2">
        <f t="shared" si="34"/>
        <v>24142.503211975374</v>
      </c>
      <c r="IF10">
        <f t="shared" si="35"/>
        <v>23940.151489677715</v>
      </c>
      <c r="IG10">
        <f t="shared" si="36"/>
        <v>10.091729184883432</v>
      </c>
      <c r="IH10">
        <v>4</v>
      </c>
      <c r="II10">
        <f t="shared" si="37"/>
        <v>10.091729184883432</v>
      </c>
      <c r="IJ10">
        <f t="shared" si="38"/>
        <v>10.083312306981572</v>
      </c>
      <c r="IK10">
        <f t="shared" si="39"/>
        <v>40946.219516828845</v>
      </c>
      <c r="IL10">
        <v>0.88981459244484051</v>
      </c>
      <c r="IM10">
        <v>1.0261093134173E-2</v>
      </c>
      <c r="IO10" s="11">
        <v>2003</v>
      </c>
      <c r="IP10" s="2">
        <f t="shared" ref="IP10:IV10" si="55">DF21</f>
        <v>44.116775638500002</v>
      </c>
      <c r="IQ10" s="2">
        <f t="shared" si="55"/>
        <v>16.566786128800004</v>
      </c>
      <c r="IR10" s="2">
        <f t="shared" si="55"/>
        <v>78.10466364137001</v>
      </c>
      <c r="IS10" s="2">
        <f t="shared" si="55"/>
        <v>525.5136000788018</v>
      </c>
      <c r="IT10" s="2">
        <f t="shared" si="55"/>
        <v>1901.1703932045291</v>
      </c>
      <c r="IU10" s="2">
        <f t="shared" si="55"/>
        <v>1462.6714948205849</v>
      </c>
      <c r="IV10" s="2">
        <f t="shared" si="55"/>
        <v>2288.928859969189</v>
      </c>
      <c r="IW10" s="2"/>
      <c r="IX10" s="11">
        <f t="shared" si="41"/>
        <v>2003</v>
      </c>
      <c r="IY10" s="2">
        <f t="shared" si="12"/>
        <v>4028.1437135125857</v>
      </c>
      <c r="IZ10">
        <f t="shared" si="42"/>
        <v>4023.1546500811105</v>
      </c>
      <c r="JA10">
        <f t="shared" si="13"/>
        <v>8.3010609318297384</v>
      </c>
      <c r="JB10">
        <v>6</v>
      </c>
      <c r="JC10">
        <f t="shared" si="14"/>
        <v>8.3010609318297384</v>
      </c>
      <c r="JD10">
        <f t="shared" si="43"/>
        <v>8.2998216126926909</v>
      </c>
      <c r="JF10">
        <v>186.62655740222007</v>
      </c>
      <c r="JG10">
        <v>5</v>
      </c>
      <c r="JI10" s="11">
        <f t="shared" si="44"/>
        <v>2003</v>
      </c>
      <c r="JJ10" s="2">
        <f t="shared" si="45"/>
        <v>6317.0725734817752</v>
      </c>
      <c r="JK10">
        <f t="shared" si="46"/>
        <v>6379.9706667709206</v>
      </c>
      <c r="JL10">
        <f t="shared" si="47"/>
        <v>8.7510111794320071</v>
      </c>
      <c r="JM10">
        <v>4</v>
      </c>
      <c r="JN10">
        <f t="shared" si="48"/>
        <v>8.7510111794320071</v>
      </c>
      <c r="JO10">
        <f t="shared" si="49"/>
        <v>8.7609187786434575</v>
      </c>
      <c r="JQ10">
        <v>0.95096430418044053</v>
      </c>
      <c r="JR10">
        <v>1.831061177706092E-2</v>
      </c>
      <c r="JT10" s="280">
        <v>2011</v>
      </c>
      <c r="JU10" s="282">
        <f t="shared" si="0"/>
        <v>11850.236716469124</v>
      </c>
      <c r="JV10" s="282">
        <f t="shared" si="1"/>
        <v>5266.3136721074006</v>
      </c>
      <c r="JW10" s="282">
        <f t="shared" si="1"/>
        <v>10165.144854214459</v>
      </c>
      <c r="JX10" s="282">
        <f t="shared" si="1"/>
        <v>9694.1140173721669</v>
      </c>
      <c r="JY10" s="282">
        <f t="shared" si="1"/>
        <v>13330.599220627433</v>
      </c>
      <c r="JZ10" s="282">
        <f t="shared" si="1"/>
        <v>8788.9934092650947</v>
      </c>
      <c r="KA10" s="282">
        <f t="shared" si="1"/>
        <v>9582.9045608410634</v>
      </c>
      <c r="KB10" s="344"/>
      <c r="KC10" s="2">
        <f t="shared" si="15"/>
        <v>69063.617342426587</v>
      </c>
      <c r="KF10" s="280">
        <f t="shared" si="16"/>
        <v>2004</v>
      </c>
    </row>
    <row r="11" spans="3:293" x14ac:dyDescent="0.2">
      <c r="C11" s="280" t="s">
        <v>11</v>
      </c>
      <c r="D11" s="282">
        <v>1882.2660560233219</v>
      </c>
      <c r="E11" s="282">
        <v>1754.7211625597256</v>
      </c>
      <c r="F11" s="282">
        <v>1654.4601602869982</v>
      </c>
      <c r="G11" s="282">
        <v>1646.7211733163033</v>
      </c>
      <c r="H11" s="282">
        <v>1644.1949765760626</v>
      </c>
      <c r="I11" s="282">
        <v>2009.5057617187083</v>
      </c>
      <c r="J11" s="282">
        <v>2272.1590432770904</v>
      </c>
      <c r="K11" s="282"/>
      <c r="L11" s="282">
        <v>1818.9409386399814</v>
      </c>
      <c r="O11" s="280" t="s">
        <v>11</v>
      </c>
      <c r="P11" s="282">
        <v>1816</v>
      </c>
      <c r="Q11" s="282">
        <v>1699</v>
      </c>
      <c r="R11" s="282">
        <v>1702</v>
      </c>
      <c r="S11" s="282">
        <v>1803</v>
      </c>
      <c r="T11" s="282">
        <v>1829</v>
      </c>
      <c r="U11" s="282">
        <v>1959</v>
      </c>
      <c r="V11" s="282">
        <v>1945</v>
      </c>
      <c r="W11" s="282"/>
      <c r="X11" s="282">
        <v>1837</v>
      </c>
      <c r="AA11" s="273" t="s">
        <v>11</v>
      </c>
      <c r="AB11" s="275">
        <v>1861</v>
      </c>
      <c r="AC11" s="275">
        <v>1540</v>
      </c>
      <c r="AD11" s="275">
        <v>1784</v>
      </c>
      <c r="AE11" s="275">
        <v>1835</v>
      </c>
      <c r="AF11" s="275">
        <v>1778</v>
      </c>
      <c r="AG11" s="275">
        <v>1857</v>
      </c>
      <c r="AH11" s="275">
        <v>2041</v>
      </c>
      <c r="AI11" s="275"/>
      <c r="AJ11" s="275">
        <v>1812</v>
      </c>
      <c r="AM11" t="s">
        <v>11</v>
      </c>
      <c r="AN11" s="2">
        <v>1962</v>
      </c>
      <c r="AO11" s="2">
        <v>1559</v>
      </c>
      <c r="AP11" s="2">
        <v>1745</v>
      </c>
      <c r="AQ11" s="2">
        <v>1738</v>
      </c>
      <c r="AR11" s="2">
        <v>1788</v>
      </c>
      <c r="AS11" s="2">
        <v>1929</v>
      </c>
      <c r="AT11" s="2">
        <v>1855</v>
      </c>
      <c r="AU11" s="2"/>
      <c r="AV11" s="2">
        <v>1803</v>
      </c>
      <c r="AY11" t="s">
        <v>11</v>
      </c>
      <c r="AZ11" s="2">
        <v>1882.4874742544978</v>
      </c>
      <c r="BA11" s="2">
        <v>1634.8711231113898</v>
      </c>
      <c r="BB11" s="2">
        <v>1783.977359037493</v>
      </c>
      <c r="BC11" s="2">
        <v>1702.621257884814</v>
      </c>
      <c r="BD11" s="2">
        <v>1855.7607790356515</v>
      </c>
      <c r="BE11" s="2">
        <v>2062.41573430177</v>
      </c>
      <c r="BF11" s="2">
        <v>2006.1672215402464</v>
      </c>
      <c r="BG11" s="2"/>
      <c r="BH11" s="2">
        <v>1848.1046844179491</v>
      </c>
      <c r="BK11" t="s">
        <v>11</v>
      </c>
      <c r="BL11" s="2">
        <v>1816.0289503936037</v>
      </c>
      <c r="BM11" s="2">
        <v>1496.0230335512767</v>
      </c>
      <c r="BN11" s="2">
        <v>1752.6588490861557</v>
      </c>
      <c r="BO11" s="2">
        <v>1988.1315207493562</v>
      </c>
      <c r="BP11" s="2">
        <v>1775.651457495343</v>
      </c>
      <c r="BQ11" s="2">
        <v>1915.1520151305281</v>
      </c>
      <c r="BR11" s="2">
        <v>2058.059454922326</v>
      </c>
      <c r="BS11" s="2"/>
      <c r="BT11" s="2">
        <v>1833.6415516668233</v>
      </c>
      <c r="BW11" t="s">
        <v>11</v>
      </c>
      <c r="BX11" s="2">
        <v>538.06117892948816</v>
      </c>
      <c r="BY11" s="2">
        <v>750.92855174755925</v>
      </c>
      <c r="BZ11" s="2">
        <v>1163.1022358211421</v>
      </c>
      <c r="CA11" s="2">
        <v>1419.7930885249157</v>
      </c>
      <c r="CB11" s="2">
        <v>974.55809488613113</v>
      </c>
      <c r="CC11" s="2">
        <v>1180.7178343515241</v>
      </c>
      <c r="CD11" s="2">
        <v>1689.1173077997951</v>
      </c>
      <c r="CE11" s="2"/>
      <c r="CF11" s="2">
        <v>1303.4827358595273</v>
      </c>
      <c r="CG11" s="282"/>
      <c r="CI11" t="s">
        <v>11</v>
      </c>
      <c r="CJ11" s="2">
        <v>1753.6036692418106</v>
      </c>
      <c r="CK11" s="2">
        <v>1559.0484543884188</v>
      </c>
      <c r="CL11" s="2">
        <v>1512.2100777473995</v>
      </c>
      <c r="CM11" s="2">
        <v>1329.0336353065341</v>
      </c>
      <c r="CN11" s="2">
        <v>1365.7274645975081</v>
      </c>
      <c r="CO11" s="2">
        <v>1444.156156716572</v>
      </c>
      <c r="CP11" s="2">
        <v>1574.7126931010728</v>
      </c>
      <c r="CQ11" s="2"/>
      <c r="CR11" s="2">
        <v>1489.0659136543168</v>
      </c>
      <c r="CT11" t="s">
        <v>11</v>
      </c>
      <c r="CU11" s="2">
        <v>1754.04228646571</v>
      </c>
      <c r="CV11" s="2">
        <v>1546.1083298064329</v>
      </c>
      <c r="CW11" s="2">
        <v>1457.2999890188535</v>
      </c>
      <c r="CX11" s="2">
        <v>1335.6706887951725</v>
      </c>
      <c r="CY11" s="2">
        <v>1372.5713508636825</v>
      </c>
      <c r="CZ11" s="2">
        <v>1467.2982261625541</v>
      </c>
      <c r="DA11" s="2">
        <v>1553.283240901415</v>
      </c>
      <c r="DB11" s="2">
        <v>1635.7722242343009</v>
      </c>
      <c r="DC11" s="2">
        <v>1498.4133290324667</v>
      </c>
      <c r="DE11" t="s">
        <v>11</v>
      </c>
      <c r="DF11" s="2">
        <v>1901.9371312474516</v>
      </c>
      <c r="DG11" s="2">
        <v>1883.6802990151339</v>
      </c>
      <c r="DH11" s="2">
        <v>1920.7808598365325</v>
      </c>
      <c r="DI11" s="2">
        <v>1546.9714269506549</v>
      </c>
      <c r="DJ11" s="2">
        <v>1385.5022521670548</v>
      </c>
      <c r="DK11" s="2">
        <v>1592.5824370456905</v>
      </c>
      <c r="DL11" s="2">
        <v>1805.6573692491941</v>
      </c>
      <c r="DM11" s="2">
        <v>1767.1395169509092</v>
      </c>
      <c r="DN11" s="2">
        <v>1671.4488813035241</v>
      </c>
      <c r="DP11" t="s">
        <v>11</v>
      </c>
      <c r="DQ11" s="2">
        <v>1966.9938434647186</v>
      </c>
      <c r="DR11" s="2">
        <v>1867.4052995965162</v>
      </c>
      <c r="DS11" s="2">
        <v>1915.9435972341264</v>
      </c>
      <c r="DT11" s="2">
        <v>1748.823054598995</v>
      </c>
      <c r="DU11" s="2">
        <v>1585.3238488900183</v>
      </c>
      <c r="DV11" s="2">
        <v>1664.0485444092953</v>
      </c>
      <c r="DW11" s="2">
        <v>1831.547828473138</v>
      </c>
      <c r="DX11" s="2">
        <v>1877.2226644990276</v>
      </c>
      <c r="DY11" s="2">
        <v>1771.0445124762439</v>
      </c>
      <c r="EA11" t="s">
        <v>11</v>
      </c>
      <c r="EB11" s="2">
        <v>1911.8400531794066</v>
      </c>
      <c r="EC11" s="2">
        <v>1622.7383611062628</v>
      </c>
      <c r="ED11" s="2">
        <v>2030.5619060142678</v>
      </c>
      <c r="EE11" s="2">
        <v>1704.6785177317431</v>
      </c>
      <c r="EF11" s="2">
        <v>1620.0725900536811</v>
      </c>
      <c r="EG11" s="2">
        <v>1645.5357999010798</v>
      </c>
      <c r="EH11" s="2">
        <v>1862.9820164278312</v>
      </c>
      <c r="EI11" s="2">
        <v>1933.5840306662451</v>
      </c>
      <c r="EJ11" s="2">
        <v>1777.7425710828145</v>
      </c>
      <c r="EL11" t="s">
        <v>11</v>
      </c>
      <c r="EM11" s="2">
        <v>1899.721708959466</v>
      </c>
      <c r="EN11" s="2">
        <v>2073.8694203174637</v>
      </c>
      <c r="EO11" s="2">
        <v>2100.7569551850133</v>
      </c>
      <c r="EP11" s="2">
        <v>1738.3339642855244</v>
      </c>
      <c r="EQ11" s="2">
        <v>1731.2913065938139</v>
      </c>
      <c r="ER11" s="2">
        <v>1797.7689130383758</v>
      </c>
      <c r="ES11" s="2">
        <v>1873.1143087476712</v>
      </c>
      <c r="ET11" s="2">
        <v>1816.4532637599295</v>
      </c>
      <c r="EU11" s="2">
        <v>1836.7609121456085</v>
      </c>
      <c r="EX11" s="2"/>
      <c r="EY11" s="282"/>
      <c r="EZ11" s="280" t="s">
        <v>11</v>
      </c>
      <c r="FA11" s="282">
        <v>2061.1277116677929</v>
      </c>
      <c r="FB11" s="282">
        <v>1691.5400911859779</v>
      </c>
      <c r="FC11" s="282">
        <v>1610.4855427245818</v>
      </c>
      <c r="FD11" s="282">
        <v>1455.8411846098029</v>
      </c>
      <c r="FE11" s="282">
        <v>1525.2464981320281</v>
      </c>
      <c r="FF11" s="282">
        <v>1594.9313537867299</v>
      </c>
      <c r="FG11" s="282">
        <v>1803.9838659972452</v>
      </c>
      <c r="FH11" s="282">
        <v>1767.3967842162353</v>
      </c>
      <c r="FI11" s="289">
        <v>1716.4632860327151</v>
      </c>
      <c r="FJ11" s="282"/>
      <c r="FK11" s="282"/>
      <c r="FL11" s="282"/>
      <c r="FM11" s="282"/>
      <c r="FN11" s="341" t="s">
        <v>11</v>
      </c>
      <c r="FO11" s="344">
        <v>1917.1808376130123</v>
      </c>
      <c r="FP11" s="344">
        <v>1453.7533457128941</v>
      </c>
      <c r="FQ11" s="344">
        <v>2177.2918801216288</v>
      </c>
      <c r="FR11" s="344">
        <v>1719.8286526826212</v>
      </c>
      <c r="FS11" s="344">
        <v>1719.4957504154977</v>
      </c>
      <c r="FT11" s="344">
        <v>1900.7422835643235</v>
      </c>
      <c r="FU11" s="344">
        <v>1710.0147982636304</v>
      </c>
      <c r="FV11" s="344">
        <v>1872.1189991474498</v>
      </c>
      <c r="FW11" s="289">
        <v>1826.3929027887571</v>
      </c>
      <c r="FX11" s="341"/>
      <c r="FY11" s="341"/>
      <c r="FZ11" s="282"/>
      <c r="GA11" s="282"/>
      <c r="GB11" s="282"/>
      <c r="GC11" s="2"/>
      <c r="GD11" s="11">
        <v>2005</v>
      </c>
      <c r="GE11" s="2">
        <f>DQ18+DQ19</f>
        <v>12481.297041804262</v>
      </c>
      <c r="GF11" s="2">
        <f>DR18+DR19</f>
        <v>5438.3769144300359</v>
      </c>
      <c r="GG11" s="2">
        <f>DS18+DS19</f>
        <v>9806.0960087019484</v>
      </c>
      <c r="GH11" s="2">
        <f>DT18+DT19</f>
        <v>9712.3691816152623</v>
      </c>
      <c r="GI11" s="2">
        <f>DU18+DU19-$GH$3</f>
        <v>12481.377771247651</v>
      </c>
      <c r="GJ11" s="2">
        <f>DV18+DV19</f>
        <v>8840.2172084159029</v>
      </c>
      <c r="GK11" s="2">
        <f>DW18+DW19</f>
        <v>9824.6386934930324</v>
      </c>
      <c r="GL11" s="2">
        <f t="shared" si="18"/>
        <v>68584.372819708093</v>
      </c>
      <c r="GM11" s="11">
        <f t="shared" si="19"/>
        <v>2005</v>
      </c>
      <c r="GN11" s="2">
        <f t="shared" si="4"/>
        <v>58759.734126215066</v>
      </c>
      <c r="GO11">
        <f t="shared" si="20"/>
        <v>59295.875662910745</v>
      </c>
      <c r="GP11">
        <f t="shared" si="5"/>
        <v>10.981212105536512</v>
      </c>
      <c r="GQ11">
        <v>8</v>
      </c>
      <c r="GR11">
        <f t="shared" si="6"/>
        <v>10.981212105536512</v>
      </c>
      <c r="GS11">
        <f t="shared" si="21"/>
        <v>10.990295032194577</v>
      </c>
      <c r="GU11">
        <v>4.0113668777947437E-3</v>
      </c>
      <c r="GV11">
        <v>2.0018327175417446E-3</v>
      </c>
      <c r="GX11" s="11">
        <f t="shared" si="22"/>
        <v>2005</v>
      </c>
      <c r="GY11" s="2">
        <f t="shared" si="23"/>
        <v>68584.372819708093</v>
      </c>
      <c r="GZ11">
        <f t="shared" si="24"/>
        <v>69063.617342426587</v>
      </c>
      <c r="HA11">
        <f t="shared" si="25"/>
        <v>11.135819986301302</v>
      </c>
      <c r="HB11">
        <v>6</v>
      </c>
      <c r="HC11">
        <f t="shared" si="26"/>
        <v>11.135819986301302</v>
      </c>
      <c r="HD11">
        <f t="shared" si="27"/>
        <v>11.142783349277204</v>
      </c>
      <c r="HE11">
        <f t="shared" si="28"/>
        <v>229675.31255567749</v>
      </c>
      <c r="HF11">
        <v>24.923959430726395</v>
      </c>
      <c r="HG11">
        <v>4</v>
      </c>
      <c r="HJ11" s="11">
        <v>2005</v>
      </c>
      <c r="HK11" s="2">
        <f>DQ20</f>
        <v>5065.0294565757385</v>
      </c>
      <c r="HL11" s="2">
        <f>DR20</f>
        <v>1351.922489436731</v>
      </c>
      <c r="HM11" s="2">
        <f>DS20</f>
        <v>1699.1314204534201</v>
      </c>
      <c r="HN11" s="2">
        <f>DT20</f>
        <v>3333.8246088830811</v>
      </c>
      <c r="HO11" s="9">
        <f>DU20-HN$3</f>
        <v>5719.1453379776058</v>
      </c>
      <c r="HP11" s="2">
        <f>DV20</f>
        <v>4157.0756379380637</v>
      </c>
      <c r="HQ11" s="2">
        <f>DW20</f>
        <v>2159.2279051778996</v>
      </c>
      <c r="HR11" s="2"/>
      <c r="HS11" s="11">
        <f t="shared" si="30"/>
        <v>2005</v>
      </c>
      <c r="HT11" s="2">
        <f t="shared" si="8"/>
        <v>21326.12895126464</v>
      </c>
      <c r="HU11">
        <f t="shared" si="31"/>
        <v>21503.8085935036</v>
      </c>
      <c r="HV11">
        <f t="shared" si="9"/>
        <v>9.9676883112289172</v>
      </c>
      <c r="HW11">
        <v>8</v>
      </c>
      <c r="HX11">
        <f t="shared" si="10"/>
        <v>9.9676883112289172</v>
      </c>
      <c r="HY11">
        <f t="shared" si="32"/>
        <v>9.9759853423115175</v>
      </c>
      <c r="IA11">
        <v>9.2486454595036606E-3</v>
      </c>
      <c r="IB11">
        <v>8.6127915765927491E-4</v>
      </c>
      <c r="ID11" s="11">
        <f t="shared" si="33"/>
        <v>2005</v>
      </c>
      <c r="IE11" s="2">
        <f t="shared" si="34"/>
        <v>23485.35685644254</v>
      </c>
      <c r="IF11">
        <f t="shared" si="35"/>
        <v>23608.71868341662</v>
      </c>
      <c r="IG11">
        <f t="shared" si="36"/>
        <v>10.064132393425172</v>
      </c>
      <c r="IH11">
        <v>6</v>
      </c>
      <c r="II11">
        <f t="shared" si="37"/>
        <v>10.064132393425172</v>
      </c>
      <c r="IJ11">
        <f t="shared" si="38"/>
        <v>10.069371358527114</v>
      </c>
      <c r="IK11">
        <f t="shared" si="39"/>
        <v>15218.14035438286</v>
      </c>
      <c r="IL11">
        <v>32.30244774470318</v>
      </c>
      <c r="IM11">
        <v>4</v>
      </c>
      <c r="IO11" s="11">
        <v>2005</v>
      </c>
      <c r="IP11" s="2">
        <f t="shared" ref="IP11:IV11" si="56">DQ21</f>
        <v>49.866685941200004</v>
      </c>
      <c r="IQ11" s="2">
        <f t="shared" si="56"/>
        <v>29.732345946799995</v>
      </c>
      <c r="IR11" s="2">
        <f t="shared" si="56"/>
        <v>48.801005342300009</v>
      </c>
      <c r="IS11" s="2">
        <f t="shared" si="56"/>
        <v>452.54489744626028</v>
      </c>
      <c r="IT11" s="2">
        <f t="shared" si="56"/>
        <v>1650.6140757450169</v>
      </c>
      <c r="IU11" s="2">
        <f t="shared" si="56"/>
        <v>1495.3884086219016</v>
      </c>
      <c r="IV11" s="2">
        <f t="shared" si="56"/>
        <v>2380.1585521750899</v>
      </c>
      <c r="IW11" s="2"/>
      <c r="IX11" s="11">
        <f t="shared" si="41"/>
        <v>2005</v>
      </c>
      <c r="IY11" s="2">
        <f t="shared" si="12"/>
        <v>3726.9474190434785</v>
      </c>
      <c r="IZ11">
        <f t="shared" si="42"/>
        <v>3804.6411525869221</v>
      </c>
      <c r="JA11">
        <f t="shared" si="13"/>
        <v>8.2233447912615407</v>
      </c>
      <c r="JB11">
        <v>8</v>
      </c>
      <c r="JC11">
        <f t="shared" si="14"/>
        <v>8.2233447912615407</v>
      </c>
      <c r="JD11">
        <f t="shared" si="43"/>
        <v>8.2439769564099805</v>
      </c>
      <c r="JF11">
        <v>8.7321517789355443E-2</v>
      </c>
      <c r="JG11">
        <v>2.3394719113089281E-3</v>
      </c>
      <c r="JI11" s="11">
        <f t="shared" si="44"/>
        <v>2005</v>
      </c>
      <c r="JJ11" s="2">
        <f t="shared" si="45"/>
        <v>6107.1059712185688</v>
      </c>
      <c r="JK11">
        <f t="shared" si="46"/>
        <v>6138.6947272184725</v>
      </c>
      <c r="JL11">
        <f t="shared" si="47"/>
        <v>8.7172082854908854</v>
      </c>
      <c r="JM11">
        <v>6</v>
      </c>
      <c r="JN11">
        <f t="shared" si="48"/>
        <v>8.7172082854908854</v>
      </c>
      <c r="JO11">
        <f t="shared" si="49"/>
        <v>8.7223674133981923</v>
      </c>
      <c r="JQ11">
        <v>77.573228097325568</v>
      </c>
      <c r="JR11">
        <v>4</v>
      </c>
      <c r="JU11" s="50" t="s">
        <v>253</v>
      </c>
      <c r="KC11" s="2">
        <f t="shared" si="15"/>
        <v>68011.558073640525</v>
      </c>
      <c r="KF11" s="280">
        <f t="shared" si="16"/>
        <v>2005</v>
      </c>
      <c r="KG11" s="282">
        <f>DY22</f>
        <v>108854.64427596862</v>
      </c>
    </row>
    <row r="12" spans="3:293" x14ac:dyDescent="0.2">
      <c r="C12" s="280" t="s">
        <v>12</v>
      </c>
      <c r="D12" s="282">
        <v>1958.7379635214718</v>
      </c>
      <c r="E12" s="282">
        <v>1660.9714266571336</v>
      </c>
      <c r="F12" s="282">
        <v>1734.7921485287832</v>
      </c>
      <c r="G12" s="282">
        <v>1793.8742533556913</v>
      </c>
      <c r="H12" s="282">
        <v>1807.2333581419939</v>
      </c>
      <c r="I12" s="282">
        <v>2047.9218240147761</v>
      </c>
      <c r="J12" s="282">
        <v>2123.066650330933</v>
      </c>
      <c r="K12" s="282"/>
      <c r="L12" s="282">
        <v>1885.9579759644362</v>
      </c>
      <c r="O12" s="280" t="s">
        <v>12</v>
      </c>
      <c r="P12" s="282">
        <v>1913</v>
      </c>
      <c r="Q12" s="282">
        <v>1527</v>
      </c>
      <c r="R12" s="282">
        <v>1776</v>
      </c>
      <c r="S12" s="282">
        <v>1759</v>
      </c>
      <c r="T12" s="282">
        <v>1803</v>
      </c>
      <c r="U12" s="282">
        <v>2038</v>
      </c>
      <c r="V12" s="282">
        <v>2260</v>
      </c>
      <c r="W12" s="282"/>
      <c r="X12" s="282">
        <v>1892</v>
      </c>
      <c r="AA12" s="273" t="s">
        <v>12</v>
      </c>
      <c r="AB12" s="275">
        <v>1878</v>
      </c>
      <c r="AC12" s="275">
        <v>1597</v>
      </c>
      <c r="AD12" s="275">
        <v>1760</v>
      </c>
      <c r="AE12" s="275">
        <v>1840</v>
      </c>
      <c r="AF12" s="275">
        <v>1839</v>
      </c>
      <c r="AG12" s="275">
        <v>1942</v>
      </c>
      <c r="AH12" s="275">
        <v>2105</v>
      </c>
      <c r="AI12" s="275"/>
      <c r="AJ12" s="275">
        <v>1834</v>
      </c>
      <c r="AM12" t="s">
        <v>12</v>
      </c>
      <c r="AN12" s="2">
        <v>1953</v>
      </c>
      <c r="AO12" s="2">
        <v>1670</v>
      </c>
      <c r="AP12" s="2">
        <v>1778</v>
      </c>
      <c r="AQ12" s="2">
        <v>1816</v>
      </c>
      <c r="AR12" s="2">
        <v>1805</v>
      </c>
      <c r="AS12" s="2">
        <v>1790</v>
      </c>
      <c r="AT12" s="2">
        <v>2018</v>
      </c>
      <c r="AU12" s="2"/>
      <c r="AV12" s="2">
        <v>1826</v>
      </c>
      <c r="AY12" t="s">
        <v>12</v>
      </c>
      <c r="AZ12" s="2">
        <v>1938.2927300364142</v>
      </c>
      <c r="BA12" s="2">
        <v>1643.1240509291197</v>
      </c>
      <c r="BB12" s="2">
        <v>1748.9543916356995</v>
      </c>
      <c r="BC12" s="2">
        <v>1762.9945802766154</v>
      </c>
      <c r="BD12" s="2">
        <v>1754.6902537941232</v>
      </c>
      <c r="BE12" s="2">
        <v>1847.1446293665163</v>
      </c>
      <c r="BF12" s="2">
        <v>2153.9464053927381</v>
      </c>
      <c r="BG12" s="2"/>
      <c r="BH12" s="2">
        <v>1839.8725566735736</v>
      </c>
      <c r="BK12" t="s">
        <v>12</v>
      </c>
      <c r="BL12" s="2">
        <v>1944.5809567028298</v>
      </c>
      <c r="BM12" s="2">
        <v>1633.2720184046309</v>
      </c>
      <c r="BN12" s="2">
        <v>1743.2396185589525</v>
      </c>
      <c r="BO12" s="2">
        <v>1785.1908254151767</v>
      </c>
      <c r="BP12" s="2">
        <v>1762.0823124246563</v>
      </c>
      <c r="BQ12" s="2">
        <v>1880.4850762165381</v>
      </c>
      <c r="BR12" s="2">
        <v>2068.6272087371585</v>
      </c>
      <c r="BS12" s="2"/>
      <c r="BT12" s="2">
        <v>1826.3057519037382</v>
      </c>
      <c r="BW12" t="s">
        <v>12</v>
      </c>
      <c r="BX12" s="2">
        <v>718.41718216968968</v>
      </c>
      <c r="BY12" s="2">
        <v>617.30328634231284</v>
      </c>
      <c r="BZ12" s="2">
        <v>466.73840610892523</v>
      </c>
      <c r="CA12" s="2">
        <v>771.43489445771968</v>
      </c>
      <c r="CB12" s="2">
        <v>700.65805340256384</v>
      </c>
      <c r="CC12" s="2">
        <v>942.38809243698074</v>
      </c>
      <c r="CD12" s="2">
        <v>989.53142009997691</v>
      </c>
      <c r="CE12" s="2"/>
      <c r="CF12" s="2">
        <v>809.06447582775183</v>
      </c>
      <c r="CG12" s="282"/>
      <c r="CI12" t="s">
        <v>12</v>
      </c>
      <c r="CJ12" s="2">
        <v>976.35041306580888</v>
      </c>
      <c r="CK12" s="2">
        <v>957.51808431854727</v>
      </c>
      <c r="CL12" s="2">
        <v>826.9537206520331</v>
      </c>
      <c r="CM12" s="2">
        <v>890.71319181891465</v>
      </c>
      <c r="CN12" s="2">
        <v>916.8770379736975</v>
      </c>
      <c r="CO12" s="2">
        <v>943.31866483615954</v>
      </c>
      <c r="CP12" s="2">
        <v>1034.6515141564737</v>
      </c>
      <c r="CQ12" s="2"/>
      <c r="CR12" s="2">
        <v>939.00179310083502</v>
      </c>
      <c r="CT12" t="s">
        <v>12</v>
      </c>
      <c r="CU12" s="2">
        <v>982.14060390002703</v>
      </c>
      <c r="CV12" s="2">
        <v>1015.779731035895</v>
      </c>
      <c r="CW12" s="2">
        <v>847.2170044863949</v>
      </c>
      <c r="CX12" s="2">
        <v>918.49908180635555</v>
      </c>
      <c r="CY12" s="2">
        <v>955.098492927866</v>
      </c>
      <c r="CZ12" s="2">
        <v>993.02305443347632</v>
      </c>
      <c r="DA12" s="2">
        <v>1025.2990479519058</v>
      </c>
      <c r="DB12" s="2">
        <v>1012.7612094901859</v>
      </c>
      <c r="DC12" s="2">
        <v>966.64024447608335</v>
      </c>
      <c r="DE12" t="s">
        <v>12</v>
      </c>
      <c r="DF12" s="2">
        <v>1032.6391967125535</v>
      </c>
      <c r="DG12" s="2">
        <v>1004.9372678060445</v>
      </c>
      <c r="DH12" s="2">
        <v>881.94361139100818</v>
      </c>
      <c r="DI12" s="2">
        <v>945.53843542552431</v>
      </c>
      <c r="DJ12" s="2">
        <v>999.24436636711835</v>
      </c>
      <c r="DK12" s="2">
        <v>975.54613414532378</v>
      </c>
      <c r="DL12" s="2">
        <v>1087.3726297778362</v>
      </c>
      <c r="DM12" s="2">
        <v>1109.7939526928772</v>
      </c>
      <c r="DN12" s="2">
        <v>998.22785189173953</v>
      </c>
      <c r="DP12" t="s">
        <v>12</v>
      </c>
      <c r="DQ12" s="2">
        <v>1132.2294313588252</v>
      </c>
      <c r="DR12" s="2">
        <v>901.40385100397532</v>
      </c>
      <c r="DS12" s="2">
        <v>851.77633800469903</v>
      </c>
      <c r="DT12" s="2">
        <v>981.48598053400508</v>
      </c>
      <c r="DU12" s="2">
        <v>977.31108951261149</v>
      </c>
      <c r="DV12" s="2">
        <v>959.56263074970991</v>
      </c>
      <c r="DW12" s="2">
        <v>1074.3312748353494</v>
      </c>
      <c r="DX12" s="2">
        <v>1160.4762924751117</v>
      </c>
      <c r="DY12" s="2">
        <v>1008.8160270695415</v>
      </c>
      <c r="EA12" t="s">
        <v>12</v>
      </c>
      <c r="EB12" s="2">
        <v>1159.7487162049099</v>
      </c>
      <c r="EC12" s="2">
        <v>990.52376426116427</v>
      </c>
      <c r="ED12" s="2">
        <v>853.61236394795355</v>
      </c>
      <c r="EE12" s="2">
        <v>982.8962449442771</v>
      </c>
      <c r="EF12" s="2">
        <v>962.44050632519827</v>
      </c>
      <c r="EG12" s="2">
        <v>998.19926043202474</v>
      </c>
      <c r="EH12" s="2">
        <v>1048.9864462429641</v>
      </c>
      <c r="EI12" s="2">
        <v>1171.8780711653335</v>
      </c>
      <c r="EJ12" s="2">
        <v>1021.032830224587</v>
      </c>
      <c r="EL12" t="s">
        <v>12</v>
      </c>
      <c r="EM12" s="2">
        <v>1129.7838852386815</v>
      </c>
      <c r="EN12" s="2">
        <v>1170.1585387470502</v>
      </c>
      <c r="EO12" s="2">
        <v>868.57403924110554</v>
      </c>
      <c r="EP12" s="2">
        <v>956.16850746383386</v>
      </c>
      <c r="EQ12" s="2">
        <v>973.7869681719244</v>
      </c>
      <c r="ER12" s="2">
        <v>1024.5879920169527</v>
      </c>
      <c r="ES12" s="2">
        <v>1133.2582693661616</v>
      </c>
      <c r="ET12" s="2">
        <v>1210.9836100654754</v>
      </c>
      <c r="EU12" s="2">
        <v>1042.6252707255142</v>
      </c>
      <c r="EX12" s="2"/>
      <c r="EY12" s="282"/>
      <c r="EZ12" s="280" t="s">
        <v>12</v>
      </c>
      <c r="FA12" s="282">
        <v>1115.3002117154297</v>
      </c>
      <c r="FB12" s="282">
        <v>1058.0520167017764</v>
      </c>
      <c r="FC12" s="282">
        <v>874.44493078840719</v>
      </c>
      <c r="FD12" s="282">
        <v>944.85419104425</v>
      </c>
      <c r="FE12" s="282">
        <v>980.65132980884459</v>
      </c>
      <c r="FF12" s="282">
        <v>1019.65528514764</v>
      </c>
      <c r="FG12" s="282">
        <v>1041.5392849668376</v>
      </c>
      <c r="FH12" s="282">
        <v>1151.5788383642619</v>
      </c>
      <c r="FI12" s="289">
        <v>1029.9348899107229</v>
      </c>
      <c r="FJ12" s="282"/>
      <c r="FK12" s="282"/>
      <c r="FL12" s="282"/>
      <c r="FM12" s="282"/>
      <c r="FN12" s="341" t="s">
        <v>12</v>
      </c>
      <c r="FO12" s="344">
        <v>1105.9022304535677</v>
      </c>
      <c r="FP12" s="344">
        <v>1044.8751785529712</v>
      </c>
      <c r="FQ12" s="344">
        <v>918.16604507675891</v>
      </c>
      <c r="FR12" s="344">
        <v>933.13899414774482</v>
      </c>
      <c r="FS12" s="344">
        <v>995.26699049030617</v>
      </c>
      <c r="FT12" s="344">
        <v>1029.4780377202101</v>
      </c>
      <c r="FU12" s="344">
        <v>1107.5120835215371</v>
      </c>
      <c r="FV12" s="344">
        <v>1134.5765000949682</v>
      </c>
      <c r="FW12" s="289">
        <v>1035.0002164622872</v>
      </c>
      <c r="FX12" s="341"/>
      <c r="FY12" s="341"/>
      <c r="FZ12" s="282"/>
      <c r="GA12" s="282"/>
      <c r="GB12" s="282"/>
      <c r="GC12" s="2"/>
      <c r="GD12" s="11">
        <v>2007</v>
      </c>
      <c r="GE12" s="2">
        <f>EB18+EB19</f>
        <v>12078.063377388717</v>
      </c>
      <c r="GF12" s="2">
        <f>EC18+EC19</f>
        <v>5429.1595781670403</v>
      </c>
      <c r="GG12" s="2">
        <f>ED18+ED19</f>
        <v>9802.8829778502059</v>
      </c>
      <c r="GH12" s="2">
        <f>EE18+EE19</f>
        <v>9557.115396180654</v>
      </c>
      <c r="GI12" s="2">
        <f>EF18+EF19-$GH$3</f>
        <v>12360.712287146218</v>
      </c>
      <c r="GJ12" s="2">
        <f>EG18+EG19</f>
        <v>8673.202046190574</v>
      </c>
      <c r="GK12" s="2">
        <f>EH18+EH19</f>
        <v>9576.7934702747243</v>
      </c>
      <c r="GL12" s="2">
        <f t="shared" si="18"/>
        <v>67477.929133198137</v>
      </c>
      <c r="GM12" s="11">
        <f t="shared" si="19"/>
        <v>2007</v>
      </c>
      <c r="GN12" s="2">
        <f t="shared" si="4"/>
        <v>57901.135662923407</v>
      </c>
      <c r="GO12">
        <f t="shared" si="20"/>
        <v>58590.378673564468</v>
      </c>
      <c r="GP12">
        <f t="shared" si="5"/>
        <v>10.966492277581571</v>
      </c>
      <c r="GQ12">
        <v>10</v>
      </c>
      <c r="GR12">
        <f t="shared" si="6"/>
        <v>10.966492277581571</v>
      </c>
      <c r="GS12">
        <f t="shared" si="21"/>
        <v>10.978325775627088</v>
      </c>
      <c r="GU12" t="e">
        <v>#N/A</v>
      </c>
      <c r="GV12" t="e">
        <v>#N/A</v>
      </c>
      <c r="GX12" s="11">
        <f t="shared" si="22"/>
        <v>2007</v>
      </c>
      <c r="GY12" s="2">
        <f t="shared" si="23"/>
        <v>67477.929133198137</v>
      </c>
      <c r="GZ12">
        <f t="shared" si="24"/>
        <v>68011.558073640525</v>
      </c>
      <c r="HA12">
        <f t="shared" si="25"/>
        <v>11.119555847587906</v>
      </c>
      <c r="HB12">
        <v>8</v>
      </c>
      <c r="HC12">
        <f t="shared" si="26"/>
        <v>11.119555847587906</v>
      </c>
      <c r="HD12">
        <f t="shared" si="27"/>
        <v>11.12743294138588</v>
      </c>
      <c r="HE12">
        <f t="shared" si="28"/>
        <v>284759.84607766551</v>
      </c>
      <c r="HF12">
        <v>4.1236128925257543E-3</v>
      </c>
      <c r="HG12">
        <v>6.6179098132251673E-4</v>
      </c>
      <c r="HJ12" s="11">
        <v>2007</v>
      </c>
      <c r="HK12" s="2">
        <f>EB20</f>
        <v>5135.8761804665846</v>
      </c>
      <c r="HL12" s="2">
        <f>EC20</f>
        <v>1352.8438240596797</v>
      </c>
      <c r="HM12" s="2">
        <f>ED20</f>
        <v>1652.183367812502</v>
      </c>
      <c r="HN12" s="2">
        <f>EE20</f>
        <v>3453.8515442937687</v>
      </c>
      <c r="HO12" s="9">
        <f>EF20-HN$3</f>
        <v>5890.5215294910695</v>
      </c>
      <c r="HP12" s="2">
        <f>EG20</f>
        <v>4017.0437280411384</v>
      </c>
      <c r="HQ12" s="2">
        <f>EH20</f>
        <v>2099.5647129915405</v>
      </c>
      <c r="HR12" s="2"/>
      <c r="HS12" s="11">
        <f t="shared" si="30"/>
        <v>2007</v>
      </c>
      <c r="HT12" s="2">
        <f t="shared" si="8"/>
        <v>21502.320174164743</v>
      </c>
      <c r="HU12">
        <f t="shared" si="31"/>
        <v>21116.519834061339</v>
      </c>
      <c r="HV12">
        <f t="shared" si="9"/>
        <v>9.9759161233707712</v>
      </c>
      <c r="HW12">
        <v>10</v>
      </c>
      <c r="HX12">
        <f t="shared" si="10"/>
        <v>9.9759161233707712</v>
      </c>
      <c r="HY12">
        <f t="shared" si="32"/>
        <v>9.9578109436581688</v>
      </c>
      <c r="IA12" t="e">
        <v>#N/A</v>
      </c>
      <c r="IB12" t="e">
        <v>#N/A</v>
      </c>
      <c r="ID12" s="11">
        <f t="shared" si="33"/>
        <v>2007</v>
      </c>
      <c r="IE12" s="2">
        <f t="shared" si="34"/>
        <v>23601.884887156284</v>
      </c>
      <c r="IF12">
        <f t="shared" si="35"/>
        <v>23281.874306978636</v>
      </c>
      <c r="IG12">
        <f t="shared" si="36"/>
        <v>10.069081855924257</v>
      </c>
      <c r="IH12">
        <v>8</v>
      </c>
      <c r="II12">
        <f t="shared" si="37"/>
        <v>10.069081855924257</v>
      </c>
      <c r="IJ12">
        <f t="shared" si="38"/>
        <v>10.055430410072654</v>
      </c>
      <c r="IK12">
        <f t="shared" si="39"/>
        <v>102406.77142563493</v>
      </c>
      <c r="IL12">
        <v>3.4011257666728446E-3</v>
      </c>
      <c r="IM12">
        <v>4.2116012923268912E-4</v>
      </c>
      <c r="IO12" s="11">
        <v>2007</v>
      </c>
      <c r="IP12" s="2">
        <f t="shared" ref="IP12:IV12" si="57">EB21</f>
        <v>55.675212703299998</v>
      </c>
      <c r="IQ12" s="2">
        <f t="shared" si="57"/>
        <v>37.758586712099998</v>
      </c>
      <c r="IR12" s="2">
        <f t="shared" si="57"/>
        <v>41.692448847599998</v>
      </c>
      <c r="IS12" s="2">
        <f t="shared" si="57"/>
        <v>383.72673918330003</v>
      </c>
      <c r="IT12" s="2">
        <f t="shared" si="57"/>
        <v>1585.1717941231875</v>
      </c>
      <c r="IU12" s="2">
        <f t="shared" si="57"/>
        <v>1496.448810304976</v>
      </c>
      <c r="IV12" s="2">
        <f t="shared" si="57"/>
        <v>2300.1157364831356</v>
      </c>
      <c r="IW12" s="2"/>
      <c r="IX12" s="11">
        <f t="shared" si="41"/>
        <v>2007</v>
      </c>
      <c r="IY12" s="2">
        <f t="shared" si="12"/>
        <v>3600.4735918744636</v>
      </c>
      <c r="IZ12">
        <f t="shared" si="42"/>
        <v>3597.9959904514508</v>
      </c>
      <c r="JA12">
        <f t="shared" si="13"/>
        <v>8.1888206690902869</v>
      </c>
      <c r="JB12">
        <v>10</v>
      </c>
      <c r="JC12">
        <f t="shared" si="14"/>
        <v>8.1888206690902869</v>
      </c>
      <c r="JD12">
        <f t="shared" si="43"/>
        <v>8.1881323001272701</v>
      </c>
      <c r="JF12" t="e">
        <v>#N/A</v>
      </c>
      <c r="JG12" t="e">
        <v>#N/A</v>
      </c>
      <c r="JI12" s="11">
        <f t="shared" si="44"/>
        <v>2007</v>
      </c>
      <c r="JJ12" s="2">
        <f t="shared" si="45"/>
        <v>5900.5893283575988</v>
      </c>
      <c r="JK12">
        <f t="shared" si="46"/>
        <v>5906.5432934118244</v>
      </c>
      <c r="JL12">
        <f t="shared" si="47"/>
        <v>8.6828075110678249</v>
      </c>
      <c r="JM12">
        <v>8</v>
      </c>
      <c r="JN12">
        <f t="shared" si="48"/>
        <v>8.6828075110678249</v>
      </c>
      <c r="JO12">
        <f t="shared" si="49"/>
        <v>8.683816048152929</v>
      </c>
      <c r="JQ12">
        <v>2.6008635839790233E-2</v>
      </c>
      <c r="JR12">
        <v>1.3411140146009685E-3</v>
      </c>
      <c r="KC12" s="2">
        <f t="shared" si="15"/>
        <v>66975.525024557719</v>
      </c>
      <c r="KF12" s="280">
        <f t="shared" si="16"/>
        <v>2006</v>
      </c>
    </row>
    <row r="13" spans="3:293" x14ac:dyDescent="0.2">
      <c r="C13" s="280" t="s">
        <v>13</v>
      </c>
      <c r="D13" s="282">
        <v>1900.0225956189968</v>
      </c>
      <c r="E13" s="282">
        <v>1504.5865068704825</v>
      </c>
      <c r="F13" s="282">
        <v>1662.9351930614032</v>
      </c>
      <c r="G13" s="282">
        <v>1735.8016336699834</v>
      </c>
      <c r="H13" s="282">
        <v>1735.7612778365346</v>
      </c>
      <c r="I13" s="282">
        <v>1759.5330531883828</v>
      </c>
      <c r="J13" s="282">
        <v>1788.830158618654</v>
      </c>
      <c r="K13" s="282"/>
      <c r="L13" s="282">
        <v>1733.4995111618978</v>
      </c>
      <c r="O13" s="280" t="s">
        <v>13</v>
      </c>
      <c r="P13" s="282">
        <v>1878</v>
      </c>
      <c r="Q13" s="282">
        <v>1564</v>
      </c>
      <c r="R13" s="282">
        <v>1724</v>
      </c>
      <c r="S13" s="282">
        <v>1712</v>
      </c>
      <c r="T13" s="282">
        <v>1735</v>
      </c>
      <c r="U13" s="282">
        <v>1677</v>
      </c>
      <c r="V13" s="282">
        <v>1752</v>
      </c>
      <c r="W13" s="282"/>
      <c r="X13" s="282">
        <v>1736</v>
      </c>
      <c r="AA13" s="273" t="s">
        <v>13</v>
      </c>
      <c r="AB13" s="275">
        <v>2039</v>
      </c>
      <c r="AC13" s="275">
        <v>1592</v>
      </c>
      <c r="AD13" s="275">
        <v>1747</v>
      </c>
      <c r="AE13" s="275">
        <v>1641</v>
      </c>
      <c r="AF13" s="275">
        <v>1829</v>
      </c>
      <c r="AG13" s="275">
        <v>1966</v>
      </c>
      <c r="AH13" s="275">
        <v>2117</v>
      </c>
      <c r="AI13" s="275"/>
      <c r="AJ13" s="275">
        <v>1917</v>
      </c>
      <c r="AM13" t="s">
        <v>13</v>
      </c>
      <c r="AN13" s="2">
        <v>1904</v>
      </c>
      <c r="AO13" s="2">
        <v>1555</v>
      </c>
      <c r="AP13" s="2">
        <v>1786</v>
      </c>
      <c r="AQ13" s="2">
        <v>1723</v>
      </c>
      <c r="AR13" s="2">
        <v>1715</v>
      </c>
      <c r="AS13" s="2">
        <v>1983</v>
      </c>
      <c r="AT13" s="2">
        <v>2112</v>
      </c>
      <c r="AU13" s="2"/>
      <c r="AV13" s="2">
        <v>1869</v>
      </c>
      <c r="AY13" t="s">
        <v>13</v>
      </c>
      <c r="AZ13" s="2">
        <v>1832.4231397769395</v>
      </c>
      <c r="BA13" s="2">
        <v>1694.6494894658613</v>
      </c>
      <c r="BB13" s="2">
        <v>1664.9761284216495</v>
      </c>
      <c r="BC13" s="2">
        <v>1717.9699304508733</v>
      </c>
      <c r="BD13" s="2">
        <v>1752.1234071028534</v>
      </c>
      <c r="BE13" s="2">
        <v>2003.5143108832026</v>
      </c>
      <c r="BF13" s="2">
        <v>2086.1984377020503</v>
      </c>
      <c r="BG13" s="2"/>
      <c r="BH13" s="2">
        <v>1812.0116163268319</v>
      </c>
      <c r="BK13" t="s">
        <v>13</v>
      </c>
      <c r="BL13" s="2">
        <v>1823.7938131771568</v>
      </c>
      <c r="BM13" s="2">
        <v>1612.6591105020284</v>
      </c>
      <c r="BN13" s="2">
        <v>1841.8083877474271</v>
      </c>
      <c r="BO13" s="2">
        <v>1763.1800843748681</v>
      </c>
      <c r="BP13" s="2">
        <v>1843.433454077915</v>
      </c>
      <c r="BQ13" s="2">
        <v>1878.8942802607487</v>
      </c>
      <c r="BR13" s="2">
        <v>2160.2643204446508</v>
      </c>
      <c r="BS13" s="2"/>
      <c r="BT13" s="2">
        <v>1856.7602530584206</v>
      </c>
      <c r="BW13" t="s">
        <v>13</v>
      </c>
      <c r="BX13" s="2">
        <v>1548.640617161725</v>
      </c>
      <c r="BY13" s="2">
        <v>925.24341554579553</v>
      </c>
      <c r="BZ13" s="2">
        <v>944.61785941399421</v>
      </c>
      <c r="CA13" s="2">
        <v>904.06422627421125</v>
      </c>
      <c r="CB13" s="2">
        <v>1059.6616293438617</v>
      </c>
      <c r="CC13" s="2">
        <v>1077.5107236375038</v>
      </c>
      <c r="CD13" s="2">
        <v>1278.3695210803917</v>
      </c>
      <c r="CE13" s="2"/>
      <c r="CF13" s="2">
        <v>1104.2098786708018</v>
      </c>
      <c r="CG13" s="282"/>
      <c r="CI13" t="s">
        <v>13</v>
      </c>
      <c r="CJ13" s="2">
        <v>1170.2910984937571</v>
      </c>
      <c r="CK13" s="2">
        <v>932.7056114732859</v>
      </c>
      <c r="CL13" s="2">
        <v>909.05170863138255</v>
      </c>
      <c r="CM13" s="2">
        <v>887.12291026797948</v>
      </c>
      <c r="CN13" s="2">
        <v>1045.6646925154241</v>
      </c>
      <c r="CO13" s="2">
        <v>1124.7558818674349</v>
      </c>
      <c r="CP13" s="2">
        <v>1339.4562313417357</v>
      </c>
      <c r="CQ13" s="2"/>
      <c r="CR13" s="2">
        <v>1149.6427179994562</v>
      </c>
      <c r="CT13" t="s">
        <v>13</v>
      </c>
      <c r="CU13" s="2">
        <v>1044.9087017327133</v>
      </c>
      <c r="CV13" s="2">
        <v>956.48786615979816</v>
      </c>
      <c r="CW13" s="2">
        <v>1003.5440144785798</v>
      </c>
      <c r="CX13" s="2">
        <v>914.30417180481527</v>
      </c>
      <c r="CY13" s="2">
        <v>1063.3781354460755</v>
      </c>
      <c r="CZ13" s="2">
        <v>1170.7729231255341</v>
      </c>
      <c r="DA13" s="2">
        <v>1401.3466097406181</v>
      </c>
      <c r="DB13" s="2">
        <v>1936.6067222664299</v>
      </c>
      <c r="DC13" s="2">
        <v>1229.2074668695225</v>
      </c>
      <c r="DE13" t="s">
        <v>13</v>
      </c>
      <c r="DF13" s="2">
        <v>868.49987980084279</v>
      </c>
      <c r="DG13" s="2">
        <v>798.64165725043802</v>
      </c>
      <c r="DH13" s="2">
        <v>1016.236621320963</v>
      </c>
      <c r="DI13" s="2">
        <v>887.27045196520294</v>
      </c>
      <c r="DJ13" s="2">
        <v>1077.6732557284895</v>
      </c>
      <c r="DK13" s="2">
        <v>1250.9091534244874</v>
      </c>
      <c r="DL13" s="2">
        <v>1508.5493966719546</v>
      </c>
      <c r="DM13" s="2">
        <v>1498.9700982174229</v>
      </c>
      <c r="DN13" s="2">
        <v>1268.4660737351862</v>
      </c>
      <c r="DP13" t="s">
        <v>13</v>
      </c>
      <c r="DQ13" s="2">
        <v>1096.8914934884137</v>
      </c>
      <c r="DR13" s="2">
        <v>775.25507011787079</v>
      </c>
      <c r="DS13" s="2">
        <v>906.35945414479374</v>
      </c>
      <c r="DT13" s="2">
        <v>937.24677988320741</v>
      </c>
      <c r="DU13" s="2">
        <v>1203.4018309430317</v>
      </c>
      <c r="DV13" s="2">
        <v>1328.7736852692356</v>
      </c>
      <c r="DW13" s="2">
        <v>1491.4684094273093</v>
      </c>
      <c r="DX13" s="2">
        <v>1556.6661498163462</v>
      </c>
      <c r="DY13" s="2">
        <v>1346.6940504418585</v>
      </c>
      <c r="EA13" t="s">
        <v>13</v>
      </c>
      <c r="EB13" s="2">
        <v>1321.9760921654356</v>
      </c>
      <c r="EC13" s="2">
        <v>851.48512601226184</v>
      </c>
      <c r="ED13" s="2">
        <v>956.20029060142019</v>
      </c>
      <c r="EE13" s="2">
        <v>1024.4471289754467</v>
      </c>
      <c r="EF13" s="2">
        <v>1157.1661345695616</v>
      </c>
      <c r="EG13" s="2">
        <v>1314.9764910305857</v>
      </c>
      <c r="EH13" s="2">
        <v>1537.5426672670626</v>
      </c>
      <c r="EI13" s="2">
        <v>1498.4049143695863</v>
      </c>
      <c r="EJ13" s="2">
        <v>1359.370966205578</v>
      </c>
      <c r="EL13" t="s">
        <v>13</v>
      </c>
      <c r="EM13" s="2">
        <v>1484.9669259024961</v>
      </c>
      <c r="EN13" s="2">
        <v>860.2873921253298</v>
      </c>
      <c r="EO13" s="2">
        <v>1219.31460971055</v>
      </c>
      <c r="EP13" s="2">
        <v>1155.5802177217247</v>
      </c>
      <c r="EQ13" s="2">
        <v>1215.2556446784781</v>
      </c>
      <c r="ER13" s="2">
        <v>1291.1573982932471</v>
      </c>
      <c r="ES13" s="2">
        <v>1670.5330128388434</v>
      </c>
      <c r="ET13" s="2">
        <v>1698.3263086525528</v>
      </c>
      <c r="EU13" s="2">
        <v>1456.4439457961514</v>
      </c>
      <c r="EX13" s="2"/>
      <c r="EY13" s="282"/>
      <c r="EZ13" s="280" t="s">
        <v>13</v>
      </c>
      <c r="FA13" s="282">
        <v>1174.155525594145</v>
      </c>
      <c r="FB13" s="282">
        <v>788.76627656311939</v>
      </c>
      <c r="FC13" s="282">
        <v>1185.8960624480333</v>
      </c>
      <c r="FD13" s="282">
        <v>1120.1648847742492</v>
      </c>
      <c r="FE13" s="282">
        <v>1199.9722361995878</v>
      </c>
      <c r="FF13" s="282">
        <v>1189.3297050694543</v>
      </c>
      <c r="FG13" s="282">
        <v>1540.4328491524118</v>
      </c>
      <c r="FH13" s="282">
        <v>1603.134701709929</v>
      </c>
      <c r="FI13" s="289">
        <v>1356.9600099577319</v>
      </c>
      <c r="FJ13" s="282"/>
      <c r="FK13" s="282"/>
      <c r="FL13" s="282"/>
      <c r="FM13" s="282"/>
      <c r="FN13" s="341" t="s">
        <v>13</v>
      </c>
      <c r="FO13" s="344">
        <v>1255.3671163737383</v>
      </c>
      <c r="FP13" s="344">
        <v>951.47197207861882</v>
      </c>
      <c r="FQ13" s="344">
        <v>1239.7922960648461</v>
      </c>
      <c r="FR13" s="344">
        <v>971.81819643384711</v>
      </c>
      <c r="FS13" s="344">
        <v>1213.2005896580386</v>
      </c>
      <c r="FT13" s="344">
        <v>1224.3595461127175</v>
      </c>
      <c r="FU13" s="344">
        <v>1709.1325978523118</v>
      </c>
      <c r="FV13" s="344">
        <v>1661.1540724828592</v>
      </c>
      <c r="FW13" s="289">
        <v>1449.1383573860844</v>
      </c>
      <c r="FX13" s="341"/>
      <c r="FY13" s="341"/>
      <c r="FZ13" s="282"/>
      <c r="GA13" s="282"/>
      <c r="GB13" s="282"/>
      <c r="GC13" s="2"/>
      <c r="GD13" s="11">
        <v>2009</v>
      </c>
      <c r="GE13" s="2">
        <f>EM18+EM19</f>
        <v>12070.971824672715</v>
      </c>
      <c r="GF13" s="2">
        <f>EN18+EN19</f>
        <v>5406.101715699635</v>
      </c>
      <c r="GG13" s="2">
        <f>EO18+EO19</f>
        <v>10035.850078851259</v>
      </c>
      <c r="GH13" s="2">
        <f>EP18+EP19</f>
        <v>9691.9670145747459</v>
      </c>
      <c r="GI13" s="2">
        <f>EQ18+EQ19-$GH$3</f>
        <v>12131.638337768671</v>
      </c>
      <c r="GJ13" s="2">
        <f>ER18+ER19</f>
        <v>8634.0608837270975</v>
      </c>
      <c r="GK13" s="2">
        <f>ES18+ES19</f>
        <v>9439.5839263324015</v>
      </c>
      <c r="GL13" s="2">
        <f t="shared" si="18"/>
        <v>67410.173781626538</v>
      </c>
      <c r="GM13" s="11">
        <f t="shared" si="19"/>
        <v>2009</v>
      </c>
      <c r="GN13" s="2">
        <f t="shared" si="4"/>
        <v>57970.589855294129</v>
      </c>
      <c r="GO13">
        <f t="shared" si="20"/>
        <v>57893.275623871035</v>
      </c>
      <c r="GP13">
        <f t="shared" si="5"/>
        <v>10.967691089463901</v>
      </c>
      <c r="GQ13">
        <v>12</v>
      </c>
      <c r="GR13">
        <f t="shared" si="6"/>
        <v>10.967691089463901</v>
      </c>
      <c r="GS13">
        <f t="shared" si="21"/>
        <v>10.966356519059598</v>
      </c>
      <c r="GX13" s="11">
        <f t="shared" si="22"/>
        <v>2009</v>
      </c>
      <c r="GY13" s="2">
        <f t="shared" si="23"/>
        <v>67410.173781626538</v>
      </c>
      <c r="GZ13">
        <f t="shared" si="24"/>
        <v>66975.525024557719</v>
      </c>
      <c r="HA13">
        <f t="shared" si="25"/>
        <v>11.118551231824084</v>
      </c>
      <c r="HB13">
        <v>10</v>
      </c>
      <c r="HC13">
        <f t="shared" si="26"/>
        <v>11.118551231824084</v>
      </c>
      <c r="HD13">
        <f t="shared" si="27"/>
        <v>11.112082533494554</v>
      </c>
      <c r="HE13">
        <f t="shared" si="28"/>
        <v>188919.54202146895</v>
      </c>
      <c r="HJ13" s="11">
        <v>2009</v>
      </c>
      <c r="HK13" s="2">
        <f>EM20</f>
        <v>4762.2398021134541</v>
      </c>
      <c r="HL13" s="2">
        <f>EN20</f>
        <v>1285.1783581023469</v>
      </c>
      <c r="HM13" s="2">
        <f>EO20</f>
        <v>1679.7863224350169</v>
      </c>
      <c r="HN13" s="2">
        <f>EP20</f>
        <v>3232.2716333262219</v>
      </c>
      <c r="HO13" s="9">
        <f>EQ20-$HN$3</f>
        <v>5620.0929300840835</v>
      </c>
      <c r="HP13" s="2">
        <f>ER20</f>
        <v>4024.5158034563065</v>
      </c>
      <c r="HQ13" s="2">
        <f>ES20</f>
        <v>2109.8537334612402</v>
      </c>
      <c r="HR13" s="2"/>
      <c r="HS13" s="11">
        <f t="shared" si="30"/>
        <v>2009</v>
      </c>
      <c r="HT13" s="2">
        <f t="shared" si="8"/>
        <v>20604.084849517429</v>
      </c>
      <c r="HU13">
        <f t="shared" si="31"/>
        <v>20736.206238229657</v>
      </c>
      <c r="HV13">
        <f t="shared" si="9"/>
        <v>9.9332446287859764</v>
      </c>
      <c r="HW13">
        <v>12</v>
      </c>
      <c r="HX13">
        <f t="shared" si="10"/>
        <v>9.9332446287859764</v>
      </c>
      <c r="HY13">
        <f t="shared" si="32"/>
        <v>9.9396365450048201</v>
      </c>
      <c r="ID13" s="11">
        <f t="shared" si="33"/>
        <v>2009</v>
      </c>
      <c r="IE13" s="2">
        <f t="shared" si="34"/>
        <v>22713.93858297867</v>
      </c>
      <c r="IF13">
        <f t="shared" si="35"/>
        <v>22959.554837116171</v>
      </c>
      <c r="IG13">
        <f t="shared" si="36"/>
        <v>10.030734049519904</v>
      </c>
      <c r="IH13">
        <v>10</v>
      </c>
      <c r="II13">
        <f t="shared" si="37"/>
        <v>10.030734049519904</v>
      </c>
      <c r="IJ13">
        <f t="shared" si="38"/>
        <v>10.041489461618196</v>
      </c>
      <c r="IK13">
        <f t="shared" si="39"/>
        <v>60327.34429653774</v>
      </c>
      <c r="IO13" s="11">
        <v>2009</v>
      </c>
      <c r="IP13" s="2">
        <f t="shared" ref="IP13:IV13" si="58">EM21</f>
        <v>49.254241721900001</v>
      </c>
      <c r="IQ13" s="2">
        <f t="shared" si="58"/>
        <v>53.767133913800009</v>
      </c>
      <c r="IR13" s="2">
        <f t="shared" si="58"/>
        <v>55.596116218799999</v>
      </c>
      <c r="IS13" s="2">
        <f t="shared" si="58"/>
        <v>401.48034546477976</v>
      </c>
      <c r="IT13" s="2">
        <f t="shared" si="58"/>
        <v>1496.2498974446548</v>
      </c>
      <c r="IU13" s="2">
        <f t="shared" si="58"/>
        <v>1366.4914081526813</v>
      </c>
      <c r="IV13" s="2">
        <f t="shared" si="58"/>
        <v>2270.1129433710662</v>
      </c>
      <c r="IW13" s="2"/>
      <c r="IX13" s="11">
        <f t="shared" si="41"/>
        <v>2009</v>
      </c>
      <c r="IY13" s="2">
        <f t="shared" si="12"/>
        <v>3422.8391429166159</v>
      </c>
      <c r="IZ13">
        <f t="shared" si="42"/>
        <v>3402.5745472743197</v>
      </c>
      <c r="JA13">
        <f t="shared" si="13"/>
        <v>8.1382256444130121</v>
      </c>
      <c r="JB13">
        <v>12</v>
      </c>
      <c r="JC13">
        <f t="shared" si="14"/>
        <v>8.1382256444130121</v>
      </c>
      <c r="JD13">
        <f t="shared" si="43"/>
        <v>8.1322876438445579</v>
      </c>
      <c r="JI13" s="11">
        <f t="shared" si="44"/>
        <v>2009</v>
      </c>
      <c r="JJ13" s="2">
        <f t="shared" si="45"/>
        <v>5692.9520862876816</v>
      </c>
      <c r="JK13">
        <f t="shared" si="46"/>
        <v>5683.1712973542981</v>
      </c>
      <c r="JL13">
        <f t="shared" si="47"/>
        <v>8.6469842126654779</v>
      </c>
      <c r="JM13">
        <v>10</v>
      </c>
      <c r="JN13">
        <f t="shared" si="48"/>
        <v>8.6469842126654779</v>
      </c>
      <c r="JO13">
        <f t="shared" si="49"/>
        <v>8.6452646829076656</v>
      </c>
      <c r="KF13" s="280">
        <f t="shared" si="16"/>
        <v>2007</v>
      </c>
      <c r="KG13" s="282">
        <f>EJ22</f>
        <v>110645.70519354855</v>
      </c>
    </row>
    <row r="14" spans="3:293" x14ac:dyDescent="0.2">
      <c r="C14" s="280" t="s">
        <v>14</v>
      </c>
      <c r="D14" s="282">
        <v>1928.0770087779515</v>
      </c>
      <c r="E14" s="282">
        <v>1617.9092207006686</v>
      </c>
      <c r="F14" s="282">
        <v>1724.167612437647</v>
      </c>
      <c r="G14" s="282">
        <v>1791.8979585776349</v>
      </c>
      <c r="H14" s="282">
        <v>1766.8499073509604</v>
      </c>
      <c r="I14" s="282">
        <v>1949.910363346982</v>
      </c>
      <c r="J14" s="282">
        <v>2071.0641656753774</v>
      </c>
      <c r="K14" s="282"/>
      <c r="L14" s="282">
        <v>1822.2392585310008</v>
      </c>
      <c r="O14" s="280" t="s">
        <v>14</v>
      </c>
      <c r="P14" s="282">
        <v>1917</v>
      </c>
      <c r="Q14" s="282">
        <v>1609</v>
      </c>
      <c r="R14" s="282">
        <v>1739</v>
      </c>
      <c r="S14" s="282">
        <v>1788</v>
      </c>
      <c r="T14" s="282">
        <v>1789</v>
      </c>
      <c r="U14" s="282">
        <v>1946</v>
      </c>
      <c r="V14" s="282">
        <v>2084</v>
      </c>
      <c r="W14" s="282"/>
      <c r="X14" s="282">
        <v>1830</v>
      </c>
      <c r="AA14" s="273" t="s">
        <v>14</v>
      </c>
      <c r="AB14" s="275">
        <v>1902</v>
      </c>
      <c r="AC14" s="275">
        <v>1624</v>
      </c>
      <c r="AD14" s="275">
        <v>1725</v>
      </c>
      <c r="AE14" s="275">
        <v>1782</v>
      </c>
      <c r="AF14" s="275">
        <v>1788</v>
      </c>
      <c r="AG14" s="275">
        <v>1915</v>
      </c>
      <c r="AH14" s="275">
        <v>2099</v>
      </c>
      <c r="AI14" s="275"/>
      <c r="AJ14" s="275">
        <v>1836</v>
      </c>
      <c r="AM14" t="s">
        <v>14</v>
      </c>
      <c r="AN14" s="2">
        <v>1917</v>
      </c>
      <c r="AO14" s="2">
        <v>1608</v>
      </c>
      <c r="AP14" s="2">
        <v>1725</v>
      </c>
      <c r="AQ14" s="2">
        <v>1800</v>
      </c>
      <c r="AR14" s="2">
        <v>1779</v>
      </c>
      <c r="AS14" s="2">
        <v>1874</v>
      </c>
      <c r="AT14" s="2">
        <v>2063</v>
      </c>
      <c r="AU14" s="2"/>
      <c r="AV14" s="2">
        <v>1822</v>
      </c>
      <c r="AY14" t="s">
        <v>14</v>
      </c>
      <c r="AZ14" s="2">
        <v>1904.4901808049651</v>
      </c>
      <c r="BA14" s="2">
        <v>1615.167904738164</v>
      </c>
      <c r="BB14" s="2">
        <v>1723.4188423529997</v>
      </c>
      <c r="BC14" s="2">
        <v>1774.4336194364025</v>
      </c>
      <c r="BD14" s="2">
        <v>1786.0561575546467</v>
      </c>
      <c r="BE14" s="2">
        <v>1900.8008763069374</v>
      </c>
      <c r="BF14" s="2">
        <v>2117.4704121674704</v>
      </c>
      <c r="BG14" s="2"/>
      <c r="BH14" s="2">
        <v>1829.9013348715332</v>
      </c>
      <c r="BK14" t="s">
        <v>14</v>
      </c>
      <c r="BL14" s="2">
        <v>1924.9178379180059</v>
      </c>
      <c r="BM14" s="2">
        <v>1593.8417513942077</v>
      </c>
      <c r="BN14" s="2">
        <v>1741.2503401917963</v>
      </c>
      <c r="BO14" s="2">
        <v>1783.5891411444154</v>
      </c>
      <c r="BP14" s="2">
        <v>1775.1982724185984</v>
      </c>
      <c r="BQ14" s="2">
        <v>1914.6877119875376</v>
      </c>
      <c r="BR14" s="2">
        <v>2089.8855646631832</v>
      </c>
      <c r="BS14" s="2"/>
      <c r="BT14" s="2">
        <v>1839.8149833840921</v>
      </c>
      <c r="BW14" t="s">
        <v>14</v>
      </c>
      <c r="BX14" s="2">
        <v>1960.2681001908206</v>
      </c>
      <c r="BY14" s="2">
        <v>1653.8650020225355</v>
      </c>
      <c r="BZ14" s="2">
        <v>1759.3600342876555</v>
      </c>
      <c r="CA14" s="2">
        <v>1838.6825077354094</v>
      </c>
      <c r="CB14" s="2">
        <v>1839.5278752442225</v>
      </c>
      <c r="CC14" s="2">
        <v>1936.1119473275953</v>
      </c>
      <c r="CD14" s="2">
        <v>2024.9120715750084</v>
      </c>
      <c r="CE14" s="2"/>
      <c r="CF14" s="2">
        <v>1869.7184878258925</v>
      </c>
      <c r="CG14" s="282"/>
      <c r="CI14" t="s">
        <v>14</v>
      </c>
      <c r="CJ14" s="2">
        <v>1860.0822206721032</v>
      </c>
      <c r="CK14" s="2">
        <v>1592.6751773857204</v>
      </c>
      <c r="CL14" s="2">
        <v>1709.0052355790974</v>
      </c>
      <c r="CM14" s="2">
        <v>1730.2023473479082</v>
      </c>
      <c r="CN14" s="2">
        <v>1726.9633899695887</v>
      </c>
      <c r="CO14" s="2">
        <v>1768.0021861344683</v>
      </c>
      <c r="CP14" s="2">
        <v>2155.4225082994153</v>
      </c>
      <c r="CQ14" s="2"/>
      <c r="CR14" s="2">
        <v>1808.115201015627</v>
      </c>
      <c r="CT14" t="s">
        <v>14</v>
      </c>
      <c r="CU14" s="2">
        <v>1849.3016418631371</v>
      </c>
      <c r="CV14" s="2">
        <v>1553.5904786123601</v>
      </c>
      <c r="CW14" s="2">
        <v>1661.1245855474874</v>
      </c>
      <c r="CX14" s="2">
        <v>1668.7096123708893</v>
      </c>
      <c r="CY14" s="2">
        <v>1675.8051807763632</v>
      </c>
      <c r="CZ14" s="2">
        <v>1726.472398383323</v>
      </c>
      <c r="DA14" s="2">
        <v>2074.4211422034568</v>
      </c>
      <c r="DB14" s="2">
        <v>2308.9112093966219</v>
      </c>
      <c r="DC14" s="2">
        <v>1773.7177205856385</v>
      </c>
      <c r="DE14" t="s">
        <v>14</v>
      </c>
      <c r="DF14" s="2">
        <v>1853.9133089946829</v>
      </c>
      <c r="DG14" s="2">
        <v>1590.331629779655</v>
      </c>
      <c r="DH14" s="2">
        <v>1705.8003282048799</v>
      </c>
      <c r="DI14" s="2">
        <v>1703.4635034166217</v>
      </c>
      <c r="DJ14" s="2">
        <v>1688.0833186253235</v>
      </c>
      <c r="DK14" s="2">
        <v>1760.7623432350574</v>
      </c>
      <c r="DL14" s="2">
        <v>2153.7655401046309</v>
      </c>
      <c r="DM14" s="2">
        <v>2355.7533696030428</v>
      </c>
      <c r="DN14" s="2">
        <v>1821.67398997328</v>
      </c>
      <c r="DP14" t="s">
        <v>14</v>
      </c>
      <c r="DQ14" s="2">
        <v>1876.7808743198091</v>
      </c>
      <c r="DR14" s="2">
        <v>1595.099517789246</v>
      </c>
      <c r="DS14" s="2">
        <v>1703.9194191316828</v>
      </c>
      <c r="DT14" s="2">
        <v>1737.3446185397061</v>
      </c>
      <c r="DU14" s="2">
        <v>1717.1561509265002</v>
      </c>
      <c r="DV14" s="2">
        <v>1803.4706376333277</v>
      </c>
      <c r="DW14" s="2">
        <v>2204.6233008696249</v>
      </c>
      <c r="DX14" s="2">
        <v>2431.2486984851466</v>
      </c>
      <c r="DY14" s="2">
        <v>1870.4863191319309</v>
      </c>
      <c r="EA14" t="s">
        <v>14</v>
      </c>
      <c r="EB14" s="2">
        <v>1881.1585119103381</v>
      </c>
      <c r="EC14" s="2">
        <v>1582.0027628538021</v>
      </c>
      <c r="ED14" s="2">
        <v>1701.6921721657268</v>
      </c>
      <c r="EE14" s="2">
        <v>1740.7439099171831</v>
      </c>
      <c r="EF14" s="2">
        <v>1686.2948609338323</v>
      </c>
      <c r="EG14" s="2">
        <v>1806.6789680603822</v>
      </c>
      <c r="EH14" s="2">
        <v>2183.4451763295901</v>
      </c>
      <c r="EI14" s="2">
        <v>2435.5666271174923</v>
      </c>
      <c r="EJ14" s="2">
        <v>1876.7677125858224</v>
      </c>
      <c r="EK14" s="1"/>
      <c r="EL14" t="s">
        <v>14</v>
      </c>
      <c r="EM14" s="2">
        <v>1879.3804620738099</v>
      </c>
      <c r="EN14" s="2">
        <v>1656.1175097422145</v>
      </c>
      <c r="EO14" s="2">
        <v>1682.1801462072763</v>
      </c>
      <c r="EP14" s="2">
        <v>1780.86743848116</v>
      </c>
      <c r="EQ14" s="2">
        <v>1721.0010174133818</v>
      </c>
      <c r="ER14" s="2">
        <v>1811.4850316718716</v>
      </c>
      <c r="ES14" s="2">
        <v>2204.5915885776135</v>
      </c>
      <c r="ET14" s="2">
        <v>2370.2371387815738</v>
      </c>
      <c r="EU14" s="2">
        <v>1899.4115614757236</v>
      </c>
      <c r="EX14" s="2"/>
      <c r="EY14" s="282"/>
      <c r="EZ14" s="280" t="s">
        <v>14</v>
      </c>
      <c r="FA14" s="282">
        <v>1829.7648459903999</v>
      </c>
      <c r="FB14" s="282">
        <v>1618.6496363488875</v>
      </c>
      <c r="FC14" s="282">
        <v>1712.1552710038895</v>
      </c>
      <c r="FD14" s="282">
        <v>1719.7010082205454</v>
      </c>
      <c r="FE14" s="282">
        <v>1714.394678776933</v>
      </c>
      <c r="FF14" s="282">
        <v>1767.7328687066724</v>
      </c>
      <c r="FG14" s="282">
        <v>2181.7639868798678</v>
      </c>
      <c r="FH14" s="282">
        <v>2413.2291264431483</v>
      </c>
      <c r="FI14" s="289">
        <v>1890.1801526334243</v>
      </c>
      <c r="FJ14" s="282"/>
      <c r="FK14" s="282"/>
      <c r="FL14" s="282"/>
      <c r="FM14" s="282"/>
      <c r="FN14" s="341" t="s">
        <v>14</v>
      </c>
      <c r="FO14" s="344">
        <v>1779.2830570700296</v>
      </c>
      <c r="FP14" s="344">
        <v>1665.6865835486606</v>
      </c>
      <c r="FQ14" s="344">
        <v>1685.6175750553127</v>
      </c>
      <c r="FR14" s="344">
        <v>1719.3642002267109</v>
      </c>
      <c r="FS14" s="344">
        <v>1726.7769051066985</v>
      </c>
      <c r="FT14" s="344">
        <v>1770.2178674570991</v>
      </c>
      <c r="FU14" s="344">
        <v>2167.9415313968921</v>
      </c>
      <c r="FV14" s="344">
        <v>2295.9846025486677</v>
      </c>
      <c r="FW14" s="289">
        <v>1873.9310628978194</v>
      </c>
      <c r="FX14" s="341"/>
      <c r="FY14" s="341"/>
      <c r="FZ14" s="282"/>
      <c r="GA14" s="282"/>
      <c r="GB14" s="282"/>
      <c r="GC14" s="2"/>
      <c r="GD14" s="11">
        <v>2011</v>
      </c>
      <c r="GE14" s="282">
        <f t="shared" ref="GE14:GK14" si="59">FA18+FA19</f>
        <v>11850.236716469124</v>
      </c>
      <c r="GF14" s="282">
        <f t="shared" si="59"/>
        <v>5266.3136721074006</v>
      </c>
      <c r="GG14" s="282">
        <f t="shared" si="59"/>
        <v>10165.144854214459</v>
      </c>
      <c r="GH14" s="282">
        <f t="shared" si="59"/>
        <v>9694.1140173721669</v>
      </c>
      <c r="GI14" s="282">
        <f t="shared" si="59"/>
        <v>13330.599220627433</v>
      </c>
      <c r="GJ14" s="282">
        <f t="shared" si="59"/>
        <v>8788.9934092650947</v>
      </c>
      <c r="GK14" s="282">
        <f t="shared" si="59"/>
        <v>9582.9045608410634</v>
      </c>
      <c r="GL14" s="282">
        <f t="shared" si="18"/>
        <v>68678.306450896736</v>
      </c>
      <c r="GM14" s="11">
        <f t="shared" si="19"/>
        <v>2011</v>
      </c>
      <c r="GN14" s="282">
        <f>SUM(GE14:GJ14)</f>
        <v>59095.401890055677</v>
      </c>
      <c r="GO14" s="280">
        <f>EXP(GS14)</f>
        <v>57204.466643492284</v>
      </c>
      <c r="GP14" s="280">
        <f>LN(GN14)</f>
        <v>10.986908398168723</v>
      </c>
      <c r="GQ14">
        <v>14</v>
      </c>
      <c r="GR14" s="280">
        <f>GP14</f>
        <v>10.986908398168723</v>
      </c>
      <c r="GS14" s="280">
        <f>$GV$7+GQ14*$GU$7</f>
        <v>10.954387262492109</v>
      </c>
      <c r="GX14" s="11">
        <f t="shared" si="22"/>
        <v>2011</v>
      </c>
      <c r="GY14" s="282">
        <f t="shared" si="23"/>
        <v>68678.306450896736</v>
      </c>
      <c r="GZ14" s="280">
        <f>EXP(HD14)</f>
        <v>65955.274064713871</v>
      </c>
      <c r="HA14" s="280">
        <f>LN(GY14)</f>
        <v>11.137188656158997</v>
      </c>
      <c r="HB14" s="280">
        <v>12</v>
      </c>
      <c r="HC14" s="280">
        <f>HA14</f>
        <v>11.137188656158997</v>
      </c>
      <c r="HD14" s="280">
        <f>$HG$8+HB14*$HF$8</f>
        <v>11.09673212560323</v>
      </c>
      <c r="HE14" s="280">
        <f>(GY14-GZ14)^2</f>
        <v>7414905.3762007505</v>
      </c>
      <c r="HJ14" s="11">
        <v>2011</v>
      </c>
      <c r="HK14" s="282">
        <f t="shared" ref="HK14:HQ14" si="60">FA20</f>
        <v>5026.2148770642461</v>
      </c>
      <c r="HL14" s="282">
        <f t="shared" si="60"/>
        <v>1313.1153722920055</v>
      </c>
      <c r="HM14" s="282">
        <f t="shared" si="60"/>
        <v>1672.6171668959162</v>
      </c>
      <c r="HN14" s="282">
        <f t="shared" si="60"/>
        <v>3479.8296364078683</v>
      </c>
      <c r="HO14" s="282">
        <f t="shared" si="60"/>
        <v>6512.7041370648958</v>
      </c>
      <c r="HP14" s="282">
        <f t="shared" si="60"/>
        <v>4202.8007409082938</v>
      </c>
      <c r="HQ14" s="282">
        <f t="shared" si="60"/>
        <v>2225.0221698780883</v>
      </c>
      <c r="HR14" s="12"/>
      <c r="HS14" s="11">
        <f t="shared" si="30"/>
        <v>2011</v>
      </c>
      <c r="HT14" s="282">
        <f t="shared" si="8"/>
        <v>22207.281930633224</v>
      </c>
      <c r="HU14" s="280">
        <f>EXP(HY14)</f>
        <v>20362.742181636026</v>
      </c>
      <c r="HV14" s="280">
        <f>LN(HT14)</f>
        <v>10.008175528968636</v>
      </c>
      <c r="HW14">
        <v>14</v>
      </c>
      <c r="HX14" s="280">
        <f t="shared" si="10"/>
        <v>10.008175528968636</v>
      </c>
      <c r="HY14">
        <f t="shared" si="32"/>
        <v>9.9214621463514714</v>
      </c>
      <c r="ID14" s="11">
        <f t="shared" si="33"/>
        <v>2011</v>
      </c>
      <c r="IE14" s="282">
        <f>SUM(HK14:HQ14)</f>
        <v>24432.304100511312</v>
      </c>
      <c r="IF14" s="280">
        <f>EXP(IJ14)</f>
        <v>22959.554837116171</v>
      </c>
      <c r="IG14" s="280">
        <f>LN(IE14)</f>
        <v>10.103661474192974</v>
      </c>
      <c r="IH14" s="280">
        <v>10</v>
      </c>
      <c r="II14" s="280">
        <f>IG14</f>
        <v>10.103661474192974</v>
      </c>
      <c r="IJ14" s="280">
        <f>$IM$8+IH14*$IL$8</f>
        <v>10.041489461618196</v>
      </c>
      <c r="IK14" s="280">
        <f t="shared" si="39"/>
        <v>2168990.3928309293</v>
      </c>
      <c r="IO14" s="11">
        <v>2011</v>
      </c>
      <c r="IP14" s="282">
        <f t="shared" ref="IP14:IV14" si="61">FA21</f>
        <v>48.184416804902007</v>
      </c>
      <c r="IQ14" s="282">
        <f t="shared" si="61"/>
        <v>44.280350941457996</v>
      </c>
      <c r="IR14" s="282">
        <f t="shared" si="61"/>
        <v>67.17637643299102</v>
      </c>
      <c r="IS14" s="282">
        <f t="shared" si="61"/>
        <v>421.76203493956615</v>
      </c>
      <c r="IT14" s="282">
        <f t="shared" si="61"/>
        <v>1496.346447191981</v>
      </c>
      <c r="IU14" s="282">
        <f t="shared" si="61"/>
        <v>1502.3344201505079</v>
      </c>
      <c r="IV14" s="282">
        <f t="shared" si="61"/>
        <v>2361.9664242357062</v>
      </c>
      <c r="IW14" s="12"/>
      <c r="IX14" s="11">
        <f t="shared" si="41"/>
        <v>2011</v>
      </c>
      <c r="IY14" s="282">
        <f>SUM(IP14:IU14)</f>
        <v>3580.0840464614062</v>
      </c>
      <c r="IZ14" s="280">
        <f>EXP(JD14)</f>
        <v>3217.7672183304458</v>
      </c>
      <c r="JA14" s="280">
        <f>LN(IY14)</f>
        <v>8.1831415557843705</v>
      </c>
      <c r="JB14" s="280">
        <v>14</v>
      </c>
      <c r="JC14" s="280">
        <f>JA14</f>
        <v>8.1831415557843705</v>
      </c>
      <c r="JD14" s="280">
        <f>$JG$7+JB14*$JF$7</f>
        <v>8.0764429875618475</v>
      </c>
      <c r="JI14" s="11">
        <f t="shared" si="44"/>
        <v>2011</v>
      </c>
      <c r="JJ14" s="282">
        <f>SUM(IP14:IV14)</f>
        <v>5942.0504706971124</v>
      </c>
      <c r="JK14" s="280">
        <f>EXP(JO14)</f>
        <v>5468.2467207338532</v>
      </c>
      <c r="JL14" s="280">
        <f>LN(JJ14)</f>
        <v>8.6898095498769408</v>
      </c>
      <c r="JM14" s="280">
        <v>12</v>
      </c>
      <c r="JN14" s="280">
        <f>JL14</f>
        <v>8.6898095498769408</v>
      </c>
      <c r="JO14" s="280">
        <f>$JR$8+JM14*$JQ$8</f>
        <v>8.6067133176624022</v>
      </c>
      <c r="KF14" s="280">
        <f t="shared" si="16"/>
        <v>2008</v>
      </c>
    </row>
    <row r="15" spans="3:293" x14ac:dyDescent="0.2">
      <c r="D15" s="282"/>
      <c r="E15" s="282"/>
      <c r="F15" s="282"/>
      <c r="G15" s="282"/>
      <c r="H15" s="282"/>
      <c r="I15" s="282"/>
      <c r="J15" s="282"/>
      <c r="K15" s="282"/>
      <c r="L15" s="282"/>
      <c r="P15" s="282"/>
      <c r="Q15" s="282"/>
      <c r="R15" s="282"/>
      <c r="S15" s="282"/>
      <c r="T15" s="282"/>
      <c r="U15" s="282"/>
      <c r="V15" s="282"/>
      <c r="W15" s="282"/>
      <c r="X15" s="282"/>
      <c r="AB15" s="275"/>
      <c r="AC15" s="275"/>
      <c r="AD15" s="275"/>
      <c r="AE15" s="275"/>
      <c r="AF15" s="275"/>
      <c r="AG15" s="275"/>
      <c r="AH15" s="275"/>
      <c r="AI15" s="275"/>
      <c r="AJ15" s="275"/>
      <c r="AN15" s="2"/>
      <c r="AO15" s="2"/>
      <c r="AP15" s="2"/>
      <c r="AQ15" s="2"/>
      <c r="AR15" s="2"/>
      <c r="AS15" s="2"/>
      <c r="AT15" s="2"/>
      <c r="AU15" s="2"/>
      <c r="AV15" s="2"/>
      <c r="AZ15" s="2"/>
      <c r="BA15" s="2"/>
      <c r="BB15" s="2"/>
      <c r="BC15" s="2"/>
      <c r="BD15" s="2"/>
      <c r="BE15" s="2"/>
      <c r="BF15" s="2"/>
      <c r="BG15" s="2"/>
      <c r="BH15" s="2"/>
      <c r="BL15" s="2"/>
      <c r="BM15" s="2"/>
      <c r="BN15" s="2"/>
      <c r="BO15" s="2"/>
      <c r="BP15" s="2"/>
      <c r="BQ15" s="2"/>
      <c r="BR15" s="2"/>
      <c r="BS15" s="2"/>
      <c r="BT15" s="2"/>
      <c r="BX15" s="2"/>
      <c r="BY15" s="2"/>
      <c r="BZ15" s="2"/>
      <c r="CA15" s="2"/>
      <c r="CB15" s="2">
        <f>(CB10*CB18+CB11*CB19)/(CB18+CB19)</f>
        <v>1928.7599983469402</v>
      </c>
      <c r="CC15" s="2"/>
      <c r="CD15" s="2"/>
      <c r="CE15" s="2"/>
      <c r="CF15" s="2"/>
      <c r="CG15" s="282"/>
      <c r="CJ15" s="2"/>
      <c r="CK15" s="2"/>
      <c r="CL15" s="2" t="s">
        <v>550</v>
      </c>
      <c r="CM15" s="2">
        <f>SUMPRODUCT(CJ12:CM12,CJ20:CM20)/(SUM(CJ20:CM20))</f>
        <v>929.3339158096976</v>
      </c>
      <c r="CN15" s="282">
        <f>SUMPRODUCT(CJ12:CN12,CJ20:CN20)/(SUM(CJ20:CN20))</f>
        <v>925.43680923453223</v>
      </c>
      <c r="CO15" s="282">
        <f>SUMPRODUCT(CJ12:CO12,CJ20:CO20)/(SUM(CJ20:CO20))</f>
        <v>928.93706632058286</v>
      </c>
      <c r="CP15" s="282">
        <f>SUMPRODUCT(CJ12:CP12,CJ20:CP20)/(SUM(CJ20:CP20))</f>
        <v>937.65226936798183</v>
      </c>
      <c r="CQ15" s="2"/>
      <c r="CR15" s="2"/>
      <c r="CU15" s="2"/>
      <c r="CV15" s="2"/>
      <c r="CW15" s="2"/>
      <c r="CX15" s="2"/>
      <c r="CY15" s="2"/>
      <c r="CZ15" s="2"/>
      <c r="DA15" s="2"/>
      <c r="DB15" s="2"/>
      <c r="DC15" s="2"/>
      <c r="DF15" s="2"/>
      <c r="DG15" s="2"/>
      <c r="DH15" s="2"/>
      <c r="DI15" s="2"/>
      <c r="DJ15" s="2"/>
      <c r="DK15" s="2"/>
      <c r="DL15" s="2"/>
      <c r="DM15" s="2"/>
      <c r="DN15" s="2"/>
      <c r="DQ15" s="2"/>
      <c r="DR15" s="2"/>
      <c r="DS15" s="2"/>
      <c r="DT15" s="2"/>
      <c r="DU15" s="2"/>
      <c r="DV15" s="2"/>
      <c r="DW15" s="2"/>
      <c r="DX15" s="2"/>
      <c r="DY15" s="2"/>
      <c r="EB15" s="2"/>
      <c r="EC15" s="2"/>
      <c r="ED15" s="2"/>
      <c r="EE15" s="2"/>
      <c r="EF15" s="2"/>
      <c r="EG15" s="2"/>
      <c r="EH15" s="2"/>
      <c r="EI15" s="2"/>
      <c r="EJ15" s="2"/>
      <c r="EM15" s="2"/>
      <c r="EN15" s="2"/>
      <c r="EO15" s="2"/>
      <c r="EP15" s="2"/>
      <c r="EQ15" s="2"/>
      <c r="ER15" s="2"/>
      <c r="ES15" s="2"/>
      <c r="ET15" s="2"/>
      <c r="EU15" s="2"/>
      <c r="EX15" s="2"/>
      <c r="EY15" s="282"/>
      <c r="EZ15" s="282"/>
      <c r="FA15" s="282"/>
      <c r="FB15" s="282"/>
      <c r="FC15" s="282"/>
      <c r="FD15" s="282"/>
      <c r="FE15" s="282"/>
      <c r="FF15" s="282"/>
      <c r="FG15" s="282"/>
      <c r="FH15" s="282"/>
      <c r="FI15" s="289"/>
      <c r="FJ15" s="282"/>
      <c r="FK15" s="282"/>
      <c r="FL15" s="282" t="s">
        <v>593</v>
      </c>
      <c r="FM15" s="282"/>
      <c r="FN15" s="341"/>
      <c r="FO15" s="344"/>
      <c r="FP15" s="344"/>
      <c r="FQ15" s="344"/>
      <c r="FR15" s="344"/>
      <c r="FS15" s="344"/>
      <c r="FT15" s="344"/>
      <c r="FU15" s="344"/>
      <c r="FV15" s="344"/>
      <c r="FW15" s="289"/>
      <c r="FX15" s="341"/>
      <c r="FY15" s="341"/>
      <c r="FZ15" s="282"/>
      <c r="GA15" s="282"/>
      <c r="GB15" s="282"/>
      <c r="GC15" s="2"/>
      <c r="GD15" s="14" t="s">
        <v>557</v>
      </c>
      <c r="GE15" s="12">
        <f>GE14/GE8</f>
        <v>0.86298232896891602</v>
      </c>
      <c r="GF15" s="12">
        <f t="shared" ref="GF15:GK15" si="62">GF14/GF8</f>
        <v>0.89401527563306227</v>
      </c>
      <c r="GG15" s="12">
        <f t="shared" si="62"/>
        <v>0.97800438012474034</v>
      </c>
      <c r="GH15" s="12">
        <f t="shared" si="62"/>
        <v>0.94371243008237049</v>
      </c>
      <c r="GI15" s="12">
        <f t="shared" si="62"/>
        <v>1.0375114862109398</v>
      </c>
      <c r="GJ15" s="12">
        <f t="shared" si="62"/>
        <v>0.99488865664020698</v>
      </c>
      <c r="GK15" s="12">
        <f t="shared" si="62"/>
        <v>1.0057836245801244</v>
      </c>
      <c r="HE15">
        <f>SUM(HE8:HE13)*0.001</f>
        <v>3337.7507556364403</v>
      </c>
      <c r="HJ15" s="14" t="s">
        <v>557</v>
      </c>
      <c r="HK15" s="12">
        <f>HK14/HK8</f>
        <v>0.87263496228049175</v>
      </c>
      <c r="HL15" s="12">
        <f t="shared" ref="HL15:HQ15" si="63">HL14/HL8</f>
        <v>0.86427500855169992</v>
      </c>
      <c r="HM15" s="12">
        <f t="shared" si="63"/>
        <v>0.9302754215057164</v>
      </c>
      <c r="HN15" s="12">
        <f t="shared" si="63"/>
        <v>1.0373906261915391</v>
      </c>
      <c r="HO15" s="12">
        <f t="shared" si="63"/>
        <v>1.1506858292476758</v>
      </c>
      <c r="HP15" s="12">
        <f t="shared" si="63"/>
        <v>0.95449687341067369</v>
      </c>
      <c r="HQ15" s="12">
        <f t="shared" si="63"/>
        <v>1.1009009733159627</v>
      </c>
      <c r="IO15" s="14" t="s">
        <v>557</v>
      </c>
      <c r="IP15" s="12">
        <f>IP14/IP8</f>
        <v>1.2844689862362586</v>
      </c>
      <c r="IQ15" s="12">
        <f t="shared" ref="IQ15:IV15" si="64">IQ14/IQ8</f>
        <v>2.7230494846196258</v>
      </c>
      <c r="IR15" s="12">
        <f t="shared" si="64"/>
        <v>0.65597256609401688</v>
      </c>
      <c r="IS15" s="12">
        <f t="shared" si="64"/>
        <v>0.70108453612058841</v>
      </c>
      <c r="IT15" s="12">
        <f t="shared" si="64"/>
        <v>0.71132693419634518</v>
      </c>
      <c r="IU15" s="12">
        <f t="shared" si="64"/>
        <v>0.98989060694544562</v>
      </c>
      <c r="IV15" s="12">
        <f t="shared" si="64"/>
        <v>0.98399432977093115</v>
      </c>
      <c r="JT15" t="s">
        <v>32</v>
      </c>
      <c r="KF15" s="280">
        <f t="shared" si="16"/>
        <v>2009</v>
      </c>
      <c r="KG15" s="282">
        <f>EU22</f>
        <v>111802.75465906956</v>
      </c>
    </row>
    <row r="16" spans="3:293" x14ac:dyDescent="0.2">
      <c r="C16" s="281" t="s">
        <v>15</v>
      </c>
      <c r="D16" s="282"/>
      <c r="E16" s="282"/>
      <c r="F16" s="282"/>
      <c r="G16" s="282"/>
      <c r="H16" s="282"/>
      <c r="I16" s="282"/>
      <c r="J16" s="282"/>
      <c r="K16" s="282"/>
      <c r="L16" s="282"/>
      <c r="O16" s="281" t="s">
        <v>15</v>
      </c>
      <c r="P16" s="282"/>
      <c r="Q16" s="282"/>
      <c r="R16" s="282"/>
      <c r="S16" s="282"/>
      <c r="T16" s="282"/>
      <c r="U16" s="282"/>
      <c r="V16" s="282"/>
      <c r="W16" s="282"/>
      <c r="X16" s="282"/>
      <c r="AA16" s="274" t="s">
        <v>15</v>
      </c>
      <c r="AB16" s="275"/>
      <c r="AC16" s="275"/>
      <c r="AD16" s="275"/>
      <c r="AE16" s="275"/>
      <c r="AF16" s="275"/>
      <c r="AG16" s="275"/>
      <c r="AH16" s="275"/>
      <c r="AI16" s="275"/>
      <c r="AJ16" s="275"/>
      <c r="AM16" s="1" t="s">
        <v>15</v>
      </c>
      <c r="AN16" s="2"/>
      <c r="AO16" s="2"/>
      <c r="AP16" s="2"/>
      <c r="AQ16" s="2"/>
      <c r="AR16" s="2"/>
      <c r="AS16" s="2"/>
      <c r="AT16" s="2"/>
      <c r="AU16" s="2"/>
      <c r="AV16" s="2"/>
      <c r="AY16" s="1" t="s">
        <v>15</v>
      </c>
      <c r="AZ16" s="2"/>
      <c r="BA16" s="2"/>
      <c r="BB16" s="2"/>
      <c r="BC16" s="2"/>
      <c r="BD16" s="2"/>
      <c r="BE16" s="2"/>
      <c r="BF16" s="2"/>
      <c r="BG16" s="2"/>
      <c r="BH16" s="2"/>
      <c r="BK16" s="1" t="s">
        <v>15</v>
      </c>
      <c r="BL16" s="2"/>
      <c r="BM16" s="2"/>
      <c r="BN16" s="2"/>
      <c r="BO16" s="2"/>
      <c r="BP16" s="2"/>
      <c r="BQ16" s="2"/>
      <c r="BR16" s="2"/>
      <c r="BS16" s="2"/>
      <c r="BT16" s="2"/>
      <c r="BW16" s="1" t="s">
        <v>15</v>
      </c>
      <c r="BX16" s="2"/>
      <c r="BY16" s="2"/>
      <c r="BZ16" s="2"/>
      <c r="CA16" s="2"/>
      <c r="CB16" s="2"/>
      <c r="CC16" s="2"/>
      <c r="CD16" s="2"/>
      <c r="CE16" s="2"/>
      <c r="CF16" s="2"/>
      <c r="CG16" s="282"/>
      <c r="CI16" s="1" t="s">
        <v>15</v>
      </c>
      <c r="CJ16" s="2"/>
      <c r="CK16" s="2"/>
      <c r="CL16" s="2"/>
      <c r="CM16" s="2"/>
      <c r="CN16" s="2"/>
      <c r="CO16" s="2"/>
      <c r="CP16" s="2"/>
      <c r="CQ16" s="2"/>
      <c r="CR16" s="2"/>
      <c r="CT16" s="1" t="s">
        <v>15</v>
      </c>
      <c r="CU16" s="2"/>
      <c r="CV16" s="2"/>
      <c r="CW16" s="2"/>
      <c r="CX16" s="2"/>
      <c r="CY16" s="2"/>
      <c r="CZ16" s="2"/>
      <c r="DA16" s="2"/>
      <c r="DB16" s="2"/>
      <c r="DC16" s="2"/>
      <c r="DE16" s="1" t="s">
        <v>15</v>
      </c>
      <c r="DF16" s="2"/>
      <c r="DG16" s="2"/>
      <c r="DH16" s="2"/>
      <c r="DI16" s="2"/>
      <c r="DJ16" s="2"/>
      <c r="DK16" s="2"/>
      <c r="DL16" s="2"/>
      <c r="DM16" s="2"/>
      <c r="DN16" s="2"/>
      <c r="DP16" s="1" t="s">
        <v>15</v>
      </c>
      <c r="DQ16" s="2"/>
      <c r="DR16" s="2"/>
      <c r="DS16" s="2"/>
      <c r="DT16" s="2"/>
      <c r="DU16" s="2"/>
      <c r="DV16" s="2"/>
      <c r="DW16" s="2"/>
      <c r="DX16" s="2"/>
      <c r="DY16" s="2"/>
      <c r="EA16" s="1" t="s">
        <v>15</v>
      </c>
      <c r="EB16" s="2"/>
      <c r="EC16" s="2"/>
      <c r="ED16" s="2"/>
      <c r="EE16" s="2"/>
      <c r="EF16" s="2"/>
      <c r="EG16" s="2"/>
      <c r="EH16" s="2"/>
      <c r="EI16" s="2"/>
      <c r="EJ16" s="2"/>
      <c r="EL16" s="1" t="s">
        <v>15</v>
      </c>
      <c r="EM16" s="2"/>
      <c r="EN16" s="2"/>
      <c r="EO16" s="2"/>
      <c r="EP16" s="2"/>
      <c r="EQ16" s="2"/>
      <c r="ER16" s="2"/>
      <c r="ES16" s="2"/>
      <c r="ET16" s="2"/>
      <c r="EU16" s="2"/>
      <c r="EX16" s="2"/>
      <c r="EY16" s="282"/>
      <c r="EZ16" s="282"/>
      <c r="FA16" s="282"/>
      <c r="FB16" s="282"/>
      <c r="FC16" s="282"/>
      <c r="FD16" s="282"/>
      <c r="FE16" s="282"/>
      <c r="FF16" s="282"/>
      <c r="FG16" s="282"/>
      <c r="FH16" s="282"/>
      <c r="FI16" s="289"/>
      <c r="FJ16" s="280" t="s">
        <v>9</v>
      </c>
      <c r="FK16" s="50" t="s">
        <v>594</v>
      </c>
      <c r="FL16" s="50" t="s">
        <v>595</v>
      </c>
      <c r="FM16" s="282"/>
      <c r="FN16" s="342" t="s">
        <v>15</v>
      </c>
      <c r="FO16" s="344"/>
      <c r="FP16" s="344"/>
      <c r="FQ16" s="344"/>
      <c r="FR16" s="344"/>
      <c r="FS16" s="344"/>
      <c r="FT16" s="344"/>
      <c r="FU16" s="344"/>
      <c r="FV16" s="344"/>
      <c r="FW16" s="289"/>
      <c r="FX16" s="341"/>
      <c r="FY16" s="341" t="s">
        <v>726</v>
      </c>
      <c r="FZ16" s="282"/>
      <c r="GA16" s="282"/>
      <c r="GB16" s="282"/>
      <c r="GC16" s="2"/>
      <c r="GD16" s="14" t="s">
        <v>556</v>
      </c>
      <c r="GE16" s="12">
        <f t="shared" ref="GE16:GK16" si="65">GE13/GE8</f>
        <v>0.87905715534753193</v>
      </c>
      <c r="GF16" s="12">
        <f t="shared" si="65"/>
        <v>0.91774584963670081</v>
      </c>
      <c r="GG16" s="12">
        <f t="shared" si="65"/>
        <v>0.96556472890028899</v>
      </c>
      <c r="GH16" s="12">
        <f t="shared" si="65"/>
        <v>0.94350342147944743</v>
      </c>
      <c r="GI16" s="12">
        <f t="shared" si="65"/>
        <v>0.94419717476132836</v>
      </c>
      <c r="GJ16" s="12">
        <f t="shared" si="65"/>
        <v>0.9773507424531418</v>
      </c>
      <c r="GK16" s="12">
        <f t="shared" si="65"/>
        <v>0.99074125967519899</v>
      </c>
      <c r="HJ16" s="14" t="s">
        <v>556</v>
      </c>
      <c r="HK16" s="12">
        <f t="shared" ref="HK16:HQ16" si="66">HK13/HK8</f>
        <v>0.82680447448661898</v>
      </c>
      <c r="HL16" s="12">
        <f t="shared" si="66"/>
        <v>0.84588723875845528</v>
      </c>
      <c r="HM16" s="12">
        <f t="shared" si="66"/>
        <v>0.93426275902859623</v>
      </c>
      <c r="HN16" s="12">
        <f t="shared" si="66"/>
        <v>0.9635897857283553</v>
      </c>
      <c r="HO16" s="12">
        <f t="shared" si="66"/>
        <v>0.9929763670513202</v>
      </c>
      <c r="HP16" s="12">
        <f t="shared" si="66"/>
        <v>0.91400663229175672</v>
      </c>
      <c r="HQ16" s="12">
        <f t="shared" si="66"/>
        <v>1.0439177012106189</v>
      </c>
      <c r="IK16">
        <f>SUM(IK8:IK13)*0.001</f>
        <v>231.41068084448949</v>
      </c>
      <c r="IO16" s="14" t="s">
        <v>556</v>
      </c>
      <c r="IP16" s="12">
        <f t="shared" ref="IP16:IV16" si="67">IP13/IP8</f>
        <v>1.3129876862165997</v>
      </c>
      <c r="IQ16" s="12">
        <f t="shared" si="67"/>
        <v>3.3064454815864823</v>
      </c>
      <c r="IR16" s="12">
        <f t="shared" si="67"/>
        <v>0.54289214389653895</v>
      </c>
      <c r="IS16" s="12">
        <f t="shared" si="67"/>
        <v>0.66737078836894481</v>
      </c>
      <c r="IT16" s="12">
        <f t="shared" si="67"/>
        <v>0.71128103678008048</v>
      </c>
      <c r="IU16" s="12">
        <f t="shared" si="67"/>
        <v>0.90038342412901617</v>
      </c>
      <c r="IV16" s="12">
        <f t="shared" si="67"/>
        <v>0.9457282039644328</v>
      </c>
      <c r="JT16" t="s">
        <v>488</v>
      </c>
      <c r="JU16" s="269" t="s">
        <v>0</v>
      </c>
      <c r="JV16" s="269" t="s">
        <v>1</v>
      </c>
      <c r="JW16" s="269" t="s">
        <v>2</v>
      </c>
      <c r="JX16" s="269" t="s">
        <v>3</v>
      </c>
      <c r="JY16" s="269" t="s">
        <v>4</v>
      </c>
      <c r="JZ16" s="269" t="s">
        <v>5</v>
      </c>
      <c r="KA16" s="269" t="s">
        <v>6</v>
      </c>
      <c r="KB16" s="493"/>
      <c r="KF16" s="280">
        <f t="shared" si="16"/>
        <v>2010</v>
      </c>
    </row>
    <row r="17" spans="3:293" x14ac:dyDescent="0.2">
      <c r="C17" s="280" t="s">
        <v>9</v>
      </c>
      <c r="D17" s="282">
        <v>14219.269480000024</v>
      </c>
      <c r="E17" s="282">
        <v>5221.91741</v>
      </c>
      <c r="F17" s="282">
        <v>8018.9639700000107</v>
      </c>
      <c r="G17" s="282">
        <v>9151.5882200000124</v>
      </c>
      <c r="H17" s="282">
        <v>14111.094050000051</v>
      </c>
      <c r="I17" s="282">
        <v>6806.5597799999941</v>
      </c>
      <c r="J17" s="282">
        <v>2037.32781</v>
      </c>
      <c r="K17" s="282"/>
      <c r="L17" s="282">
        <v>59816.229129998952</v>
      </c>
      <c r="O17" s="280" t="s">
        <v>9</v>
      </c>
      <c r="P17" s="282">
        <v>14583</v>
      </c>
      <c r="Q17" s="282">
        <v>5440</v>
      </c>
      <c r="R17" s="282">
        <v>8255</v>
      </c>
      <c r="S17" s="282">
        <v>9636</v>
      </c>
      <c r="T17" s="282">
        <v>14031</v>
      </c>
      <c r="U17" s="282">
        <v>7427</v>
      </c>
      <c r="V17" s="282">
        <v>2190</v>
      </c>
      <c r="W17" s="282"/>
      <c r="X17" s="282">
        <v>61789</v>
      </c>
      <c r="AA17" s="273" t="s">
        <v>9</v>
      </c>
      <c r="AB17" s="275">
        <v>12702</v>
      </c>
      <c r="AC17" s="275">
        <v>4570</v>
      </c>
      <c r="AD17" s="275">
        <v>6787</v>
      </c>
      <c r="AE17" s="275">
        <v>8069</v>
      </c>
      <c r="AF17" s="275">
        <v>13050</v>
      </c>
      <c r="AG17" s="275">
        <v>10450</v>
      </c>
      <c r="AH17" s="275">
        <v>6377</v>
      </c>
      <c r="AI17" s="275"/>
      <c r="AJ17" s="275">
        <v>62667</v>
      </c>
      <c r="AM17" t="s">
        <v>9</v>
      </c>
      <c r="AN17" s="2">
        <v>13054</v>
      </c>
      <c r="AO17" s="2">
        <v>4758</v>
      </c>
      <c r="AP17" s="2">
        <v>7314</v>
      </c>
      <c r="AQ17" s="2">
        <v>8433</v>
      </c>
      <c r="AR17" s="2">
        <v>13328</v>
      </c>
      <c r="AS17" s="2">
        <v>8764</v>
      </c>
      <c r="AT17" s="2">
        <v>5352</v>
      </c>
      <c r="AU17" s="2"/>
      <c r="AV17" s="2">
        <v>61575</v>
      </c>
      <c r="AY17" t="s">
        <v>9</v>
      </c>
      <c r="AZ17" s="2">
        <v>12514.198459999952</v>
      </c>
      <c r="BA17" s="2">
        <v>4637.3487099999957</v>
      </c>
      <c r="BB17" s="2">
        <v>7102.9087100000115</v>
      </c>
      <c r="BC17" s="2">
        <v>7886.9631500000032</v>
      </c>
      <c r="BD17" s="2">
        <v>11856.885249999976</v>
      </c>
      <c r="BE17" s="2">
        <v>8547.9084600000133</v>
      </c>
      <c r="BF17" s="2">
        <v>3888.9755499999983</v>
      </c>
      <c r="BG17" s="2"/>
      <c r="BH17" s="2">
        <v>56802.059430000838</v>
      </c>
      <c r="BK17" t="s">
        <v>9</v>
      </c>
      <c r="BL17" s="2">
        <v>12551.830540000054</v>
      </c>
      <c r="BM17" s="2">
        <v>4357.6582400000034</v>
      </c>
      <c r="BN17" s="2">
        <v>6637.2429799999809</v>
      </c>
      <c r="BO17" s="2">
        <v>7736.5275100000117</v>
      </c>
      <c r="BP17" s="2">
        <v>12365.405030000027</v>
      </c>
      <c r="BQ17" s="2">
        <v>10102.959130000016</v>
      </c>
      <c r="BR17" s="2">
        <v>5542.0858399999843</v>
      </c>
      <c r="BS17" s="2"/>
      <c r="BT17" s="2">
        <v>59876.294149998626</v>
      </c>
      <c r="BW17" t="s">
        <v>9</v>
      </c>
      <c r="BX17" s="2">
        <v>12210.949611737415</v>
      </c>
      <c r="BY17" s="2">
        <v>5409.6681667092689</v>
      </c>
      <c r="BZ17" s="2">
        <v>10118.577129872763</v>
      </c>
      <c r="CA17" s="2">
        <v>10185.682807411151</v>
      </c>
      <c r="CB17" s="2">
        <v>13440.131581834245</v>
      </c>
      <c r="CC17" s="2">
        <v>8995.5592289505839</v>
      </c>
      <c r="CD17" s="2">
        <v>8283.4732059702601</v>
      </c>
      <c r="CE17" s="2"/>
      <c r="CF17" s="2">
        <v>68644.041732485552</v>
      </c>
      <c r="CG17" s="282"/>
      <c r="CI17" t="s">
        <v>9</v>
      </c>
      <c r="CJ17" s="2">
        <v>12480.471395221679</v>
      </c>
      <c r="CK17" s="2">
        <v>5468.3736234894159</v>
      </c>
      <c r="CL17" s="2">
        <v>10046.424264618665</v>
      </c>
      <c r="CM17" s="2">
        <v>10155.943967778125</v>
      </c>
      <c r="CN17" s="2">
        <v>13460.720489434883</v>
      </c>
      <c r="CO17" s="2">
        <v>8893.0888182513172</v>
      </c>
      <c r="CP17" s="2">
        <v>10810.243357285768</v>
      </c>
      <c r="CQ17" s="2"/>
      <c r="CR17" s="2">
        <v>71315.266916274442</v>
      </c>
      <c r="CT17" t="s">
        <v>9</v>
      </c>
      <c r="CU17" s="2">
        <v>12531.409196073673</v>
      </c>
      <c r="CV17" s="2">
        <v>5459.9120093176234</v>
      </c>
      <c r="CW17" s="2">
        <v>10154.416087529649</v>
      </c>
      <c r="CX17" s="2">
        <v>10308.182952631474</v>
      </c>
      <c r="CY17" s="2">
        <v>13811.078575142339</v>
      </c>
      <c r="CZ17" s="2">
        <v>8960.7766277221726</v>
      </c>
      <c r="DA17" s="2">
        <v>11181.862905355487</v>
      </c>
      <c r="DB17" s="2">
        <v>1939.8145794554994</v>
      </c>
      <c r="DC17" s="2">
        <v>74347.452933228298</v>
      </c>
      <c r="DE17" t="s">
        <v>9</v>
      </c>
      <c r="DF17" s="2">
        <v>12085.693097509506</v>
      </c>
      <c r="DG17" s="2">
        <v>5268.6121960646651</v>
      </c>
      <c r="DH17" s="2">
        <v>9711.701793238859</v>
      </c>
      <c r="DI17" s="2">
        <v>9899.720022369318</v>
      </c>
      <c r="DJ17" s="2">
        <v>13439.615486137256</v>
      </c>
      <c r="DK17" s="2">
        <v>9056.0608592608696</v>
      </c>
      <c r="DL17" s="2">
        <v>11174.268722318935</v>
      </c>
      <c r="DM17" s="2">
        <v>3971.4251546204678</v>
      </c>
      <c r="DN17" s="2">
        <v>74607.097331521174</v>
      </c>
      <c r="DP17" t="s">
        <v>9</v>
      </c>
      <c r="DQ17" s="2">
        <v>11467.456993852598</v>
      </c>
      <c r="DR17" s="2">
        <v>5168.7922070593359</v>
      </c>
      <c r="DS17" s="2">
        <v>9520.620210483341</v>
      </c>
      <c r="DT17" s="2">
        <v>9743.5509949553398</v>
      </c>
      <c r="DU17" s="2">
        <v>13953.653370648504</v>
      </c>
      <c r="DV17" s="2">
        <v>9068.3874342290237</v>
      </c>
      <c r="DW17" s="2">
        <v>11302.106745253364</v>
      </c>
      <c r="DX17" s="2">
        <v>6692.1058329878697</v>
      </c>
      <c r="DY17" s="2">
        <v>76916.673789469976</v>
      </c>
      <c r="EA17" t="s">
        <v>9</v>
      </c>
      <c r="EB17" s="2">
        <v>11083.938524880847</v>
      </c>
      <c r="EC17" s="2">
        <v>5169.3969148777414</v>
      </c>
      <c r="ED17" s="2">
        <v>9522.599895689129</v>
      </c>
      <c r="EE17" s="2">
        <v>9568.8832495697679</v>
      </c>
      <c r="EF17" s="2">
        <v>13819.905472823208</v>
      </c>
      <c r="EG17" s="2">
        <v>9009.6413943665011</v>
      </c>
      <c r="EH17" s="2">
        <v>11051.561353200568</v>
      </c>
      <c r="EI17" s="2">
        <v>9082.4918157589873</v>
      </c>
      <c r="EJ17" s="2">
        <v>78308.418621165882</v>
      </c>
      <c r="EL17" t="s">
        <v>9</v>
      </c>
      <c r="EM17" s="2">
        <v>11267.175521192939</v>
      </c>
      <c r="EN17" s="2">
        <v>5163.1768276991015</v>
      </c>
      <c r="EO17" s="2">
        <v>9739.6311379885083</v>
      </c>
      <c r="EP17" s="2">
        <v>9649.282851496806</v>
      </c>
      <c r="EQ17" s="2">
        <v>13590.052454149289</v>
      </c>
      <c r="ER17" s="2">
        <v>8888.4191785365711</v>
      </c>
      <c r="ES17" s="2">
        <v>10894.868065978362</v>
      </c>
      <c r="ET17" s="2">
        <v>10725.360061079851</v>
      </c>
      <c r="EU17" s="2">
        <v>79917.966098121789</v>
      </c>
      <c r="EW17">
        <v>79917.966098121411</v>
      </c>
      <c r="EX17" s="2"/>
      <c r="EY17" s="282"/>
      <c r="EZ17" s="282"/>
      <c r="FA17" s="282">
        <v>10965.371566952064</v>
      </c>
      <c r="FB17" s="282">
        <v>5017.3644628166139</v>
      </c>
      <c r="FC17" s="282">
        <v>9827.7966660647562</v>
      </c>
      <c r="FD17" s="282">
        <v>9648.9202827732679</v>
      </c>
      <c r="FE17" s="282">
        <v>13626.718311475182</v>
      </c>
      <c r="FF17" s="282">
        <v>9026.006881624422</v>
      </c>
      <c r="FG17" s="282">
        <v>11053.266756633288</v>
      </c>
      <c r="FH17" s="282">
        <v>11785.650310117595</v>
      </c>
      <c r="FI17" s="289">
        <v>80879.218509457874</v>
      </c>
      <c r="FK17" s="282">
        <f t="shared" ref="FK17:FK22" si="68">EU17-EJ17</f>
        <v>1609.5474769559078</v>
      </c>
      <c r="FL17" s="282">
        <f t="shared" ref="FL17:FL22" si="69">FI17-EU17</f>
        <v>961.25241133608506</v>
      </c>
      <c r="FM17" s="282"/>
      <c r="FN17" s="341" t="s">
        <v>9</v>
      </c>
      <c r="FO17" s="344">
        <v>10810.643894692586</v>
      </c>
      <c r="FP17" s="344">
        <v>4999.0852170429353</v>
      </c>
      <c r="FQ17" s="344">
        <v>9701.3296573435637</v>
      </c>
      <c r="FR17" s="344">
        <v>9402.8705783668265</v>
      </c>
      <c r="FS17" s="344">
        <v>13684.565821362417</v>
      </c>
      <c r="FT17" s="344">
        <v>8882.394433977337</v>
      </c>
      <c r="FU17" s="344">
        <v>11131.067291216816</v>
      </c>
      <c r="FV17" s="344">
        <v>12627.93697464833</v>
      </c>
      <c r="FW17" s="289">
        <v>81239.893868650659</v>
      </c>
      <c r="FX17" s="341"/>
      <c r="FY17" s="344">
        <f t="shared" ref="FY17:FY22" si="70">FW48+FW77+FW106+FW135</f>
        <v>81239.893868650746</v>
      </c>
      <c r="FZ17" s="282"/>
      <c r="GA17" s="282"/>
      <c r="GB17" s="282"/>
      <c r="GC17" s="2"/>
      <c r="GD17" s="11"/>
      <c r="GE17" s="2"/>
      <c r="GF17" s="2"/>
      <c r="GG17" s="2"/>
      <c r="GH17" s="2"/>
      <c r="GI17" s="2"/>
      <c r="JT17">
        <v>1999</v>
      </c>
      <c r="JU17" s="270">
        <f t="shared" ref="JU17:KA22" si="71">HK8</f>
        <v>5759.8137758875009</v>
      </c>
      <c r="JV17" s="270">
        <f t="shared" si="71"/>
        <v>1519.3258619064379</v>
      </c>
      <c r="JW17" s="270">
        <f t="shared" si="71"/>
        <v>1797.9806068493858</v>
      </c>
      <c r="JX17" s="270">
        <f t="shared" si="71"/>
        <v>3354.406284914096</v>
      </c>
      <c r="JY17" s="270">
        <f t="shared" si="71"/>
        <v>5659.8456081821523</v>
      </c>
      <c r="JZ17" s="270">
        <f t="shared" si="71"/>
        <v>4403.1582061558338</v>
      </c>
      <c r="KA17" s="270">
        <f t="shared" si="71"/>
        <v>2021.0920180915298</v>
      </c>
      <c r="KB17" s="270"/>
      <c r="KC17" s="2">
        <f>SUM(JU17:KA17)</f>
        <v>24515.622361986938</v>
      </c>
      <c r="KD17" s="2">
        <f t="shared" ref="KD17:KD22" si="72">SUM(JU17:KA17)</f>
        <v>24515.622361986938</v>
      </c>
      <c r="KF17" s="280">
        <f t="shared" si="16"/>
        <v>2011</v>
      </c>
      <c r="KG17" s="282">
        <f>FI22</f>
        <v>114832.78513599127</v>
      </c>
    </row>
    <row r="18" spans="3:293" x14ac:dyDescent="0.2">
      <c r="C18" s="280" t="s">
        <v>10</v>
      </c>
      <c r="D18" s="282">
        <v>13168.35539000001</v>
      </c>
      <c r="E18" s="282">
        <v>4756.9819700000025</v>
      </c>
      <c r="F18" s="282">
        <v>7391.6419900000092</v>
      </c>
      <c r="G18" s="282">
        <v>8394.658970000004</v>
      </c>
      <c r="H18" s="282">
        <v>12901.470280000007</v>
      </c>
      <c r="I18" s="282">
        <v>6412.3717199999992</v>
      </c>
      <c r="J18" s="282">
        <v>1841.2591299999999</v>
      </c>
      <c r="K18" s="282">
        <f>SUM(D18:J18)</f>
        <v>54866.73945000003</v>
      </c>
      <c r="L18" s="282">
        <v>55076.562889999201</v>
      </c>
      <c r="O18" s="280" t="s">
        <v>10</v>
      </c>
      <c r="P18" s="282">
        <v>13381</v>
      </c>
      <c r="Q18" s="282">
        <v>4908</v>
      </c>
      <c r="R18" s="282">
        <v>7560</v>
      </c>
      <c r="S18" s="282">
        <v>8830</v>
      </c>
      <c r="T18" s="282">
        <v>12632</v>
      </c>
      <c r="U18" s="282">
        <v>7015</v>
      </c>
      <c r="V18" s="282">
        <v>2021</v>
      </c>
      <c r="W18" s="282"/>
      <c r="X18" s="282">
        <v>56558</v>
      </c>
      <c r="AA18" s="273" t="s">
        <v>10</v>
      </c>
      <c r="AB18" s="275">
        <v>12621</v>
      </c>
      <c r="AC18" s="275">
        <v>4290</v>
      </c>
      <c r="AD18" s="275">
        <v>6340</v>
      </c>
      <c r="AE18" s="275">
        <v>7518</v>
      </c>
      <c r="AF18" s="275">
        <v>12159</v>
      </c>
      <c r="AG18" s="275">
        <v>9308</v>
      </c>
      <c r="AH18" s="275">
        <v>5431</v>
      </c>
      <c r="AI18" s="275"/>
      <c r="AJ18" s="275">
        <v>58243</v>
      </c>
      <c r="AM18" t="s">
        <v>10</v>
      </c>
      <c r="AN18" s="2">
        <v>13090</v>
      </c>
      <c r="AO18" s="2">
        <v>4458</v>
      </c>
      <c r="AP18" s="2">
        <v>6882</v>
      </c>
      <c r="AQ18" s="2">
        <v>7831</v>
      </c>
      <c r="AR18" s="2">
        <v>12365</v>
      </c>
      <c r="AS18" s="2">
        <v>7668</v>
      </c>
      <c r="AT18" s="2">
        <v>4593</v>
      </c>
      <c r="AU18" s="2"/>
      <c r="AV18" s="2">
        <v>57385</v>
      </c>
      <c r="AY18" t="s">
        <v>10</v>
      </c>
      <c r="AZ18" s="2">
        <v>18305.087279999942</v>
      </c>
      <c r="BA18" s="2">
        <v>4234.6652399999903</v>
      </c>
      <c r="BB18" s="2">
        <v>6481.9157500000119</v>
      </c>
      <c r="BC18" s="2">
        <v>7346.1294299999936</v>
      </c>
      <c r="BD18" s="2">
        <v>10932.873969999999</v>
      </c>
      <c r="BE18" s="2">
        <v>7681.6419000000087</v>
      </c>
      <c r="BF18" s="2">
        <v>3588.2017499999988</v>
      </c>
      <c r="BG18" s="2"/>
      <c r="BH18" s="2">
        <v>58918.148260001064</v>
      </c>
      <c r="BK18" t="s">
        <v>10</v>
      </c>
      <c r="BL18" s="2">
        <v>17664.717169999989</v>
      </c>
      <c r="BM18" s="2">
        <v>4000.2363900000041</v>
      </c>
      <c r="BN18" s="2">
        <v>6174.9889199999898</v>
      </c>
      <c r="BO18" s="2">
        <v>7091.3248600000106</v>
      </c>
      <c r="BP18" s="2">
        <v>11335.371080000024</v>
      </c>
      <c r="BQ18" s="2">
        <v>8889.0706100000043</v>
      </c>
      <c r="BR18" s="2">
        <v>5143.8673199999857</v>
      </c>
      <c r="BS18" s="2"/>
      <c r="BT18" s="2">
        <v>60826.635619998429</v>
      </c>
      <c r="BW18" t="s">
        <v>10</v>
      </c>
      <c r="BX18" s="2">
        <v>12175.520174729125</v>
      </c>
      <c r="BY18" s="2">
        <v>5393.4587752715706</v>
      </c>
      <c r="BZ18" s="2">
        <v>10000.767695596422</v>
      </c>
      <c r="CA18" s="2">
        <v>9456.0313237751052</v>
      </c>
      <c r="CB18" s="2">
        <v>11067.615367353501</v>
      </c>
      <c r="CC18" s="2">
        <v>7479.9110218122369</v>
      </c>
      <c r="CD18" s="2">
        <v>6538.0260547433199</v>
      </c>
      <c r="CE18" s="2"/>
      <c r="CF18" s="2">
        <v>62111.330413281285</v>
      </c>
      <c r="CG18" s="282"/>
      <c r="CI18" t="s">
        <v>10</v>
      </c>
      <c r="CJ18" s="2">
        <v>12442.958292670177</v>
      </c>
      <c r="CK18" s="2">
        <v>5452.1123138101166</v>
      </c>
      <c r="CL18" s="2">
        <v>9944.0169690925813</v>
      </c>
      <c r="CM18" s="2">
        <v>9554.3588333043808</v>
      </c>
      <c r="CN18" s="2">
        <v>11357.121742843723</v>
      </c>
      <c r="CO18" s="2">
        <v>7375.411602597831</v>
      </c>
      <c r="CP18" s="2">
        <v>8409.8571428798787</v>
      </c>
      <c r="CQ18" s="2"/>
      <c r="CR18" s="2">
        <v>64535.836897198737</v>
      </c>
      <c r="CT18" t="s">
        <v>10</v>
      </c>
      <c r="CU18" s="2">
        <v>12475.268400014576</v>
      </c>
      <c r="CV18" s="2">
        <v>5436.4055133353231</v>
      </c>
      <c r="CW18" s="2">
        <v>10053.717806900113</v>
      </c>
      <c r="CX18" s="2">
        <v>9713.8636964004909</v>
      </c>
      <c r="CY18" s="2">
        <v>11717.747732804099</v>
      </c>
      <c r="CZ18" s="2">
        <v>7430.3576926277083</v>
      </c>
      <c r="DA18" s="2">
        <v>8742.6285971499092</v>
      </c>
      <c r="DB18" s="2">
        <v>1558.7629783123193</v>
      </c>
      <c r="DC18" s="2">
        <v>67128.752417544601</v>
      </c>
      <c r="DE18" t="s">
        <v>10</v>
      </c>
      <c r="DF18" s="2">
        <v>12041.576321871004</v>
      </c>
      <c r="DG18" s="2">
        <v>5252.045409935864</v>
      </c>
      <c r="DH18" s="2">
        <v>9633.597129597485</v>
      </c>
      <c r="DI18" s="2">
        <v>9374.2064222905228</v>
      </c>
      <c r="DJ18" s="2">
        <v>11538.445092932729</v>
      </c>
      <c r="DK18" s="2">
        <v>7593.389364440297</v>
      </c>
      <c r="DL18" s="2">
        <v>8885.3398623497742</v>
      </c>
      <c r="DM18" s="2">
        <v>3434.5611152426181</v>
      </c>
      <c r="DN18" s="2">
        <v>67753.160718661136</v>
      </c>
      <c r="DP18" t="s">
        <v>10</v>
      </c>
      <c r="DQ18" s="2">
        <v>11417.590307911403</v>
      </c>
      <c r="DR18" s="2">
        <v>5139.0598611125361</v>
      </c>
      <c r="DS18" s="2">
        <v>9471.8192051410479</v>
      </c>
      <c r="DT18" s="2">
        <v>9291.0060975090619</v>
      </c>
      <c r="DU18" s="2">
        <v>12303.039294903492</v>
      </c>
      <c r="DV18" s="2">
        <v>7572.9990256071324</v>
      </c>
      <c r="DW18" s="2">
        <v>8921.9481930782731</v>
      </c>
      <c r="DX18" s="2">
        <v>5870.3162382345899</v>
      </c>
      <c r="DY18" s="2">
        <v>69987.778223497909</v>
      </c>
      <c r="EA18" t="s">
        <v>10</v>
      </c>
      <c r="EB18" s="2">
        <v>11028.263312177547</v>
      </c>
      <c r="EC18" s="2">
        <v>5131.6383281656399</v>
      </c>
      <c r="ED18" s="2">
        <v>9480.9074468415256</v>
      </c>
      <c r="EE18" s="2">
        <v>9185.1565103864541</v>
      </c>
      <c r="EF18" s="2">
        <v>12234.733678700048</v>
      </c>
      <c r="EG18" s="2">
        <v>7513.1925840615349</v>
      </c>
      <c r="EH18" s="2">
        <v>8751.4456167173848</v>
      </c>
      <c r="EI18" s="2">
        <v>8085.0393530176607</v>
      </c>
      <c r="EJ18" s="2">
        <v>71410.376830066409</v>
      </c>
      <c r="EL18" t="s">
        <v>10</v>
      </c>
      <c r="EM18" s="2">
        <v>11217.921279471035</v>
      </c>
      <c r="EN18" s="2">
        <v>5109.4096937853046</v>
      </c>
      <c r="EO18" s="2">
        <v>9684.0350217697087</v>
      </c>
      <c r="EP18" s="2">
        <v>9247.8025060320251</v>
      </c>
      <c r="EQ18" s="2">
        <v>12093.802556704599</v>
      </c>
      <c r="ER18" s="2">
        <v>7521.9277703839061</v>
      </c>
      <c r="ES18" s="2">
        <v>8624.755122607181</v>
      </c>
      <c r="ET18" s="2">
        <v>9579.5368820813146</v>
      </c>
      <c r="EU18" s="2">
        <v>73079.190832835448</v>
      </c>
      <c r="EW18">
        <v>73079.190832835069</v>
      </c>
      <c r="EX18" s="2">
        <f>SUM(EL18:ES18)</f>
        <v>63499.653950753753</v>
      </c>
      <c r="EY18" s="282"/>
      <c r="EZ18" s="282"/>
      <c r="FA18" s="282">
        <v>10917.187150147158</v>
      </c>
      <c r="FB18" s="282">
        <v>4973.0841118751559</v>
      </c>
      <c r="FC18" s="282">
        <v>9760.6202896317664</v>
      </c>
      <c r="FD18" s="282">
        <v>9227.1582478336877</v>
      </c>
      <c r="FE18" s="282">
        <v>12130.371864283277</v>
      </c>
      <c r="FF18" s="282">
        <v>7523.6724614740233</v>
      </c>
      <c r="FG18" s="282">
        <v>8691.3003323977282</v>
      </c>
      <c r="FH18" s="282">
        <v>10537.620690298027</v>
      </c>
      <c r="FI18" s="289">
        <v>73865.852118399634</v>
      </c>
      <c r="FJ18" s="280" t="s">
        <v>10</v>
      </c>
      <c r="FK18" s="282">
        <f t="shared" si="68"/>
        <v>1668.8140027690388</v>
      </c>
      <c r="FL18" s="282">
        <f t="shared" si="69"/>
        <v>786.66128556418698</v>
      </c>
      <c r="FM18" s="282"/>
      <c r="FN18" s="341" t="s">
        <v>10</v>
      </c>
      <c r="FO18" s="344">
        <v>10776.682792598991</v>
      </c>
      <c r="FP18" s="344">
        <v>4947.1706576309361</v>
      </c>
      <c r="FQ18" s="344">
        <v>9636.448598265064</v>
      </c>
      <c r="FR18" s="344">
        <v>9016.3845344603942</v>
      </c>
      <c r="FS18" s="344">
        <v>12217.853382141595</v>
      </c>
      <c r="FT18" s="344">
        <v>7513.9191354961004</v>
      </c>
      <c r="FU18" s="344">
        <v>8851.368610933514</v>
      </c>
      <c r="FV18" s="344">
        <v>11362.899823614282</v>
      </c>
      <c r="FW18" s="289">
        <v>74322.727535141035</v>
      </c>
      <c r="FX18" s="341"/>
      <c r="FY18" s="344">
        <f t="shared" si="70"/>
        <v>74322.727535140846</v>
      </c>
      <c r="FZ18" s="282"/>
      <c r="GA18" s="282"/>
      <c r="GB18" s="282"/>
      <c r="GC18" s="2"/>
      <c r="GD18" s="11"/>
      <c r="GE18" s="2"/>
      <c r="GF18" s="2"/>
      <c r="GG18" s="2"/>
      <c r="GH18" s="2"/>
      <c r="GI18" s="2"/>
      <c r="JT18">
        <v>2001</v>
      </c>
      <c r="JU18" s="270">
        <f t="shared" si="71"/>
        <v>5375.390605161022</v>
      </c>
      <c r="JV18" s="270">
        <f t="shared" si="71"/>
        <v>1425.8982580970769</v>
      </c>
      <c r="JW18" s="270">
        <f t="shared" si="71"/>
        <v>1864.9057159787992</v>
      </c>
      <c r="JX18" s="270">
        <f t="shared" si="71"/>
        <v>3456.4629761369074</v>
      </c>
      <c r="JY18" s="270">
        <f t="shared" si="71"/>
        <v>5550.1231868986506</v>
      </c>
      <c r="JZ18" s="270">
        <f t="shared" si="71"/>
        <v>4365.8980092340289</v>
      </c>
      <c r="KA18" s="270">
        <f t="shared" si="71"/>
        <v>2190.3728615456898</v>
      </c>
      <c r="KB18" s="270"/>
      <c r="KD18" s="2">
        <f t="shared" si="72"/>
        <v>24229.051613052176</v>
      </c>
      <c r="KF18" s="280">
        <f t="shared" si="16"/>
        <v>2012</v>
      </c>
    </row>
    <row r="19" spans="3:293" x14ac:dyDescent="0.2">
      <c r="C19" s="280" t="s">
        <v>11</v>
      </c>
      <c r="D19" s="282">
        <v>792.57598000000087</v>
      </c>
      <c r="E19" s="282">
        <v>294.95862999999991</v>
      </c>
      <c r="F19" s="282">
        <v>486.14888000000002</v>
      </c>
      <c r="G19" s="282">
        <v>585.5013600000002</v>
      </c>
      <c r="H19" s="282">
        <v>802.57515999999976</v>
      </c>
      <c r="I19" s="282">
        <v>859.5578500000006</v>
      </c>
      <c r="J19" s="282">
        <v>264.62859999999995</v>
      </c>
      <c r="K19" s="282">
        <f>SUM(D19:J19)</f>
        <v>4085.9464600000015</v>
      </c>
      <c r="L19" s="282">
        <v>4101.6332200000006</v>
      </c>
      <c r="O19" s="280" t="s">
        <v>11</v>
      </c>
      <c r="P19" s="282">
        <v>930</v>
      </c>
      <c r="Q19" s="282">
        <v>365</v>
      </c>
      <c r="R19" s="282">
        <v>541</v>
      </c>
      <c r="S19" s="282">
        <v>609</v>
      </c>
      <c r="T19" s="282">
        <v>910</v>
      </c>
      <c r="U19" s="282">
        <v>1146</v>
      </c>
      <c r="V19" s="282">
        <v>299</v>
      </c>
      <c r="W19" s="282"/>
      <c r="X19" s="282">
        <v>4820</v>
      </c>
      <c r="AA19" s="273" t="s">
        <v>11</v>
      </c>
      <c r="AB19" s="275">
        <v>1203</v>
      </c>
      <c r="AC19" s="275">
        <v>420</v>
      </c>
      <c r="AD19" s="275">
        <v>700</v>
      </c>
      <c r="AE19" s="275">
        <v>800</v>
      </c>
      <c r="AF19" s="275">
        <v>1045</v>
      </c>
      <c r="AG19" s="275">
        <v>537</v>
      </c>
      <c r="AH19" s="275">
        <v>239</v>
      </c>
      <c r="AI19" s="275"/>
      <c r="AJ19" s="275">
        <v>4962</v>
      </c>
      <c r="AM19" t="s">
        <v>11</v>
      </c>
      <c r="AN19" s="2">
        <v>1397</v>
      </c>
      <c r="AO19" s="2">
        <v>445</v>
      </c>
      <c r="AP19" s="2">
        <v>824</v>
      </c>
      <c r="AQ19" s="2">
        <v>782</v>
      </c>
      <c r="AR19" s="2">
        <v>1234</v>
      </c>
      <c r="AS19" s="2">
        <v>525</v>
      </c>
      <c r="AT19" s="2">
        <v>201</v>
      </c>
      <c r="AU19" s="2"/>
      <c r="AV19" s="2">
        <v>5432</v>
      </c>
      <c r="AY19" t="s">
        <v>11</v>
      </c>
      <c r="AZ19" s="2">
        <v>1460.3123799999998</v>
      </c>
      <c r="BA19" s="2">
        <v>322.15257999999994</v>
      </c>
      <c r="BB19" s="2">
        <v>679.73212999999907</v>
      </c>
      <c r="BC19" s="2">
        <v>744.41813000000025</v>
      </c>
      <c r="BD19" s="2">
        <v>1106.8276299999998</v>
      </c>
      <c r="BE19" s="2">
        <v>584.73869999999999</v>
      </c>
      <c r="BF19" s="2">
        <v>403.79413999999986</v>
      </c>
      <c r="BG19" s="2"/>
      <c r="BH19" s="2">
        <v>5374.6773200000162</v>
      </c>
      <c r="BK19" t="s">
        <v>11</v>
      </c>
      <c r="BL19" s="2">
        <v>1517.6034899999991</v>
      </c>
      <c r="BM19" s="2">
        <v>447.14168000000041</v>
      </c>
      <c r="BN19" s="2">
        <v>678.9987200000013</v>
      </c>
      <c r="BO19" s="2">
        <v>682.23428999999987</v>
      </c>
      <c r="BP19" s="2">
        <v>1109.8320200000003</v>
      </c>
      <c r="BQ19" s="2">
        <v>617.66566</v>
      </c>
      <c r="BR19" s="2">
        <v>443.10859000000016</v>
      </c>
      <c r="BS19" s="2"/>
      <c r="BT19" s="2">
        <v>5545.0535400000163</v>
      </c>
      <c r="BW19" t="s">
        <v>11</v>
      </c>
      <c r="BX19" s="2">
        <v>1063.1553992361503</v>
      </c>
      <c r="BY19" s="2">
        <v>303.56123991780004</v>
      </c>
      <c r="BZ19" s="2">
        <v>382.55761308927015</v>
      </c>
      <c r="CA19" s="2">
        <v>588.11355870673026</v>
      </c>
      <c r="CB19" s="2">
        <v>1316.5333729963897</v>
      </c>
      <c r="CC19" s="2">
        <v>1397.0617212860409</v>
      </c>
      <c r="CD19" s="2">
        <v>789.06903335986021</v>
      </c>
      <c r="CE19" s="2"/>
      <c r="CF19" s="2">
        <v>5840.0519385922453</v>
      </c>
      <c r="CG19" s="282"/>
      <c r="CI19" t="s">
        <v>11</v>
      </c>
      <c r="CJ19" s="2">
        <v>1288.7675129180855</v>
      </c>
      <c r="CK19" s="2">
        <v>438.51821079503014</v>
      </c>
      <c r="CL19" s="2">
        <v>449.74512522231004</v>
      </c>
      <c r="CM19" s="2">
        <v>717.95899186830547</v>
      </c>
      <c r="CN19" s="2">
        <v>1491.5063425297305</v>
      </c>
      <c r="CO19" s="2">
        <v>1458.7361692201748</v>
      </c>
      <c r="CP19" s="2">
        <v>1117.9422034671593</v>
      </c>
      <c r="CQ19" s="2"/>
      <c r="CR19" s="2">
        <v>6963.1745560208055</v>
      </c>
      <c r="CT19" t="s">
        <v>11</v>
      </c>
      <c r="CU19" s="2">
        <v>1314.0711344373779</v>
      </c>
      <c r="CV19" s="2">
        <v>392.44103238149012</v>
      </c>
      <c r="CW19" s="2">
        <v>481.81367496443971</v>
      </c>
      <c r="CX19" s="2">
        <v>631.65206242037027</v>
      </c>
      <c r="CY19" s="2">
        <v>1555.8616658173917</v>
      </c>
      <c r="CZ19" s="2">
        <v>1502.3989848781644</v>
      </c>
      <c r="DA19" s="2">
        <v>1169.4776056454705</v>
      </c>
      <c r="DB19" s="2">
        <v>257.36018112240009</v>
      </c>
      <c r="DC19" s="2">
        <v>7305.0763416670889</v>
      </c>
      <c r="DE19" t="s">
        <v>11</v>
      </c>
      <c r="DF19" s="2">
        <v>1124.7893135572697</v>
      </c>
      <c r="DG19" s="2">
        <v>341.0905684550699</v>
      </c>
      <c r="DH19" s="2">
        <v>385.11419531152995</v>
      </c>
      <c r="DI19" s="2">
        <v>485.19981047480007</v>
      </c>
      <c r="DJ19" s="2">
        <v>1269.8654220052799</v>
      </c>
      <c r="DK19" s="2">
        <v>1277.8708157630535</v>
      </c>
      <c r="DL19" s="2">
        <v>949.5899183841492</v>
      </c>
      <c r="DM19" s="2">
        <v>438.89491466003</v>
      </c>
      <c r="DN19" s="2">
        <v>6272.4149586111971</v>
      </c>
      <c r="DP19" t="s">
        <v>11</v>
      </c>
      <c r="DQ19" s="2">
        <v>1063.7067338928596</v>
      </c>
      <c r="DR19" s="2">
        <v>299.31705331749998</v>
      </c>
      <c r="DS19" s="2">
        <v>334.27680356090019</v>
      </c>
      <c r="DT19" s="2">
        <v>421.36308410620001</v>
      </c>
      <c r="DU19" s="2">
        <v>1178.3384763441597</v>
      </c>
      <c r="DV19" s="2">
        <v>1267.2181828087701</v>
      </c>
      <c r="DW19" s="2">
        <v>902.69050041475964</v>
      </c>
      <c r="DX19" s="2">
        <v>692.42851689103065</v>
      </c>
      <c r="DY19" s="2">
        <v>6159.3393513361907</v>
      </c>
      <c r="EA19" t="s">
        <v>11</v>
      </c>
      <c r="EB19" s="2">
        <v>1049.8000652111693</v>
      </c>
      <c r="EC19" s="2">
        <v>297.52125000140001</v>
      </c>
      <c r="ED19" s="2">
        <v>321.97553100867987</v>
      </c>
      <c r="EE19" s="2">
        <v>371.95888579420017</v>
      </c>
      <c r="EF19" s="2">
        <v>1125.9786084461696</v>
      </c>
      <c r="EG19" s="2">
        <v>1160.00946212904</v>
      </c>
      <c r="EH19" s="2">
        <v>825.34785355733902</v>
      </c>
      <c r="EI19" s="2">
        <v>927.98787531583014</v>
      </c>
      <c r="EJ19" s="2">
        <v>6080.5795314638408</v>
      </c>
      <c r="EL19" t="s">
        <v>11</v>
      </c>
      <c r="EM19" s="2">
        <v>853.05054520168005</v>
      </c>
      <c r="EN19" s="2">
        <v>296.69202191433016</v>
      </c>
      <c r="EO19" s="2">
        <v>351.81505708155026</v>
      </c>
      <c r="EP19" s="2">
        <v>444.16450854272011</v>
      </c>
      <c r="EQ19" s="2">
        <v>1037.8357810640712</v>
      </c>
      <c r="ER19" s="2">
        <v>1112.1331133431909</v>
      </c>
      <c r="ES19" s="2">
        <v>814.82880372522015</v>
      </c>
      <c r="ET19" s="2">
        <v>1062.1422759664695</v>
      </c>
      <c r="EU19" s="2">
        <v>5972.6621068392296</v>
      </c>
      <c r="EW19">
        <v>5972.6621068392324</v>
      </c>
      <c r="EX19" s="2">
        <f>SUM(EL19:ES19)</f>
        <v>4910.5198308727631</v>
      </c>
      <c r="EY19" s="282"/>
      <c r="EZ19" s="282"/>
      <c r="FA19" s="282">
        <v>933.04956632196661</v>
      </c>
      <c r="FB19" s="282">
        <v>293.22956023224469</v>
      </c>
      <c r="FC19" s="282">
        <v>404.52456458269307</v>
      </c>
      <c r="FD19" s="282">
        <v>466.95576953847922</v>
      </c>
      <c r="FE19" s="282">
        <v>1200.2273563441552</v>
      </c>
      <c r="FF19" s="282">
        <v>1265.3209477910705</v>
      </c>
      <c r="FG19" s="282">
        <v>891.60422844333459</v>
      </c>
      <c r="FH19" s="282">
        <v>1289.1697462345423</v>
      </c>
      <c r="FI19" s="289">
        <v>6659.9049503093629</v>
      </c>
      <c r="FJ19" s="280" t="s">
        <v>11</v>
      </c>
      <c r="FK19" s="282">
        <f t="shared" si="68"/>
        <v>-107.91742462461116</v>
      </c>
      <c r="FL19" s="282">
        <f t="shared" si="69"/>
        <v>687.24284347013327</v>
      </c>
      <c r="FM19" s="282"/>
      <c r="FN19" s="341" t="s">
        <v>11</v>
      </c>
      <c r="FO19" s="344">
        <v>887.52865472491851</v>
      </c>
      <c r="FP19" s="344">
        <v>342.10066790628008</v>
      </c>
      <c r="FQ19" s="344">
        <v>429.25441217317689</v>
      </c>
      <c r="FR19" s="344">
        <v>439.79120138850988</v>
      </c>
      <c r="FS19" s="344">
        <v>1153.7298421709825</v>
      </c>
      <c r="FT19" s="344">
        <v>1205.9446482376466</v>
      </c>
      <c r="FU19" s="344">
        <v>811.68352923003965</v>
      </c>
      <c r="FV19" s="344">
        <v>1349.4227462003166</v>
      </c>
      <c r="FW19" s="289">
        <v>6619.4557020318716</v>
      </c>
      <c r="FX19" s="341"/>
      <c r="FY19" s="344">
        <f t="shared" si="70"/>
        <v>6619.4557020318643</v>
      </c>
      <c r="FZ19" s="282"/>
      <c r="GA19" s="282"/>
      <c r="GB19" s="282"/>
      <c r="GC19" s="2"/>
      <c r="GD19" s="11"/>
      <c r="GE19" s="2"/>
      <c r="GF19" s="2"/>
      <c r="GG19" s="2"/>
      <c r="GH19" s="2"/>
      <c r="GI19" s="2"/>
      <c r="JT19">
        <v>2003</v>
      </c>
      <c r="JU19" s="270">
        <f t="shared" si="71"/>
        <v>5276.4647022923127</v>
      </c>
      <c r="JV19" s="270">
        <f t="shared" si="71"/>
        <v>1488.6365867656564</v>
      </c>
      <c r="JW19" s="270">
        <f t="shared" si="71"/>
        <v>1835.6991250426263</v>
      </c>
      <c r="JX19" s="270">
        <f t="shared" si="71"/>
        <v>3395.9185405301937</v>
      </c>
      <c r="JY19" s="270">
        <f t="shared" si="71"/>
        <v>5764.2317060886726</v>
      </c>
      <c r="JZ19" s="270">
        <f t="shared" si="71"/>
        <v>4240.079522319802</v>
      </c>
      <c r="KA19" s="270">
        <f t="shared" si="71"/>
        <v>2141.4730289361109</v>
      </c>
      <c r="KB19" s="270"/>
      <c r="KC19" t="s">
        <v>30</v>
      </c>
      <c r="KD19" s="2">
        <f t="shared" si="72"/>
        <v>24142.503211975374</v>
      </c>
      <c r="KF19" s="280">
        <f t="shared" si="16"/>
        <v>2013</v>
      </c>
    </row>
    <row r="20" spans="3:293" x14ac:dyDescent="0.2">
      <c r="C20" s="280" t="s">
        <v>12</v>
      </c>
      <c r="D20" s="282">
        <v>5218.7618599999769</v>
      </c>
      <c r="E20" s="282">
        <v>1867.1951300000007</v>
      </c>
      <c r="F20" s="282">
        <v>2620.9147299999981</v>
      </c>
      <c r="G20" s="282">
        <v>3215.2846799999902</v>
      </c>
      <c r="H20" s="282">
        <v>4554.2740799999947</v>
      </c>
      <c r="I20" s="282">
        <v>5468.9907899999744</v>
      </c>
      <c r="J20" s="282">
        <v>1467.8450699999985</v>
      </c>
      <c r="K20" s="282">
        <f>SUM(D20:J20)</f>
        <v>24413.266339999933</v>
      </c>
      <c r="L20" s="282">
        <v>24493.46276000014</v>
      </c>
      <c r="O20" s="280" t="s">
        <v>12</v>
      </c>
      <c r="P20" s="282">
        <v>5114</v>
      </c>
      <c r="Q20" s="282">
        <v>1694</v>
      </c>
      <c r="R20" s="282">
        <v>2536</v>
      </c>
      <c r="S20" s="282">
        <v>2902</v>
      </c>
      <c r="T20" s="282">
        <v>4129</v>
      </c>
      <c r="U20" s="282">
        <v>6060</v>
      </c>
      <c r="V20" s="282">
        <v>1680</v>
      </c>
      <c r="W20" s="282"/>
      <c r="X20" s="282">
        <v>24242</v>
      </c>
      <c r="AA20" s="273" t="s">
        <v>12</v>
      </c>
      <c r="AB20" s="275">
        <v>6168</v>
      </c>
      <c r="AC20" s="275">
        <v>2304</v>
      </c>
      <c r="AD20" s="275">
        <v>3695</v>
      </c>
      <c r="AE20" s="275">
        <v>3920</v>
      </c>
      <c r="AF20" s="275">
        <v>5411</v>
      </c>
      <c r="AG20" s="275">
        <v>2335</v>
      </c>
      <c r="AH20" s="275">
        <v>1091</v>
      </c>
      <c r="AI20" s="275"/>
      <c r="AJ20" s="275">
        <v>25041</v>
      </c>
      <c r="AM20" t="s">
        <v>12</v>
      </c>
      <c r="AN20" s="2">
        <v>6260</v>
      </c>
      <c r="AO20" s="2">
        <v>2298</v>
      </c>
      <c r="AP20" s="2">
        <v>3523</v>
      </c>
      <c r="AQ20" s="2">
        <v>4092</v>
      </c>
      <c r="AR20" s="2">
        <v>5406</v>
      </c>
      <c r="AS20" s="2">
        <v>2114</v>
      </c>
      <c r="AT20" s="2">
        <v>805</v>
      </c>
      <c r="AU20" s="2"/>
      <c r="AV20" s="2">
        <v>24590</v>
      </c>
      <c r="AY20" t="s">
        <v>12</v>
      </c>
      <c r="AZ20" s="2">
        <v>6347.3353500000012</v>
      </c>
      <c r="BA20" s="2">
        <v>1861.0603299999993</v>
      </c>
      <c r="BB20" s="2">
        <v>2777.6790400000014</v>
      </c>
      <c r="BC20" s="2">
        <v>3348.8080300000038</v>
      </c>
      <c r="BD20" s="2">
        <v>5144.1281099999824</v>
      </c>
      <c r="BE20" s="2">
        <v>2816.7904299999991</v>
      </c>
      <c r="BF20" s="2">
        <v>2227.9055999999996</v>
      </c>
      <c r="BG20" s="2"/>
      <c r="BH20" s="2">
        <v>24775.763219999921</v>
      </c>
      <c r="BK20" t="s">
        <v>12</v>
      </c>
      <c r="BL20" s="2">
        <v>6251.2947399999939</v>
      </c>
      <c r="BM20" s="2">
        <v>2056.6440300000008</v>
      </c>
      <c r="BN20" s="2">
        <v>3048.3476400000013</v>
      </c>
      <c r="BO20" s="2">
        <v>3613.2883199999947</v>
      </c>
      <c r="BP20" s="2">
        <v>5391.0180299999993</v>
      </c>
      <c r="BQ20" s="2">
        <v>2768.5574400000014</v>
      </c>
      <c r="BR20" s="2">
        <v>1804.7207099999998</v>
      </c>
      <c r="BS20" s="2"/>
      <c r="BT20" s="2">
        <v>25157.958780000012</v>
      </c>
      <c r="BW20" t="s">
        <v>12</v>
      </c>
      <c r="BX20" s="2">
        <v>6166.0808005615136</v>
      </c>
      <c r="BY20" s="2">
        <v>1608.0287468728714</v>
      </c>
      <c r="BZ20" s="2">
        <v>1974.0038961175023</v>
      </c>
      <c r="CA20" s="2">
        <v>3537.2808487035782</v>
      </c>
      <c r="CB20" s="2">
        <v>5814.3768939900547</v>
      </c>
      <c r="CC20" s="2">
        <v>4331.8750069505513</v>
      </c>
      <c r="CD20" s="2">
        <v>1556.818229577101</v>
      </c>
      <c r="CE20" s="2"/>
      <c r="CF20" s="2">
        <v>24988.46442277309</v>
      </c>
      <c r="CG20" s="282"/>
      <c r="CI20" t="s">
        <v>12</v>
      </c>
      <c r="CJ20" s="2">
        <v>5759.8137758875009</v>
      </c>
      <c r="CK20" s="2">
        <v>1519.3258619064379</v>
      </c>
      <c r="CL20" s="2">
        <v>1797.9806068493858</v>
      </c>
      <c r="CM20" s="2">
        <v>3354.406284914096</v>
      </c>
      <c r="CN20" s="2">
        <v>5659.8456081821523</v>
      </c>
      <c r="CO20" s="2">
        <v>4403.1582061558338</v>
      </c>
      <c r="CP20" s="2">
        <v>2021.0920180915298</v>
      </c>
      <c r="CQ20" s="2"/>
      <c r="CR20" s="2">
        <v>24515.622361986978</v>
      </c>
      <c r="CT20" t="s">
        <v>12</v>
      </c>
      <c r="CU20" s="2">
        <v>5375.390605161022</v>
      </c>
      <c r="CV20" s="2">
        <v>1425.8982580970769</v>
      </c>
      <c r="CW20" s="2">
        <v>1864.9057159787992</v>
      </c>
      <c r="CX20" s="2">
        <v>3456.4629761369074</v>
      </c>
      <c r="CY20" s="2">
        <v>5550.1231868986506</v>
      </c>
      <c r="CZ20" s="2">
        <v>4365.8980092340289</v>
      </c>
      <c r="DA20" s="2">
        <v>2190.3728615456898</v>
      </c>
      <c r="DB20" s="2">
        <v>376.14570425010021</v>
      </c>
      <c r="DC20" s="2">
        <v>24605.197317302209</v>
      </c>
      <c r="DE20" t="s">
        <v>12</v>
      </c>
      <c r="DF20" s="2">
        <v>5276.4647022923127</v>
      </c>
      <c r="DG20" s="2">
        <v>1488.6365867656564</v>
      </c>
      <c r="DH20" s="2">
        <v>1835.6991250426263</v>
      </c>
      <c r="DI20" s="2">
        <v>3395.9185405301937</v>
      </c>
      <c r="DJ20" s="2">
        <v>5764.2317060886726</v>
      </c>
      <c r="DK20" s="2">
        <v>4240.079522319802</v>
      </c>
      <c r="DL20" s="2">
        <v>2141.4730289361109</v>
      </c>
      <c r="DM20" s="2">
        <v>817.65986110074948</v>
      </c>
      <c r="DN20" s="2">
        <v>24960.163073076099</v>
      </c>
      <c r="DP20" t="s">
        <v>12</v>
      </c>
      <c r="DQ20" s="2">
        <v>5065.0294565757385</v>
      </c>
      <c r="DR20" s="2">
        <v>1351.922489436731</v>
      </c>
      <c r="DS20" s="2">
        <v>1699.1314204534201</v>
      </c>
      <c r="DT20" s="2">
        <v>3333.8246088830811</v>
      </c>
      <c r="DU20" s="2">
        <v>6719.1453379776058</v>
      </c>
      <c r="DV20" s="2">
        <v>4157.0756379380637</v>
      </c>
      <c r="DW20" s="2">
        <v>2159.2279051778996</v>
      </c>
      <c r="DX20" s="2">
        <v>1293.2742787201116</v>
      </c>
      <c r="DY20" s="2">
        <v>25778.631135162635</v>
      </c>
      <c r="EA20" t="s">
        <v>12</v>
      </c>
      <c r="EB20" s="2">
        <v>5135.8761804665846</v>
      </c>
      <c r="EC20" s="2">
        <v>1352.8438240596797</v>
      </c>
      <c r="ED20" s="2">
        <v>1652.183367812502</v>
      </c>
      <c r="EE20" s="2">
        <v>3453.8515442937687</v>
      </c>
      <c r="EF20" s="2">
        <v>6890.5215294910695</v>
      </c>
      <c r="EG20" s="2">
        <v>4017.0437280411384</v>
      </c>
      <c r="EH20" s="2">
        <v>2099.5647129915405</v>
      </c>
      <c r="EI20" s="2">
        <v>1654.8221537630734</v>
      </c>
      <c r="EJ20" s="2">
        <v>26256.707040919373</v>
      </c>
      <c r="EL20" t="s">
        <v>12</v>
      </c>
      <c r="EM20" s="2">
        <v>4762.2398021134541</v>
      </c>
      <c r="EN20" s="2">
        <v>1285.1783581023469</v>
      </c>
      <c r="EO20" s="2">
        <v>1679.7863224350169</v>
      </c>
      <c r="EP20" s="2">
        <v>3232.2716333262219</v>
      </c>
      <c r="EQ20" s="2">
        <v>6620.0929300840835</v>
      </c>
      <c r="ER20" s="2">
        <v>4024.5158034563065</v>
      </c>
      <c r="ES20" s="2">
        <v>2109.8537334612402</v>
      </c>
      <c r="ET20" s="2">
        <v>2198.1878711299205</v>
      </c>
      <c r="EU20" s="2">
        <v>25912.126454108671</v>
      </c>
      <c r="EW20">
        <v>25912.126454108591</v>
      </c>
      <c r="EX20" s="2">
        <f>SUM(EX18:EX19)</f>
        <v>68410.173781626509</v>
      </c>
      <c r="EY20" s="282"/>
      <c r="EZ20" s="282"/>
      <c r="FA20" s="282">
        <v>5026.2148770642461</v>
      </c>
      <c r="FB20" s="282">
        <v>1313.1153722920055</v>
      </c>
      <c r="FC20" s="282">
        <v>1672.6171668959162</v>
      </c>
      <c r="FD20" s="282">
        <v>3479.8296364078683</v>
      </c>
      <c r="FE20" s="282">
        <v>6512.7041370648958</v>
      </c>
      <c r="FF20" s="282">
        <v>4202.8007409082938</v>
      </c>
      <c r="FG20" s="282">
        <v>2225.0221698780883</v>
      </c>
      <c r="FH20" s="282">
        <v>2779.7058176335022</v>
      </c>
      <c r="FI20" s="289">
        <v>27293.661676223124</v>
      </c>
      <c r="FJ20" s="280" t="s">
        <v>12</v>
      </c>
      <c r="FK20" s="282">
        <f t="shared" si="68"/>
        <v>-344.58058681070179</v>
      </c>
      <c r="FL20" s="282">
        <f t="shared" si="69"/>
        <v>1381.5352221144531</v>
      </c>
      <c r="FM20" s="282"/>
      <c r="FN20" s="341" t="s">
        <v>12</v>
      </c>
      <c r="FO20" s="344">
        <v>4882.1521408090794</v>
      </c>
      <c r="FP20" s="344">
        <v>1300.4056023029607</v>
      </c>
      <c r="FQ20" s="344">
        <v>1775.0546569525507</v>
      </c>
      <c r="FR20" s="344">
        <v>3423.9357818778249</v>
      </c>
      <c r="FS20" s="344">
        <v>6705.3393780257038</v>
      </c>
      <c r="FT20" s="344">
        <v>4482.1042312151349</v>
      </c>
      <c r="FU20" s="344">
        <v>2318.3688789706757</v>
      </c>
      <c r="FV20" s="344">
        <v>3104.9643450997314</v>
      </c>
      <c r="FW20" s="289">
        <v>27992.325015253638</v>
      </c>
      <c r="FX20" s="341"/>
      <c r="FY20" s="344">
        <f t="shared" si="70"/>
        <v>27992.325015253649</v>
      </c>
      <c r="FZ20" s="282"/>
      <c r="GA20" s="282"/>
      <c r="GB20" s="282"/>
      <c r="GC20" s="2"/>
      <c r="GD20" s="11"/>
      <c r="GE20" s="2"/>
      <c r="GF20" s="2"/>
      <c r="GG20" s="2"/>
      <c r="GH20" s="2"/>
      <c r="GI20" s="2"/>
      <c r="JT20">
        <v>2005</v>
      </c>
      <c r="JU20" s="270">
        <f t="shared" si="71"/>
        <v>5065.0294565757385</v>
      </c>
      <c r="JV20" s="270">
        <f t="shared" si="71"/>
        <v>1351.922489436731</v>
      </c>
      <c r="JW20" s="270">
        <f t="shared" si="71"/>
        <v>1699.1314204534201</v>
      </c>
      <c r="JX20" s="270">
        <f t="shared" si="71"/>
        <v>3333.8246088830811</v>
      </c>
      <c r="JY20" s="270">
        <f t="shared" si="71"/>
        <v>5719.1453379776058</v>
      </c>
      <c r="JZ20" s="270">
        <f t="shared" si="71"/>
        <v>4157.0756379380637</v>
      </c>
      <c r="KA20" s="270">
        <f t="shared" si="71"/>
        <v>2159.2279051778996</v>
      </c>
      <c r="KB20" s="270"/>
      <c r="KC20" s="2">
        <f t="shared" ref="KC20:KC25" si="73">IF8</f>
        <v>24617.040956059311</v>
      </c>
      <c r="KD20" s="2">
        <f t="shared" si="72"/>
        <v>23485.35685644254</v>
      </c>
      <c r="KF20" s="280"/>
    </row>
    <row r="21" spans="3:293" x14ac:dyDescent="0.2">
      <c r="C21" s="280" t="s">
        <v>13</v>
      </c>
      <c r="D21" s="282">
        <v>1057.9591800000001</v>
      </c>
      <c r="E21" s="282">
        <v>467.07359000000008</v>
      </c>
      <c r="F21" s="282">
        <v>627.32197999999994</v>
      </c>
      <c r="G21" s="282">
        <v>756.92924999999946</v>
      </c>
      <c r="H21" s="282">
        <v>1209.6237699999999</v>
      </c>
      <c r="I21" s="282">
        <v>398.91644000000008</v>
      </c>
      <c r="J21" s="282">
        <v>196.06868000000003</v>
      </c>
      <c r="K21" s="282">
        <f>SUM(D21:J21)</f>
        <v>4713.8928900000001</v>
      </c>
      <c r="L21" s="282">
        <v>4753.5778599999903</v>
      </c>
      <c r="O21" s="280" t="s">
        <v>13</v>
      </c>
      <c r="P21" s="282">
        <v>1209</v>
      </c>
      <c r="Q21" s="282">
        <v>534</v>
      </c>
      <c r="R21" s="282">
        <v>694</v>
      </c>
      <c r="S21" s="282">
        <v>811</v>
      </c>
      <c r="T21" s="282">
        <v>1405</v>
      </c>
      <c r="U21" s="282">
        <v>425</v>
      </c>
      <c r="V21" s="282">
        <v>172</v>
      </c>
      <c r="W21" s="282"/>
      <c r="X21" s="282">
        <v>5267</v>
      </c>
      <c r="AA21" s="273" t="s">
        <v>13</v>
      </c>
      <c r="AB21" s="275">
        <v>1077</v>
      </c>
      <c r="AC21" s="275">
        <v>280</v>
      </c>
      <c r="AD21" s="275">
        <v>453</v>
      </c>
      <c r="AE21" s="275">
        <v>557</v>
      </c>
      <c r="AF21" s="275">
        <v>895</v>
      </c>
      <c r="AG21" s="275">
        <v>1142</v>
      </c>
      <c r="AH21" s="275">
        <v>949</v>
      </c>
      <c r="AI21" s="275"/>
      <c r="AJ21" s="275">
        <v>5438</v>
      </c>
      <c r="AM21" t="s">
        <v>13</v>
      </c>
      <c r="AN21" s="2">
        <v>1249</v>
      </c>
      <c r="AO21" s="2">
        <v>304</v>
      </c>
      <c r="AP21" s="2">
        <v>439</v>
      </c>
      <c r="AQ21" s="2">
        <v>609</v>
      </c>
      <c r="AR21" s="2">
        <v>973</v>
      </c>
      <c r="AS21" s="2">
        <v>1100</v>
      </c>
      <c r="AT21" s="2">
        <v>762</v>
      </c>
      <c r="AU21" s="2"/>
      <c r="AV21" s="2">
        <v>5510</v>
      </c>
      <c r="AY21" t="s">
        <v>13</v>
      </c>
      <c r="AZ21" s="2">
        <v>1972.3872500000004</v>
      </c>
      <c r="BA21" s="2">
        <v>405.1359599999999</v>
      </c>
      <c r="BB21" s="2">
        <v>620.9929599999997</v>
      </c>
      <c r="BC21" s="2">
        <v>546.30853999999988</v>
      </c>
      <c r="BD21" s="2">
        <v>924.01128000000062</v>
      </c>
      <c r="BE21" s="2">
        <v>866.26656000000025</v>
      </c>
      <c r="BF21" s="2">
        <v>300.77380000000005</v>
      </c>
      <c r="BG21" s="2"/>
      <c r="BH21" s="2">
        <v>5655.1145500000102</v>
      </c>
      <c r="BK21" t="s">
        <v>13</v>
      </c>
      <c r="BL21" s="2">
        <v>1992.5677300000009</v>
      </c>
      <c r="BM21" s="2">
        <v>358.35458000000006</v>
      </c>
      <c r="BN21" s="2">
        <v>463.7348100000001</v>
      </c>
      <c r="BO21" s="2">
        <v>645.20264999999984</v>
      </c>
      <c r="BP21" s="2">
        <v>1030.0339499999993</v>
      </c>
      <c r="BQ21" s="2">
        <v>1218.6392500000002</v>
      </c>
      <c r="BR21" s="2">
        <v>399.99773000000005</v>
      </c>
      <c r="BS21" s="2"/>
      <c r="BT21" s="2">
        <v>6164.0563100000045</v>
      </c>
      <c r="BW21" t="s">
        <v>13</v>
      </c>
      <c r="BX21" s="2">
        <v>35.429437008300006</v>
      </c>
      <c r="BY21" s="2">
        <v>16.209391437699999</v>
      </c>
      <c r="BZ21" s="2">
        <v>117.80943427634</v>
      </c>
      <c r="CA21" s="2">
        <v>729.65148363604442</v>
      </c>
      <c r="CB21" s="2">
        <v>2372.5162144807373</v>
      </c>
      <c r="CC21" s="2">
        <v>1515.6482071383475</v>
      </c>
      <c r="CD21" s="2">
        <v>1745.4471512269556</v>
      </c>
      <c r="CE21" s="2"/>
      <c r="CF21" s="2">
        <v>6532.7113192044417</v>
      </c>
      <c r="CG21" s="282"/>
      <c r="CI21" t="s">
        <v>13</v>
      </c>
      <c r="CJ21" s="2">
        <v>37.513102551499998</v>
      </c>
      <c r="CK21" s="2">
        <v>16.261309679299998</v>
      </c>
      <c r="CL21" s="2">
        <v>102.40729552607998</v>
      </c>
      <c r="CM21" s="2">
        <v>601.58513447374332</v>
      </c>
      <c r="CN21" s="2">
        <v>2103.5987465911835</v>
      </c>
      <c r="CO21" s="2">
        <v>1517.6772156534907</v>
      </c>
      <c r="CP21" s="2">
        <v>2400.3862144058899</v>
      </c>
      <c r="CQ21" s="2"/>
      <c r="CR21" s="2">
        <v>6779.4300190765834</v>
      </c>
      <c r="CT21" t="s">
        <v>13</v>
      </c>
      <c r="CU21" s="2">
        <v>56.140796059100005</v>
      </c>
      <c r="CV21" s="2">
        <v>23.506495982300002</v>
      </c>
      <c r="CW21" s="2">
        <v>100.69828062954001</v>
      </c>
      <c r="CX21" s="2">
        <v>594.31925623098221</v>
      </c>
      <c r="CY21" s="2">
        <v>2093.3308423382309</v>
      </c>
      <c r="CZ21" s="2">
        <v>1530.4189350944616</v>
      </c>
      <c r="DA21" s="2">
        <v>2439.2343082056095</v>
      </c>
      <c r="DB21" s="2">
        <v>381.05160114317999</v>
      </c>
      <c r="DC21" s="2">
        <v>7218.7005156834057</v>
      </c>
      <c r="DE21" t="s">
        <v>13</v>
      </c>
      <c r="DF21" s="2">
        <v>44.116775638500002</v>
      </c>
      <c r="DG21" s="2">
        <v>16.566786128800004</v>
      </c>
      <c r="DH21" s="2">
        <v>78.10466364137001</v>
      </c>
      <c r="DI21" s="2">
        <v>525.5136000788018</v>
      </c>
      <c r="DJ21" s="2">
        <v>1901.1703932045291</v>
      </c>
      <c r="DK21" s="2">
        <v>1462.6714948205849</v>
      </c>
      <c r="DL21" s="2">
        <v>2288.928859969189</v>
      </c>
      <c r="DM21" s="2">
        <v>536.86403937783962</v>
      </c>
      <c r="DN21" s="2">
        <v>6853.9366128595948</v>
      </c>
      <c r="DP21" t="s">
        <v>13</v>
      </c>
      <c r="DQ21" s="2">
        <v>49.866685941200004</v>
      </c>
      <c r="DR21" s="2">
        <v>29.732345946799995</v>
      </c>
      <c r="DS21" s="2">
        <v>48.801005342300009</v>
      </c>
      <c r="DT21" s="2">
        <v>452.54489744626028</v>
      </c>
      <c r="DU21" s="2">
        <v>1650.6140757450169</v>
      </c>
      <c r="DV21" s="2">
        <v>1495.3884086219016</v>
      </c>
      <c r="DW21" s="2">
        <v>2380.1585521750899</v>
      </c>
      <c r="DX21" s="2">
        <v>821.78959475328986</v>
      </c>
      <c r="DY21" s="2">
        <v>6928.8955659718604</v>
      </c>
      <c r="EA21" t="s">
        <v>13</v>
      </c>
      <c r="EB21" s="2">
        <v>55.675212703299998</v>
      </c>
      <c r="EC21" s="2">
        <v>37.758586712099998</v>
      </c>
      <c r="ED21" s="2">
        <v>41.692448847599998</v>
      </c>
      <c r="EE21" s="2">
        <v>383.72673918330003</v>
      </c>
      <c r="EF21" s="2">
        <v>1585.1717941231875</v>
      </c>
      <c r="EG21" s="2">
        <v>1496.448810304976</v>
      </c>
      <c r="EH21" s="2">
        <v>2300.1157364831356</v>
      </c>
      <c r="EI21" s="2">
        <v>997.45246274129966</v>
      </c>
      <c r="EJ21" s="2">
        <v>6898.041791098909</v>
      </c>
      <c r="EL21" t="s">
        <v>13</v>
      </c>
      <c r="EM21" s="2">
        <v>49.254241721900001</v>
      </c>
      <c r="EN21" s="2">
        <v>53.767133913800009</v>
      </c>
      <c r="EO21" s="2">
        <v>55.596116218799999</v>
      </c>
      <c r="EP21" s="2">
        <v>401.48034546477976</v>
      </c>
      <c r="EQ21" s="2">
        <v>1496.2498974446548</v>
      </c>
      <c r="ER21" s="2">
        <v>1366.4914081526813</v>
      </c>
      <c r="ES21" s="2">
        <v>2270.1129433710662</v>
      </c>
      <c r="ET21" s="2">
        <v>1145.8231789985293</v>
      </c>
      <c r="EU21" s="2">
        <v>6838.7752652862127</v>
      </c>
      <c r="EW21">
        <v>6838.7752652862109</v>
      </c>
      <c r="FA21" s="282">
        <v>48.184416804902007</v>
      </c>
      <c r="FB21" s="282">
        <v>44.280350941457996</v>
      </c>
      <c r="FC21" s="282">
        <v>67.17637643299102</v>
      </c>
      <c r="FD21" s="282">
        <v>421.76203493956615</v>
      </c>
      <c r="FE21" s="282">
        <v>1496.346447191981</v>
      </c>
      <c r="FF21" s="282">
        <v>1502.3344201505079</v>
      </c>
      <c r="FG21" s="282">
        <v>2361.9664242357062</v>
      </c>
      <c r="FH21" s="282">
        <v>1248.0296198195635</v>
      </c>
      <c r="FI21" s="289">
        <v>7013.3663910591431</v>
      </c>
      <c r="FJ21" s="280" t="s">
        <v>13</v>
      </c>
      <c r="FK21" s="282">
        <f t="shared" si="68"/>
        <v>-59.266525812696273</v>
      </c>
      <c r="FL21" s="282">
        <f t="shared" si="69"/>
        <v>174.59112577293035</v>
      </c>
      <c r="FN21" s="341" t="s">
        <v>13</v>
      </c>
      <c r="FO21" s="344">
        <v>33.961102093600005</v>
      </c>
      <c r="FP21" s="344">
        <v>51.914559412000003</v>
      </c>
      <c r="FQ21" s="344">
        <v>64.881059078500002</v>
      </c>
      <c r="FR21" s="344">
        <v>386.48604390642993</v>
      </c>
      <c r="FS21" s="344">
        <v>1466.7124392208575</v>
      </c>
      <c r="FT21" s="344">
        <v>1368.4752984812462</v>
      </c>
      <c r="FU21" s="344">
        <v>2279.6986802832866</v>
      </c>
      <c r="FV21" s="344">
        <v>1265.0371510340503</v>
      </c>
      <c r="FW21" s="289">
        <v>6917.1663335099656</v>
      </c>
      <c r="FX21" s="341"/>
      <c r="FY21" s="344">
        <f t="shared" si="70"/>
        <v>6917.1663335099711</v>
      </c>
      <c r="GD21" s="11"/>
      <c r="JT21">
        <v>2007</v>
      </c>
      <c r="JU21" s="270">
        <f t="shared" si="71"/>
        <v>5135.8761804665846</v>
      </c>
      <c r="JV21" s="270">
        <f t="shared" si="71"/>
        <v>1352.8438240596797</v>
      </c>
      <c r="JW21" s="270">
        <f t="shared" si="71"/>
        <v>1652.183367812502</v>
      </c>
      <c r="JX21" s="270">
        <f t="shared" si="71"/>
        <v>3453.8515442937687</v>
      </c>
      <c r="JY21" s="270">
        <f t="shared" si="71"/>
        <v>5890.5215294910695</v>
      </c>
      <c r="JZ21" s="270">
        <f t="shared" si="71"/>
        <v>4017.0437280411384</v>
      </c>
      <c r="KA21" s="270">
        <f t="shared" si="71"/>
        <v>2099.5647129915405</v>
      </c>
      <c r="KB21" s="270"/>
      <c r="KC21" s="2">
        <f t="shared" si="73"/>
        <v>24276.23714078567</v>
      </c>
      <c r="KD21" s="2">
        <f t="shared" si="72"/>
        <v>23601.884887156284</v>
      </c>
      <c r="KF21" s="280"/>
    </row>
    <row r="22" spans="3:293" x14ac:dyDescent="0.2">
      <c r="C22" s="280" t="s">
        <v>14</v>
      </c>
      <c r="D22" s="282">
        <v>20237.652409999988</v>
      </c>
      <c r="E22" s="282">
        <v>7386.2093200000036</v>
      </c>
      <c r="F22" s="282">
        <v>11126.027580000007</v>
      </c>
      <c r="G22" s="282">
        <v>12952.374259999995</v>
      </c>
      <c r="H22" s="282">
        <v>19467.943290000003</v>
      </c>
      <c r="I22" s="282">
        <v>13139.836799999974</v>
      </c>
      <c r="J22" s="282">
        <v>3769.8014799999987</v>
      </c>
      <c r="K22" s="282"/>
      <c r="L22" s="282">
        <v>88425.23672999932</v>
      </c>
      <c r="O22" s="280" t="s">
        <v>14</v>
      </c>
      <c r="P22" s="282">
        <v>20634</v>
      </c>
      <c r="Q22" s="282">
        <v>7501</v>
      </c>
      <c r="R22" s="282">
        <v>11332</v>
      </c>
      <c r="S22" s="282">
        <v>13152</v>
      </c>
      <c r="T22" s="282">
        <v>19076</v>
      </c>
      <c r="U22" s="282">
        <v>14646</v>
      </c>
      <c r="V22" s="282">
        <v>4172</v>
      </c>
      <c r="W22" s="282"/>
      <c r="X22" s="282">
        <v>90887</v>
      </c>
      <c r="AA22" s="273" t="s">
        <v>14</v>
      </c>
      <c r="AB22" s="275">
        <v>21068</v>
      </c>
      <c r="AC22" s="275">
        <v>7293</v>
      </c>
      <c r="AD22" s="275">
        <v>11189</v>
      </c>
      <c r="AE22" s="275">
        <v>12796</v>
      </c>
      <c r="AF22" s="275">
        <v>19509</v>
      </c>
      <c r="AG22" s="275">
        <v>13322</v>
      </c>
      <c r="AH22" s="275">
        <v>7710</v>
      </c>
      <c r="AI22" s="275"/>
      <c r="AJ22" s="275">
        <v>93683</v>
      </c>
      <c r="AM22" t="s">
        <v>14</v>
      </c>
      <c r="AN22" s="2">
        <v>21996</v>
      </c>
      <c r="AO22" s="2">
        <v>7505</v>
      </c>
      <c r="AP22" s="2">
        <v>11667</v>
      </c>
      <c r="AQ22" s="2">
        <v>13314</v>
      </c>
      <c r="AR22" s="2">
        <v>19979</v>
      </c>
      <c r="AS22" s="2">
        <v>11408</v>
      </c>
      <c r="AT22" s="2">
        <v>6362</v>
      </c>
      <c r="AU22" s="2"/>
      <c r="AV22" s="2">
        <v>92917</v>
      </c>
      <c r="AY22" t="s">
        <v>14</v>
      </c>
      <c r="AZ22" s="2">
        <v>28085.122259999942</v>
      </c>
      <c r="BA22" s="2">
        <v>6823.0141099999892</v>
      </c>
      <c r="BB22" s="2">
        <v>10560.319880000012</v>
      </c>
      <c r="BC22" s="2">
        <v>11985.664129999996</v>
      </c>
      <c r="BD22" s="2">
        <v>18107.840989999979</v>
      </c>
      <c r="BE22" s="2">
        <v>11949.437590000009</v>
      </c>
      <c r="BF22" s="2">
        <v>6520.6752899999983</v>
      </c>
      <c r="BG22" s="2"/>
      <c r="BH22" s="2">
        <v>94723.703350001015</v>
      </c>
      <c r="BK22" t="s">
        <v>14</v>
      </c>
      <c r="BL22" s="2">
        <v>27426.183129999979</v>
      </c>
      <c r="BM22" s="2">
        <v>6862.3766800000058</v>
      </c>
      <c r="BN22" s="2">
        <v>10366.070089999992</v>
      </c>
      <c r="BO22" s="2">
        <v>12032.050120000007</v>
      </c>
      <c r="BP22" s="2">
        <v>18866.255080000024</v>
      </c>
      <c r="BQ22" s="2">
        <v>13493.932960000007</v>
      </c>
      <c r="BR22" s="2">
        <v>7791.6943499999861</v>
      </c>
      <c r="BS22" s="2"/>
      <c r="BT22" s="2">
        <v>97693.704249998453</v>
      </c>
      <c r="BW22" t="s">
        <v>14</v>
      </c>
      <c r="BX22" s="2">
        <v>19440.185811535088</v>
      </c>
      <c r="BY22" s="2">
        <v>7321.2581534999417</v>
      </c>
      <c r="BZ22" s="2">
        <v>12475.138639079536</v>
      </c>
      <c r="CA22" s="2">
        <v>14311.077214821458</v>
      </c>
      <c r="CB22" s="2">
        <v>20571.041848820678</v>
      </c>
      <c r="CC22" s="2">
        <v>14724.495957187177</v>
      </c>
      <c r="CD22" s="2">
        <v>10629.360468907238</v>
      </c>
      <c r="CE22" s="2"/>
      <c r="CF22" s="2">
        <v>99472.558093851068</v>
      </c>
      <c r="CG22" s="282"/>
      <c r="CI22" t="s">
        <v>14</v>
      </c>
      <c r="CJ22" s="2">
        <v>19529.052684027265</v>
      </c>
      <c r="CK22" s="2">
        <v>7426.2176961908845</v>
      </c>
      <c r="CL22" s="2">
        <v>12294.149996690358</v>
      </c>
      <c r="CM22" s="2">
        <v>14228.309244560527</v>
      </c>
      <c r="CN22" s="2">
        <v>20612.072440146789</v>
      </c>
      <c r="CO22" s="2">
        <v>14754.983193627331</v>
      </c>
      <c r="CP22" s="2">
        <v>13949.277578844458</v>
      </c>
      <c r="CQ22" s="2"/>
      <c r="CR22" s="2">
        <v>102794.06383428312</v>
      </c>
      <c r="CT22" t="s">
        <v>14</v>
      </c>
      <c r="CU22" s="2">
        <v>19220.870935672079</v>
      </c>
      <c r="CV22" s="2">
        <v>7278.2512997961894</v>
      </c>
      <c r="CW22" s="2">
        <v>12501.13547847289</v>
      </c>
      <c r="CX22" s="2">
        <v>14396.297991188752</v>
      </c>
      <c r="CY22" s="2">
        <v>20917.063427858371</v>
      </c>
      <c r="CZ22" s="2">
        <v>14829.073621834365</v>
      </c>
      <c r="DA22" s="2">
        <v>14541.713372546679</v>
      </c>
      <c r="DB22" s="2">
        <v>2573.3204648279993</v>
      </c>
      <c r="DC22" s="2">
        <v>106257.7265921973</v>
      </c>
      <c r="DE22" t="s">
        <v>14</v>
      </c>
      <c r="DF22" s="2">
        <v>18486.947113359081</v>
      </c>
      <c r="DG22" s="2">
        <v>7098.3393512853909</v>
      </c>
      <c r="DH22" s="2">
        <v>11932.515113593012</v>
      </c>
      <c r="DI22" s="2">
        <v>13780.838373374319</v>
      </c>
      <c r="DJ22" s="2">
        <v>20473.712614231212</v>
      </c>
      <c r="DK22" s="2">
        <v>14574.01119734374</v>
      </c>
      <c r="DL22" s="2">
        <v>14265.331669639225</v>
      </c>
      <c r="DM22" s="2">
        <v>5227.979930381237</v>
      </c>
      <c r="DN22" s="2">
        <v>105839.67536320801</v>
      </c>
      <c r="DP22" t="s">
        <v>14</v>
      </c>
      <c r="DQ22" s="2">
        <v>17596.193184321204</v>
      </c>
      <c r="DR22" s="2">
        <v>6820.0317498135673</v>
      </c>
      <c r="DS22" s="2">
        <v>11554.028434497666</v>
      </c>
      <c r="DT22" s="2">
        <v>13498.738687944602</v>
      </c>
      <c r="DU22" s="2">
        <v>21851.137184970274</v>
      </c>
      <c r="DV22" s="2">
        <v>14492.681254975869</v>
      </c>
      <c r="DW22" s="2">
        <v>14364.025150846021</v>
      </c>
      <c r="DX22" s="2">
        <v>8677.8086285990212</v>
      </c>
      <c r="DY22" s="2">
        <v>108854.64427596862</v>
      </c>
      <c r="EA22" t="s">
        <v>14</v>
      </c>
      <c r="EB22" s="2">
        <v>17269.614770558601</v>
      </c>
      <c r="EC22" s="2">
        <v>6819.7619889388197</v>
      </c>
      <c r="ED22" s="2">
        <v>11496.758794510306</v>
      </c>
      <c r="EE22" s="2">
        <v>13394.693679657723</v>
      </c>
      <c r="EF22" s="2">
        <v>21836.405610760474</v>
      </c>
      <c r="EG22" s="2">
        <v>14186.694584536688</v>
      </c>
      <c r="EH22" s="2">
        <v>13976.4739197494</v>
      </c>
      <c r="EI22" s="2">
        <v>11665.301844837864</v>
      </c>
      <c r="EJ22" s="2">
        <v>110645.70519354855</v>
      </c>
      <c r="EK22" s="1"/>
      <c r="EL22" t="s">
        <v>14</v>
      </c>
      <c r="EM22" s="2">
        <v>16882.465868508069</v>
      </c>
      <c r="EN22" s="2">
        <v>6745.047207715782</v>
      </c>
      <c r="EO22" s="2">
        <v>11771.232517505076</v>
      </c>
      <c r="EP22" s="2">
        <v>13325.718993365746</v>
      </c>
      <c r="EQ22" s="2">
        <v>21247.981165297409</v>
      </c>
      <c r="ER22" s="2">
        <v>14025.068095336084</v>
      </c>
      <c r="ES22" s="2">
        <v>13819.550603164709</v>
      </c>
      <c r="ET22" s="2">
        <v>13985.690208176235</v>
      </c>
      <c r="EU22" s="2">
        <v>111802.75465906956</v>
      </c>
      <c r="EW22">
        <v>111802.75465906912</v>
      </c>
      <c r="FA22" s="282">
        <v>16924.636010338272</v>
      </c>
      <c r="FB22" s="282">
        <v>6623.7093953408639</v>
      </c>
      <c r="FC22" s="282">
        <v>11904.938397543365</v>
      </c>
      <c r="FD22" s="282">
        <v>13595.705688719603</v>
      </c>
      <c r="FE22" s="282">
        <v>21339.649804884306</v>
      </c>
      <c r="FF22" s="282">
        <v>14494.128570323895</v>
      </c>
      <c r="FG22" s="282">
        <v>14169.893154954854</v>
      </c>
      <c r="FH22" s="282">
        <v>15854.525873985634</v>
      </c>
      <c r="FI22" s="289">
        <v>114832.78513599127</v>
      </c>
      <c r="FJ22" s="280" t="s">
        <v>14</v>
      </c>
      <c r="FK22" s="282">
        <f t="shared" si="68"/>
        <v>1157.0494655210059</v>
      </c>
      <c r="FL22" s="282">
        <f t="shared" si="69"/>
        <v>3030.0304769217182</v>
      </c>
      <c r="FN22" s="341" t="s">
        <v>14</v>
      </c>
      <c r="FO22" s="344">
        <v>16580.324690226589</v>
      </c>
      <c r="FP22" s="344">
        <v>6641.5914872521771</v>
      </c>
      <c r="FQ22" s="344">
        <v>11905.638726469289</v>
      </c>
      <c r="FR22" s="344">
        <v>13266.597561633158</v>
      </c>
      <c r="FS22" s="344">
        <v>21543.635041559137</v>
      </c>
      <c r="FT22" s="344">
        <v>14570.443313430129</v>
      </c>
      <c r="FU22" s="344">
        <v>14261.119699417517</v>
      </c>
      <c r="FV22" s="344">
        <v>17082.324065948378</v>
      </c>
      <c r="FW22" s="289">
        <v>115851.6745859365</v>
      </c>
      <c r="FX22" s="341"/>
      <c r="FY22" s="344">
        <f t="shared" si="70"/>
        <v>115851.67458593631</v>
      </c>
      <c r="GD22" s="11"/>
      <c r="JT22">
        <v>2009</v>
      </c>
      <c r="JU22" s="270">
        <f t="shared" si="71"/>
        <v>4762.2398021134541</v>
      </c>
      <c r="JV22" s="270">
        <f t="shared" si="71"/>
        <v>1285.1783581023469</v>
      </c>
      <c r="JW22" s="270">
        <f t="shared" si="71"/>
        <v>1679.7863224350169</v>
      </c>
      <c r="JX22" s="270">
        <f t="shared" si="71"/>
        <v>3232.2716333262219</v>
      </c>
      <c r="JY22" s="270">
        <f t="shared" si="71"/>
        <v>5620.0929300840835</v>
      </c>
      <c r="JZ22" s="270">
        <f t="shared" si="71"/>
        <v>4024.5158034563065</v>
      </c>
      <c r="KA22" s="270">
        <f t="shared" si="71"/>
        <v>2109.8537334612402</v>
      </c>
      <c r="KB22" s="270"/>
      <c r="KC22" s="2">
        <f t="shared" si="73"/>
        <v>23940.151489677715</v>
      </c>
      <c r="KD22" s="2">
        <f t="shared" si="72"/>
        <v>22713.93858297867</v>
      </c>
    </row>
    <row r="23" spans="3:293" x14ac:dyDescent="0.2">
      <c r="EX23" s="2"/>
      <c r="EY23" s="282"/>
      <c r="EZ23" s="282"/>
      <c r="FI23" s="404"/>
      <c r="FJ23" s="282"/>
      <c r="FK23" s="282"/>
      <c r="FL23" s="282"/>
      <c r="FM23" s="282"/>
      <c r="FN23" s="341"/>
      <c r="FO23" s="341"/>
      <c r="FP23" s="341"/>
      <c r="FQ23" s="341"/>
      <c r="FR23" s="341"/>
      <c r="FS23" s="341"/>
      <c r="FT23" s="341"/>
      <c r="FU23" s="341"/>
      <c r="FV23" s="341"/>
      <c r="FW23" s="404"/>
      <c r="FX23" s="341"/>
      <c r="FY23" s="341"/>
      <c r="FZ23" s="282"/>
      <c r="GA23" s="282"/>
      <c r="GB23" s="282"/>
      <c r="GC23" s="2"/>
      <c r="GD23" s="11"/>
      <c r="GE23" s="2"/>
      <c r="GF23" s="2"/>
      <c r="GG23" s="2"/>
      <c r="GH23" s="2"/>
      <c r="GI23" s="2"/>
      <c r="JT23" s="280">
        <v>2011</v>
      </c>
      <c r="JU23" s="270">
        <f t="shared" ref="JU23:KA23" si="74">HK14</f>
        <v>5026.2148770642461</v>
      </c>
      <c r="JV23" s="270">
        <f t="shared" si="74"/>
        <v>1313.1153722920055</v>
      </c>
      <c r="JW23" s="270">
        <f t="shared" si="74"/>
        <v>1672.6171668959162</v>
      </c>
      <c r="JX23" s="270">
        <f t="shared" si="74"/>
        <v>3479.8296364078683</v>
      </c>
      <c r="JY23" s="270">
        <f t="shared" si="74"/>
        <v>6512.7041370648958</v>
      </c>
      <c r="JZ23" s="270">
        <f t="shared" si="74"/>
        <v>4202.8007409082938</v>
      </c>
      <c r="KA23" s="270">
        <f t="shared" si="74"/>
        <v>2225.0221698780883</v>
      </c>
      <c r="KB23" s="270"/>
      <c r="KC23" s="2">
        <f t="shared" si="73"/>
        <v>23608.71868341662</v>
      </c>
    </row>
    <row r="24" spans="3:293" x14ac:dyDescent="0.2">
      <c r="C24" s="281" t="s">
        <v>16</v>
      </c>
      <c r="O24" s="281" t="s">
        <v>16</v>
      </c>
      <c r="AA24" s="274" t="s">
        <v>16</v>
      </c>
      <c r="AM24" s="1" t="s">
        <v>16</v>
      </c>
      <c r="AY24" s="1" t="s">
        <v>16</v>
      </c>
      <c r="BK24" s="1" t="s">
        <v>16</v>
      </c>
      <c r="BW24" s="1" t="s">
        <v>16</v>
      </c>
      <c r="CI24" s="1" t="s">
        <v>16</v>
      </c>
      <c r="CT24" s="1" t="s">
        <v>16</v>
      </c>
      <c r="DE24" s="1" t="s">
        <v>16</v>
      </c>
      <c r="DP24" s="1" t="s">
        <v>16</v>
      </c>
      <c r="EA24" s="1" t="s">
        <v>16</v>
      </c>
      <c r="EL24" s="1" t="s">
        <v>16</v>
      </c>
      <c r="EX24" s="2"/>
      <c r="EY24" s="282"/>
      <c r="EZ24" s="282"/>
      <c r="FI24" s="404"/>
      <c r="FJ24" s="282"/>
      <c r="FK24" s="282"/>
      <c r="FL24" s="282"/>
      <c r="FM24" s="282"/>
      <c r="FN24" s="342" t="s">
        <v>16</v>
      </c>
      <c r="FO24" s="341"/>
      <c r="FP24" s="341"/>
      <c r="FQ24" s="341"/>
      <c r="FR24" s="341"/>
      <c r="FS24" s="341"/>
      <c r="FT24" s="341"/>
      <c r="FU24" s="341"/>
      <c r="FV24" s="341"/>
      <c r="FW24" s="404"/>
      <c r="FX24" s="341"/>
      <c r="FY24" s="341"/>
      <c r="FZ24" s="282"/>
      <c r="GA24" s="282"/>
      <c r="GB24" s="282"/>
      <c r="GC24" s="2"/>
      <c r="GD24" s="11"/>
      <c r="GE24" s="2"/>
      <c r="GF24" s="2"/>
      <c r="GG24" s="2"/>
      <c r="GH24" s="2"/>
      <c r="GI24" s="2"/>
      <c r="JU24" s="50" t="s">
        <v>253</v>
      </c>
      <c r="KC24" s="2">
        <f t="shared" si="73"/>
        <v>23281.874306978636</v>
      </c>
    </row>
    <row r="25" spans="3:293" x14ac:dyDescent="0.2">
      <c r="C25" s="280" t="s">
        <v>9</v>
      </c>
      <c r="D25" s="282">
        <v>2823</v>
      </c>
      <c r="E25" s="282">
        <v>1326</v>
      </c>
      <c r="F25" s="282">
        <v>2461</v>
      </c>
      <c r="G25" s="282">
        <v>2437</v>
      </c>
      <c r="H25" s="282">
        <v>3167</v>
      </c>
      <c r="I25" s="282">
        <v>1438</v>
      </c>
      <c r="J25" s="282">
        <v>586</v>
      </c>
      <c r="K25" s="282"/>
      <c r="L25" s="282">
        <v>14238</v>
      </c>
      <c r="O25" s="280" t="s">
        <v>9</v>
      </c>
      <c r="P25" s="282">
        <v>3032</v>
      </c>
      <c r="Q25" s="282">
        <v>1395</v>
      </c>
      <c r="R25" s="282">
        <v>2524</v>
      </c>
      <c r="S25" s="282">
        <v>2584</v>
      </c>
      <c r="T25" s="282">
        <v>3387</v>
      </c>
      <c r="U25" s="282">
        <v>1578</v>
      </c>
      <c r="V25" s="282">
        <v>637</v>
      </c>
      <c r="W25" s="282"/>
      <c r="X25" s="282">
        <v>15137</v>
      </c>
      <c r="AA25" s="273" t="s">
        <v>9</v>
      </c>
      <c r="AB25" s="275">
        <v>2745</v>
      </c>
      <c r="AC25" s="275">
        <v>1200</v>
      </c>
      <c r="AD25" s="275">
        <v>2098</v>
      </c>
      <c r="AE25" s="275">
        <v>2192</v>
      </c>
      <c r="AF25" s="275">
        <v>3184</v>
      </c>
      <c r="AG25" s="275">
        <v>2187</v>
      </c>
      <c r="AH25" s="275">
        <v>1910</v>
      </c>
      <c r="AI25" s="275"/>
      <c r="AJ25" s="275">
        <v>15516</v>
      </c>
      <c r="AM25" t="s">
        <v>9</v>
      </c>
      <c r="AN25" s="2">
        <v>2728</v>
      </c>
      <c r="AO25" s="2">
        <v>1233</v>
      </c>
      <c r="AP25" s="2">
        <v>2137</v>
      </c>
      <c r="AQ25" s="2">
        <v>2243</v>
      </c>
      <c r="AR25" s="2">
        <v>3111</v>
      </c>
      <c r="AS25" s="2">
        <v>2114</v>
      </c>
      <c r="AT25" s="2">
        <v>1967</v>
      </c>
      <c r="AU25" s="2"/>
      <c r="AV25" s="2">
        <v>15533</v>
      </c>
      <c r="AY25" t="s">
        <v>9</v>
      </c>
      <c r="AZ25" s="2">
        <v>2532</v>
      </c>
      <c r="BA25" s="2">
        <v>1173</v>
      </c>
      <c r="BB25" s="2">
        <v>2083</v>
      </c>
      <c r="BC25" s="2">
        <v>2127</v>
      </c>
      <c r="BD25" s="2">
        <v>2877</v>
      </c>
      <c r="BE25" s="2">
        <v>1956</v>
      </c>
      <c r="BF25" s="2">
        <v>1342</v>
      </c>
      <c r="BG25" s="2"/>
      <c r="BH25" s="2">
        <v>14090</v>
      </c>
      <c r="BK25" t="s">
        <v>9</v>
      </c>
      <c r="BL25" s="2">
        <v>2367</v>
      </c>
      <c r="BM25" s="2">
        <v>983</v>
      </c>
      <c r="BN25" s="2">
        <v>1869</v>
      </c>
      <c r="BO25" s="2">
        <v>1946</v>
      </c>
      <c r="BP25" s="2">
        <v>2737</v>
      </c>
      <c r="BQ25" s="2">
        <v>1914</v>
      </c>
      <c r="BR25" s="2">
        <v>1681</v>
      </c>
      <c r="BS25" s="2"/>
      <c r="BT25" s="2">
        <v>13497</v>
      </c>
      <c r="BW25" t="s">
        <v>9</v>
      </c>
      <c r="BX25" s="2">
        <v>4435</v>
      </c>
      <c r="BY25" s="2">
        <v>2049</v>
      </c>
      <c r="BZ25" s="2">
        <v>3819</v>
      </c>
      <c r="CA25" s="2">
        <v>3863</v>
      </c>
      <c r="CB25" s="2">
        <v>5054</v>
      </c>
      <c r="CC25" s="2">
        <v>3230</v>
      </c>
      <c r="CD25" s="2">
        <v>2630</v>
      </c>
      <c r="CE25" s="2"/>
      <c r="CF25" s="2">
        <v>25080</v>
      </c>
      <c r="CG25" s="282"/>
      <c r="CI25" t="s">
        <v>9</v>
      </c>
      <c r="CJ25" s="2">
        <v>4935</v>
      </c>
      <c r="CK25" s="2">
        <v>2298</v>
      </c>
      <c r="CL25" s="2">
        <v>4290</v>
      </c>
      <c r="CM25" s="2">
        <v>4263</v>
      </c>
      <c r="CN25" s="2">
        <v>5439</v>
      </c>
      <c r="CO25" s="2">
        <v>3635</v>
      </c>
      <c r="CP25" s="2">
        <v>4145</v>
      </c>
      <c r="CQ25" s="2"/>
      <c r="CR25" s="2">
        <v>29007</v>
      </c>
      <c r="CT25" t="s">
        <v>9</v>
      </c>
      <c r="CU25" s="2">
        <v>4577</v>
      </c>
      <c r="CV25" s="2">
        <v>2028</v>
      </c>
      <c r="CW25" s="2">
        <v>3785</v>
      </c>
      <c r="CX25" s="2">
        <v>3889</v>
      </c>
      <c r="CY25" s="2">
        <v>5143</v>
      </c>
      <c r="CZ25" s="2">
        <v>3443</v>
      </c>
      <c r="DA25" s="2">
        <v>4479</v>
      </c>
      <c r="DB25" s="2">
        <v>622</v>
      </c>
      <c r="DC25" s="2">
        <v>27966</v>
      </c>
      <c r="DE25" t="s">
        <v>9</v>
      </c>
      <c r="DF25" s="2">
        <v>4837</v>
      </c>
      <c r="DG25" s="2">
        <v>2212</v>
      </c>
      <c r="DH25" s="2">
        <v>4150</v>
      </c>
      <c r="DI25" s="2">
        <v>4140</v>
      </c>
      <c r="DJ25" s="2">
        <v>5333</v>
      </c>
      <c r="DK25" s="2">
        <v>3598</v>
      </c>
      <c r="DL25" s="2">
        <v>4979</v>
      </c>
      <c r="DM25" s="2">
        <v>1588</v>
      </c>
      <c r="DN25" s="2">
        <v>30837</v>
      </c>
      <c r="DP25" t="s">
        <v>9</v>
      </c>
      <c r="DQ25" s="2">
        <v>4264</v>
      </c>
      <c r="DR25" s="2">
        <v>1921</v>
      </c>
      <c r="DS25" s="2">
        <v>3568</v>
      </c>
      <c r="DT25" s="2">
        <v>3675</v>
      </c>
      <c r="DU25" s="2">
        <v>5168</v>
      </c>
      <c r="DV25" s="2">
        <v>3226</v>
      </c>
      <c r="DW25" s="2">
        <v>4206</v>
      </c>
      <c r="DX25" s="2">
        <v>2514</v>
      </c>
      <c r="DY25" s="2">
        <v>28542</v>
      </c>
      <c r="EA25" t="s">
        <v>9</v>
      </c>
      <c r="EB25" s="2">
        <v>3593</v>
      </c>
      <c r="EC25" s="2">
        <v>1663</v>
      </c>
      <c r="ED25" s="2">
        <v>3118</v>
      </c>
      <c r="EE25" s="2">
        <v>3172</v>
      </c>
      <c r="EF25" s="2">
        <v>4532</v>
      </c>
      <c r="EG25" s="2">
        <v>2866</v>
      </c>
      <c r="EH25" s="2">
        <v>3748</v>
      </c>
      <c r="EI25" s="2">
        <v>3128</v>
      </c>
      <c r="EJ25" s="2">
        <v>25820</v>
      </c>
      <c r="EL25" t="s">
        <v>9</v>
      </c>
      <c r="EM25" s="2">
        <v>3920</v>
      </c>
      <c r="EN25" s="2">
        <v>1819</v>
      </c>
      <c r="EO25" s="2">
        <v>3552</v>
      </c>
      <c r="EP25" s="2">
        <v>3472</v>
      </c>
      <c r="EQ25" s="2">
        <v>4758</v>
      </c>
      <c r="ER25" s="2">
        <v>3138</v>
      </c>
      <c r="ES25" s="2">
        <v>4004</v>
      </c>
      <c r="ET25" s="2">
        <v>4126</v>
      </c>
      <c r="EU25" s="2">
        <v>28789</v>
      </c>
      <c r="EW25">
        <v>28789</v>
      </c>
      <c r="EX25" s="2"/>
      <c r="EY25" s="282"/>
      <c r="EZ25" s="282"/>
      <c r="FA25" s="282">
        <v>9155</v>
      </c>
      <c r="FB25" s="282">
        <v>4879</v>
      </c>
      <c r="FC25" s="282">
        <v>10058</v>
      </c>
      <c r="FD25" s="282">
        <v>9981</v>
      </c>
      <c r="FE25" s="282">
        <v>12323</v>
      </c>
      <c r="FF25" s="282">
        <v>9543</v>
      </c>
      <c r="FG25" s="282">
        <v>12149</v>
      </c>
      <c r="FH25" s="282">
        <v>12508</v>
      </c>
      <c r="FI25" s="289">
        <v>30321</v>
      </c>
      <c r="FJ25" s="282"/>
      <c r="FK25" s="282"/>
      <c r="FL25" s="282"/>
      <c r="FM25" s="282"/>
      <c r="FN25" s="341" t="s">
        <v>9</v>
      </c>
      <c r="FO25" s="344">
        <v>4489</v>
      </c>
      <c r="FP25" s="344">
        <v>2154</v>
      </c>
      <c r="FQ25" s="344">
        <v>4483</v>
      </c>
      <c r="FR25" s="344">
        <v>4119</v>
      </c>
      <c r="FS25" s="344">
        <v>5593</v>
      </c>
      <c r="FT25" s="344">
        <v>3658</v>
      </c>
      <c r="FU25" s="344">
        <v>4685</v>
      </c>
      <c r="FV25" s="344">
        <v>5009</v>
      </c>
      <c r="FW25" s="289">
        <v>34190</v>
      </c>
      <c r="FX25" s="341"/>
      <c r="FY25" s="344"/>
      <c r="FZ25" s="282"/>
      <c r="GA25" s="282"/>
      <c r="GB25" s="282"/>
      <c r="GC25" s="2"/>
      <c r="GD25" s="2"/>
      <c r="GE25" s="2"/>
      <c r="GF25" s="2"/>
      <c r="GG25" s="2"/>
      <c r="GH25" s="2"/>
      <c r="GI25" s="2"/>
      <c r="KC25" s="2">
        <f t="shared" si="73"/>
        <v>22959.554837116171</v>
      </c>
    </row>
    <row r="26" spans="3:293" x14ac:dyDescent="0.2">
      <c r="C26" s="280" t="s">
        <v>10</v>
      </c>
      <c r="D26" s="282">
        <v>2613</v>
      </c>
      <c r="E26" s="282">
        <v>1206</v>
      </c>
      <c r="F26" s="282">
        <v>2288</v>
      </c>
      <c r="G26" s="282">
        <v>2260</v>
      </c>
      <c r="H26" s="282">
        <v>2911</v>
      </c>
      <c r="I26" s="282">
        <v>1344</v>
      </c>
      <c r="J26" s="282">
        <v>531</v>
      </c>
      <c r="K26" s="282"/>
      <c r="L26" s="282">
        <v>13153</v>
      </c>
      <c r="O26" s="280" t="s">
        <v>10</v>
      </c>
      <c r="P26" s="282">
        <v>2733</v>
      </c>
      <c r="Q26" s="282">
        <v>1233</v>
      </c>
      <c r="R26" s="282">
        <v>2288</v>
      </c>
      <c r="S26" s="282">
        <v>2355</v>
      </c>
      <c r="T26" s="282">
        <v>3004</v>
      </c>
      <c r="U26" s="282">
        <v>1467</v>
      </c>
      <c r="V26" s="282">
        <v>577</v>
      </c>
      <c r="W26" s="282"/>
      <c r="X26" s="282">
        <v>13657</v>
      </c>
      <c r="AA26" s="273" t="s">
        <v>10</v>
      </c>
      <c r="AB26" s="275">
        <v>2576</v>
      </c>
      <c r="AC26" s="275">
        <v>1135</v>
      </c>
      <c r="AD26" s="275">
        <v>1985</v>
      </c>
      <c r="AE26" s="275">
        <v>2073</v>
      </c>
      <c r="AF26" s="275">
        <v>2984</v>
      </c>
      <c r="AG26" s="275">
        <v>1972</v>
      </c>
      <c r="AH26" s="275">
        <v>1686</v>
      </c>
      <c r="AI26" s="275"/>
      <c r="AJ26" s="275">
        <v>14411</v>
      </c>
      <c r="AM26" t="s">
        <v>10</v>
      </c>
      <c r="AN26" s="2">
        <v>2537</v>
      </c>
      <c r="AO26" s="2">
        <v>1153</v>
      </c>
      <c r="AP26" s="2">
        <v>2015</v>
      </c>
      <c r="AQ26" s="2">
        <v>2088</v>
      </c>
      <c r="AR26" s="2">
        <v>2884</v>
      </c>
      <c r="AS26" s="2">
        <v>1880</v>
      </c>
      <c r="AT26" s="2">
        <v>1720</v>
      </c>
      <c r="AU26" s="2"/>
      <c r="AV26" s="2">
        <v>14277</v>
      </c>
      <c r="AY26" t="s">
        <v>10</v>
      </c>
      <c r="AZ26" s="2">
        <v>2363</v>
      </c>
      <c r="BA26" s="2">
        <v>1095</v>
      </c>
      <c r="BB26" s="2">
        <v>1930</v>
      </c>
      <c r="BC26" s="2">
        <v>2001</v>
      </c>
      <c r="BD26" s="2">
        <v>2700</v>
      </c>
      <c r="BE26" s="2">
        <v>1804</v>
      </c>
      <c r="BF26" s="2">
        <v>1259</v>
      </c>
      <c r="BG26" s="2"/>
      <c r="BH26" s="2">
        <v>13152</v>
      </c>
      <c r="BK26" t="s">
        <v>10</v>
      </c>
      <c r="BL26" s="2">
        <v>2224</v>
      </c>
      <c r="BM26" s="2">
        <v>920</v>
      </c>
      <c r="BN26" s="2">
        <v>1758</v>
      </c>
      <c r="BO26" s="2">
        <v>1808</v>
      </c>
      <c r="BP26" s="2">
        <v>2553</v>
      </c>
      <c r="BQ26" s="2">
        <v>1712</v>
      </c>
      <c r="BR26" s="2">
        <v>1580</v>
      </c>
      <c r="BS26" s="2"/>
      <c r="BT26" s="2">
        <v>12555</v>
      </c>
      <c r="BW26" t="s">
        <v>10</v>
      </c>
      <c r="BX26" s="2">
        <v>4424</v>
      </c>
      <c r="BY26" s="2">
        <v>2044</v>
      </c>
      <c r="BZ26" s="2">
        <v>3777</v>
      </c>
      <c r="CA26" s="2">
        <v>3588</v>
      </c>
      <c r="CB26" s="2">
        <v>4177</v>
      </c>
      <c r="CC26" s="2">
        <v>2713</v>
      </c>
      <c r="CD26" s="2">
        <v>2321</v>
      </c>
      <c r="CE26" s="2"/>
      <c r="CF26" s="2">
        <v>23044</v>
      </c>
      <c r="CG26" s="282"/>
      <c r="CI26" t="s">
        <v>10</v>
      </c>
      <c r="CJ26" s="2">
        <v>4920</v>
      </c>
      <c r="CK26" s="2">
        <v>2291</v>
      </c>
      <c r="CL26" s="2">
        <v>4250</v>
      </c>
      <c r="CM26" s="2">
        <v>4023</v>
      </c>
      <c r="CN26" s="2">
        <v>4620</v>
      </c>
      <c r="CO26" s="2">
        <v>3093</v>
      </c>
      <c r="CP26" s="2">
        <v>3691</v>
      </c>
      <c r="CQ26" s="2"/>
      <c r="CR26" s="2">
        <v>26888</v>
      </c>
      <c r="CT26" t="s">
        <v>10</v>
      </c>
      <c r="CU26" s="2">
        <v>4556</v>
      </c>
      <c r="CV26" s="2">
        <v>2017</v>
      </c>
      <c r="CW26" s="2">
        <v>3745</v>
      </c>
      <c r="CX26" s="2">
        <v>3655</v>
      </c>
      <c r="CY26" s="2">
        <v>4363</v>
      </c>
      <c r="CZ26" s="2">
        <v>2924</v>
      </c>
      <c r="DA26" s="2">
        <v>3944</v>
      </c>
      <c r="DB26" s="2">
        <v>573</v>
      </c>
      <c r="DC26" s="2">
        <v>25777</v>
      </c>
      <c r="DE26" t="s">
        <v>10</v>
      </c>
      <c r="DF26" s="2">
        <v>4820</v>
      </c>
      <c r="DG26" s="2">
        <v>2205</v>
      </c>
      <c r="DH26" s="2">
        <v>4116</v>
      </c>
      <c r="DI26" s="2">
        <v>3922</v>
      </c>
      <c r="DJ26" s="2">
        <v>4586</v>
      </c>
      <c r="DK26" s="2">
        <v>3107</v>
      </c>
      <c r="DL26" s="2">
        <v>4450</v>
      </c>
      <c r="DM26" s="2">
        <v>1471</v>
      </c>
      <c r="DN26" s="2">
        <v>28677</v>
      </c>
      <c r="DP26" t="s">
        <v>10</v>
      </c>
      <c r="DQ26" s="2">
        <v>4248</v>
      </c>
      <c r="DR26" s="2">
        <v>1912</v>
      </c>
      <c r="DS26" s="2">
        <v>3549</v>
      </c>
      <c r="DT26" s="2">
        <v>3531</v>
      </c>
      <c r="DU26" s="2">
        <v>4622</v>
      </c>
      <c r="DV26" s="2">
        <v>2824</v>
      </c>
      <c r="DW26" s="2">
        <v>3728</v>
      </c>
      <c r="DX26" s="2">
        <v>2210</v>
      </c>
      <c r="DY26" s="2">
        <v>26624</v>
      </c>
      <c r="EA26" t="s">
        <v>10</v>
      </c>
      <c r="EB26" s="2">
        <v>3575</v>
      </c>
      <c r="EC26" s="2">
        <v>1656</v>
      </c>
      <c r="ED26" s="2">
        <v>3105</v>
      </c>
      <c r="EE26" s="2">
        <v>3057</v>
      </c>
      <c r="EF26" s="2">
        <v>4050</v>
      </c>
      <c r="EG26" s="2">
        <v>2471</v>
      </c>
      <c r="EH26" s="2">
        <v>3268</v>
      </c>
      <c r="EI26" s="2">
        <v>2840</v>
      </c>
      <c r="EJ26" s="2">
        <v>24022</v>
      </c>
      <c r="EL26" t="s">
        <v>10</v>
      </c>
      <c r="EM26" s="2">
        <v>3903</v>
      </c>
      <c r="EN26" s="2">
        <v>1806</v>
      </c>
      <c r="EO26" s="2">
        <v>3534</v>
      </c>
      <c r="EP26" s="2">
        <v>3345</v>
      </c>
      <c r="EQ26" s="2">
        <v>4275</v>
      </c>
      <c r="ER26" s="2">
        <v>2739</v>
      </c>
      <c r="ES26" s="2">
        <v>3506</v>
      </c>
      <c r="ET26" s="2">
        <v>3802</v>
      </c>
      <c r="EU26" s="2">
        <v>26910</v>
      </c>
      <c r="EW26">
        <v>26910</v>
      </c>
      <c r="EX26" s="2"/>
      <c r="EY26" s="282"/>
      <c r="EZ26" s="282"/>
      <c r="FA26" s="282">
        <v>9121</v>
      </c>
      <c r="FB26" s="282">
        <v>4859</v>
      </c>
      <c r="FC26" s="282">
        <v>10009</v>
      </c>
      <c r="FD26" s="282">
        <v>9640</v>
      </c>
      <c r="FE26" s="282">
        <v>11177</v>
      </c>
      <c r="FF26" s="282">
        <v>8651</v>
      </c>
      <c r="FG26" s="282">
        <v>11110</v>
      </c>
      <c r="FH26" s="282">
        <v>11916</v>
      </c>
      <c r="FI26" s="289">
        <v>28244</v>
      </c>
      <c r="FJ26" s="282"/>
      <c r="FK26" s="282"/>
      <c r="FL26" s="282"/>
      <c r="FM26" s="282"/>
      <c r="FN26" s="341" t="s">
        <v>10</v>
      </c>
      <c r="FO26" s="344">
        <v>4477</v>
      </c>
      <c r="FP26" s="344">
        <v>2143</v>
      </c>
      <c r="FQ26" s="344">
        <v>4461</v>
      </c>
      <c r="FR26" s="344">
        <v>3982</v>
      </c>
      <c r="FS26" s="344">
        <v>5050</v>
      </c>
      <c r="FT26" s="344">
        <v>3201</v>
      </c>
      <c r="FU26" s="344">
        <v>4099</v>
      </c>
      <c r="FV26" s="344">
        <v>4640</v>
      </c>
      <c r="FW26" s="289">
        <v>32053</v>
      </c>
      <c r="FX26" s="341"/>
      <c r="FY26" s="344"/>
      <c r="FZ26" s="282"/>
      <c r="GA26" s="282"/>
      <c r="GB26" s="282"/>
      <c r="GC26" s="2"/>
      <c r="GD26" s="2"/>
      <c r="GE26" s="2"/>
      <c r="GF26" s="2"/>
      <c r="GG26" s="2"/>
      <c r="GH26" s="2"/>
      <c r="GI26" s="2"/>
    </row>
    <row r="27" spans="3:293" x14ac:dyDescent="0.2">
      <c r="C27" s="280" t="s">
        <v>11</v>
      </c>
      <c r="D27" s="282">
        <v>152</v>
      </c>
      <c r="E27" s="282">
        <v>70</v>
      </c>
      <c r="F27" s="282">
        <v>129</v>
      </c>
      <c r="G27" s="282">
        <v>142</v>
      </c>
      <c r="H27" s="282">
        <v>193</v>
      </c>
      <c r="I27" s="282">
        <v>186</v>
      </c>
      <c r="J27" s="282">
        <v>85</v>
      </c>
      <c r="K27" s="282"/>
      <c r="L27" s="282">
        <v>957</v>
      </c>
      <c r="O27" s="280" t="s">
        <v>11</v>
      </c>
      <c r="P27" s="282">
        <v>143</v>
      </c>
      <c r="Q27" s="282">
        <v>72</v>
      </c>
      <c r="R27" s="282">
        <v>140</v>
      </c>
      <c r="S27" s="282">
        <v>117</v>
      </c>
      <c r="T27" s="282">
        <v>188</v>
      </c>
      <c r="U27" s="282">
        <v>235</v>
      </c>
      <c r="V27" s="282">
        <v>69</v>
      </c>
      <c r="W27" s="282"/>
      <c r="X27" s="282">
        <v>964</v>
      </c>
      <c r="AA27" s="273" t="s">
        <v>11</v>
      </c>
      <c r="AB27" s="275">
        <v>230</v>
      </c>
      <c r="AC27" s="275">
        <v>98</v>
      </c>
      <c r="AD27" s="275">
        <v>196</v>
      </c>
      <c r="AE27" s="275">
        <v>175</v>
      </c>
      <c r="AF27" s="275">
        <v>218</v>
      </c>
      <c r="AG27" s="275">
        <v>102</v>
      </c>
      <c r="AH27" s="275">
        <v>76</v>
      </c>
      <c r="AI27" s="275"/>
      <c r="AJ27" s="275">
        <v>1095</v>
      </c>
      <c r="AM27" t="s">
        <v>11</v>
      </c>
      <c r="AN27" s="2">
        <v>228</v>
      </c>
      <c r="AO27" s="2">
        <v>105</v>
      </c>
      <c r="AP27" s="2">
        <v>216</v>
      </c>
      <c r="AQ27" s="2">
        <v>177</v>
      </c>
      <c r="AR27" s="2">
        <v>250</v>
      </c>
      <c r="AS27" s="2">
        <v>106</v>
      </c>
      <c r="AT27" s="2">
        <v>62</v>
      </c>
      <c r="AU27" s="2"/>
      <c r="AV27" s="2">
        <v>1144</v>
      </c>
      <c r="AY27" t="s">
        <v>11</v>
      </c>
      <c r="AZ27" s="2">
        <v>223</v>
      </c>
      <c r="BA27" s="2">
        <v>80</v>
      </c>
      <c r="BB27" s="2">
        <v>210</v>
      </c>
      <c r="BC27" s="2">
        <v>211</v>
      </c>
      <c r="BD27" s="2">
        <v>278</v>
      </c>
      <c r="BE27" s="2">
        <v>130</v>
      </c>
      <c r="BF27" s="2">
        <v>173</v>
      </c>
      <c r="BG27" s="2"/>
      <c r="BH27" s="2">
        <v>1305</v>
      </c>
      <c r="BK27" t="s">
        <v>11</v>
      </c>
      <c r="BL27" s="2">
        <v>244</v>
      </c>
      <c r="BM27" s="2">
        <v>120</v>
      </c>
      <c r="BN27" s="2">
        <v>206</v>
      </c>
      <c r="BO27" s="2">
        <v>204</v>
      </c>
      <c r="BP27" s="2">
        <v>278</v>
      </c>
      <c r="BQ27" s="2">
        <v>133</v>
      </c>
      <c r="BR27" s="2">
        <v>138</v>
      </c>
      <c r="BS27" s="2"/>
      <c r="BT27" s="2">
        <v>1323</v>
      </c>
      <c r="BW27" t="s">
        <v>11</v>
      </c>
      <c r="BX27" s="2">
        <v>25</v>
      </c>
      <c r="BY27" s="2">
        <v>6</v>
      </c>
      <c r="BZ27" s="2">
        <v>8</v>
      </c>
      <c r="CA27" s="2">
        <v>14</v>
      </c>
      <c r="CB27" s="2">
        <v>33</v>
      </c>
      <c r="CC27" s="2">
        <v>32</v>
      </c>
      <c r="CD27" s="2">
        <v>97</v>
      </c>
      <c r="CE27" s="2"/>
      <c r="CF27" s="2">
        <v>215</v>
      </c>
      <c r="CG27" s="282"/>
      <c r="CI27" t="s">
        <v>11</v>
      </c>
      <c r="CJ27" s="2">
        <v>314</v>
      </c>
      <c r="CK27" s="2">
        <v>124</v>
      </c>
      <c r="CL27" s="2">
        <v>127</v>
      </c>
      <c r="CM27" s="2">
        <v>207</v>
      </c>
      <c r="CN27" s="2">
        <v>474</v>
      </c>
      <c r="CO27" s="2">
        <v>504</v>
      </c>
      <c r="CP27" s="2">
        <v>430</v>
      </c>
      <c r="CQ27" s="2"/>
      <c r="CR27" s="2">
        <v>2180</v>
      </c>
      <c r="CT27" t="s">
        <v>11</v>
      </c>
      <c r="CU27" s="2">
        <v>299</v>
      </c>
      <c r="CV27" s="2">
        <v>103</v>
      </c>
      <c r="CW27" s="2">
        <v>138</v>
      </c>
      <c r="CX27" s="2">
        <v>187</v>
      </c>
      <c r="CY27" s="2">
        <v>503</v>
      </c>
      <c r="CZ27" s="2">
        <v>547</v>
      </c>
      <c r="DA27" s="2">
        <v>493</v>
      </c>
      <c r="DB27" s="2">
        <v>82</v>
      </c>
      <c r="DC27" s="2">
        <v>2352</v>
      </c>
      <c r="DE27" t="s">
        <v>11</v>
      </c>
      <c r="DF27" s="2">
        <v>396</v>
      </c>
      <c r="DG27" s="2">
        <v>132</v>
      </c>
      <c r="DH27" s="2">
        <v>152</v>
      </c>
      <c r="DI27" s="2">
        <v>190</v>
      </c>
      <c r="DJ27" s="2">
        <v>492</v>
      </c>
      <c r="DK27" s="2">
        <v>531</v>
      </c>
      <c r="DL27" s="2">
        <v>472</v>
      </c>
      <c r="DM27" s="2">
        <v>173</v>
      </c>
      <c r="DN27" s="2">
        <v>2538</v>
      </c>
      <c r="DP27" t="s">
        <v>11</v>
      </c>
      <c r="DQ27" s="2">
        <v>295</v>
      </c>
      <c r="DR27" s="2">
        <v>95</v>
      </c>
      <c r="DS27" s="2">
        <v>109</v>
      </c>
      <c r="DT27" s="2">
        <v>142</v>
      </c>
      <c r="DU27" s="2">
        <v>403</v>
      </c>
      <c r="DV27" s="2">
        <v>453</v>
      </c>
      <c r="DW27" s="2">
        <v>357</v>
      </c>
      <c r="DX27" s="2">
        <v>233</v>
      </c>
      <c r="DY27" s="2">
        <v>2087</v>
      </c>
      <c r="EA27" t="s">
        <v>11</v>
      </c>
      <c r="EB27" s="2">
        <v>271</v>
      </c>
      <c r="EC27" s="2">
        <v>79</v>
      </c>
      <c r="ED27" s="2">
        <v>93</v>
      </c>
      <c r="EE27" s="2">
        <v>112</v>
      </c>
      <c r="EF27" s="2">
        <v>353</v>
      </c>
      <c r="EG27" s="2">
        <v>372</v>
      </c>
      <c r="EH27" s="2">
        <v>290</v>
      </c>
      <c r="EI27" s="2">
        <v>288</v>
      </c>
      <c r="EJ27" s="2">
        <v>1858</v>
      </c>
      <c r="EL27" t="s">
        <v>11</v>
      </c>
      <c r="EM27" s="2">
        <v>358</v>
      </c>
      <c r="EN27" s="2">
        <v>108</v>
      </c>
      <c r="EO27" s="2">
        <v>128</v>
      </c>
      <c r="EP27" s="2">
        <v>156</v>
      </c>
      <c r="EQ27" s="2">
        <v>393</v>
      </c>
      <c r="ER27" s="2">
        <v>431</v>
      </c>
      <c r="ES27" s="2">
        <v>343</v>
      </c>
      <c r="ET27" s="2">
        <v>440</v>
      </c>
      <c r="EU27" s="2">
        <v>2357</v>
      </c>
      <c r="EW27">
        <v>2357</v>
      </c>
      <c r="EX27" s="2"/>
      <c r="EY27" s="282"/>
      <c r="EZ27" s="282"/>
      <c r="FA27" s="282">
        <v>558</v>
      </c>
      <c r="FB27" s="282">
        <v>250</v>
      </c>
      <c r="FC27" s="282">
        <v>353</v>
      </c>
      <c r="FD27" s="282">
        <v>602</v>
      </c>
      <c r="FE27" s="282">
        <v>1510</v>
      </c>
      <c r="FF27" s="282">
        <v>1634</v>
      </c>
      <c r="FG27" s="282">
        <v>1040</v>
      </c>
      <c r="FH27" s="282">
        <v>1409</v>
      </c>
      <c r="FI27" s="289">
        <v>2612</v>
      </c>
      <c r="FJ27" s="282"/>
      <c r="FK27" s="282"/>
      <c r="FL27" s="282"/>
      <c r="FM27" s="282"/>
      <c r="FN27" s="341" t="s">
        <v>11</v>
      </c>
      <c r="FO27" s="344">
        <v>530</v>
      </c>
      <c r="FP27" s="344">
        <v>180</v>
      </c>
      <c r="FQ27" s="344">
        <v>260</v>
      </c>
      <c r="FR27" s="344">
        <v>262</v>
      </c>
      <c r="FS27" s="344">
        <v>604</v>
      </c>
      <c r="FT27" s="344">
        <v>615</v>
      </c>
      <c r="FU27" s="344">
        <v>476</v>
      </c>
      <c r="FV27" s="344">
        <v>629</v>
      </c>
      <c r="FW27" s="289">
        <v>3556</v>
      </c>
      <c r="FX27" s="341"/>
      <c r="FY27" s="344"/>
      <c r="FZ27" s="282"/>
      <c r="GA27" s="282"/>
      <c r="GB27" s="282"/>
      <c r="GC27" s="2"/>
      <c r="GD27" s="2"/>
      <c r="GE27" s="2"/>
      <c r="GF27" s="2"/>
      <c r="GG27" s="2"/>
      <c r="GH27" s="2"/>
      <c r="GI27" s="2"/>
    </row>
    <row r="28" spans="3:293" x14ac:dyDescent="0.2">
      <c r="C28" s="280" t="s">
        <v>12</v>
      </c>
      <c r="D28" s="282">
        <v>922</v>
      </c>
      <c r="E28" s="282">
        <v>414</v>
      </c>
      <c r="F28" s="282">
        <v>725</v>
      </c>
      <c r="G28" s="282">
        <v>745</v>
      </c>
      <c r="H28" s="282">
        <v>956</v>
      </c>
      <c r="I28" s="282">
        <v>1117</v>
      </c>
      <c r="J28" s="282">
        <v>408</v>
      </c>
      <c r="K28" s="282"/>
      <c r="L28" s="282">
        <v>5287</v>
      </c>
      <c r="O28" s="280" t="s">
        <v>12</v>
      </c>
      <c r="P28" s="282">
        <v>750</v>
      </c>
      <c r="Q28" s="282">
        <v>329</v>
      </c>
      <c r="R28" s="282">
        <v>600</v>
      </c>
      <c r="S28" s="282">
        <v>606</v>
      </c>
      <c r="T28" s="282">
        <v>738</v>
      </c>
      <c r="U28" s="282">
        <v>1041</v>
      </c>
      <c r="V28" s="282">
        <v>405</v>
      </c>
      <c r="W28" s="282"/>
      <c r="X28" s="282">
        <v>4469</v>
      </c>
      <c r="AA28" s="273" t="s">
        <v>12</v>
      </c>
      <c r="AB28" s="275">
        <v>1116</v>
      </c>
      <c r="AC28" s="275">
        <v>559</v>
      </c>
      <c r="AD28" s="275">
        <v>1085</v>
      </c>
      <c r="AE28" s="275">
        <v>1005</v>
      </c>
      <c r="AF28" s="275">
        <v>1233</v>
      </c>
      <c r="AG28" s="275">
        <v>486</v>
      </c>
      <c r="AH28" s="275">
        <v>347</v>
      </c>
      <c r="AI28" s="275"/>
      <c r="AJ28" s="275">
        <v>5831</v>
      </c>
      <c r="AM28" t="s">
        <v>12</v>
      </c>
      <c r="AN28" s="2">
        <v>1008</v>
      </c>
      <c r="AO28" s="2">
        <v>491</v>
      </c>
      <c r="AP28" s="2">
        <v>923</v>
      </c>
      <c r="AQ28" s="2">
        <v>906</v>
      </c>
      <c r="AR28" s="2">
        <v>1086</v>
      </c>
      <c r="AS28" s="2">
        <v>402</v>
      </c>
      <c r="AT28" s="2">
        <v>242</v>
      </c>
      <c r="AU28" s="2"/>
      <c r="AV28" s="2">
        <v>5058</v>
      </c>
      <c r="AY28" t="s">
        <v>12</v>
      </c>
      <c r="AZ28" s="2">
        <v>1139</v>
      </c>
      <c r="BA28" s="2">
        <v>549</v>
      </c>
      <c r="BB28" s="2">
        <v>921</v>
      </c>
      <c r="BC28" s="2">
        <v>957</v>
      </c>
      <c r="BD28" s="2">
        <v>1291</v>
      </c>
      <c r="BE28" s="2">
        <v>708</v>
      </c>
      <c r="BF28" s="2">
        <v>891</v>
      </c>
      <c r="BG28" s="2"/>
      <c r="BH28" s="2">
        <v>6456</v>
      </c>
      <c r="BK28" t="s">
        <v>12</v>
      </c>
      <c r="BL28" s="2">
        <v>1131</v>
      </c>
      <c r="BM28" s="2">
        <v>578</v>
      </c>
      <c r="BN28" s="2">
        <v>949</v>
      </c>
      <c r="BO28" s="2">
        <v>989</v>
      </c>
      <c r="BP28" s="2">
        <v>1292</v>
      </c>
      <c r="BQ28" s="2">
        <v>579</v>
      </c>
      <c r="BR28" s="2">
        <v>545</v>
      </c>
      <c r="BS28" s="2"/>
      <c r="BT28" s="2">
        <v>6063</v>
      </c>
      <c r="BW28" t="s">
        <v>12</v>
      </c>
      <c r="BX28" s="2">
        <v>94</v>
      </c>
      <c r="BY28" s="2">
        <v>27</v>
      </c>
      <c r="BZ28" s="2">
        <v>25</v>
      </c>
      <c r="CA28" s="2">
        <v>52</v>
      </c>
      <c r="CB28" s="2">
        <v>114</v>
      </c>
      <c r="CC28" s="2">
        <v>65</v>
      </c>
      <c r="CD28" s="2">
        <v>112</v>
      </c>
      <c r="CE28" s="2"/>
      <c r="CF28" s="2">
        <v>489</v>
      </c>
      <c r="CG28" s="282"/>
      <c r="CI28" t="s">
        <v>12</v>
      </c>
      <c r="CJ28" s="2">
        <v>1243</v>
      </c>
      <c r="CK28" s="2">
        <v>335</v>
      </c>
      <c r="CL28" s="2">
        <v>452</v>
      </c>
      <c r="CM28" s="2">
        <v>895</v>
      </c>
      <c r="CN28" s="2">
        <v>1469</v>
      </c>
      <c r="CO28" s="2">
        <v>1207</v>
      </c>
      <c r="CP28" s="2">
        <v>481</v>
      </c>
      <c r="CQ28" s="2"/>
      <c r="CR28" s="2">
        <v>6082</v>
      </c>
      <c r="CT28" t="s">
        <v>12</v>
      </c>
      <c r="CU28" s="2">
        <v>1384</v>
      </c>
      <c r="CV28" s="2">
        <v>388</v>
      </c>
      <c r="CW28" s="2">
        <v>492</v>
      </c>
      <c r="CX28" s="2">
        <v>1033</v>
      </c>
      <c r="CY28" s="2">
        <v>1723</v>
      </c>
      <c r="CZ28" s="2">
        <v>1321</v>
      </c>
      <c r="DA28" s="2">
        <v>598</v>
      </c>
      <c r="DB28" s="2">
        <v>61</v>
      </c>
      <c r="DC28" s="2">
        <v>7000</v>
      </c>
      <c r="DE28" t="s">
        <v>12</v>
      </c>
      <c r="DF28" s="2">
        <v>1719</v>
      </c>
      <c r="DG28" s="2">
        <v>507</v>
      </c>
      <c r="DH28" s="2">
        <v>667</v>
      </c>
      <c r="DI28" s="2">
        <v>1269</v>
      </c>
      <c r="DJ28" s="2">
        <v>2124</v>
      </c>
      <c r="DK28" s="2">
        <v>1577</v>
      </c>
      <c r="DL28" s="2">
        <v>942</v>
      </c>
      <c r="DM28" s="2">
        <v>290</v>
      </c>
      <c r="DN28" s="2">
        <v>9095</v>
      </c>
      <c r="DP28" t="s">
        <v>12</v>
      </c>
      <c r="DQ28" s="2">
        <v>1592</v>
      </c>
      <c r="DR28" s="2">
        <v>403</v>
      </c>
      <c r="DS28" s="2">
        <v>527</v>
      </c>
      <c r="DT28" s="2">
        <v>1080</v>
      </c>
      <c r="DU28" s="2">
        <v>2265</v>
      </c>
      <c r="DV28" s="2">
        <v>1530</v>
      </c>
      <c r="DW28" s="2">
        <v>806</v>
      </c>
      <c r="DX28" s="2">
        <v>448</v>
      </c>
      <c r="DY28" s="2">
        <v>8651</v>
      </c>
      <c r="EA28" t="s">
        <v>12</v>
      </c>
      <c r="EB28" s="2">
        <v>1446</v>
      </c>
      <c r="EC28" s="2">
        <v>360</v>
      </c>
      <c r="ED28" s="2">
        <v>461</v>
      </c>
      <c r="EE28" s="2">
        <v>1017</v>
      </c>
      <c r="EF28" s="2">
        <v>2059</v>
      </c>
      <c r="EG28" s="2">
        <v>1410</v>
      </c>
      <c r="EH28" s="2">
        <v>797</v>
      </c>
      <c r="EI28" s="2">
        <v>572</v>
      </c>
      <c r="EJ28" s="2">
        <v>8122</v>
      </c>
      <c r="EL28" t="s">
        <v>12</v>
      </c>
      <c r="EM28" s="2">
        <v>1655</v>
      </c>
      <c r="EN28" s="2">
        <v>419</v>
      </c>
      <c r="EO28" s="2">
        <v>560</v>
      </c>
      <c r="EP28" s="2">
        <v>1138</v>
      </c>
      <c r="EQ28" s="2">
        <v>2286</v>
      </c>
      <c r="ER28" s="2">
        <v>1611</v>
      </c>
      <c r="ES28" s="2">
        <v>859</v>
      </c>
      <c r="ET28" s="2">
        <v>832</v>
      </c>
      <c r="EU28" s="2">
        <v>9360</v>
      </c>
      <c r="EW28">
        <v>9360</v>
      </c>
      <c r="EX28" s="2"/>
      <c r="EY28" s="282"/>
      <c r="EZ28" s="282"/>
      <c r="FA28" s="282">
        <v>4253</v>
      </c>
      <c r="FB28" s="282">
        <v>1226</v>
      </c>
      <c r="FC28" s="282">
        <v>1913</v>
      </c>
      <c r="FD28" s="282">
        <v>3981</v>
      </c>
      <c r="FE28" s="282">
        <v>6891</v>
      </c>
      <c r="FF28" s="282">
        <v>5381</v>
      </c>
      <c r="FG28" s="282">
        <v>3060</v>
      </c>
      <c r="FH28" s="282">
        <v>2742</v>
      </c>
      <c r="FI28" s="289">
        <v>11971</v>
      </c>
      <c r="FJ28" s="282"/>
      <c r="FK28" s="282"/>
      <c r="FL28" s="282"/>
      <c r="FM28" s="282"/>
      <c r="FN28" s="341" t="s">
        <v>12</v>
      </c>
      <c r="FO28" s="344">
        <v>2503</v>
      </c>
      <c r="FP28" s="344">
        <v>691</v>
      </c>
      <c r="FQ28" s="344">
        <v>1019</v>
      </c>
      <c r="FR28" s="344">
        <v>1865</v>
      </c>
      <c r="FS28" s="344">
        <v>3529</v>
      </c>
      <c r="FT28" s="344">
        <v>2492</v>
      </c>
      <c r="FU28" s="344">
        <v>1378</v>
      </c>
      <c r="FV28" s="344">
        <v>1339</v>
      </c>
      <c r="FW28" s="289">
        <v>14816</v>
      </c>
      <c r="FX28" s="341"/>
      <c r="FY28" s="344"/>
      <c r="FZ28" s="282"/>
      <c r="GA28" s="282"/>
      <c r="GB28" s="282"/>
      <c r="GC28" s="2"/>
      <c r="GD28" s="2"/>
      <c r="GE28" s="2"/>
      <c r="GF28" s="2"/>
      <c r="GG28" s="2"/>
      <c r="GH28" s="2"/>
      <c r="GI28" s="2"/>
      <c r="JT28" t="s">
        <v>266</v>
      </c>
    </row>
    <row r="29" spans="3:293" x14ac:dyDescent="0.2">
      <c r="C29" s="280" t="s">
        <v>13</v>
      </c>
      <c r="D29" s="282">
        <v>210</v>
      </c>
      <c r="E29" s="282">
        <v>120</v>
      </c>
      <c r="F29" s="282">
        <v>173</v>
      </c>
      <c r="G29" s="282">
        <v>177</v>
      </c>
      <c r="H29" s="282">
        <v>256</v>
      </c>
      <c r="I29" s="282">
        <v>94</v>
      </c>
      <c r="J29" s="282">
        <v>55</v>
      </c>
      <c r="K29" s="282"/>
      <c r="L29" s="282">
        <v>1085</v>
      </c>
      <c r="O29" s="280" t="s">
        <v>13</v>
      </c>
      <c r="P29" s="282">
        <v>299</v>
      </c>
      <c r="Q29" s="282">
        <v>162</v>
      </c>
      <c r="R29" s="282">
        <v>236</v>
      </c>
      <c r="S29" s="282">
        <v>229</v>
      </c>
      <c r="T29" s="282">
        <v>383</v>
      </c>
      <c r="U29" s="282">
        <v>111</v>
      </c>
      <c r="V29" s="282">
        <v>60</v>
      </c>
      <c r="W29" s="282"/>
      <c r="X29" s="282">
        <v>1480</v>
      </c>
      <c r="AA29" s="273" t="s">
        <v>13</v>
      </c>
      <c r="AB29" s="275">
        <v>169</v>
      </c>
      <c r="AC29" s="275">
        <v>65</v>
      </c>
      <c r="AD29" s="275">
        <v>113</v>
      </c>
      <c r="AE29" s="275">
        <v>119</v>
      </c>
      <c r="AF29" s="275">
        <v>200</v>
      </c>
      <c r="AG29" s="275">
        <v>215</v>
      </c>
      <c r="AH29" s="275">
        <v>224</v>
      </c>
      <c r="AI29" s="275"/>
      <c r="AJ29" s="275">
        <v>1105</v>
      </c>
      <c r="AM29" t="s">
        <v>13</v>
      </c>
      <c r="AN29" s="2">
        <v>191</v>
      </c>
      <c r="AO29" s="2">
        <v>80</v>
      </c>
      <c r="AP29" s="2">
        <v>122</v>
      </c>
      <c r="AQ29" s="2">
        <v>155</v>
      </c>
      <c r="AR29" s="2">
        <v>227</v>
      </c>
      <c r="AS29" s="2">
        <v>234</v>
      </c>
      <c r="AT29" s="2">
        <v>247</v>
      </c>
      <c r="AU29" s="2"/>
      <c r="AV29" s="2">
        <v>1256</v>
      </c>
      <c r="AY29" t="s">
        <v>13</v>
      </c>
      <c r="AZ29" s="2">
        <v>169</v>
      </c>
      <c r="BA29" s="2">
        <v>78</v>
      </c>
      <c r="BB29" s="2">
        <v>153</v>
      </c>
      <c r="BC29" s="2">
        <v>126</v>
      </c>
      <c r="BD29" s="2">
        <v>177</v>
      </c>
      <c r="BE29" s="2">
        <v>152</v>
      </c>
      <c r="BF29" s="2">
        <v>83</v>
      </c>
      <c r="BG29" s="2"/>
      <c r="BH29" s="2">
        <v>938</v>
      </c>
      <c r="BK29" t="s">
        <v>13</v>
      </c>
      <c r="BL29" s="2">
        <v>143</v>
      </c>
      <c r="BM29" s="2">
        <v>63</v>
      </c>
      <c r="BN29" s="2">
        <v>111</v>
      </c>
      <c r="BO29" s="2">
        <v>138</v>
      </c>
      <c r="BP29" s="2">
        <v>184</v>
      </c>
      <c r="BQ29" s="2">
        <v>202</v>
      </c>
      <c r="BR29" s="2">
        <v>101</v>
      </c>
      <c r="BS29" s="2"/>
      <c r="BT29" s="2">
        <v>942</v>
      </c>
      <c r="BW29" t="s">
        <v>13</v>
      </c>
      <c r="BX29" s="2">
        <v>11</v>
      </c>
      <c r="BY29" s="2">
        <v>5</v>
      </c>
      <c r="BZ29" s="2">
        <v>42</v>
      </c>
      <c r="CA29" s="2">
        <v>275</v>
      </c>
      <c r="CB29" s="2">
        <v>877</v>
      </c>
      <c r="CC29" s="2">
        <v>517</v>
      </c>
      <c r="CD29" s="2">
        <v>309</v>
      </c>
      <c r="CE29" s="2"/>
      <c r="CF29" s="2">
        <v>2036</v>
      </c>
      <c r="CG29" s="282"/>
      <c r="CI29" t="s">
        <v>13</v>
      </c>
      <c r="CJ29" s="2">
        <v>15</v>
      </c>
      <c r="CK29" s="2">
        <v>7</v>
      </c>
      <c r="CL29" s="2">
        <v>40</v>
      </c>
      <c r="CM29" s="2">
        <v>240</v>
      </c>
      <c r="CN29" s="2">
        <v>819</v>
      </c>
      <c r="CO29" s="2">
        <v>542</v>
      </c>
      <c r="CP29" s="2">
        <v>454</v>
      </c>
      <c r="CQ29" s="2"/>
      <c r="CR29" s="2">
        <v>2119</v>
      </c>
      <c r="CT29" t="s">
        <v>13</v>
      </c>
      <c r="CU29" s="2">
        <v>21</v>
      </c>
      <c r="CV29" s="2">
        <v>11</v>
      </c>
      <c r="CW29" s="2">
        <v>40</v>
      </c>
      <c r="CX29" s="2">
        <v>234</v>
      </c>
      <c r="CY29" s="2">
        <v>780</v>
      </c>
      <c r="CZ29" s="2">
        <v>519</v>
      </c>
      <c r="DA29" s="2">
        <v>535</v>
      </c>
      <c r="DB29" s="2">
        <v>49</v>
      </c>
      <c r="DC29" s="2">
        <v>2189</v>
      </c>
      <c r="DE29" t="s">
        <v>13</v>
      </c>
      <c r="DF29" s="2">
        <v>17</v>
      </c>
      <c r="DG29" s="2">
        <v>7</v>
      </c>
      <c r="DH29" s="2">
        <v>34</v>
      </c>
      <c r="DI29" s="2">
        <v>218</v>
      </c>
      <c r="DJ29" s="2">
        <v>747</v>
      </c>
      <c r="DK29" s="2">
        <v>491</v>
      </c>
      <c r="DL29" s="2">
        <v>529</v>
      </c>
      <c r="DM29" s="2">
        <v>117</v>
      </c>
      <c r="DN29" s="2">
        <v>2160</v>
      </c>
      <c r="DP29" t="s">
        <v>13</v>
      </c>
      <c r="DQ29" s="2">
        <v>16</v>
      </c>
      <c r="DR29" s="2">
        <v>9</v>
      </c>
      <c r="DS29" s="2">
        <v>19</v>
      </c>
      <c r="DT29" s="2">
        <v>144</v>
      </c>
      <c r="DU29" s="2">
        <v>546</v>
      </c>
      <c r="DV29" s="2">
        <v>402</v>
      </c>
      <c r="DW29" s="2">
        <v>478</v>
      </c>
      <c r="DX29" s="2">
        <v>304</v>
      </c>
      <c r="DY29" s="2">
        <v>1918</v>
      </c>
      <c r="EA29" t="s">
        <v>13</v>
      </c>
      <c r="EB29" s="2">
        <v>18</v>
      </c>
      <c r="EC29" s="2">
        <v>7</v>
      </c>
      <c r="ED29" s="2">
        <v>13</v>
      </c>
      <c r="EE29" s="2">
        <v>115</v>
      </c>
      <c r="EF29" s="2">
        <v>482</v>
      </c>
      <c r="EG29" s="2">
        <v>395</v>
      </c>
      <c r="EH29" s="2">
        <v>480</v>
      </c>
      <c r="EI29" s="2">
        <v>288</v>
      </c>
      <c r="EJ29" s="2">
        <v>1798</v>
      </c>
      <c r="EL29" t="s">
        <v>13</v>
      </c>
      <c r="EM29" s="2">
        <v>17</v>
      </c>
      <c r="EN29" s="2">
        <v>13</v>
      </c>
      <c r="EO29" s="2">
        <v>18</v>
      </c>
      <c r="EP29" s="2">
        <v>127</v>
      </c>
      <c r="EQ29" s="2">
        <v>483</v>
      </c>
      <c r="ER29" s="2">
        <v>399</v>
      </c>
      <c r="ES29" s="2">
        <v>498</v>
      </c>
      <c r="ET29" s="2">
        <v>324</v>
      </c>
      <c r="EU29" s="2">
        <v>1879</v>
      </c>
      <c r="EW29">
        <v>1879</v>
      </c>
      <c r="FA29" s="282">
        <v>34</v>
      </c>
      <c r="FB29" s="282">
        <v>20</v>
      </c>
      <c r="FC29" s="282">
        <v>49</v>
      </c>
      <c r="FD29" s="282">
        <v>341</v>
      </c>
      <c r="FE29" s="282">
        <v>1146</v>
      </c>
      <c r="FF29" s="282">
        <v>892</v>
      </c>
      <c r="FG29" s="282">
        <v>1039</v>
      </c>
      <c r="FH29" s="282">
        <v>592</v>
      </c>
      <c r="FI29" s="289">
        <v>2077</v>
      </c>
      <c r="FN29" s="341" t="s">
        <v>13</v>
      </c>
      <c r="FO29" s="344">
        <v>12</v>
      </c>
      <c r="FP29" s="344">
        <v>11</v>
      </c>
      <c r="FQ29" s="344">
        <v>22</v>
      </c>
      <c r="FR29" s="344">
        <v>137</v>
      </c>
      <c r="FS29" s="344">
        <v>543</v>
      </c>
      <c r="FT29" s="344">
        <v>457</v>
      </c>
      <c r="FU29" s="344">
        <v>586</v>
      </c>
      <c r="FV29" s="344">
        <v>369</v>
      </c>
      <c r="FW29" s="289">
        <v>2137</v>
      </c>
      <c r="FX29" s="341"/>
      <c r="FY29" s="344"/>
      <c r="JT29" s="280" t="s">
        <v>488</v>
      </c>
      <c r="JU29" s="269" t="s">
        <v>0</v>
      </c>
      <c r="JV29" s="269" t="s">
        <v>1</v>
      </c>
      <c r="JW29" s="269" t="s">
        <v>2</v>
      </c>
      <c r="JX29" s="269" t="s">
        <v>3</v>
      </c>
      <c r="JY29" s="269" t="s">
        <v>4</v>
      </c>
      <c r="JZ29" s="269" t="s">
        <v>5</v>
      </c>
      <c r="KA29" s="269" t="s">
        <v>6</v>
      </c>
      <c r="KB29" s="493"/>
    </row>
    <row r="30" spans="3:293" x14ac:dyDescent="0.2">
      <c r="C30" s="280" t="s">
        <v>14</v>
      </c>
      <c r="D30" s="282">
        <v>4365</v>
      </c>
      <c r="E30" s="282">
        <v>2005</v>
      </c>
      <c r="F30" s="282">
        <v>3653</v>
      </c>
      <c r="G30" s="282">
        <v>3715</v>
      </c>
      <c r="H30" s="282">
        <v>4823</v>
      </c>
      <c r="I30" s="282">
        <v>3105</v>
      </c>
      <c r="J30" s="282">
        <v>1201</v>
      </c>
      <c r="K30" s="282"/>
      <c r="L30" s="282">
        <v>22867</v>
      </c>
      <c r="O30" s="280" t="s">
        <v>14</v>
      </c>
      <c r="P30" s="282">
        <v>4383</v>
      </c>
      <c r="Q30" s="282">
        <v>1988</v>
      </c>
      <c r="R30" s="282">
        <v>3606</v>
      </c>
      <c r="S30" s="282">
        <v>3659</v>
      </c>
      <c r="T30" s="282">
        <v>4774</v>
      </c>
      <c r="U30" s="282">
        <v>3193</v>
      </c>
      <c r="V30" s="282">
        <v>1233</v>
      </c>
      <c r="W30" s="282"/>
      <c r="X30" s="282">
        <v>22836</v>
      </c>
      <c r="Y30" s="282">
        <f>SUM(X26:X29)</f>
        <v>20570</v>
      </c>
      <c r="AA30" s="273" t="s">
        <v>14</v>
      </c>
      <c r="AB30" s="275">
        <v>4661</v>
      </c>
      <c r="AC30" s="275">
        <v>2124</v>
      </c>
      <c r="AD30" s="275">
        <v>3856</v>
      </c>
      <c r="AE30" s="275">
        <v>3881</v>
      </c>
      <c r="AF30" s="275">
        <v>5293</v>
      </c>
      <c r="AG30" s="275">
        <v>3248</v>
      </c>
      <c r="AH30" s="275">
        <v>2779</v>
      </c>
      <c r="AI30" s="275"/>
      <c r="AJ30" s="275">
        <v>25842</v>
      </c>
      <c r="AM30" t="s">
        <v>14</v>
      </c>
      <c r="AN30" s="2">
        <v>4682</v>
      </c>
      <c r="AO30" s="2">
        <v>2131</v>
      </c>
      <c r="AP30" s="2">
        <v>3831</v>
      </c>
      <c r="AQ30" s="2">
        <v>3887</v>
      </c>
      <c r="AR30" s="2">
        <v>5228</v>
      </c>
      <c r="AS30" s="2">
        <v>3220</v>
      </c>
      <c r="AT30" s="2">
        <v>2774</v>
      </c>
      <c r="AU30" s="2"/>
      <c r="AV30" s="2">
        <v>25753</v>
      </c>
      <c r="AY30" t="s">
        <v>14</v>
      </c>
      <c r="AZ30" s="2">
        <v>4632</v>
      </c>
      <c r="BA30" s="2">
        <v>2115</v>
      </c>
      <c r="BB30" s="2">
        <v>3796</v>
      </c>
      <c r="BC30" s="2">
        <v>3873</v>
      </c>
      <c r="BD30" s="2">
        <v>5231</v>
      </c>
      <c r="BE30" s="2">
        <v>3304</v>
      </c>
      <c r="BF30" s="2">
        <v>2830</v>
      </c>
      <c r="BG30" s="2"/>
      <c r="BH30" s="2">
        <v>25781</v>
      </c>
      <c r="BK30" t="s">
        <v>14</v>
      </c>
      <c r="BL30" s="2">
        <v>4685</v>
      </c>
      <c r="BM30" s="2">
        <v>2135</v>
      </c>
      <c r="BN30" s="2">
        <v>3804</v>
      </c>
      <c r="BO30" s="2">
        <v>3894</v>
      </c>
      <c r="BP30" s="2">
        <v>5305</v>
      </c>
      <c r="BQ30" s="2">
        <v>3297</v>
      </c>
      <c r="BR30" s="2">
        <v>2858</v>
      </c>
      <c r="BS30" s="2"/>
      <c r="BT30" s="2">
        <v>25978</v>
      </c>
      <c r="BU30" s="282">
        <f>SUM(BT26:BT29)</f>
        <v>20883</v>
      </c>
      <c r="BW30" t="s">
        <v>14</v>
      </c>
      <c r="BX30" s="2">
        <v>4554</v>
      </c>
      <c r="BY30" s="2">
        <v>2082</v>
      </c>
      <c r="BZ30" s="2">
        <v>3852</v>
      </c>
      <c r="CA30" s="2">
        <v>3930</v>
      </c>
      <c r="CB30" s="2">
        <v>5201</v>
      </c>
      <c r="CC30" s="2">
        <v>3327</v>
      </c>
      <c r="CD30" s="2">
        <v>2839</v>
      </c>
      <c r="CE30" s="2"/>
      <c r="CF30" s="2">
        <v>25785</v>
      </c>
      <c r="CG30" s="282"/>
      <c r="CH30" s="282">
        <f>SUM(CF26:CF29)</f>
        <v>25784</v>
      </c>
      <c r="CI30" t="s">
        <v>14</v>
      </c>
      <c r="CJ30" s="2">
        <v>6492</v>
      </c>
      <c r="CK30" s="2">
        <v>2757</v>
      </c>
      <c r="CL30" s="2">
        <v>4870</v>
      </c>
      <c r="CM30" s="2">
        <v>5365</v>
      </c>
      <c r="CN30" s="2">
        <v>7383</v>
      </c>
      <c r="CO30" s="2">
        <v>5347</v>
      </c>
      <c r="CP30" s="2">
        <v>5056</v>
      </c>
      <c r="CQ30" s="2"/>
      <c r="CR30" s="2">
        <v>37272</v>
      </c>
      <c r="CS30" s="282">
        <f>SUM(CR26:CR29)</f>
        <v>37269</v>
      </c>
      <c r="CT30" t="s">
        <v>14</v>
      </c>
      <c r="CU30" s="2">
        <v>6260</v>
      </c>
      <c r="CV30" s="2">
        <v>2519</v>
      </c>
      <c r="CW30" s="2">
        <v>4415</v>
      </c>
      <c r="CX30" s="2">
        <v>5109</v>
      </c>
      <c r="CY30" s="2">
        <v>7369</v>
      </c>
      <c r="CZ30" s="2">
        <v>5311</v>
      </c>
      <c r="DA30" s="2">
        <v>5570</v>
      </c>
      <c r="DB30" s="2">
        <v>765</v>
      </c>
      <c r="DC30" s="2">
        <v>37318</v>
      </c>
      <c r="DE30" t="s">
        <v>14</v>
      </c>
      <c r="DF30" s="2">
        <v>6952</v>
      </c>
      <c r="DG30" s="2">
        <v>2851</v>
      </c>
      <c r="DH30" s="2">
        <v>4969</v>
      </c>
      <c r="DI30" s="2">
        <v>5599</v>
      </c>
      <c r="DJ30" s="2">
        <v>7949</v>
      </c>
      <c r="DK30" s="2">
        <v>5706</v>
      </c>
      <c r="DL30" s="2">
        <v>6393</v>
      </c>
      <c r="DM30" s="2">
        <v>2051</v>
      </c>
      <c r="DN30" s="2">
        <v>42470</v>
      </c>
      <c r="DP30" t="s">
        <v>14</v>
      </c>
      <c r="DQ30" s="2">
        <v>6151</v>
      </c>
      <c r="DR30" s="2">
        <v>2419</v>
      </c>
      <c r="DS30" s="2">
        <v>4204</v>
      </c>
      <c r="DT30" s="2">
        <v>4897</v>
      </c>
      <c r="DU30" s="2">
        <v>7836</v>
      </c>
      <c r="DV30" s="2">
        <v>5209</v>
      </c>
      <c r="DW30" s="2">
        <v>5369</v>
      </c>
      <c r="DX30" s="2">
        <v>3195</v>
      </c>
      <c r="DY30" s="2">
        <v>39280</v>
      </c>
      <c r="EA30" t="s">
        <v>14</v>
      </c>
      <c r="EB30" s="2">
        <v>5310</v>
      </c>
      <c r="EC30" s="2">
        <v>2102</v>
      </c>
      <c r="ED30" s="2">
        <v>3672</v>
      </c>
      <c r="EE30" s="2">
        <v>4301</v>
      </c>
      <c r="EF30" s="2">
        <v>6944</v>
      </c>
      <c r="EG30" s="2">
        <v>4648</v>
      </c>
      <c r="EH30" s="2">
        <v>4835</v>
      </c>
      <c r="EI30" s="2">
        <v>3988</v>
      </c>
      <c r="EJ30" s="2">
        <v>35800</v>
      </c>
      <c r="EL30" t="s">
        <v>14</v>
      </c>
      <c r="EM30" s="2">
        <v>5933</v>
      </c>
      <c r="EN30" s="2">
        <v>2346</v>
      </c>
      <c r="EO30" s="2">
        <v>4240</v>
      </c>
      <c r="EP30" s="2">
        <v>4766</v>
      </c>
      <c r="EQ30" s="2">
        <v>7437</v>
      </c>
      <c r="ER30" s="2">
        <v>5180</v>
      </c>
      <c r="ES30" s="2">
        <v>5206</v>
      </c>
      <c r="ET30" s="2">
        <v>5398</v>
      </c>
      <c r="EU30" s="2">
        <v>40506</v>
      </c>
      <c r="EW30">
        <v>40506</v>
      </c>
      <c r="EX30" s="3"/>
      <c r="EY30" s="294"/>
      <c r="EZ30" s="294"/>
      <c r="FA30" s="282">
        <v>13966</v>
      </c>
      <c r="FB30" s="282">
        <v>6355</v>
      </c>
      <c r="FC30" s="282">
        <v>12324</v>
      </c>
      <c r="FD30" s="282">
        <v>14564</v>
      </c>
      <c r="FE30" s="282">
        <v>20724</v>
      </c>
      <c r="FF30" s="282">
        <v>16558</v>
      </c>
      <c r="FG30" s="282">
        <v>16249</v>
      </c>
      <c r="FH30" s="282">
        <v>16659</v>
      </c>
      <c r="FI30" s="289">
        <v>44904</v>
      </c>
      <c r="FJ30" s="294"/>
      <c r="FK30" s="294"/>
      <c r="FL30" s="294"/>
      <c r="FM30" s="294"/>
      <c r="FN30" s="341" t="s">
        <v>14</v>
      </c>
      <c r="FO30" s="344">
        <v>7522</v>
      </c>
      <c r="FP30" s="344">
        <v>3025</v>
      </c>
      <c r="FQ30" s="344">
        <v>5762</v>
      </c>
      <c r="FR30" s="344">
        <v>6246</v>
      </c>
      <c r="FS30" s="344">
        <v>9726</v>
      </c>
      <c r="FT30" s="344">
        <v>6765</v>
      </c>
      <c r="FU30" s="344">
        <v>6539</v>
      </c>
      <c r="FV30" s="344">
        <v>6977</v>
      </c>
      <c r="FW30" s="289">
        <v>52562</v>
      </c>
      <c r="FX30" s="341"/>
      <c r="FY30" s="344"/>
      <c r="FZ30" s="294"/>
      <c r="GA30" s="294"/>
      <c r="GB30" s="294"/>
      <c r="JT30">
        <v>1999</v>
      </c>
      <c r="JU30" s="270">
        <f t="shared" ref="JU30:JU36" si="75">IP8</f>
        <v>37.513102551499998</v>
      </c>
      <c r="JV30" s="270">
        <f t="shared" ref="JV30:KA34" si="76">IQ8</f>
        <v>16.261309679299998</v>
      </c>
      <c r="JW30" s="270">
        <f t="shared" si="76"/>
        <v>102.40729552607998</v>
      </c>
      <c r="JX30" s="270">
        <f t="shared" si="76"/>
        <v>601.58513447374332</v>
      </c>
      <c r="JY30" s="270">
        <f t="shared" si="76"/>
        <v>2103.5987465911835</v>
      </c>
      <c r="JZ30" s="270">
        <f t="shared" si="76"/>
        <v>1517.6772156534907</v>
      </c>
      <c r="KA30" s="270">
        <f t="shared" si="76"/>
        <v>2400.3862144058899</v>
      </c>
      <c r="KB30" s="270"/>
      <c r="KC30" s="2">
        <f>SUM(JU30:KA30)</f>
        <v>6779.4290188811865</v>
      </c>
      <c r="KD30" s="2">
        <f t="shared" ref="KD30:KD35" si="77">SUM(JU30:KA30)</f>
        <v>6779.4290188811865</v>
      </c>
    </row>
    <row r="31" spans="3:293" x14ac:dyDescent="0.2">
      <c r="DQ31" t="s">
        <v>26</v>
      </c>
      <c r="DR31" t="s">
        <v>26</v>
      </c>
      <c r="DS31" t="s">
        <v>26</v>
      </c>
      <c r="DT31" t="s">
        <v>26</v>
      </c>
      <c r="DU31" t="s">
        <v>26</v>
      </c>
      <c r="EB31" t="s">
        <v>26</v>
      </c>
      <c r="EC31" t="s">
        <v>26</v>
      </c>
      <c r="ED31" t="s">
        <v>26</v>
      </c>
      <c r="EE31" t="s">
        <v>26</v>
      </c>
      <c r="EF31" t="s">
        <v>26</v>
      </c>
      <c r="FN31" s="341"/>
      <c r="FO31" s="341"/>
      <c r="FP31" s="341"/>
      <c r="FQ31" s="341"/>
      <c r="FR31" s="341"/>
      <c r="FS31" s="341"/>
      <c r="FT31" s="341"/>
      <c r="FU31" s="341"/>
      <c r="FV31" s="341"/>
      <c r="FW31" s="341"/>
      <c r="FX31" s="341"/>
      <c r="FY31" s="341"/>
      <c r="JT31">
        <v>2001</v>
      </c>
      <c r="JU31" s="270">
        <f t="shared" si="75"/>
        <v>56.140796059100005</v>
      </c>
      <c r="JV31" s="270">
        <f t="shared" si="76"/>
        <v>23.506495982300002</v>
      </c>
      <c r="JW31" s="270">
        <f t="shared" si="76"/>
        <v>100.69828062954001</v>
      </c>
      <c r="JX31" s="270">
        <f t="shared" si="76"/>
        <v>594.31925623098221</v>
      </c>
      <c r="JY31" s="270">
        <f t="shared" si="76"/>
        <v>2093.3308423382309</v>
      </c>
      <c r="JZ31" s="270">
        <f t="shared" si="76"/>
        <v>1530.4189350944616</v>
      </c>
      <c r="KA31" s="270">
        <f t="shared" si="76"/>
        <v>2439.2343082056095</v>
      </c>
      <c r="KB31" s="270"/>
      <c r="KD31" s="2">
        <f t="shared" si="77"/>
        <v>6837.6489145402238</v>
      </c>
    </row>
    <row r="32" spans="3:293" x14ac:dyDescent="0.2">
      <c r="C32" s="280" t="s">
        <v>17</v>
      </c>
      <c r="E32" s="284">
        <v>161.29284612775888</v>
      </c>
      <c r="G32" s="285"/>
      <c r="H32" s="283"/>
      <c r="I32" s="283"/>
      <c r="O32" s="280" t="s">
        <v>17</v>
      </c>
      <c r="Q32" s="284">
        <v>170.6</v>
      </c>
      <c r="S32" s="285"/>
      <c r="T32" s="283"/>
      <c r="U32" s="283"/>
      <c r="AA32" s="273" t="s">
        <v>17</v>
      </c>
      <c r="AC32" s="277">
        <v>170.6</v>
      </c>
      <c r="AE32" s="278"/>
      <c r="AF32" s="276"/>
      <c r="AG32" s="276"/>
      <c r="AM32" t="s">
        <v>17</v>
      </c>
      <c r="AO32" s="3">
        <v>168.4</v>
      </c>
      <c r="AQ32" s="4"/>
      <c r="AR32" s="5"/>
      <c r="AS32" s="5"/>
      <c r="AY32" t="s">
        <v>17</v>
      </c>
      <c r="BA32" s="3">
        <v>172.74540055426505</v>
      </c>
      <c r="BC32" s="4"/>
      <c r="BD32" s="5"/>
      <c r="BE32" s="5"/>
      <c r="BK32" t="s">
        <v>17</v>
      </c>
      <c r="BM32" s="3">
        <v>178.74564054536899</v>
      </c>
      <c r="BO32" s="4"/>
      <c r="BP32" s="5">
        <v>155.52714796107415</v>
      </c>
      <c r="BQ32" s="5"/>
      <c r="BW32" t="s">
        <v>17</v>
      </c>
      <c r="BY32" s="3">
        <v>155.31503711616642</v>
      </c>
      <c r="CA32" s="4"/>
      <c r="CB32" s="5">
        <v>155.52714796107415</v>
      </c>
      <c r="CC32" s="5"/>
      <c r="CF32" s="2">
        <f>CF18+CF19</f>
        <v>67951.38235187353</v>
      </c>
      <c r="CG32" s="282"/>
      <c r="CI32" t="s">
        <v>17</v>
      </c>
      <c r="CK32" s="3">
        <v>176.19479111567</v>
      </c>
      <c r="CM32" s="4"/>
      <c r="CN32" s="5">
        <v>176.70580014707232</v>
      </c>
      <c r="CO32" s="5"/>
      <c r="CP32">
        <v>1.0424106047831494</v>
      </c>
      <c r="CR32" s="2">
        <f>CR18+CR19</f>
        <v>71499.011453219544</v>
      </c>
      <c r="CT32" t="s">
        <v>17</v>
      </c>
      <c r="CV32" s="3">
        <v>183.55256114262977</v>
      </c>
      <c r="CX32" s="4"/>
      <c r="CY32" s="5">
        <v>184.15473261540313</v>
      </c>
      <c r="CZ32" s="5"/>
      <c r="DC32" s="2">
        <f>DC18+DC19</f>
        <v>74433.828759211698</v>
      </c>
      <c r="DE32" t="s">
        <v>17</v>
      </c>
      <c r="DG32" s="3">
        <v>189.09380668502487</v>
      </c>
      <c r="DI32" s="4"/>
      <c r="DJ32" s="5">
        <v>189.61494899288508</v>
      </c>
      <c r="DK32" s="5"/>
      <c r="DN32" s="2">
        <f>DN18+DN19</f>
        <v>74025.57567727234</v>
      </c>
      <c r="DP32" t="s">
        <v>17</v>
      </c>
      <c r="DR32" s="3">
        <v>200.00417938275589</v>
      </c>
      <c r="DT32" s="4"/>
      <c r="DU32" s="5">
        <v>200.34860682003577</v>
      </c>
      <c r="DY32" s="2">
        <f>DY18+DY19</f>
        <v>76147.117574834105</v>
      </c>
      <c r="EA32" t="s">
        <v>17</v>
      </c>
      <c r="EC32" s="3">
        <v>205.02638777257454</v>
      </c>
      <c r="EE32" s="4"/>
      <c r="EF32" s="5">
        <v>200.34860682003577</v>
      </c>
      <c r="EJ32" s="2">
        <f>EJ18+EJ19</f>
        <v>77490.956361530247</v>
      </c>
      <c r="EL32" t="s">
        <v>17</v>
      </c>
      <c r="EN32" s="3">
        <v>209.98551896804511</v>
      </c>
      <c r="EP32" s="4"/>
      <c r="EQ32" s="5">
        <v>210.41965426574845</v>
      </c>
      <c r="ER32" s="5"/>
      <c r="EU32" s="2">
        <f>EU18+EU19</f>
        <v>79051.852939674674</v>
      </c>
      <c r="FB32" s="280">
        <v>214.54384075277787</v>
      </c>
      <c r="FD32" s="285"/>
      <c r="FE32" s="283">
        <v>210.41965426574845</v>
      </c>
      <c r="FF32" s="283"/>
      <c r="FI32" s="282">
        <f>FI18+FI19</f>
        <v>80525.757068709005</v>
      </c>
      <c r="FN32" s="341" t="s">
        <v>17</v>
      </c>
      <c r="FO32" s="341"/>
      <c r="FP32" s="346">
        <v>215.0423703206356</v>
      </c>
      <c r="FQ32" s="341"/>
      <c r="FR32" s="348"/>
      <c r="FS32" s="345">
        <v>210.41965426574845</v>
      </c>
      <c r="FT32" s="345"/>
      <c r="FU32" s="341"/>
      <c r="FV32" s="341"/>
      <c r="FW32" s="344">
        <f>FW18+FW19</f>
        <v>80942.183237172911</v>
      </c>
      <c r="FX32" s="341"/>
      <c r="FY32" s="341"/>
      <c r="JT32">
        <v>2003</v>
      </c>
      <c r="JU32" s="270">
        <f t="shared" si="75"/>
        <v>44.116775638500002</v>
      </c>
      <c r="JV32" s="270">
        <f t="shared" si="76"/>
        <v>16.566786128800004</v>
      </c>
      <c r="JW32" s="270">
        <f t="shared" si="76"/>
        <v>78.10466364137001</v>
      </c>
      <c r="JX32" s="270">
        <f t="shared" si="76"/>
        <v>525.5136000788018</v>
      </c>
      <c r="JY32" s="270">
        <f t="shared" si="76"/>
        <v>1901.1703932045291</v>
      </c>
      <c r="JZ32" s="270">
        <f t="shared" si="76"/>
        <v>1462.6714948205849</v>
      </c>
      <c r="KA32" s="270">
        <f t="shared" si="76"/>
        <v>2288.928859969189</v>
      </c>
      <c r="KB32" s="270"/>
      <c r="KC32" t="s">
        <v>30</v>
      </c>
      <c r="KD32" s="2">
        <f t="shared" si="77"/>
        <v>6317.0725734817752</v>
      </c>
    </row>
    <row r="33" spans="3:290" x14ac:dyDescent="0.2">
      <c r="C33" s="280" t="s">
        <v>27</v>
      </c>
      <c r="G33" s="280">
        <f>SUMPRODUCT(D10:G11,D18:G19)/SUM(D18:G19)</f>
        <v>1803.7719093916769</v>
      </c>
      <c r="H33" s="280">
        <f>SUMPRODUCT(D10:H11,D18:H19)/SUM(D18:H19)</f>
        <v>1790.9662837007236</v>
      </c>
      <c r="K33" s="280">
        <f>SUMPRODUCT(D10:K11,D18:K19)/SUM(D18:K19)</f>
        <v>906.53610065333385</v>
      </c>
      <c r="L33" s="280">
        <f>(L10*L18+L11*L19)/(L18+L19)</f>
        <v>1806.3351335765044</v>
      </c>
      <c r="O33" s="280" t="s">
        <v>27</v>
      </c>
      <c r="S33" s="280">
        <f>SUMPRODUCT(P10:S11,P18:S19)/SUM(P18:S19)</f>
        <v>1808.8302715224652</v>
      </c>
      <c r="T33" s="280">
        <f>SUMPRODUCT(P10:T11,P18:T19)/SUM(P18:T19)</f>
        <v>1804.2484703746102</v>
      </c>
      <c r="W33" s="280">
        <f>SUMPRODUCT(P10:W11,P18:W19)/SUM(P18:W19)</f>
        <v>1823.5360524637349</v>
      </c>
      <c r="X33" s="280">
        <f>(X10*X18+X11*X19)/(X18+X19)</f>
        <v>1816.7276548600476</v>
      </c>
      <c r="AA33" s="273" t="s">
        <v>27</v>
      </c>
      <c r="AE33" s="273">
        <f>SUMPRODUCT(AB10:AE11,AB18:AE19)/SUM(AB18:AE19)</f>
        <v>1791.8378968488139</v>
      </c>
      <c r="AF33" s="273">
        <f>SUMPRODUCT(AB10:AF11,AB18:AF19)/SUM(AB18:AF19)</f>
        <v>1784.3438083913709</v>
      </c>
      <c r="AI33" s="273">
        <f>SUMPRODUCT(AB10:AI11,AB18:AI19)/SUM(AB18:AI19)</f>
        <v>1831.0043123412818</v>
      </c>
      <c r="AJ33" s="273">
        <f>(AJ10*AJ18+AJ11*AJ19)/(AJ18+AJ19)</f>
        <v>1830.4298710545052</v>
      </c>
      <c r="AM33" t="s">
        <v>27</v>
      </c>
      <c r="AQ33">
        <f>SUMPRODUCT(AN10:AQ11,AN18:AQ19)/SUM(AN18:AQ19)</f>
        <v>1790.6856254725699</v>
      </c>
      <c r="AR33">
        <f>SUMPRODUCT(AN10:AR11,AN18:AR19)/SUM(AN18:AR19)</f>
        <v>1785.9326072848219</v>
      </c>
      <c r="AU33">
        <f>SUMPRODUCT(AN10:AU11,AN18:AU19)/SUM(AN18:AU19)</f>
        <v>1819.7856168231801</v>
      </c>
      <c r="AV33">
        <f>(AV10*AV18+AV11*AV19)/(AV18+AV19)</f>
        <v>1816.7028988967954</v>
      </c>
      <c r="AY33" t="s">
        <v>27</v>
      </c>
      <c r="BC33">
        <f>SUMPRODUCT(AZ10:BC11,AZ18:BC19)/SUM(AZ18:BC19)</f>
        <v>1806.3709307373774</v>
      </c>
      <c r="BD33">
        <f>SUMPRODUCT(AZ10:BD11,AZ18:BD19)/SUM(AZ18:BD19)</f>
        <v>1805.1941337610549</v>
      </c>
      <c r="BG33">
        <f>SUMPRODUCT(AZ10:BG11,AZ18:BG19)/SUM(AZ18:BG19)</f>
        <v>1837.0820159552984</v>
      </c>
      <c r="BH33">
        <f>(BH10*BH18+BH11*BH19)/(BH18+BH19)</f>
        <v>1826.8775794502085</v>
      </c>
      <c r="BK33" t="s">
        <v>27</v>
      </c>
      <c r="BO33">
        <f>SUMPRODUCT(BL10:BO11,BL18:BO19)/SUM(BL18:BO19)</f>
        <v>1820.5101652751441</v>
      </c>
      <c r="BP33">
        <f>SUMPRODUCT(BL10:BP11,BL18:BP19)/SUM(BL18:BP19)</f>
        <v>1809.3519177169796</v>
      </c>
      <c r="BS33">
        <f>SUMPRODUCT(BL10:BS11,BL18:BS19)/SUM(BL18:BS19)</f>
        <v>1850.7285084965752</v>
      </c>
      <c r="BT33">
        <f>(BT10*BT18+BT11*BT19)/(BT18+BT19)</f>
        <v>1844.150735046717</v>
      </c>
      <c r="BW33" t="s">
        <v>27</v>
      </c>
      <c r="CA33">
        <f>SUMPRODUCT(BX10:CA11,BX18:CA19)/SUM(BX18:CA19)</f>
        <v>1814.8076748072108</v>
      </c>
      <c r="CB33">
        <f>SUMPRODUCT(BX10:CB11,BX18:CB19)/SUM(BX18:CB19)</f>
        <v>1842.0787039822753</v>
      </c>
      <c r="CC33" s="280">
        <f>SUMPRODUCT(BY10:CC11,BY18:CC19)/SUM(BY18:CC19)</f>
        <v>1857.7065819930431</v>
      </c>
      <c r="CE33">
        <f>SUMPRODUCT(BX10:CE11,BX18:CE19)/SUM(BX18:CE19)</f>
        <v>1903.2197683316294</v>
      </c>
      <c r="CF33">
        <f>(CF10*CF18+CF11*CF19)/(CF18+CF19)</f>
        <v>1921.3143841971068</v>
      </c>
      <c r="CM33">
        <f>SUMPRODUCT(CJ10:CM11,CJ18:CM19)/SUM(CJ18:CM19)</f>
        <v>1891.3058715735053</v>
      </c>
      <c r="CN33">
        <f>SUMPRODUCT(CJ10:CN11,CJ18:CN19)/SUM(CJ18:CN19)</f>
        <v>1926.8201883884722</v>
      </c>
      <c r="CO33" s="280">
        <f>SUMPRODUCT(CJ10:CO11,CJ18:CO19)/SUM(CJ18:CO19)</f>
        <v>1958.9685380254332</v>
      </c>
      <c r="CQ33">
        <f>SUMPRODUCT(CJ10:CQ11,CJ18:CQ19)/SUM(CJ18:CQ19)</f>
        <v>2033.5936104091231</v>
      </c>
      <c r="CR33">
        <f>(CR10*CR18+CR11*CR19)/(CR18+CR19)</f>
        <v>2035.1812359418229</v>
      </c>
      <c r="CX33">
        <f>SUMPRODUCT(CU10:CX11,CU18:CX19)/SUM(CU18:CX19)</f>
        <v>1887.2209915937417</v>
      </c>
      <c r="CY33">
        <f>SUMPRODUCT(CU10:CY11,CU18:CY19)/SUM(CU18:CY19)</f>
        <v>1916.6441444300417</v>
      </c>
      <c r="DA33">
        <f>(DA10*DA18+DA11*DA19)/(DA18+DA19)</f>
        <v>2438.0076219015336</v>
      </c>
      <c r="DB33">
        <f>SUMPRODUCT(CU10:DB11,CU18:DB19)/SUM(CU18:DB19)</f>
        <v>2027.4037845229843</v>
      </c>
      <c r="DC33">
        <f>(DC10*DC18+DC11*DC19)/(DC18+DC19)</f>
        <v>2027.4533925593496</v>
      </c>
      <c r="DI33">
        <f>SUMPRODUCT(DF10:DI11,DF18:DI19)/SUM(DF18:DI19)</f>
        <v>1937.2430505530615</v>
      </c>
      <c r="DJ33">
        <f>SUMPRODUCT(DF10:DJ11,DF18:DJ19)/SUM(DF18:DJ19)</f>
        <v>1963.5823265804706</v>
      </c>
      <c r="DM33">
        <f>SUMPRODUCT(DF10:DM11,DF18:DM19)/SUM(DF18:DM19)</f>
        <v>2099.997071605178</v>
      </c>
      <c r="DN33">
        <f>(DN10*DN18+DN11*DN19)/(DN18+DN19)</f>
        <v>2100.7245703310732</v>
      </c>
      <c r="DQ33" t="s">
        <v>26</v>
      </c>
      <c r="DR33" t="s">
        <v>26</v>
      </c>
      <c r="DS33" t="s">
        <v>26</v>
      </c>
      <c r="DT33">
        <f>SUMPRODUCT(DQ10:DT11,DQ18:DT19)/SUM(DQ18:DT19)</f>
        <v>1957.8841866008936</v>
      </c>
      <c r="DU33">
        <f>SUMPRODUCT(DQ10:DU11,DQ18:DU19)/SUM(DQ18:DU19)</f>
        <v>1994.4156904071954</v>
      </c>
      <c r="DX33">
        <f>SUMPRODUCT(DQ10:DX11,DQ18:DX19)/SUM(DQ18:DX19)</f>
        <v>2161.6903570207087</v>
      </c>
      <c r="DY33">
        <f>(DY10*DY18+DY11*DY19)/(DY18+DY19)</f>
        <v>2164.1037414509847</v>
      </c>
      <c r="EE33">
        <f>SUMPRODUCT(EB10:EE11,EB18:EE19)/SUM(EB18:EE19)</f>
        <v>1962.1595098291598</v>
      </c>
      <c r="EF33">
        <f>SUMPRODUCT(EB10:EF11,EB18:EF19)/SUM(EB18:EF19)</f>
        <v>1995.8682819957642</v>
      </c>
      <c r="EI33" s="280">
        <f>SUMPRODUCT(EB10:EI11,EB18:EI19)/SUM(EB18:EI19)</f>
        <v>2177.9290138830947</v>
      </c>
      <c r="EJ33">
        <f>(EJ10*EJ18+EJ11*EJ19)/(EJ18+EJ19)</f>
        <v>2180.0622521425626</v>
      </c>
      <c r="EK33" s="1"/>
      <c r="EP33">
        <f>SUMPRODUCT(EM10:EP11,EM18:EP19)/SUM(EM18:EP19)</f>
        <v>1971.5622824737288</v>
      </c>
      <c r="EQ33">
        <f>SUMPRODUCT(EM10:EQ11,EM18:EQ19)/SUM(EM18:EQ19)</f>
        <v>2012.9181747344328</v>
      </c>
      <c r="ET33" s="280">
        <f>SUMPRODUCT(EM10:ET11,EM18:ET19)/SUM(EM18:ET19)</f>
        <v>2187.8885038575272</v>
      </c>
      <c r="EU33">
        <f>(EU10*EU18+EU11*EU19)/(EU18+EU19)</f>
        <v>2192.3844424420886</v>
      </c>
      <c r="FD33" s="280">
        <f>SUMPRODUCT(FA10:FD11,FA18:FD19)/SUM(FA18:FD19)</f>
        <v>1950.3069618291102</v>
      </c>
      <c r="FE33" s="280">
        <f>SUMPRODUCT(FA10:FE11,FA18:FE19)/SUM(FA18:FE19)</f>
        <v>1991.3611055615909</v>
      </c>
      <c r="FH33" s="280">
        <f>SUMPRODUCT(FA10:FH11,FA18:FH19)/SUM(FA18:FH19)</f>
        <v>2195.4193914649277</v>
      </c>
      <c r="FI33" s="280">
        <f>(FI10*FI18+FI11*FI19)/(FI18+FI19)</f>
        <v>2201.2684808712961</v>
      </c>
      <c r="FN33" s="341"/>
      <c r="FO33" s="341"/>
      <c r="FP33" s="341"/>
      <c r="FQ33" s="341"/>
      <c r="FR33" s="341"/>
      <c r="FS33" s="341"/>
      <c r="FT33" s="341"/>
      <c r="FU33" s="341"/>
      <c r="FV33" s="341" t="s">
        <v>27</v>
      </c>
      <c r="FW33" s="341">
        <f>(FW10*FW18+FW11*FW19)/(FW18+FW19)</f>
        <v>2180.9286441258305</v>
      </c>
      <c r="FX33" s="341"/>
      <c r="FY33" s="341"/>
      <c r="GO33" t="s">
        <v>451</v>
      </c>
      <c r="JT33">
        <v>2005</v>
      </c>
      <c r="JU33" s="270">
        <f t="shared" si="75"/>
        <v>49.866685941200004</v>
      </c>
      <c r="JV33" s="270">
        <f t="shared" si="76"/>
        <v>29.732345946799995</v>
      </c>
      <c r="JW33" s="270">
        <f t="shared" si="76"/>
        <v>48.801005342300009</v>
      </c>
      <c r="JX33" s="270">
        <f t="shared" si="76"/>
        <v>452.54489744626028</v>
      </c>
      <c r="JY33" s="270">
        <f t="shared" si="76"/>
        <v>1650.6140757450169</v>
      </c>
      <c r="JZ33" s="270">
        <f t="shared" si="76"/>
        <v>1495.3884086219016</v>
      </c>
      <c r="KA33" s="270">
        <f t="shared" si="76"/>
        <v>2380.1585521750899</v>
      </c>
      <c r="KB33" s="270"/>
      <c r="KC33" s="2">
        <f t="shared" ref="KC33:KC38" si="78">JK8</f>
        <v>6891.3446811197855</v>
      </c>
      <c r="KD33" s="2">
        <f t="shared" si="77"/>
        <v>6107.1059712185688</v>
      </c>
    </row>
    <row r="34" spans="3:290" x14ac:dyDescent="0.2">
      <c r="G34" s="280">
        <f>SUMPRODUCT(D12:G12,D20:G20)/SUM(D20:G20)</f>
        <v>1829.2692570190302</v>
      </c>
      <c r="H34" s="280">
        <f>SUMPRODUCT(D12:H12,D20:H20)/SUM(D20:H20)</f>
        <v>1823.5268073122647</v>
      </c>
      <c r="L34" s="280">
        <f>(L12*L20)/(L20)</f>
        <v>1885.9579759644362</v>
      </c>
      <c r="S34" s="280">
        <f>SUMPRODUCT(P12:S12,P20:S20)/SUM(P20:S20)</f>
        <v>1794.7390168218194</v>
      </c>
      <c r="T34" s="280">
        <f>SUMPRODUCT(P12:T12,P20:T20)/SUM(P20:T20)</f>
        <v>1796.8220458015267</v>
      </c>
      <c r="X34" s="280">
        <f>(X12*X20)/(X20)</f>
        <v>1892</v>
      </c>
      <c r="AE34" s="273">
        <f>SUMPRODUCT(AB12:AE12,AB20:AE20)/SUM(AB20:AE20)</f>
        <v>1801.3919313731585</v>
      </c>
      <c r="AF34" s="273">
        <f>SUMPRODUCT(AB12:AF12,AB20:AF20)/SUM(AB20:AF20)</f>
        <v>1810.857800725649</v>
      </c>
      <c r="AJ34" s="273">
        <f>(AJ12*AJ20)/(AJ20)</f>
        <v>1834</v>
      </c>
      <c r="AQ34">
        <f>SUMPRODUCT(AN12:AQ12,AN20:AQ20)/SUM(AN20:AQ20)</f>
        <v>1840.0053175044827</v>
      </c>
      <c r="AR34">
        <f>SUMPRODUCT(AN12:AR12,AN20:AR20)/SUM(AN20:AR20)</f>
        <v>1831.2357384494185</v>
      </c>
      <c r="AV34">
        <f>(AV12*AV20)/(AV20)</f>
        <v>1826</v>
      </c>
      <c r="BC34">
        <f>SUMPRODUCT(AZ12:BC12,AZ20:BC20)/SUM(AZ20:BC20)</f>
        <v>1822.3317044780479</v>
      </c>
      <c r="BD34">
        <f>SUMPRODUCT(AZ12:BD12,AZ20:BD20)/SUM(AZ20:BD20)</f>
        <v>1804.4685650011415</v>
      </c>
      <c r="BH34">
        <f>(BH12*BH20)/(BH20)</f>
        <v>1839.8725566735736</v>
      </c>
      <c r="BO34">
        <f>SUMPRODUCT(BL12:BO12,BL20:BO20)/SUM(BL20:BO20)</f>
        <v>1822.3374998837394</v>
      </c>
      <c r="BP34">
        <f>SUMPRODUCT(BL12:BP12,BL20:BP20)/SUM(BL20:BP20)</f>
        <v>1806.3833080867735</v>
      </c>
      <c r="BT34">
        <f>(BT12*BT20)/(BT20)</f>
        <v>1826.3057519037382</v>
      </c>
      <c r="CA34">
        <f>SUMPRODUCT(BX12:CA12,BX20:CA20)/SUM(BX20:CA20)</f>
        <v>682.89920001470682</v>
      </c>
      <c r="CB34">
        <f>SUMPRODUCT(BX12:CB12,BX20:CB20)/SUM(BX20:CB20)</f>
        <v>688.30537298899219</v>
      </c>
      <c r="CC34" s="280">
        <f>SUMPRODUCT(BY12:CC12,BY20:CC20)/SUM(BY20:CC20)</f>
        <v>741.30003101541445</v>
      </c>
      <c r="CF34">
        <f>(CF12*CF20)/(CF20)</f>
        <v>809.06447582775183</v>
      </c>
      <c r="CM34">
        <f>SUMPRODUCT(CJ12:CM12,CJ20:CM20)/SUM(CJ20:CM20)</f>
        <v>929.3339158096976</v>
      </c>
      <c r="CN34">
        <f>SUMPRODUCT(CJ12:CN12,CJ20:CN20)/SUM(CJ20:CN20)</f>
        <v>925.43680923453223</v>
      </c>
      <c r="CO34" s="280">
        <f>SUMPRODUCT(CJ12:CO12,CJ20:CO20)/SUM(CJ20:CO20)</f>
        <v>928.93706632058286</v>
      </c>
      <c r="CR34">
        <f>(CR12*CR20)/(CR20)</f>
        <v>939.00179310083502</v>
      </c>
      <c r="CX34">
        <f>SUMPRODUCT(CU12:CX12,CU20:CX20)/SUM(CU20:CX20)</f>
        <v>947.19542938637755</v>
      </c>
      <c r="CY34">
        <f>SUMPRODUCT(CU12:CY12,CU20:CY20)/SUM(CU20:CY20)</f>
        <v>949.67738040748804</v>
      </c>
      <c r="DC34">
        <f>(DC12*DC20)/(DC20)</f>
        <v>966.64024447608347</v>
      </c>
      <c r="DI34">
        <f>SUMPRODUCT(DF12:DI12,DF20:DI20)/SUM(DF20:DI20)</f>
        <v>981.48713159488238</v>
      </c>
      <c r="DJ34">
        <f>SUMPRODUCT(DF12:DJ12,DF20:DJ20)/SUM(DF20:DJ20)</f>
        <v>987.25015732711154</v>
      </c>
      <c r="DN34">
        <f>(DN12*DN20)/(DN20)</f>
        <v>998.22785189173953</v>
      </c>
      <c r="DT34">
        <f>SUMPRODUCT(DQ12:DT12,DQ20:DT20)/SUM(DQ20:DT20)</f>
        <v>1019.4654523934178</v>
      </c>
      <c r="DU34">
        <f>SUMPRODUCT(DQ12:DU12,DQ20:DU20)/SUM(DQ20:DU20)</f>
        <v>1003.8762367121452</v>
      </c>
      <c r="DY34">
        <f>(DY12*DY20)/(DY20)</f>
        <v>1008.8160270695414</v>
      </c>
      <c r="EE34">
        <f>SUMPRODUCT(EB12:EE12,EB20:EE20)/SUM(EB20:EE20)</f>
        <v>1043.7005106804313</v>
      </c>
      <c r="EF34">
        <f>SUMPRODUCT(EB12:EF12,EB20:EF20)/SUM(EB20:EF20)</f>
        <v>1013.4102517747449</v>
      </c>
      <c r="EJ34">
        <f>(EJ12*EJ20)/(EJ20)</f>
        <v>1021.032830224587</v>
      </c>
      <c r="EK34" s="1"/>
      <c r="EP34">
        <f>SUMPRODUCT(EM12:EP12,EM20:EP20)/SUM(EM20:EP20)</f>
        <v>1043.2779111989194</v>
      </c>
      <c r="EQ34">
        <f>SUMPRODUCT(EM12:EQ12,EM20:EQ20)/SUM(EM20:EQ20)</f>
        <v>1017.1090956021022</v>
      </c>
      <c r="EU34">
        <f>(EU12*EU20)/(EU20)</f>
        <v>1042.6252707255142</v>
      </c>
      <c r="FD34" s="280">
        <f>SUMPRODUCT(FA12:FD12,FA20:FD20)/SUM(FA20:FD20)</f>
        <v>1022.0896254192145</v>
      </c>
      <c r="FE34" s="280">
        <f>SUMPRODUCT(FA12:FE12,FA20:FE20)/SUM(FA20:FE20)</f>
        <v>1007.1002815769386</v>
      </c>
      <c r="FI34" s="280">
        <f>(FI12*FI20)/(FI20)</f>
        <v>1029.9348899107229</v>
      </c>
      <c r="FW34" s="341">
        <f>(FW12*FW20)/(FW20)</f>
        <v>1035.0002164622872</v>
      </c>
      <c r="JT34">
        <v>2007</v>
      </c>
      <c r="JU34" s="270">
        <f t="shared" si="75"/>
        <v>55.675212703299998</v>
      </c>
      <c r="JV34" s="270">
        <f t="shared" si="76"/>
        <v>37.758586712099998</v>
      </c>
      <c r="JW34" s="270">
        <f t="shared" si="76"/>
        <v>41.692448847599998</v>
      </c>
      <c r="JX34" s="270">
        <f t="shared" si="76"/>
        <v>383.72673918330003</v>
      </c>
      <c r="JY34" s="270">
        <f t="shared" si="76"/>
        <v>1585.1717941231875</v>
      </c>
      <c r="JZ34" s="270">
        <f t="shared" si="76"/>
        <v>1496.448810304976</v>
      </c>
      <c r="KA34" s="270">
        <f t="shared" si="76"/>
        <v>2300.1157364831356</v>
      </c>
      <c r="KB34" s="270"/>
      <c r="KC34" s="2">
        <f t="shared" si="78"/>
        <v>6630.7297426566884</v>
      </c>
      <c r="KD34" s="2">
        <f t="shared" si="77"/>
        <v>5900.5893283575988</v>
      </c>
    </row>
    <row r="35" spans="3:290" x14ac:dyDescent="0.2">
      <c r="G35" s="280">
        <f>SUMPRODUCT(D13:G13,D21:G21)/SUM(D21:G21)</f>
        <v>1742.6878211675651</v>
      </c>
      <c r="H35" s="280">
        <f>SUMPRODUCT(D13:H13,D21:H21)/SUM(D21:H21)</f>
        <v>1740.6536626175305</v>
      </c>
      <c r="L35" s="280">
        <f>(L13*L21)/(L21)</f>
        <v>1733.4995111618978</v>
      </c>
      <c r="S35" s="280">
        <f>SUMPRODUCT(P13:S13,P21:S21)/SUM(P21:S21)</f>
        <v>1752.0215517241379</v>
      </c>
      <c r="T35" s="280">
        <f>SUMPRODUCT(P13:T13,P21:T21)/SUM(P21:T21)</f>
        <v>1746.8817966903073</v>
      </c>
      <c r="X35" s="280">
        <f>(X13*X21)/(X21)</f>
        <v>1736</v>
      </c>
      <c r="AE35" s="273">
        <f>SUMPRODUCT(AB13:AE13,AB21:AE21)/SUM(AB21:AE21)</f>
        <v>1836.5825940008449</v>
      </c>
      <c r="AF35" s="273">
        <f>SUMPRODUCT(AB13:AF13,AB21:AF21)/SUM(AB21:AF21)</f>
        <v>1834.5021459227469</v>
      </c>
      <c r="AJ35" s="273">
        <f>(AJ13*AJ21)/(AJ21)</f>
        <v>1917</v>
      </c>
      <c r="AQ35">
        <f>SUMPRODUCT(AN13:AQ13,AN21:AQ21)/SUM(AN21:AQ21)</f>
        <v>1800.913879277201</v>
      </c>
      <c r="AR35">
        <f>SUMPRODUCT(AN13:AR13,AN21:AR21)/SUM(AN21:AR21)</f>
        <v>1777.5243424734192</v>
      </c>
      <c r="AV35">
        <f>(AV13*AV21)/(AV21)</f>
        <v>1869</v>
      </c>
      <c r="BC35">
        <f>SUMPRODUCT(AZ13:BC13,AZ21:BC21)/SUM(AZ21:BC21)</f>
        <v>1769.7043146784213</v>
      </c>
      <c r="BD35">
        <f>SUMPRODUCT(AZ13:BD13,AZ21:BD21)/SUM(AZ21:BD21)</f>
        <v>1766.0691495148724</v>
      </c>
      <c r="BH35">
        <f>(BH13*BH21)/(BH21)</f>
        <v>1812.0116163268319</v>
      </c>
      <c r="BO35">
        <f>SUMPRODUCT(BL13:BO13,BL21:BO21)/SUM(BL21:BO21)</f>
        <v>1793.036716673615</v>
      </c>
      <c r="BP35">
        <f>SUMPRODUCT(BL13:BP13,BL21:BP21)/SUM(BL21:BP21)</f>
        <v>1804.5983156184702</v>
      </c>
      <c r="BT35">
        <f>(BT13*BT21)/(BT21)</f>
        <v>1856.7602530584206</v>
      </c>
      <c r="CA35">
        <f>SUMPRODUCT(BX13:CA13,BX21:CA21)/SUM(BX21:CA21)</f>
        <v>935.1596426598885</v>
      </c>
      <c r="CB35">
        <f>SUMPRODUCT(BX13:CB13,BX21:CB21)/SUM(BX21:CB21)</f>
        <v>1025.4462122568377</v>
      </c>
      <c r="CF35">
        <f>(CF13*CF21)/(CF21)</f>
        <v>1104.2098786708018</v>
      </c>
      <c r="CM35">
        <f>SUMPRODUCT(CJ13:CM13,CJ21:CM21)/SUM(CJ21:CM21)</f>
        <v>905.08281545336024</v>
      </c>
      <c r="CN35">
        <f>SUMPRODUCT(CJ13:CN13,CJ21:CN21)/SUM(CJ21:CN21)</f>
        <v>1008.4348168671195</v>
      </c>
      <c r="CP35">
        <f>(CP13*CP21)/(CP21)</f>
        <v>1339.4562313417357</v>
      </c>
      <c r="CR35">
        <f>(CR13*CR21)/(CR21)</f>
        <v>1149.6427179994562</v>
      </c>
      <c r="CX35">
        <f>SUMPRODUCT(CU13:CX13,CU21:CX21)/SUM(CU21:CX21)</f>
        <v>936.64948967136456</v>
      </c>
      <c r="CY35">
        <f>SUMPRODUCT(CU13:CY13,CU21:CY21)/SUM(CU21:CY21)</f>
        <v>1029.1478799123954</v>
      </c>
      <c r="DC35">
        <f>(DC13*DC21)/(DC21)</f>
        <v>1229.2074668695225</v>
      </c>
      <c r="DI35">
        <f>SUMPRODUCT(DF13:DI13,DF21:DI21)/SUM(DF21:DI21)</f>
        <v>898.97667882265125</v>
      </c>
      <c r="DJ35">
        <f>SUMPRODUCT(DF13:DJ13,DF21:DJ21)/SUM(DF21:DJ21)</f>
        <v>1031.4016721260627</v>
      </c>
      <c r="DN35">
        <f>(DN13*DN21)/(DN21)</f>
        <v>1268.4660737351862</v>
      </c>
      <c r="DT35">
        <f>SUMPRODUCT(DQ13:DT13,DQ21:DT21)/SUM(DQ21:DT21)</f>
        <v>940.06499309787102</v>
      </c>
      <c r="DU35">
        <f>SUMPRODUCT(DQ13:DU13,DQ21:DU21)/SUM(DQ21:DU21)</f>
        <v>1134.8469769842347</v>
      </c>
      <c r="DY35">
        <f>(DY13*DY21)/(DY21)</f>
        <v>1346.6940504418583</v>
      </c>
      <c r="EE35">
        <f>SUMPRODUCT(EB13:EE13,EB21:EE21)/SUM(EB21:EE21)</f>
        <v>1038.3023247249664</v>
      </c>
      <c r="EF35">
        <f>SUMPRODUCT(EB13:EF13,EB21:EF21)/SUM(EB21:EF21)</f>
        <v>1127.8542921533747</v>
      </c>
      <c r="EI35">
        <f>(EI13*EI21)/(EI21)</f>
        <v>1498.4049143695863</v>
      </c>
      <c r="EJ35">
        <f>(EJ13*EJ21)/(EJ21)</f>
        <v>1359.370966205578</v>
      </c>
      <c r="EK35" s="1"/>
      <c r="EP35">
        <f>SUMPRODUCT(EM13:EP13,EM21:EP21)/SUM(EM21:EP21)</f>
        <v>1162.5254834450393</v>
      </c>
      <c r="EQ35">
        <f>SUMPRODUCT(EM13:EQ13,EM21:EQ21)/SUM(EM21:EQ21)</f>
        <v>1200.8932638568626</v>
      </c>
      <c r="ET35">
        <f>(ET13*ET21)/(ET21)</f>
        <v>1698.3263086525528</v>
      </c>
      <c r="EU35">
        <f>(EU13*EU21)/(EU21)</f>
        <v>1456.4439457961512</v>
      </c>
      <c r="FD35" s="280">
        <f>SUMPRODUCT(FA13:FD13,FA21:FD21)/SUM(FA21:FD21)</f>
        <v>1106.9944084636857</v>
      </c>
      <c r="FE35" s="280">
        <f>SUMPRODUCT(FA13:FE13,FA21:FE21)/SUM(FA21:FE21)</f>
        <v>1173.9548547265344</v>
      </c>
      <c r="FH35" s="280">
        <f>(FH13*FH21)/(FH21)</f>
        <v>1603.134701709929</v>
      </c>
      <c r="FI35" s="280">
        <f>(FI13*FI21)/(FI21)</f>
        <v>1356.9600099577319</v>
      </c>
      <c r="FW35" s="341"/>
      <c r="FX35" s="341"/>
      <c r="FY35" s="341"/>
      <c r="JT35">
        <v>2009</v>
      </c>
      <c r="JU35" s="270">
        <f t="shared" si="75"/>
        <v>49.254241721900001</v>
      </c>
      <c r="JV35" s="270">
        <f t="shared" ref="JV35:KA35" si="79">IQ13</f>
        <v>53.767133913800009</v>
      </c>
      <c r="JW35" s="270">
        <f t="shared" si="79"/>
        <v>55.596116218799999</v>
      </c>
      <c r="JX35" s="270">
        <f t="shared" si="79"/>
        <v>401.48034546477976</v>
      </c>
      <c r="JY35" s="270">
        <f t="shared" si="79"/>
        <v>1496.2498974446548</v>
      </c>
      <c r="JZ35" s="270">
        <f t="shared" si="79"/>
        <v>1366.4914081526813</v>
      </c>
      <c r="KA35" s="270">
        <f t="shared" si="79"/>
        <v>2270.1129433710662</v>
      </c>
      <c r="KB35" s="270"/>
      <c r="KC35" s="2">
        <f t="shared" si="78"/>
        <v>6379.9706667709206</v>
      </c>
      <c r="KD35" s="2">
        <f t="shared" si="77"/>
        <v>5692.9520862876816</v>
      </c>
    </row>
    <row r="36" spans="3:290" x14ac:dyDescent="0.2">
      <c r="BW36" s="1" t="s">
        <v>20</v>
      </c>
      <c r="CB36">
        <f>CB33/CA33</f>
        <v>1.0150269527474649</v>
      </c>
      <c r="CC36" s="280">
        <f>CC33/CB33</f>
        <v>1.0084838275242978</v>
      </c>
      <c r="CI36" s="1" t="s">
        <v>20</v>
      </c>
      <c r="CN36">
        <f>CN33/CM33</f>
        <v>1.0187776696243322</v>
      </c>
      <c r="CO36" s="280">
        <f>CO33/CN33</f>
        <v>1.0166846651445192</v>
      </c>
      <c r="CT36" s="1" t="s">
        <v>20</v>
      </c>
      <c r="DE36" s="1" t="s">
        <v>20</v>
      </c>
      <c r="DQ36" t="s">
        <v>26</v>
      </c>
      <c r="DR36" t="s">
        <v>26</v>
      </c>
      <c r="DS36" t="s">
        <v>26</v>
      </c>
      <c r="DT36" t="s">
        <v>26</v>
      </c>
      <c r="DU36" t="s">
        <v>26</v>
      </c>
      <c r="EF36" t="s">
        <v>26</v>
      </c>
      <c r="EL36" s="1" t="s">
        <v>20</v>
      </c>
      <c r="EZ36" s="281" t="s">
        <v>20</v>
      </c>
      <c r="FN36" s="342" t="s">
        <v>20</v>
      </c>
      <c r="FO36" s="341"/>
      <c r="FP36" s="341"/>
      <c r="FQ36" s="341"/>
      <c r="FR36" s="341"/>
      <c r="FS36" s="341"/>
      <c r="FT36" s="341"/>
      <c r="FU36" s="341"/>
      <c r="FV36" s="341"/>
      <c r="FW36" s="341"/>
      <c r="FX36" s="341"/>
      <c r="FY36" s="341"/>
      <c r="GD36" t="s">
        <v>27</v>
      </c>
      <c r="GF36" t="s">
        <v>20</v>
      </c>
      <c r="IO36" t="s">
        <v>33</v>
      </c>
      <c r="IQ36" t="s">
        <v>20</v>
      </c>
      <c r="IY36" t="s">
        <v>28</v>
      </c>
      <c r="JJ36" s="1" t="s">
        <v>40</v>
      </c>
      <c r="JT36">
        <v>2011</v>
      </c>
      <c r="JU36" s="270">
        <f t="shared" si="75"/>
        <v>48.184416804902007</v>
      </c>
      <c r="JV36" s="270">
        <f t="shared" ref="JV36:KA36" si="80">IQ14</f>
        <v>44.280350941457996</v>
      </c>
      <c r="JW36" s="270">
        <f t="shared" si="80"/>
        <v>67.17637643299102</v>
      </c>
      <c r="JX36" s="270">
        <f t="shared" si="80"/>
        <v>421.76203493956615</v>
      </c>
      <c r="JY36" s="270">
        <f t="shared" si="80"/>
        <v>1496.346447191981</v>
      </c>
      <c r="JZ36" s="270">
        <f t="shared" si="80"/>
        <v>1502.3344201505079</v>
      </c>
      <c r="KA36" s="270">
        <f t="shared" si="80"/>
        <v>2361.9664242357062</v>
      </c>
      <c r="KB36" s="270"/>
      <c r="KC36" s="2">
        <f t="shared" si="78"/>
        <v>6138.6947272184725</v>
      </c>
    </row>
    <row r="37" spans="3:290" x14ac:dyDescent="0.2">
      <c r="BX37" t="s">
        <v>0</v>
      </c>
      <c r="BY37" t="s">
        <v>1</v>
      </c>
      <c r="BZ37" t="s">
        <v>2</v>
      </c>
      <c r="CA37" t="s">
        <v>3</v>
      </c>
      <c r="CB37" t="s">
        <v>4</v>
      </c>
      <c r="CC37" t="s">
        <v>5</v>
      </c>
      <c r="CD37" t="s">
        <v>6</v>
      </c>
      <c r="CE37" t="s">
        <v>7</v>
      </c>
      <c r="CJ37" t="s">
        <v>0</v>
      </c>
      <c r="CK37" t="s">
        <v>1</v>
      </c>
      <c r="CL37" t="s">
        <v>2</v>
      </c>
      <c r="CM37" t="s">
        <v>3</v>
      </c>
      <c r="CN37" t="s">
        <v>4</v>
      </c>
      <c r="CO37" t="s">
        <v>5</v>
      </c>
      <c r="CP37" t="s">
        <v>6</v>
      </c>
      <c r="CQ37" t="s">
        <v>7</v>
      </c>
      <c r="CU37" t="s">
        <v>0</v>
      </c>
      <c r="CV37" t="s">
        <v>1</v>
      </c>
      <c r="CW37" t="s">
        <v>2</v>
      </c>
      <c r="CX37" t="s">
        <v>3</v>
      </c>
      <c r="CY37" t="s">
        <v>4</v>
      </c>
      <c r="CZ37" t="s">
        <v>5</v>
      </c>
      <c r="DA37" t="s">
        <v>6</v>
      </c>
      <c r="DB37" t="s">
        <v>7</v>
      </c>
      <c r="DF37" t="s">
        <v>0</v>
      </c>
      <c r="DG37" t="s">
        <v>1</v>
      </c>
      <c r="DH37" t="s">
        <v>2</v>
      </c>
      <c r="DI37" t="s">
        <v>3</v>
      </c>
      <c r="DJ37" t="s">
        <v>4</v>
      </c>
      <c r="DK37" t="s">
        <v>5</v>
      </c>
      <c r="DL37" t="s">
        <v>6</v>
      </c>
      <c r="DM37" t="s">
        <v>7</v>
      </c>
      <c r="DQ37" t="s">
        <v>26</v>
      </c>
      <c r="DR37" t="s">
        <v>26</v>
      </c>
      <c r="DS37" t="s">
        <v>26</v>
      </c>
      <c r="DT37" t="s">
        <v>26</v>
      </c>
      <c r="DU37" t="s">
        <v>26</v>
      </c>
      <c r="EF37" t="s">
        <v>26</v>
      </c>
      <c r="EM37" t="s">
        <v>0</v>
      </c>
      <c r="EN37" t="s">
        <v>1</v>
      </c>
      <c r="EO37" t="s">
        <v>2</v>
      </c>
      <c r="EP37" t="s">
        <v>3</v>
      </c>
      <c r="EQ37" t="s">
        <v>4</v>
      </c>
      <c r="ER37" t="s">
        <v>5</v>
      </c>
      <c r="ES37" t="s">
        <v>6</v>
      </c>
      <c r="ET37" t="s">
        <v>7</v>
      </c>
      <c r="FA37" s="280" t="s">
        <v>0</v>
      </c>
      <c r="FB37" s="280" t="s">
        <v>1</v>
      </c>
      <c r="FC37" s="280" t="s">
        <v>2</v>
      </c>
      <c r="FD37" s="280" t="s">
        <v>3</v>
      </c>
      <c r="FE37" s="280" t="s">
        <v>4</v>
      </c>
      <c r="FF37" s="280" t="s">
        <v>5</v>
      </c>
      <c r="FG37" s="280" t="s">
        <v>6</v>
      </c>
      <c r="FH37" s="280" t="s">
        <v>7</v>
      </c>
      <c r="FN37" s="341"/>
      <c r="FO37" s="341" t="s">
        <v>0</v>
      </c>
      <c r="FP37" s="341" t="s">
        <v>1</v>
      </c>
      <c r="FQ37" s="341" t="s">
        <v>2</v>
      </c>
      <c r="FR37" s="341" t="s">
        <v>3</v>
      </c>
      <c r="FS37" s="341" t="s">
        <v>4</v>
      </c>
      <c r="FT37" s="341" t="s">
        <v>5</v>
      </c>
      <c r="FU37" s="341" t="s">
        <v>6</v>
      </c>
      <c r="FV37" s="341" t="s">
        <v>7</v>
      </c>
      <c r="FW37" s="341"/>
      <c r="FX37" s="341"/>
      <c r="FY37" s="341"/>
      <c r="GE37" t="s">
        <v>0</v>
      </c>
      <c r="GF37" t="s">
        <v>1</v>
      </c>
      <c r="GG37" t="s">
        <v>2</v>
      </c>
      <c r="GH37" t="s">
        <v>3</v>
      </c>
      <c r="GI37" t="s">
        <v>4</v>
      </c>
      <c r="GJ37" t="s">
        <v>5</v>
      </c>
      <c r="GK37" t="s">
        <v>6</v>
      </c>
      <c r="IP37" t="s">
        <v>0</v>
      </c>
      <c r="IQ37" t="s">
        <v>1</v>
      </c>
      <c r="IR37" t="s">
        <v>2</v>
      </c>
      <c r="IS37" t="s">
        <v>3</v>
      </c>
      <c r="IT37" t="s">
        <v>4</v>
      </c>
      <c r="IU37" t="s">
        <v>5</v>
      </c>
      <c r="IV37" t="s">
        <v>6</v>
      </c>
      <c r="IY37" t="s">
        <v>29</v>
      </c>
      <c r="IZ37" t="s">
        <v>30</v>
      </c>
      <c r="JF37" t="s">
        <v>35</v>
      </c>
      <c r="KC37" s="2">
        <f t="shared" si="78"/>
        <v>5906.5432934118244</v>
      </c>
    </row>
    <row r="38" spans="3:290" x14ac:dyDescent="0.2">
      <c r="DQ38" t="s">
        <v>26</v>
      </c>
      <c r="DR38" t="s">
        <v>26</v>
      </c>
      <c r="DS38" t="s">
        <v>26</v>
      </c>
      <c r="DT38" t="s">
        <v>26</v>
      </c>
      <c r="DU38" t="s">
        <v>26</v>
      </c>
      <c r="EF38" t="s">
        <v>26</v>
      </c>
      <c r="EK38" s="1"/>
      <c r="GD38" s="11">
        <v>1997</v>
      </c>
      <c r="GE38" s="2">
        <f t="shared" ref="GE38:GK38" si="81">BX49+BX50</f>
        <v>3786.87273241923</v>
      </c>
      <c r="GF38" s="2">
        <f t="shared" si="81"/>
        <v>1002.4242913353402</v>
      </c>
      <c r="GG38" s="2">
        <f t="shared" si="81"/>
        <v>1946.3896333156838</v>
      </c>
      <c r="GH38" s="2">
        <f t="shared" si="81"/>
        <v>1531.2687476290018</v>
      </c>
      <c r="GI38" s="2">
        <f t="shared" si="81"/>
        <v>1476.6582773849591</v>
      </c>
      <c r="GJ38" s="2">
        <f t="shared" si="81"/>
        <v>1278.3892978621991</v>
      </c>
      <c r="GK38" s="2">
        <f t="shared" si="81"/>
        <v>802.17490612294</v>
      </c>
      <c r="IO38" s="11">
        <v>1997</v>
      </c>
      <c r="IP38" s="2">
        <f t="shared" ref="IP38:IV38" si="82">BX52</f>
        <v>10.782584612499999</v>
      </c>
      <c r="IQ38" s="2">
        <f t="shared" si="82"/>
        <v>2.7150962611999998</v>
      </c>
      <c r="IR38" s="2">
        <f t="shared" si="82"/>
        <v>20.559512644200002</v>
      </c>
      <c r="IS38" s="2">
        <f t="shared" si="82"/>
        <v>63.302090950399986</v>
      </c>
      <c r="IT38" s="2">
        <f t="shared" si="82"/>
        <v>229.01264576839003</v>
      </c>
      <c r="IU38" s="2">
        <f t="shared" si="82"/>
        <v>152.57020604535995</v>
      </c>
      <c r="IV38" s="2">
        <f t="shared" si="82"/>
        <v>112.898485070112</v>
      </c>
      <c r="IW38" s="2"/>
      <c r="IX38" s="11">
        <f>IO38</f>
        <v>1997</v>
      </c>
      <c r="IY38" s="2">
        <f t="shared" ref="IY38:IY44" si="83">SUM(IP38:IU38)</f>
        <v>478.94213628204994</v>
      </c>
      <c r="IZ38">
        <f>EXP(JD38)</f>
        <v>471.53127646371308</v>
      </c>
      <c r="JA38">
        <f t="shared" ref="JA38:JA44" si="84">LN(IY38)</f>
        <v>6.1715797890325614</v>
      </c>
      <c r="JB38">
        <v>0</v>
      </c>
      <c r="JC38">
        <f t="shared" ref="JC38:JC44" si="85">JA38</f>
        <v>6.1715797890325614</v>
      </c>
      <c r="JD38">
        <f>$JG$38+JB38*$JF$38</f>
        <v>6.1559854338368485</v>
      </c>
      <c r="JF38">
        <f t="array" ref="JF38:JG43">LINEST(JC38:JC44,JB38:JB44,TRUE,TRUE)</f>
        <v>-3.5642135137157076E-2</v>
      </c>
      <c r="JG38">
        <v>6.1559854338368485</v>
      </c>
      <c r="JJ38" t="s">
        <v>41</v>
      </c>
      <c r="JK38" t="s">
        <v>30</v>
      </c>
      <c r="KC38" s="2">
        <f t="shared" si="78"/>
        <v>5683.1712973542981</v>
      </c>
    </row>
    <row r="39" spans="3:290" x14ac:dyDescent="0.2">
      <c r="BW39" s="1" t="s">
        <v>8</v>
      </c>
      <c r="CF39" s="2"/>
      <c r="CG39" s="282"/>
      <c r="CI39" s="1" t="s">
        <v>8</v>
      </c>
      <c r="CR39" s="2"/>
      <c r="CT39" s="1" t="s">
        <v>8</v>
      </c>
      <c r="DC39" s="2"/>
      <c r="DE39" s="1" t="s">
        <v>8</v>
      </c>
      <c r="DN39" s="2"/>
      <c r="DQ39">
        <v>1800</v>
      </c>
      <c r="DR39" t="s">
        <v>26</v>
      </c>
      <c r="DS39" t="s">
        <v>26</v>
      </c>
      <c r="DT39" t="s">
        <v>26</v>
      </c>
      <c r="DU39">
        <v>1800</v>
      </c>
      <c r="EB39">
        <v>1600</v>
      </c>
      <c r="EC39">
        <v>1600</v>
      </c>
      <c r="ED39" t="s">
        <v>26</v>
      </c>
      <c r="EE39" t="s">
        <v>26</v>
      </c>
      <c r="EF39" t="s">
        <v>26</v>
      </c>
      <c r="EL39" s="1" t="s">
        <v>8</v>
      </c>
      <c r="EU39" s="2"/>
      <c r="EX39" s="2"/>
      <c r="EY39" s="282"/>
      <c r="EZ39" s="281" t="s">
        <v>8</v>
      </c>
      <c r="FI39" s="282"/>
      <c r="FJ39" s="282"/>
      <c r="FK39" s="282"/>
      <c r="FL39" s="282"/>
      <c r="FM39" s="282"/>
      <c r="FN39" s="342" t="s">
        <v>8</v>
      </c>
      <c r="FO39" s="341"/>
      <c r="FP39" s="341"/>
      <c r="FQ39" s="341"/>
      <c r="FR39" s="341"/>
      <c r="FS39" s="341"/>
      <c r="FT39" s="341"/>
      <c r="FU39" s="341"/>
      <c r="FV39" s="341"/>
      <c r="FW39" s="344"/>
      <c r="FX39" s="341"/>
      <c r="FY39" s="341"/>
      <c r="GA39" s="282"/>
      <c r="GB39" s="282"/>
      <c r="GC39" s="2"/>
      <c r="GD39" s="11">
        <v>1999</v>
      </c>
      <c r="GE39" s="2">
        <f t="shared" ref="GE39:GK39" si="86">CJ49+CJ50</f>
        <v>4059.0696512611194</v>
      </c>
      <c r="GF39" s="2">
        <f t="shared" si="86"/>
        <v>1058.855917476709</v>
      </c>
      <c r="GG39" s="2">
        <f t="shared" si="86"/>
        <v>1995.0834441528034</v>
      </c>
      <c r="GH39" s="2">
        <f t="shared" si="86"/>
        <v>1595.9661420064015</v>
      </c>
      <c r="GI39" s="2">
        <f t="shared" si="86"/>
        <v>1542.1731790027802</v>
      </c>
      <c r="GJ39" s="2">
        <f t="shared" si="86"/>
        <v>1294.0171240738291</v>
      </c>
      <c r="GK39" s="2">
        <f t="shared" si="86"/>
        <v>1026.5197074223097</v>
      </c>
      <c r="IO39" s="11">
        <v>1999</v>
      </c>
      <c r="IP39" s="2">
        <f t="shared" ref="IP39:IV39" si="87">CJ52</f>
        <v>0</v>
      </c>
      <c r="IQ39" s="2">
        <f t="shared" si="87"/>
        <v>2.0747237506</v>
      </c>
      <c r="IR39" s="2">
        <f t="shared" si="87"/>
        <v>18.9180140874</v>
      </c>
      <c r="IS39" s="2">
        <f t="shared" si="87"/>
        <v>60.241343713200003</v>
      </c>
      <c r="IT39" s="2">
        <f t="shared" si="87"/>
        <v>177.48280034402603</v>
      </c>
      <c r="IU39" s="2">
        <f t="shared" si="87"/>
        <v>160.64364432240995</v>
      </c>
      <c r="IV39" s="2">
        <f t="shared" si="87"/>
        <v>143.23646512104</v>
      </c>
      <c r="IW39" s="2"/>
      <c r="IX39" s="11">
        <f t="shared" ref="IX39:IX44" si="88">IO39</f>
        <v>1999</v>
      </c>
      <c r="IY39" s="2">
        <f t="shared" si="83"/>
        <v>419.36052621763599</v>
      </c>
      <c r="IZ39">
        <f t="shared" ref="IZ39:IZ44" si="89">EXP(JD39)</f>
        <v>439.08857739891852</v>
      </c>
      <c r="JA39">
        <f t="shared" si="84"/>
        <v>6.0387309943855358</v>
      </c>
      <c r="JB39">
        <v>2</v>
      </c>
      <c r="JC39">
        <f t="shared" si="85"/>
        <v>6.0387309943855358</v>
      </c>
      <c r="JD39">
        <f t="shared" ref="JD39:JD44" si="90">$JG$38+JB39*$JF$38</f>
        <v>6.0847011635625341</v>
      </c>
      <c r="JF39">
        <v>5.0638158708607743E-3</v>
      </c>
      <c r="JG39">
        <v>3.6515695543793712E-2</v>
      </c>
      <c r="JI39" s="11">
        <f t="shared" ref="JI39:JI44" si="91">IX39</f>
        <v>1999</v>
      </c>
      <c r="JJ39" s="2">
        <f t="shared" ref="JJ39:JJ44" si="92">SUM(IP39:IV39)</f>
        <v>562.59699133867593</v>
      </c>
      <c r="JK39">
        <f t="shared" ref="JK39:JK44" si="93">EXP(JO39)</f>
        <v>578.46206608396051</v>
      </c>
      <c r="JL39">
        <f t="shared" ref="JL39:JL44" si="94">LN(JJ39)</f>
        <v>6.3325635482609304</v>
      </c>
      <c r="JM39">
        <v>0</v>
      </c>
      <c r="JN39">
        <f t="shared" ref="JN39:JN44" si="95">JL39</f>
        <v>6.3325635482609304</v>
      </c>
      <c r="JO39">
        <f t="shared" ref="JO39:JO44" si="96">$JR$39+JM39*$JQ$39</f>
        <v>6.3603729715951625</v>
      </c>
      <c r="JQ39" s="13">
        <f t="array" ref="JQ39:JR43">LINEST(JN39:JN44,JM39:JM44,TRUE,TRUE)</f>
        <v>-2.7606476579080299E-2</v>
      </c>
      <c r="JR39">
        <v>6.3603729715951625</v>
      </c>
    </row>
    <row r="40" spans="3:290" x14ac:dyDescent="0.2">
      <c r="BW40" t="s">
        <v>9</v>
      </c>
      <c r="BX40" s="2">
        <v>2369.4325575287439</v>
      </c>
      <c r="BY40" s="2">
        <v>2112.1265499538704</v>
      </c>
      <c r="BZ40" s="2">
        <v>2178.0281683743583</v>
      </c>
      <c r="CA40" s="2">
        <v>2233.3198490716036</v>
      </c>
      <c r="CB40" s="2">
        <v>2145.0302343397047</v>
      </c>
      <c r="CC40" s="2">
        <v>2259.351796871922</v>
      </c>
      <c r="CD40" s="2">
        <v>2378.2962181580206</v>
      </c>
      <c r="CE40" s="2"/>
      <c r="CF40" s="2">
        <v>2251.1290880680922</v>
      </c>
      <c r="CG40" s="282"/>
      <c r="CI40" t="s">
        <v>9</v>
      </c>
      <c r="CJ40" s="2">
        <v>2435.7509655121116</v>
      </c>
      <c r="CK40" s="2">
        <v>2121.7979661948916</v>
      </c>
      <c r="CL40" s="2">
        <v>2244.1347720261956</v>
      </c>
      <c r="CM40" s="2">
        <v>2228.3766538640102</v>
      </c>
      <c r="CN40" s="2">
        <v>2131.2228798603219</v>
      </c>
      <c r="CO40" s="2">
        <v>2402.4097260593931</v>
      </c>
      <c r="CP40" s="2">
        <v>2609.8193051187282</v>
      </c>
      <c r="CQ40" s="2"/>
      <c r="CR40" s="2">
        <v>2319.5873913011374</v>
      </c>
      <c r="CT40" t="s">
        <v>9</v>
      </c>
      <c r="CU40" s="2">
        <v>2545.0037851227316</v>
      </c>
      <c r="CV40" s="2">
        <v>1994.0465074365184</v>
      </c>
      <c r="CW40" s="2">
        <v>2180.5538469843264</v>
      </c>
      <c r="CX40" s="2">
        <v>2242.0494294058849</v>
      </c>
      <c r="CY40" s="2">
        <v>2215.0862640516407</v>
      </c>
      <c r="CZ40" s="2">
        <v>2409.4405142199234</v>
      </c>
      <c r="DA40" s="2">
        <v>2460.6116378851034</v>
      </c>
      <c r="DB40" s="2">
        <v>2823.5344158024245</v>
      </c>
      <c r="DC40" s="2">
        <v>2333.7622821183695</v>
      </c>
      <c r="DE40" t="s">
        <v>9</v>
      </c>
      <c r="DF40" s="2">
        <v>2569.6710548023148</v>
      </c>
      <c r="DG40" s="2">
        <v>2104.6822447738732</v>
      </c>
      <c r="DH40" s="2">
        <v>2209.4296722004747</v>
      </c>
      <c r="DI40" s="2">
        <v>2284.5320544645274</v>
      </c>
      <c r="DJ40" s="2">
        <v>2240.4876569664152</v>
      </c>
      <c r="DK40" s="2">
        <v>2378.5917837233183</v>
      </c>
      <c r="DL40" s="2">
        <v>2517.6254356567683</v>
      </c>
      <c r="DM40" s="2">
        <v>2926.4875077432948</v>
      </c>
      <c r="DN40" s="2">
        <v>2376.4750048634455</v>
      </c>
      <c r="DQ40" s="2">
        <v>2570.7507063877974</v>
      </c>
      <c r="DR40" s="2">
        <v>2182.0935286561944</v>
      </c>
      <c r="DS40" s="2">
        <v>2192.552948395064</v>
      </c>
      <c r="DT40" s="2">
        <v>2266.0323496570918</v>
      </c>
      <c r="DU40" s="2">
        <v>2290.6971736152482</v>
      </c>
      <c r="DV40" s="2">
        <v>2485.1880838328916</v>
      </c>
      <c r="DW40" s="2">
        <v>2664.2879305209008</v>
      </c>
      <c r="DX40" s="2">
        <v>3181.3059570695495</v>
      </c>
      <c r="DY40" s="2">
        <v>2427.5281283471154</v>
      </c>
      <c r="EB40" s="2">
        <v>2550.1040912823205</v>
      </c>
      <c r="EC40" s="2">
        <v>2171.2554340679899</v>
      </c>
      <c r="ED40" s="2">
        <v>2136.455164857502</v>
      </c>
      <c r="EE40" s="2">
        <v>2247.0802557439324</v>
      </c>
      <c r="EF40" s="2">
        <v>2329.9071612847906</v>
      </c>
      <c r="EG40" s="2">
        <v>2406.268698773637</v>
      </c>
      <c r="EH40" s="2">
        <v>2640.2902622895044</v>
      </c>
      <c r="EI40" s="2">
        <v>2763.4477849366885</v>
      </c>
      <c r="EJ40" s="2">
        <v>2391.8849096891049</v>
      </c>
      <c r="EL40" t="s">
        <v>9</v>
      </c>
      <c r="EM40" s="2">
        <v>2385.9132374267942</v>
      </c>
      <c r="EN40" s="2">
        <v>2268.4319531984384</v>
      </c>
      <c r="EO40" s="2">
        <v>2012.4885627089611</v>
      </c>
      <c r="EP40" s="2">
        <v>2263.992852955661</v>
      </c>
      <c r="EQ40" s="2">
        <v>2339.4476204827188</v>
      </c>
      <c r="ER40" s="2">
        <v>2568.2213322221096</v>
      </c>
      <c r="ES40" s="2">
        <v>2865.4960858857726</v>
      </c>
      <c r="ET40" s="2">
        <v>2698.9742859802996</v>
      </c>
      <c r="EU40" s="2">
        <v>2380.5122669081384</v>
      </c>
      <c r="EX40" s="2"/>
      <c r="EY40" s="282"/>
      <c r="EZ40" s="280" t="s">
        <v>9</v>
      </c>
      <c r="FA40" s="282">
        <v>2433.5619567257177</v>
      </c>
      <c r="FB40" s="282">
        <v>2139.0203370295335</v>
      </c>
      <c r="FC40" s="282">
        <v>2075.4155975720264</v>
      </c>
      <c r="FD40" s="282">
        <v>2266.9633490869501</v>
      </c>
      <c r="FE40" s="282">
        <v>2289.8626373497304</v>
      </c>
      <c r="FF40" s="282">
        <v>2365.3973955083025</v>
      </c>
      <c r="FG40" s="282">
        <v>2616.3115942731633</v>
      </c>
      <c r="FH40" s="282">
        <v>3129.8248647744185</v>
      </c>
      <c r="FI40" s="418">
        <v>2385.7061868958699</v>
      </c>
      <c r="FJ40" s="282"/>
      <c r="FK40" s="282"/>
      <c r="FL40" s="282"/>
      <c r="FM40" s="282"/>
      <c r="FN40" s="341" t="s">
        <v>9</v>
      </c>
      <c r="FO40" s="344">
        <v>2385.9132374267942</v>
      </c>
      <c r="FP40" s="344">
        <v>2268.4319531984384</v>
      </c>
      <c r="FQ40" s="344">
        <v>2012.4885627089611</v>
      </c>
      <c r="FR40" s="344">
        <v>2263.992852955661</v>
      </c>
      <c r="FS40" s="344">
        <v>2339.4476204827188</v>
      </c>
      <c r="FT40" s="344">
        <v>2568.2213322221096</v>
      </c>
      <c r="FU40" s="344">
        <v>2865.4960858857726</v>
      </c>
      <c r="FV40" s="344">
        <v>2698.9742859802996</v>
      </c>
      <c r="FW40" s="289">
        <f>[5]Calc_FlrSpace!CR64</f>
        <v>2329.4060517822213</v>
      </c>
      <c r="FX40" s="341"/>
      <c r="FY40" s="341"/>
      <c r="FZ40" s="282"/>
      <c r="GA40" s="282"/>
      <c r="GB40" s="282"/>
      <c r="GC40" s="2"/>
      <c r="GD40" s="11">
        <v>2001</v>
      </c>
      <c r="GE40" s="2">
        <f t="shared" ref="GE40:GK40" si="97">CU49+CU50</f>
        <v>4170.6985467701788</v>
      </c>
      <c r="GF40" s="2">
        <f t="shared" si="97"/>
        <v>1105.0327297999993</v>
      </c>
      <c r="GG40" s="2">
        <f t="shared" si="97"/>
        <v>2058.7405874561714</v>
      </c>
      <c r="GH40" s="2">
        <f t="shared" si="97"/>
        <v>1614.8841818329004</v>
      </c>
      <c r="GI40" s="2">
        <f t="shared" si="97"/>
        <v>1583.6221944732015</v>
      </c>
      <c r="GJ40" s="2">
        <f t="shared" si="97"/>
        <v>1294.2490823078595</v>
      </c>
      <c r="GK40" s="2">
        <f t="shared" si="97"/>
        <v>1040.4414185974997</v>
      </c>
      <c r="IO40" s="11">
        <v>2001</v>
      </c>
      <c r="IP40" s="2">
        <f t="shared" ref="IP40:IV40" si="98">CU52</f>
        <v>0</v>
      </c>
      <c r="IQ40" s="2">
        <f t="shared" si="98"/>
        <v>1.8214597240000001</v>
      </c>
      <c r="IR40" s="2">
        <f t="shared" si="98"/>
        <v>16.895163738000001</v>
      </c>
      <c r="IS40" s="2">
        <f t="shared" si="98"/>
        <v>69.400763668599993</v>
      </c>
      <c r="IT40" s="2">
        <f t="shared" si="98"/>
        <v>199.01857008844502</v>
      </c>
      <c r="IU40" s="2">
        <f t="shared" si="98"/>
        <v>141.45761756368302</v>
      </c>
      <c r="IV40" s="2">
        <f t="shared" si="98"/>
        <v>148.68130701010907</v>
      </c>
      <c r="IW40" s="2"/>
      <c r="IX40" s="11">
        <f t="shared" si="88"/>
        <v>2001</v>
      </c>
      <c r="IY40" s="2">
        <f t="shared" si="83"/>
        <v>428.59357478272801</v>
      </c>
      <c r="IZ40">
        <f t="shared" si="89"/>
        <v>408.87802872402489</v>
      </c>
      <c r="JA40">
        <f t="shared" si="84"/>
        <v>6.060509091752885</v>
      </c>
      <c r="JB40">
        <v>4</v>
      </c>
      <c r="JC40">
        <f t="shared" si="85"/>
        <v>6.060509091752885</v>
      </c>
      <c r="JD40">
        <f t="shared" si="90"/>
        <v>6.0134168932882206</v>
      </c>
      <c r="JF40">
        <v>0.90832715905566086</v>
      </c>
      <c r="JG40">
        <v>5.3590389917278304E-2</v>
      </c>
      <c r="JI40" s="11">
        <f t="shared" si="91"/>
        <v>2001</v>
      </c>
      <c r="JJ40" s="2">
        <f t="shared" si="92"/>
        <v>577.27488179283705</v>
      </c>
      <c r="JK40">
        <f t="shared" si="93"/>
        <v>547.38917353703789</v>
      </c>
      <c r="JL40">
        <f t="shared" si="94"/>
        <v>6.3583185513209619</v>
      </c>
      <c r="JM40">
        <v>2</v>
      </c>
      <c r="JN40">
        <f t="shared" si="95"/>
        <v>6.3583185513209619</v>
      </c>
      <c r="JO40">
        <f t="shared" si="96"/>
        <v>6.305160018437002</v>
      </c>
      <c r="JQ40" s="15">
        <v>7.1316895683992462E-3</v>
      </c>
      <c r="JR40">
        <v>4.3184524894154731E-2</v>
      </c>
    </row>
    <row r="41" spans="3:290" x14ac:dyDescent="0.2">
      <c r="BW41" t="s">
        <v>10</v>
      </c>
      <c r="BX41" s="2">
        <v>2366.2156332944414</v>
      </c>
      <c r="BY41" s="2">
        <v>2112.1265499538704</v>
      </c>
      <c r="BZ41" s="2">
        <v>2194.5802967418708</v>
      </c>
      <c r="CA41" s="2">
        <v>2282.2564166375028</v>
      </c>
      <c r="CB41" s="2">
        <v>2330.0799557280293</v>
      </c>
      <c r="CC41" s="2">
        <v>2426.8178413213018</v>
      </c>
      <c r="CD41" s="2">
        <v>2559.4315267824268</v>
      </c>
      <c r="CE41" s="2"/>
      <c r="CF41" s="2">
        <v>2313.7984992955489</v>
      </c>
      <c r="CG41" s="282"/>
      <c r="CI41" t="s">
        <v>10</v>
      </c>
      <c r="CJ41" s="2">
        <v>2435.7509655121116</v>
      </c>
      <c r="CK41" s="2">
        <v>2126.09049776661</v>
      </c>
      <c r="CL41" s="2">
        <v>2263.2732405116722</v>
      </c>
      <c r="CM41" s="2">
        <v>2284.5682626391431</v>
      </c>
      <c r="CN41" s="2">
        <v>2288.2602491194884</v>
      </c>
      <c r="CO41" s="2">
        <v>2612.5426174835025</v>
      </c>
      <c r="CP41" s="2">
        <v>2826.3681091285334</v>
      </c>
      <c r="CQ41" s="2"/>
      <c r="CR41" s="2">
        <v>2388.5336051773975</v>
      </c>
      <c r="CT41" t="s">
        <v>10</v>
      </c>
      <c r="CU41" s="2">
        <v>2545.0037851227316</v>
      </c>
      <c r="CV41" s="2">
        <v>1997.2288850737425</v>
      </c>
      <c r="CW41" s="2">
        <v>2195.5549972577587</v>
      </c>
      <c r="CX41" s="2">
        <v>2295.8206866272012</v>
      </c>
      <c r="CY41" s="2">
        <v>2380.5715943443288</v>
      </c>
      <c r="CZ41" s="2">
        <v>2602.3476688583564</v>
      </c>
      <c r="DA41" s="2">
        <v>2667.5631669985873</v>
      </c>
      <c r="DB41" s="2">
        <v>2928.3955628250505</v>
      </c>
      <c r="DC41" s="2">
        <v>2400.213827253981</v>
      </c>
      <c r="DE41" t="s">
        <v>10</v>
      </c>
      <c r="DF41" s="2">
        <v>2569.6710548023148</v>
      </c>
      <c r="DG41" s="2">
        <v>2104.6822447738732</v>
      </c>
      <c r="DH41" s="2">
        <v>2221.9180532533319</v>
      </c>
      <c r="DI41" s="2">
        <v>2343.9462527050259</v>
      </c>
      <c r="DJ41" s="2">
        <v>2387.7415600781187</v>
      </c>
      <c r="DK41" s="2">
        <v>2556.3181767235387</v>
      </c>
      <c r="DL41" s="2">
        <v>2712.6498017193148</v>
      </c>
      <c r="DM41" s="2">
        <v>3114.5533075572225</v>
      </c>
      <c r="DN41" s="2">
        <v>2441.3786678710876</v>
      </c>
      <c r="DQ41" s="2">
        <v>2572.8708919484516</v>
      </c>
      <c r="DR41" s="2">
        <v>2182.0935286561944</v>
      </c>
      <c r="DS41" s="2">
        <v>2202.7197023190997</v>
      </c>
      <c r="DT41" s="2">
        <v>2295.8486165765621</v>
      </c>
      <c r="DU41" s="2">
        <v>2370.7239405299338</v>
      </c>
      <c r="DV41" s="2">
        <v>2632.4541807165419</v>
      </c>
      <c r="DW41" s="2">
        <v>2782.1959814530569</v>
      </c>
      <c r="DX41" s="2">
        <v>3370.3998355281865</v>
      </c>
      <c r="DY41" s="2">
        <v>2471.0333449329528</v>
      </c>
      <c r="EB41" s="2">
        <v>2553.1168415789866</v>
      </c>
      <c r="EC41" s="2">
        <v>2171.2554340679899</v>
      </c>
      <c r="ED41" s="2">
        <v>2139.0760204307976</v>
      </c>
      <c r="EE41" s="2">
        <v>2286.6379383355861</v>
      </c>
      <c r="EF41" s="2">
        <v>2413.7081475856794</v>
      </c>
      <c r="EG41" s="2">
        <v>2581.8765738733068</v>
      </c>
      <c r="EH41" s="2">
        <v>2763.6503916750162</v>
      </c>
      <c r="EI41" s="2">
        <v>2969.6384909202438</v>
      </c>
      <c r="EJ41" s="2">
        <v>2440.9573922692675</v>
      </c>
      <c r="EL41" t="s">
        <v>10</v>
      </c>
      <c r="EM41" s="2">
        <v>2388.3338176518932</v>
      </c>
      <c r="EN41" s="2">
        <v>2268.4319531984384</v>
      </c>
      <c r="EO41" s="2">
        <v>2018.413702851595</v>
      </c>
      <c r="EP41" s="2">
        <v>2314.9466836821189</v>
      </c>
      <c r="EQ41" s="2">
        <v>2430.9705942646688</v>
      </c>
      <c r="ER41" s="2">
        <v>2696.3738498427006</v>
      </c>
      <c r="ES41" s="2">
        <v>3015.8776799327638</v>
      </c>
      <c r="ET41" s="2">
        <v>2909.8432611136323</v>
      </c>
      <c r="EU41" s="2">
        <v>2427.6450488971718</v>
      </c>
      <c r="EX41" s="2"/>
      <c r="EY41" s="282"/>
      <c r="EZ41" s="280" t="s">
        <v>10</v>
      </c>
      <c r="FA41" s="282">
        <v>2437.257239564904</v>
      </c>
      <c r="FB41" s="282">
        <v>2139.1971369729708</v>
      </c>
      <c r="FC41" s="282">
        <v>2079.8001535888689</v>
      </c>
      <c r="FD41" s="282">
        <v>2305.7659891508047</v>
      </c>
      <c r="FE41" s="282">
        <v>2368.2594087462776</v>
      </c>
      <c r="FF41" s="282">
        <v>2559.92263548049</v>
      </c>
      <c r="FG41" s="282">
        <v>2825.4754322088093</v>
      </c>
      <c r="FH41" s="282">
        <v>3313.0919244499287</v>
      </c>
      <c r="FI41" s="418">
        <v>2440.9000743846805</v>
      </c>
      <c r="FJ41" s="282"/>
      <c r="FK41" s="282"/>
      <c r="FL41" s="282"/>
      <c r="FM41" s="282"/>
      <c r="FN41" s="341" t="s">
        <v>10</v>
      </c>
      <c r="FO41" s="344">
        <v>2388.3338176518932</v>
      </c>
      <c r="FP41" s="344">
        <v>2268.4319531984384</v>
      </c>
      <c r="FQ41" s="344">
        <v>2018.413702851595</v>
      </c>
      <c r="FR41" s="344">
        <v>2314.9466836821189</v>
      </c>
      <c r="FS41" s="344">
        <v>2430.9705942646688</v>
      </c>
      <c r="FT41" s="344">
        <v>2696.3738498427006</v>
      </c>
      <c r="FU41" s="344">
        <v>3015.8776799327638</v>
      </c>
      <c r="FV41" s="344">
        <v>2909.8432611136323</v>
      </c>
      <c r="FW41" s="289">
        <f>[5]Calc_FlrSpace!CR65</f>
        <v>2379.586249206428</v>
      </c>
      <c r="FX41" s="341"/>
      <c r="FY41" s="341"/>
      <c r="FZ41" s="282"/>
      <c r="GA41" s="282"/>
      <c r="GB41" s="282"/>
      <c r="GC41" s="2"/>
      <c r="GD41" s="11">
        <v>2003</v>
      </c>
      <c r="GE41" s="2">
        <f t="shared" ref="GE41:GK41" si="99">+DF49+DF50</f>
        <v>3952.0801250583518</v>
      </c>
      <c r="GF41" s="2">
        <f t="shared" si="99"/>
        <v>1050.1968396302289</v>
      </c>
      <c r="GG41" s="2">
        <f t="shared" si="99"/>
        <v>2007.868930397442</v>
      </c>
      <c r="GH41" s="2">
        <f t="shared" si="99"/>
        <v>1541.817621832912</v>
      </c>
      <c r="GI41" s="2">
        <f t="shared" si="99"/>
        <v>1631.7741238111209</v>
      </c>
      <c r="GJ41" s="2">
        <f t="shared" si="99"/>
        <v>1258.7987117941766</v>
      </c>
      <c r="GK41" s="2">
        <f t="shared" si="99"/>
        <v>1019.3699046644313</v>
      </c>
      <c r="IO41" s="11">
        <v>2003</v>
      </c>
      <c r="IP41" s="2">
        <f t="shared" ref="IP41:IV41" si="100">DF52</f>
        <v>0</v>
      </c>
      <c r="IQ41" s="2">
        <f t="shared" si="100"/>
        <v>0</v>
      </c>
      <c r="IR41" s="2">
        <f t="shared" si="100"/>
        <v>15.5184297164</v>
      </c>
      <c r="IS41" s="2">
        <f t="shared" si="100"/>
        <v>57.426724546499997</v>
      </c>
      <c r="IT41" s="2">
        <f t="shared" si="100"/>
        <v>182.90038664458001</v>
      </c>
      <c r="IU41" s="2">
        <f t="shared" si="100"/>
        <v>138.356057300863</v>
      </c>
      <c r="IV41" s="2">
        <f t="shared" si="100"/>
        <v>139.10882736506397</v>
      </c>
      <c r="IW41" s="2"/>
      <c r="IX41" s="11">
        <f t="shared" si="88"/>
        <v>2003</v>
      </c>
      <c r="IY41" s="2">
        <f t="shared" si="83"/>
        <v>394.201598208343</v>
      </c>
      <c r="IZ41">
        <f t="shared" si="89"/>
        <v>380.74605211457765</v>
      </c>
      <c r="JA41">
        <f t="shared" si="84"/>
        <v>5.9768624490187294</v>
      </c>
      <c r="JB41">
        <v>6</v>
      </c>
      <c r="JC41">
        <f t="shared" si="85"/>
        <v>5.9768624490187294</v>
      </c>
      <c r="JD41">
        <f t="shared" si="90"/>
        <v>5.9421326230139062</v>
      </c>
      <c r="JF41">
        <v>49.541780842549002</v>
      </c>
      <c r="JG41">
        <v>5</v>
      </c>
      <c r="JI41" s="11">
        <f t="shared" si="91"/>
        <v>2003</v>
      </c>
      <c r="JJ41" s="2">
        <f t="shared" si="92"/>
        <v>533.31042557340697</v>
      </c>
      <c r="JK41">
        <f t="shared" si="93"/>
        <v>517.98540452965688</v>
      </c>
      <c r="JL41">
        <f t="shared" si="94"/>
        <v>6.2791036665874351</v>
      </c>
      <c r="JM41">
        <v>4</v>
      </c>
      <c r="JN41">
        <f t="shared" si="95"/>
        <v>6.2791036665874351</v>
      </c>
      <c r="JO41">
        <f t="shared" si="96"/>
        <v>6.2499470652788416</v>
      </c>
      <c r="JQ41">
        <v>0.78929982467278625</v>
      </c>
      <c r="JR41">
        <v>5.9667995835297034E-2</v>
      </c>
    </row>
    <row r="42" spans="3:290" x14ac:dyDescent="0.2">
      <c r="BW42" t="s">
        <v>11</v>
      </c>
      <c r="BX42" s="2">
        <v>569.66612943971893</v>
      </c>
      <c r="BY42" s="2">
        <v>1000</v>
      </c>
      <c r="BZ42" s="2">
        <v>1652.6839744023978</v>
      </c>
      <c r="CA42" s="2">
        <v>1044.0925214760912</v>
      </c>
      <c r="CB42" s="2">
        <v>1086.1157134393454</v>
      </c>
      <c r="CC42" s="2">
        <v>1036.7341753399519</v>
      </c>
      <c r="CD42" s="2">
        <v>1963.859675601703</v>
      </c>
      <c r="CE42" s="2"/>
      <c r="CF42" s="2">
        <v>1403.206735468015</v>
      </c>
      <c r="CG42" s="282"/>
      <c r="CI42" t="s">
        <v>11</v>
      </c>
      <c r="CJ42" s="2">
        <v>1921.7670081651272</v>
      </c>
      <c r="CK42" s="2">
        <v>2052.680884835378</v>
      </c>
      <c r="CL42" s="2">
        <v>2194.2044939276047</v>
      </c>
      <c r="CM42" s="2">
        <v>1905.4109552276498</v>
      </c>
      <c r="CN42" s="2">
        <v>1342.4423475239992</v>
      </c>
      <c r="CO42" s="2">
        <v>2026.6614813336591</v>
      </c>
      <c r="CP42" s="2">
        <v>1944.7026530374189</v>
      </c>
      <c r="CQ42" s="2"/>
      <c r="CR42" s="2">
        <v>1899.2893925318444</v>
      </c>
      <c r="CT42" t="s">
        <v>11</v>
      </c>
      <c r="CU42" s="2">
        <v>1860.0931002167501</v>
      </c>
      <c r="CV42" s="2">
        <v>2491.8182200312103</v>
      </c>
      <c r="CW42" s="2">
        <v>2388.9293841524432</v>
      </c>
      <c r="CX42" s="2">
        <v>1787.2633473440887</v>
      </c>
      <c r="CY42" s="2">
        <v>1330.5675720615639</v>
      </c>
      <c r="CZ42" s="2">
        <v>1766.4491308992499</v>
      </c>
      <c r="DA42" s="2">
        <v>2066.39652552798</v>
      </c>
      <c r="DB42" s="2">
        <v>1509.1734708160209</v>
      </c>
      <c r="DC42" s="2">
        <v>1868.9150363476845</v>
      </c>
      <c r="DE42" t="s">
        <v>11</v>
      </c>
      <c r="DF42" s="2">
        <v>2045.9251597922307</v>
      </c>
      <c r="DG42" s="2">
        <v>2998.1391753988814</v>
      </c>
      <c r="DH42" s="2">
        <v>2667.6161539954669</v>
      </c>
      <c r="DI42" s="2">
        <v>1946.7298641972382</v>
      </c>
      <c r="DJ42" s="2">
        <v>1361.2666376631598</v>
      </c>
      <c r="DK42" s="2">
        <v>1855.938143760756</v>
      </c>
      <c r="DL42" s="2">
        <v>2277.1477302699741</v>
      </c>
      <c r="DM42" s="2">
        <v>1699.2000086480855</v>
      </c>
      <c r="DN42" s="2">
        <v>2045.9414256332182</v>
      </c>
      <c r="DQ42" s="2">
        <v>2114.7419154253771</v>
      </c>
      <c r="DR42" s="2">
        <v>2783.1440033161198</v>
      </c>
      <c r="DS42" s="2">
        <v>2107.4484541909246</v>
      </c>
      <c r="DT42" s="2">
        <v>2607.3704678834765</v>
      </c>
      <c r="DU42" s="2">
        <v>2023.0348964361619</v>
      </c>
      <c r="DV42" s="2">
        <v>1947.4416123972064</v>
      </c>
      <c r="DW42" s="2">
        <v>2324.698192258264</v>
      </c>
      <c r="DX42" s="2">
        <v>2024.6216569233452</v>
      </c>
      <c r="DY42" s="2">
        <v>2160.8410615194007</v>
      </c>
      <c r="EB42" s="2">
        <v>1929.2558536142271</v>
      </c>
      <c r="EC42" s="2">
        <v>2126.0244036251397</v>
      </c>
      <c r="ED42" s="2">
        <v>2395.8793001603735</v>
      </c>
      <c r="EE42" s="2">
        <v>1733.3046919310341</v>
      </c>
      <c r="EF42" s="2">
        <v>2174.4345228096909</v>
      </c>
      <c r="EG42" s="2">
        <v>1869.9941937931685</v>
      </c>
      <c r="EH42" s="2">
        <v>2211.1920180796083</v>
      </c>
      <c r="EI42" s="2">
        <v>2143.0863569864109</v>
      </c>
      <c r="EJ42" s="2">
        <v>2019.6827089735923</v>
      </c>
      <c r="EL42" t="s">
        <v>11</v>
      </c>
      <c r="EM42" s="2">
        <v>1910.6521501876539</v>
      </c>
      <c r="EN42" s="2">
        <v>2370.0373906186428</v>
      </c>
      <c r="EO42" s="2">
        <v>2502.1683176987353</v>
      </c>
      <c r="EP42" s="2">
        <v>1848.9950430005067</v>
      </c>
      <c r="EQ42" s="2">
        <v>2072.4271464382059</v>
      </c>
      <c r="ER42" s="2">
        <v>2241.2273296777353</v>
      </c>
      <c r="ES42" s="2">
        <v>1670.2688171600535</v>
      </c>
      <c r="ET42" s="2">
        <v>1969.7503745904223</v>
      </c>
      <c r="EU42" s="2">
        <v>2033.6896289018155</v>
      </c>
      <c r="EX42" s="2"/>
      <c r="EY42" s="282"/>
      <c r="EZ42" s="280" t="s">
        <v>11</v>
      </c>
      <c r="FA42" s="282">
        <v>2019.1734036040505</v>
      </c>
      <c r="FB42" s="282">
        <v>2110.3427847907315</v>
      </c>
      <c r="FC42" s="282">
        <v>1611.7545127097032</v>
      </c>
      <c r="FD42" s="282">
        <v>1588.6778064334508</v>
      </c>
      <c r="FE42" s="282">
        <v>1802.840512422413</v>
      </c>
      <c r="FF42" s="282">
        <v>1782.3956931056466</v>
      </c>
      <c r="FG42" s="282">
        <v>2148.5375731677082</v>
      </c>
      <c r="FH42" s="282">
        <v>1935.4024177323679</v>
      </c>
      <c r="FI42" s="418">
        <v>1910.0665667281885</v>
      </c>
      <c r="FJ42" s="282"/>
      <c r="FK42" s="282"/>
      <c r="FL42" s="282"/>
      <c r="FM42" s="282"/>
      <c r="FN42" s="341" t="s">
        <v>11</v>
      </c>
      <c r="FO42" s="344">
        <v>1910.6521501876539</v>
      </c>
      <c r="FP42" s="344">
        <v>2370.0373906186428</v>
      </c>
      <c r="FQ42" s="344">
        <v>2502.1683176987353</v>
      </c>
      <c r="FR42" s="344">
        <v>1848.9950430005067</v>
      </c>
      <c r="FS42" s="344">
        <v>2072.4271464382059</v>
      </c>
      <c r="FT42" s="344">
        <v>2241.2273296777353</v>
      </c>
      <c r="FU42" s="344">
        <v>1670.2688171600535</v>
      </c>
      <c r="FV42" s="344">
        <v>1969.7503745904223</v>
      </c>
      <c r="FW42" s="289">
        <f>[5]Calc_FlrSpace!CR66</f>
        <v>2073.2421531362961</v>
      </c>
      <c r="FX42" s="341"/>
      <c r="FY42" s="341"/>
      <c r="FZ42" s="282"/>
      <c r="GA42" s="282"/>
      <c r="GB42" s="282"/>
      <c r="GC42" s="2"/>
      <c r="GD42" s="11">
        <v>2005</v>
      </c>
      <c r="GE42" s="2">
        <f t="shared" ref="GE42:GK42" si="101">DQ49+DQ50</f>
        <v>3837.5597019804004</v>
      </c>
      <c r="GF42" s="2">
        <f t="shared" si="101"/>
        <v>1076.1962966029996</v>
      </c>
      <c r="GG42" s="2">
        <f t="shared" si="101"/>
        <v>1966.7296659490255</v>
      </c>
      <c r="GH42" s="2">
        <f t="shared" si="101"/>
        <v>1573.9074047468864</v>
      </c>
      <c r="GI42" s="2">
        <f t="shared" si="101"/>
        <v>1582.641625937438</v>
      </c>
      <c r="GJ42" s="2">
        <f t="shared" si="101"/>
        <v>1253.6771078849401</v>
      </c>
      <c r="GK42" s="2">
        <f t="shared" si="101"/>
        <v>1021.4593680488304</v>
      </c>
      <c r="IO42" s="11">
        <v>2005</v>
      </c>
      <c r="IP42" s="2">
        <f t="shared" ref="IP42:IV42" si="102">DQ52</f>
        <v>3.9643303808000003</v>
      </c>
      <c r="IQ42" s="2">
        <f t="shared" si="102"/>
        <v>0</v>
      </c>
      <c r="IR42" s="2">
        <f t="shared" si="102"/>
        <v>10.975235672499998</v>
      </c>
      <c r="IS42" s="2">
        <f t="shared" si="102"/>
        <v>35.652492219099997</v>
      </c>
      <c r="IT42" s="2">
        <f t="shared" si="102"/>
        <v>134.53489271110001</v>
      </c>
      <c r="IU42" s="2">
        <f t="shared" si="102"/>
        <v>139.32110178460002</v>
      </c>
      <c r="IV42" s="2">
        <f t="shared" si="102"/>
        <v>121.61865734086999</v>
      </c>
      <c r="IW42" s="2"/>
      <c r="IX42" s="11">
        <f t="shared" si="88"/>
        <v>2005</v>
      </c>
      <c r="IY42" s="2">
        <f t="shared" si="83"/>
        <v>324.44805276810007</v>
      </c>
      <c r="IZ42">
        <f t="shared" si="89"/>
        <v>354.54963587364472</v>
      </c>
      <c r="JA42">
        <f t="shared" si="84"/>
        <v>5.7821254394097776</v>
      </c>
      <c r="JB42">
        <v>8</v>
      </c>
      <c r="JC42">
        <f t="shared" si="85"/>
        <v>5.7821254394097776</v>
      </c>
      <c r="JD42">
        <f t="shared" si="90"/>
        <v>5.8708483527395918</v>
      </c>
      <c r="JF42">
        <v>0.14228052127916119</v>
      </c>
      <c r="JG42">
        <v>1.4359649457429621E-2</v>
      </c>
      <c r="JI42" s="11">
        <f t="shared" si="91"/>
        <v>2005</v>
      </c>
      <c r="JJ42" s="2">
        <f t="shared" si="92"/>
        <v>446.06671010897003</v>
      </c>
      <c r="JK42">
        <f t="shared" si="93"/>
        <v>490.16109977483404</v>
      </c>
      <c r="JL42">
        <f t="shared" si="94"/>
        <v>6.100468515070312</v>
      </c>
      <c r="JM42">
        <v>6</v>
      </c>
      <c r="JN42">
        <f t="shared" si="95"/>
        <v>6.100468515070312</v>
      </c>
      <c r="JO42">
        <f t="shared" si="96"/>
        <v>6.1947341121206803</v>
      </c>
      <c r="JQ42">
        <v>14.984322124023238</v>
      </c>
      <c r="JR42">
        <v>4</v>
      </c>
    </row>
    <row r="43" spans="3:290" x14ac:dyDescent="0.2">
      <c r="BW43" t="s">
        <v>12</v>
      </c>
      <c r="BX43" s="2">
        <v>398.54619078395547</v>
      </c>
      <c r="BY43" s="2">
        <v>643.79230126477398</v>
      </c>
      <c r="BZ43" s="9">
        <v>571.52443804956965</v>
      </c>
      <c r="CA43" s="2">
        <v>411.35572895975235</v>
      </c>
      <c r="CB43" s="2">
        <v>879.97628878351281</v>
      </c>
      <c r="CC43" s="9">
        <v>1494.7708936169854</v>
      </c>
      <c r="CD43" s="2">
        <v>1003.2881146985171</v>
      </c>
      <c r="CE43" s="2"/>
      <c r="CF43" s="2">
        <v>604.72277629057885</v>
      </c>
      <c r="CG43" s="282"/>
      <c r="CI43" t="s">
        <v>12</v>
      </c>
      <c r="CJ43" s="2">
        <v>1029.222826983287</v>
      </c>
      <c r="CK43" s="2">
        <v>1252.1560606501989</v>
      </c>
      <c r="CL43" s="9">
        <v>847.0435276179029</v>
      </c>
      <c r="CM43" s="2">
        <v>834.80608273530891</v>
      </c>
      <c r="CN43" s="2">
        <v>887.8167361507609</v>
      </c>
      <c r="CO43" s="9">
        <v>1112.0832790721031</v>
      </c>
      <c r="CP43" s="2">
        <v>963.82584946065754</v>
      </c>
      <c r="CQ43" s="2"/>
      <c r="CR43" s="2">
        <v>990.88623916643144</v>
      </c>
      <c r="CT43" t="s">
        <v>12</v>
      </c>
      <c r="CU43" s="2">
        <v>1029.8637171927305</v>
      </c>
      <c r="CV43" s="2">
        <v>1302.3793517392135</v>
      </c>
      <c r="CW43" s="9">
        <v>856.87470175282465</v>
      </c>
      <c r="CX43" s="2">
        <v>933.80967103881756</v>
      </c>
      <c r="CY43" s="2">
        <v>1011.2931093605507</v>
      </c>
      <c r="CZ43" s="9">
        <v>1340.7660316708968</v>
      </c>
      <c r="DA43" s="2">
        <v>1122.7551918675035</v>
      </c>
      <c r="DB43" s="2">
        <v>1095.495987001156</v>
      </c>
      <c r="DC43" s="2">
        <v>1050.9509896070183</v>
      </c>
      <c r="DE43" t="s">
        <v>12</v>
      </c>
      <c r="DF43" s="2">
        <v>1072.2646930223402</v>
      </c>
      <c r="DG43" s="2">
        <v>1185.8042126330611</v>
      </c>
      <c r="DH43" s="9">
        <v>910.60037524665108</v>
      </c>
      <c r="DI43" s="2">
        <v>1027.7542232058356</v>
      </c>
      <c r="DJ43" s="2">
        <v>1074.8776853918357</v>
      </c>
      <c r="DK43" s="9">
        <v>1183.4497209094943</v>
      </c>
      <c r="DL43" s="2">
        <v>1147.0126538468376</v>
      </c>
      <c r="DM43" s="2">
        <v>1398.5458959977441</v>
      </c>
      <c r="DN43" s="2">
        <v>1077.9719147620899</v>
      </c>
      <c r="DQ43" s="2">
        <v>1146.2609903257658</v>
      </c>
      <c r="DR43" s="2">
        <v>994.85936772908622</v>
      </c>
      <c r="DS43" s="2">
        <v>888.36663654213748</v>
      </c>
      <c r="DT43" s="2">
        <v>988.97889920819262</v>
      </c>
      <c r="DU43" s="2">
        <v>1004.6649336068803</v>
      </c>
      <c r="DV43" s="2">
        <v>1129.9235544962462</v>
      </c>
      <c r="DW43" s="2">
        <v>1139.7546294469105</v>
      </c>
      <c r="DX43" s="2">
        <v>1146.8028766024927</v>
      </c>
      <c r="DY43" s="2">
        <v>1071.2828122143608</v>
      </c>
      <c r="EB43" s="2">
        <v>1197.550372784056</v>
      </c>
      <c r="EC43" s="2">
        <v>994.7207639988743</v>
      </c>
      <c r="ED43" s="2">
        <v>887.46655477179581</v>
      </c>
      <c r="EE43" s="2">
        <v>1014.7713455999723</v>
      </c>
      <c r="EF43" s="2">
        <v>989.05485934276862</v>
      </c>
      <c r="EG43" s="2">
        <v>1112.3670336954842</v>
      </c>
      <c r="EH43" s="2">
        <v>1216.9481664194086</v>
      </c>
      <c r="EI43" s="2">
        <v>1307.002741926631</v>
      </c>
      <c r="EJ43" s="2">
        <v>1097.5144470014764</v>
      </c>
      <c r="EL43" t="s">
        <v>12</v>
      </c>
      <c r="EM43" s="2">
        <v>1169.5087221504559</v>
      </c>
      <c r="EN43" s="2">
        <v>934.18195841603699</v>
      </c>
      <c r="EO43" s="9">
        <v>999.58389064870335</v>
      </c>
      <c r="EP43" s="2">
        <v>1027.5300655564793</v>
      </c>
      <c r="EQ43" s="2">
        <v>1110.2173256828071</v>
      </c>
      <c r="ER43" s="9">
        <v>1054.0660479428582</v>
      </c>
      <c r="ES43" s="2">
        <v>1519.9254339333606</v>
      </c>
      <c r="ET43" s="2">
        <v>1656.4762081689112</v>
      </c>
      <c r="EU43" s="2">
        <v>1134.9234553996093</v>
      </c>
      <c r="EX43" s="2"/>
      <c r="EY43" s="282"/>
      <c r="EZ43" s="280" t="s">
        <v>12</v>
      </c>
      <c r="FA43" s="282">
        <v>1182.9652152022395</v>
      </c>
      <c r="FB43" s="282">
        <v>949.80947535677819</v>
      </c>
      <c r="FC43" s="9">
        <v>923.02979079118916</v>
      </c>
      <c r="FD43" s="282">
        <v>942.51660209683598</v>
      </c>
      <c r="FE43" s="282">
        <v>1064.666675821579</v>
      </c>
      <c r="FF43" s="9">
        <v>1099.0234246063958</v>
      </c>
      <c r="FG43" s="282">
        <v>1112.0440532767057</v>
      </c>
      <c r="FH43" s="282">
        <v>1161.6603758584579</v>
      </c>
      <c r="FI43" s="418">
        <v>1087.2095258828892</v>
      </c>
      <c r="FJ43" s="282"/>
      <c r="FK43" s="282"/>
      <c r="FL43" s="282"/>
      <c r="FM43" s="282"/>
      <c r="FN43" s="341" t="s">
        <v>12</v>
      </c>
      <c r="FO43" s="344">
        <v>1169.5087221504559</v>
      </c>
      <c r="FP43" s="344">
        <v>934.18195841603699</v>
      </c>
      <c r="FQ43" s="349">
        <v>999.58389064870335</v>
      </c>
      <c r="FR43" s="344">
        <v>1027.5300655564793</v>
      </c>
      <c r="FS43" s="344">
        <v>1110.2173256828071</v>
      </c>
      <c r="FT43" s="349">
        <v>1054.0660479428582</v>
      </c>
      <c r="FU43" s="344">
        <v>1519.9254339333606</v>
      </c>
      <c r="FV43" s="344">
        <v>1656.4762081689112</v>
      </c>
      <c r="FW43" s="289">
        <f>[5]Calc_FlrSpace!CR67</f>
        <v>1187.8280450664031</v>
      </c>
      <c r="FX43" s="341"/>
      <c r="FY43" s="341"/>
      <c r="FZ43" s="282"/>
      <c r="GA43" s="282"/>
      <c r="GB43" s="282"/>
      <c r="GC43" s="2"/>
      <c r="GD43" s="11">
        <v>2007</v>
      </c>
      <c r="GE43" s="2">
        <f t="shared" ref="GE43:GK43" si="103">EB49+EB50</f>
        <v>3838.8155989882907</v>
      </c>
      <c r="GF43" s="2">
        <f t="shared" si="103"/>
        <v>1024.6662113347998</v>
      </c>
      <c r="GG43" s="2">
        <f t="shared" si="103"/>
        <v>1941.7820054073793</v>
      </c>
      <c r="GH43" s="2">
        <f t="shared" si="103"/>
        <v>1578.4786719647791</v>
      </c>
      <c r="GI43" s="2">
        <f t="shared" si="103"/>
        <v>1578.7532121854515</v>
      </c>
      <c r="GJ43" s="2">
        <f t="shared" si="103"/>
        <v>1228.8853323121393</v>
      </c>
      <c r="GK43" s="2">
        <f t="shared" si="103"/>
        <v>992.56267831437822</v>
      </c>
      <c r="IO43" s="11">
        <v>2007</v>
      </c>
      <c r="IP43" s="2">
        <f t="shared" ref="IP43:IV43" si="104">EB52</f>
        <v>5.8985212209000002</v>
      </c>
      <c r="IQ43" s="2">
        <f t="shared" si="104"/>
        <v>0</v>
      </c>
      <c r="IR43" s="2">
        <f t="shared" si="104"/>
        <v>2.7000711617000004</v>
      </c>
      <c r="IS43" s="2">
        <f t="shared" si="104"/>
        <v>36.691980205599997</v>
      </c>
      <c r="IT43" s="2">
        <f t="shared" si="104"/>
        <v>150.28208755769998</v>
      </c>
      <c r="IU43" s="2">
        <f t="shared" si="104"/>
        <v>141.64761489512003</v>
      </c>
      <c r="IV43" s="2">
        <f t="shared" si="104"/>
        <v>139.53129337002002</v>
      </c>
      <c r="IW43" s="2"/>
      <c r="IX43" s="11">
        <f t="shared" si="88"/>
        <v>2007</v>
      </c>
      <c r="IY43" s="2">
        <f t="shared" si="83"/>
        <v>337.22027504102005</v>
      </c>
      <c r="IZ43">
        <f t="shared" si="89"/>
        <v>330.15560791765114</v>
      </c>
      <c r="JA43">
        <f t="shared" si="84"/>
        <v>5.8207363519625144</v>
      </c>
      <c r="JB43">
        <v>10</v>
      </c>
      <c r="JC43">
        <f t="shared" si="85"/>
        <v>5.8207363519625144</v>
      </c>
      <c r="JD43">
        <f t="shared" si="90"/>
        <v>5.7995640824652774</v>
      </c>
      <c r="JF43" t="e">
        <v>#N/A</v>
      </c>
      <c r="JG43" t="e">
        <v>#N/A</v>
      </c>
      <c r="JI43" s="11">
        <f t="shared" si="91"/>
        <v>2007</v>
      </c>
      <c r="JJ43" s="2">
        <f t="shared" si="92"/>
        <v>476.75156841104007</v>
      </c>
      <c r="JK43">
        <f t="shared" si="93"/>
        <v>463.83141615859813</v>
      </c>
      <c r="JL43">
        <f t="shared" si="94"/>
        <v>6.1669955342727887</v>
      </c>
      <c r="JM43">
        <v>8</v>
      </c>
      <c r="JN43">
        <f t="shared" si="95"/>
        <v>6.1669955342727887</v>
      </c>
      <c r="JO43">
        <f t="shared" si="96"/>
        <v>6.1395211589625198</v>
      </c>
      <c r="JQ43">
        <v>5.334822843779162E-2</v>
      </c>
      <c r="JR43">
        <v>1.4241078908004096E-2</v>
      </c>
    </row>
    <row r="44" spans="3:290" x14ac:dyDescent="0.2">
      <c r="BW44" t="s">
        <v>13</v>
      </c>
      <c r="BX44" s="2">
        <v>3911.2198634309675</v>
      </c>
      <c r="BY44" s="2">
        <v>0</v>
      </c>
      <c r="BZ44" s="2">
        <v>875.74449152319369</v>
      </c>
      <c r="CA44" s="2">
        <v>1019.6131167326884</v>
      </c>
      <c r="CB44" s="2">
        <v>1071.1578038197849</v>
      </c>
      <c r="CC44" s="2">
        <v>1107.0319753704032</v>
      </c>
      <c r="CD44" s="2">
        <v>1240.1946670735426</v>
      </c>
      <c r="CE44" s="2"/>
      <c r="CF44" s="2">
        <v>1127.9319573968608</v>
      </c>
      <c r="CG44" s="282"/>
      <c r="CI44" t="s">
        <v>13</v>
      </c>
      <c r="CJ44" s="2">
        <v>0</v>
      </c>
      <c r="CK44" s="2">
        <v>455</v>
      </c>
      <c r="CL44" s="2">
        <v>585.16723788644947</v>
      </c>
      <c r="CM44" s="2">
        <v>944.83387556221032</v>
      </c>
      <c r="CN44" s="2">
        <v>1019.0334057520248</v>
      </c>
      <c r="CO44" s="2">
        <v>1067.8283683405405</v>
      </c>
      <c r="CP44" s="2">
        <v>1333.6965587211043</v>
      </c>
      <c r="CQ44" s="2"/>
      <c r="CR44" s="2">
        <v>1084.9488020130298</v>
      </c>
      <c r="CT44" t="s">
        <v>13</v>
      </c>
      <c r="CU44" s="2">
        <v>0</v>
      </c>
      <c r="CV44" s="2">
        <v>455</v>
      </c>
      <c r="CW44" s="2">
        <v>656.08548400309098</v>
      </c>
      <c r="CX44" s="2">
        <v>1057.3520879950761</v>
      </c>
      <c r="CY44" s="2">
        <v>1118.3834770760263</v>
      </c>
      <c r="CZ44" s="2">
        <v>1065.9251343853036</v>
      </c>
      <c r="DA44" s="2">
        <v>1309.8327746359671</v>
      </c>
      <c r="DB44" s="2">
        <v>1000</v>
      </c>
      <c r="DC44" s="2">
        <v>1128.1798328257446</v>
      </c>
      <c r="DE44" t="s">
        <v>13</v>
      </c>
      <c r="DF44" s="2">
        <v>0</v>
      </c>
      <c r="DG44" s="2">
        <v>0</v>
      </c>
      <c r="DH44" s="2">
        <v>842.71697399387278</v>
      </c>
      <c r="DI44" s="2">
        <v>770.58986947374478</v>
      </c>
      <c r="DJ44" s="2">
        <v>1167.9732448515122</v>
      </c>
      <c r="DK44" s="2">
        <v>1111.7255046047135</v>
      </c>
      <c r="DL44" s="2">
        <v>1339.2261356407914</v>
      </c>
      <c r="DM44" s="2">
        <v>1212.1149093051079</v>
      </c>
      <c r="DN44" s="2">
        <v>1147.7561169149653</v>
      </c>
      <c r="DQ44" s="2">
        <v>1069.301781243711</v>
      </c>
      <c r="DR44" s="2">
        <v>0</v>
      </c>
      <c r="DS44" s="2">
        <v>633.76683216231868</v>
      </c>
      <c r="DT44" s="2">
        <v>814.09742386597281</v>
      </c>
      <c r="DU44" s="2">
        <v>1407.1604979987492</v>
      </c>
      <c r="DV44" s="2">
        <v>1169.0061005364164</v>
      </c>
      <c r="DW44" s="2">
        <v>1785.701869677182</v>
      </c>
      <c r="DX44" s="2">
        <v>1019.1219597025703</v>
      </c>
      <c r="DY44" s="2">
        <v>1344.8769310665832</v>
      </c>
      <c r="EB44" s="2">
        <v>1142.3930243387081</v>
      </c>
      <c r="EC44" s="2">
        <v>0</v>
      </c>
      <c r="ED44" s="2">
        <v>500</v>
      </c>
      <c r="EE44" s="2">
        <v>797.96038965046159</v>
      </c>
      <c r="EF44" s="2">
        <v>1513.4016881530645</v>
      </c>
      <c r="EG44" s="2">
        <v>1113.4263813528337</v>
      </c>
      <c r="EH44" s="2">
        <v>1914.6318084052407</v>
      </c>
      <c r="EI44" s="2">
        <v>1104.2535627650925</v>
      </c>
      <c r="EJ44" s="2">
        <v>1404.6079882966685</v>
      </c>
      <c r="EL44" t="s">
        <v>13</v>
      </c>
      <c r="EM44" s="2">
        <v>1143.3329051336095</v>
      </c>
      <c r="EN44" s="2">
        <v>0</v>
      </c>
      <c r="EO44" s="2">
        <v>816.00192275361235</v>
      </c>
      <c r="EP44" s="2">
        <v>885.68985234591355</v>
      </c>
      <c r="EQ44" s="2">
        <v>1399.4768775502416</v>
      </c>
      <c r="ER44" s="2">
        <v>1515.0515226991904</v>
      </c>
      <c r="ES44" s="2">
        <v>1890.4838121483313</v>
      </c>
      <c r="ET44" s="2">
        <v>1115.203497592024</v>
      </c>
      <c r="EU44" s="2">
        <v>1435.2578677670426</v>
      </c>
      <c r="EX44" s="2"/>
      <c r="EY44" s="282"/>
      <c r="EZ44" s="280" t="s">
        <v>13</v>
      </c>
      <c r="FA44" s="282">
        <v>1041.0653421565132</v>
      </c>
      <c r="FB44" s="282">
        <v>1285.3162052727246</v>
      </c>
      <c r="FC44" s="282">
        <v>1000.0000000000001</v>
      </c>
      <c r="FD44" s="282">
        <v>892.73740351543802</v>
      </c>
      <c r="FE44" s="282">
        <v>1579.4242594032071</v>
      </c>
      <c r="FF44" s="282">
        <v>1080.460628692312</v>
      </c>
      <c r="FG44" s="282">
        <v>1463.4350746894484</v>
      </c>
      <c r="FH44" s="282">
        <v>1282.0421154974579</v>
      </c>
      <c r="FI44" s="418">
        <v>1349.0645648422774</v>
      </c>
      <c r="FJ44" s="282"/>
      <c r="FK44" s="282"/>
      <c r="FL44" s="282"/>
      <c r="FM44" s="282"/>
      <c r="FN44" s="341" t="s">
        <v>13</v>
      </c>
      <c r="FO44" s="344">
        <v>1143.3329051336095</v>
      </c>
      <c r="FP44" s="344">
        <v>0</v>
      </c>
      <c r="FQ44" s="344">
        <v>816.00192275361235</v>
      </c>
      <c r="FR44" s="344">
        <v>885.68985234591355</v>
      </c>
      <c r="FS44" s="344">
        <v>1399.4768775502416</v>
      </c>
      <c r="FT44" s="344">
        <v>1515.0515226991904</v>
      </c>
      <c r="FU44" s="344">
        <v>1890.4838121483313</v>
      </c>
      <c r="FV44" s="344">
        <v>1115.203497592024</v>
      </c>
      <c r="FW44" s="289">
        <f>[5]Calc_FlrSpace!CR68</f>
        <v>1312.4324328693742</v>
      </c>
      <c r="FX44" s="341"/>
      <c r="FY44" s="341"/>
      <c r="FZ44" s="282"/>
      <c r="GA44" s="282"/>
      <c r="GB44" s="282"/>
      <c r="GC44" s="2"/>
      <c r="GD44" s="11">
        <v>2009</v>
      </c>
      <c r="GE44" s="2">
        <f t="shared" ref="GE44:GK44" si="105">EM49+EM50</f>
        <v>3762.345614003124</v>
      </c>
      <c r="GF44" s="2">
        <f t="shared" si="105"/>
        <v>1077.8683946548497</v>
      </c>
      <c r="GG44" s="2">
        <f t="shared" si="105"/>
        <v>2020.6937320146315</v>
      </c>
      <c r="GH44" s="2">
        <f t="shared" si="105"/>
        <v>1636.8857329182306</v>
      </c>
      <c r="GI44" s="2">
        <f t="shared" si="105"/>
        <v>1640.5573725734723</v>
      </c>
      <c r="GJ44" s="2">
        <f t="shared" si="105"/>
        <v>1242.4398017930905</v>
      </c>
      <c r="GK44" s="2">
        <f t="shared" si="105"/>
        <v>993.90140449153012</v>
      </c>
      <c r="IO44" s="11">
        <v>2009</v>
      </c>
      <c r="IP44" s="2">
        <f t="shared" ref="IP44:IV44" si="106">EM52</f>
        <v>5.4507617287999999</v>
      </c>
      <c r="IQ44" s="2">
        <f t="shared" si="106"/>
        <v>0</v>
      </c>
      <c r="IR44" s="2">
        <f t="shared" si="106"/>
        <v>7.7761686695999996</v>
      </c>
      <c r="IS44" s="2">
        <f t="shared" si="106"/>
        <v>48.503877125599999</v>
      </c>
      <c r="IT44" s="2">
        <f t="shared" si="106"/>
        <v>131.49698185357997</v>
      </c>
      <c r="IU44" s="2">
        <f t="shared" si="106"/>
        <v>119.20339831189999</v>
      </c>
      <c r="IV44" s="2">
        <f t="shared" si="106"/>
        <v>131.91044816774999</v>
      </c>
      <c r="IW44" s="2"/>
      <c r="IX44" s="11">
        <f t="shared" si="88"/>
        <v>2009</v>
      </c>
      <c r="IY44" s="2">
        <f t="shared" si="83"/>
        <v>312.43118768947994</v>
      </c>
      <c r="IZ44">
        <f t="shared" si="89"/>
        <v>307.43995878286717</v>
      </c>
      <c r="JA44">
        <f t="shared" si="84"/>
        <v>5.744384245535346</v>
      </c>
      <c r="JB44">
        <v>12</v>
      </c>
      <c r="JC44">
        <f t="shared" si="85"/>
        <v>5.744384245535346</v>
      </c>
      <c r="JD44">
        <f t="shared" si="90"/>
        <v>5.7282798121909639</v>
      </c>
      <c r="JI44" s="11">
        <f t="shared" si="91"/>
        <v>2009</v>
      </c>
      <c r="JJ44" s="2">
        <f t="shared" si="92"/>
        <v>444.3416358572299</v>
      </c>
      <c r="JK44">
        <f t="shared" si="93"/>
        <v>438.91606803257048</v>
      </c>
      <c r="JL44">
        <f t="shared" si="94"/>
        <v>6.0965937166861348</v>
      </c>
      <c r="JM44">
        <v>10</v>
      </c>
      <c r="JN44">
        <f t="shared" si="95"/>
        <v>6.0965937166861348</v>
      </c>
      <c r="JO44">
        <f t="shared" si="96"/>
        <v>6.0843082058043594</v>
      </c>
    </row>
    <row r="45" spans="3:290" x14ac:dyDescent="0.2">
      <c r="BW45" t="s">
        <v>14</v>
      </c>
      <c r="BX45" s="2">
        <v>2272.982218927224</v>
      </c>
      <c r="BY45" s="2">
        <v>2061.4428630257266</v>
      </c>
      <c r="BZ45" s="2">
        <v>2164.4829437205967</v>
      </c>
      <c r="CA45" s="2">
        <v>2182.5110101062619</v>
      </c>
      <c r="CB45" s="2">
        <v>2115.8127951908577</v>
      </c>
      <c r="CC45" s="2">
        <v>2241.5694430771669</v>
      </c>
      <c r="CD45" s="2">
        <v>2295.2990866123559</v>
      </c>
      <c r="CE45" s="2"/>
      <c r="CF45" s="2">
        <v>2199.7881097701138</v>
      </c>
      <c r="CG45" s="282"/>
      <c r="CI45" t="s">
        <v>14</v>
      </c>
      <c r="CJ45" s="2">
        <v>1998.6268118158755</v>
      </c>
      <c r="CK45" s="2">
        <v>1950.4438118680862</v>
      </c>
      <c r="CL45" s="2">
        <v>2113.0831657638837</v>
      </c>
      <c r="CM45" s="2">
        <v>1952.2967517350062</v>
      </c>
      <c r="CN45" s="2">
        <v>1811.5953193071007</v>
      </c>
      <c r="CO45" s="2">
        <v>2182.4266724971635</v>
      </c>
      <c r="CP45" s="2">
        <v>2381.9108156434704</v>
      </c>
      <c r="CQ45" s="2"/>
      <c r="CR45" s="2">
        <v>2029.2482985305569</v>
      </c>
      <c r="CT45" t="s">
        <v>14</v>
      </c>
      <c r="CU45" s="2">
        <v>1985.7516210001581</v>
      </c>
      <c r="CV45" s="2">
        <v>1850.2619987073876</v>
      </c>
      <c r="CW45" s="2">
        <v>2011.9630405511798</v>
      </c>
      <c r="CX45" s="2">
        <v>1900.9846761695651</v>
      </c>
      <c r="CY45" s="2">
        <v>1846.8736892705158</v>
      </c>
      <c r="CZ45" s="2">
        <v>2134.7004418293759</v>
      </c>
      <c r="DA45" s="2">
        <v>2263.7044251127772</v>
      </c>
      <c r="DB45" s="2">
        <v>2499.4969548729587</v>
      </c>
      <c r="DC45" s="2">
        <v>1989.026853406293</v>
      </c>
      <c r="DE45" t="s">
        <v>14</v>
      </c>
      <c r="DF45" s="2">
        <v>1981.2760499670626</v>
      </c>
      <c r="DG45" s="2">
        <v>1918.0170686414676</v>
      </c>
      <c r="DH45" s="2">
        <v>2032.7888235829487</v>
      </c>
      <c r="DI45" s="2">
        <v>1922.1956498566042</v>
      </c>
      <c r="DJ45" s="2">
        <v>1844.3245056552898</v>
      </c>
      <c r="DK45" s="2">
        <v>2082.9937500470155</v>
      </c>
      <c r="DL45" s="2">
        <v>2345.1487848959537</v>
      </c>
      <c r="DM45" s="2">
        <v>2560.9678187024829</v>
      </c>
      <c r="DN45" s="2">
        <v>2006.8390557639086</v>
      </c>
      <c r="DQ45" s="2">
        <v>1965.8801226099583</v>
      </c>
      <c r="DR45" s="2">
        <v>1876.699391947139</v>
      </c>
      <c r="DS45" s="2">
        <v>1984.4174645261664</v>
      </c>
      <c r="DT45" s="2">
        <v>1905.2615546778495</v>
      </c>
      <c r="DU45" s="2">
        <v>1816.5650651412777</v>
      </c>
      <c r="DV45" s="2">
        <v>2152.8270129856937</v>
      </c>
      <c r="DW45" s="2">
        <v>2455.6938971538139</v>
      </c>
      <c r="DX45" s="2">
        <v>2706.1144139220878</v>
      </c>
      <c r="DY45" s="2">
        <v>2013.1909920073026</v>
      </c>
      <c r="EB45" s="2">
        <v>1953.8079949273392</v>
      </c>
      <c r="EC45" s="2">
        <v>1807.1069015473613</v>
      </c>
      <c r="ED45" s="2">
        <v>1935.4415520889302</v>
      </c>
      <c r="EE45" s="2">
        <v>1853.4217510257124</v>
      </c>
      <c r="EF45" s="2">
        <v>1834.5463186673246</v>
      </c>
      <c r="EG45" s="2">
        <v>2069.6372269891863</v>
      </c>
      <c r="EH45" s="2">
        <v>2424.4854119644783</v>
      </c>
      <c r="EI45" s="2">
        <v>2443.2293487961424</v>
      </c>
      <c r="EJ45" s="2">
        <v>1978.5197338673963</v>
      </c>
      <c r="EL45" t="s">
        <v>14</v>
      </c>
      <c r="EM45" s="2">
        <v>1869.4890409895447</v>
      </c>
      <c r="EN45" s="2">
        <v>1870.1172557883594</v>
      </c>
      <c r="EO45" s="2">
        <v>1851.4798823490094</v>
      </c>
      <c r="EP45" s="2">
        <v>1917.766469607523</v>
      </c>
      <c r="EQ45" s="2">
        <v>1886.9316261243905</v>
      </c>
      <c r="ER45" s="2">
        <v>2208.7113206838239</v>
      </c>
      <c r="ES45" s="2">
        <v>2596.4399351784214</v>
      </c>
      <c r="ET45" s="2">
        <v>2400.7890653987879</v>
      </c>
      <c r="EU45" s="2">
        <v>1991.4041534246026</v>
      </c>
      <c r="EX45" s="2"/>
      <c r="EY45" s="282"/>
      <c r="EZ45" s="280" t="s">
        <v>14</v>
      </c>
      <c r="FA45" s="282">
        <v>1857.9498709772954</v>
      </c>
      <c r="FB45" s="282">
        <v>1776.7005624649203</v>
      </c>
      <c r="FC45" s="282">
        <v>1831.4504678801543</v>
      </c>
      <c r="FD45" s="282">
        <v>1809.6378779476797</v>
      </c>
      <c r="FE45" s="282">
        <v>1807.9692218547282</v>
      </c>
      <c r="FF45" s="282">
        <v>1994.2535008811903</v>
      </c>
      <c r="FG45" s="282">
        <v>2375.6116601696431</v>
      </c>
      <c r="FH45" s="282">
        <v>2569.8157007511727</v>
      </c>
      <c r="FI45" s="418">
        <v>1941.6285381945227</v>
      </c>
      <c r="FJ45" s="282"/>
      <c r="FK45" s="282"/>
      <c r="FL45" s="282"/>
      <c r="FM45" s="282"/>
      <c r="FN45" s="341" t="s">
        <v>14</v>
      </c>
      <c r="FO45" s="344">
        <v>1869.4890409895447</v>
      </c>
      <c r="FP45" s="344">
        <v>1870.1172557883594</v>
      </c>
      <c r="FQ45" s="344">
        <v>1851.4798823490094</v>
      </c>
      <c r="FR45" s="344">
        <v>1917.766469607523</v>
      </c>
      <c r="FS45" s="344">
        <v>1886.9316261243905</v>
      </c>
      <c r="FT45" s="344">
        <v>2208.7113206838239</v>
      </c>
      <c r="FU45" s="344">
        <v>2596.4399351784214</v>
      </c>
      <c r="FV45" s="344">
        <v>2400.7890653987879</v>
      </c>
      <c r="FW45" s="289">
        <f>[5]Calc_FlrSpace!CR69</f>
        <v>1952.5754993754019</v>
      </c>
      <c r="FX45" s="341"/>
      <c r="FY45" s="341"/>
      <c r="FZ45" s="282"/>
      <c r="GA45" s="282"/>
      <c r="GB45" s="282"/>
      <c r="GC45" s="2"/>
      <c r="GD45" s="11">
        <v>2011</v>
      </c>
      <c r="GE45" s="282">
        <f t="shared" ref="GE45:GK45" si="107">FA49+FA50</f>
        <v>3608.0243905412726</v>
      </c>
      <c r="GF45" s="282">
        <f t="shared" si="107"/>
        <v>1104.9860836844466</v>
      </c>
      <c r="GG45" s="282">
        <f t="shared" si="107"/>
        <v>2028.223108706989</v>
      </c>
      <c r="GH45" s="282">
        <f t="shared" si="107"/>
        <v>1602.4815738595444</v>
      </c>
      <c r="GI45" s="282">
        <f t="shared" si="107"/>
        <v>1614.3478941172984</v>
      </c>
      <c r="GJ45" s="282">
        <f t="shared" si="107"/>
        <v>1267.6221935443054</v>
      </c>
      <c r="GK45" s="282">
        <f t="shared" si="107"/>
        <v>1009.7828993199162</v>
      </c>
      <c r="IO45" s="14" t="s">
        <v>39</v>
      </c>
      <c r="IP45" s="12" t="e">
        <f>IP44/IP39</f>
        <v>#DIV/0!</v>
      </c>
      <c r="IQ45" s="12">
        <f t="shared" ref="IQ45:IV45" si="108">IQ44/IQ39</f>
        <v>0</v>
      </c>
      <c r="IR45" s="12">
        <f t="shared" si="108"/>
        <v>0.41104571725523642</v>
      </c>
      <c r="IS45" s="12">
        <f t="shared" si="108"/>
        <v>0.80515928324108577</v>
      </c>
      <c r="IT45" s="12">
        <f t="shared" si="108"/>
        <v>0.74089985958465343</v>
      </c>
      <c r="IU45" s="12">
        <f t="shared" si="108"/>
        <v>0.74203619330659687</v>
      </c>
      <c r="IV45" s="12">
        <f t="shared" si="108"/>
        <v>0.92092783814708701</v>
      </c>
      <c r="IW45" s="12"/>
      <c r="IY45" s="2"/>
    </row>
    <row r="46" spans="3:290" x14ac:dyDescent="0.2">
      <c r="BX46" s="2"/>
      <c r="BY46" s="2"/>
      <c r="BZ46" s="2"/>
      <c r="CA46" s="2"/>
      <c r="CB46" s="2"/>
      <c r="CC46" s="2"/>
      <c r="CD46" s="2"/>
      <c r="CE46" s="2"/>
      <c r="CF46" s="2"/>
      <c r="CG46" s="282"/>
      <c r="CJ46" s="2"/>
      <c r="CK46" s="2"/>
      <c r="CL46" s="2"/>
      <c r="CM46" s="2"/>
      <c r="CN46" s="2"/>
      <c r="CO46" s="2"/>
      <c r="CP46" s="2"/>
      <c r="CQ46" s="2"/>
      <c r="CR46" s="2"/>
      <c r="CU46" s="2"/>
      <c r="CV46" s="2"/>
      <c r="CW46" s="2"/>
      <c r="CX46" s="2"/>
      <c r="CY46" s="2"/>
      <c r="CZ46" s="2"/>
      <c r="DA46" s="2"/>
      <c r="DB46" s="2"/>
      <c r="DC46" s="2"/>
      <c r="DF46" s="2"/>
      <c r="DG46" s="2"/>
      <c r="DH46" s="2"/>
      <c r="DI46" s="2"/>
      <c r="DJ46" s="2"/>
      <c r="DK46" s="2"/>
      <c r="DL46" s="2"/>
      <c r="DM46" s="2"/>
      <c r="DN46" s="2"/>
      <c r="DQ46" s="2"/>
      <c r="DR46" s="2"/>
      <c r="DS46" s="2"/>
      <c r="DT46" s="2"/>
      <c r="DU46" s="2"/>
      <c r="DV46" s="2"/>
      <c r="DW46" s="2"/>
      <c r="DX46" s="2"/>
      <c r="DY46" s="2"/>
      <c r="EB46" s="2"/>
      <c r="EC46" s="2"/>
      <c r="ED46" s="2"/>
      <c r="EE46" s="2"/>
      <c r="EF46" s="2"/>
      <c r="EG46" s="2"/>
      <c r="EH46" s="2"/>
      <c r="EI46" s="2"/>
      <c r="EJ46" s="2"/>
      <c r="EK46" s="1"/>
      <c r="EM46" s="2"/>
      <c r="EN46" s="2"/>
      <c r="EO46" s="2"/>
      <c r="EP46" s="2"/>
      <c r="EQ46" s="2"/>
      <c r="ER46" s="2"/>
      <c r="ES46" s="2"/>
      <c r="ET46" s="2"/>
      <c r="EU46" s="2"/>
      <c r="EX46" s="2"/>
      <c r="EY46" s="282"/>
      <c r="FA46" s="282"/>
      <c r="FB46" s="282"/>
      <c r="FC46" s="282"/>
      <c r="FD46" s="282"/>
      <c r="FE46" s="282"/>
      <c r="FF46" s="282"/>
      <c r="FG46" s="282"/>
      <c r="FH46" s="282"/>
      <c r="FI46" s="418"/>
      <c r="FJ46" s="282"/>
      <c r="FK46" s="282"/>
      <c r="FL46" s="282"/>
      <c r="FM46" s="282"/>
      <c r="FN46" s="341"/>
      <c r="FO46" s="344"/>
      <c r="FP46" s="344"/>
      <c r="FQ46" s="344"/>
      <c r="FR46" s="344"/>
      <c r="FS46" s="344"/>
      <c r="FT46" s="344"/>
      <c r="FU46" s="344"/>
      <c r="FV46" s="344"/>
      <c r="FW46" s="289">
        <f>[5]Calc_FlrSpace!CR70</f>
        <v>0</v>
      </c>
      <c r="FX46" s="341"/>
      <c r="FY46" s="341"/>
      <c r="FZ46" s="282"/>
      <c r="GA46" s="282"/>
      <c r="GB46" s="282"/>
      <c r="GC46" s="2"/>
      <c r="GD46" s="14" t="s">
        <v>557</v>
      </c>
      <c r="GE46" s="12">
        <f>GE45/GE39</f>
        <v>0.88887964497487482</v>
      </c>
      <c r="GF46" s="12">
        <f t="shared" ref="GF46:GK46" si="109">GF45/GF39</f>
        <v>1.043566046566248</v>
      </c>
      <c r="GG46" s="12">
        <f t="shared" si="109"/>
        <v>1.0166106659103966</v>
      </c>
      <c r="GH46" s="12">
        <f t="shared" si="109"/>
        <v>1.0040824373911541</v>
      </c>
      <c r="GI46" s="12">
        <f t="shared" si="109"/>
        <v>1.0468006551386069</v>
      </c>
      <c r="GJ46" s="12">
        <f t="shared" si="109"/>
        <v>0.97960233289152543</v>
      </c>
      <c r="GK46" s="12">
        <f t="shared" si="109"/>
        <v>0.98369558033676596</v>
      </c>
    </row>
    <row r="47" spans="3:290" x14ac:dyDescent="0.2">
      <c r="BW47" s="1" t="s">
        <v>15</v>
      </c>
      <c r="BX47" s="2"/>
      <c r="BY47" s="2"/>
      <c r="BZ47" s="2"/>
      <c r="CA47" s="2"/>
      <c r="CB47" s="2"/>
      <c r="CC47" s="2"/>
      <c r="CD47" s="2"/>
      <c r="CE47" s="2"/>
      <c r="CF47" s="2"/>
      <c r="CG47" s="282"/>
      <c r="CI47" s="1" t="s">
        <v>15</v>
      </c>
      <c r="CJ47" s="2"/>
      <c r="CK47" s="2"/>
      <c r="CL47" s="2"/>
      <c r="CM47" s="2"/>
      <c r="CN47" s="2"/>
      <c r="CO47" s="2"/>
      <c r="CP47" s="2"/>
      <c r="CQ47" s="2"/>
      <c r="CR47" s="2"/>
      <c r="CT47" s="1" t="s">
        <v>15</v>
      </c>
      <c r="CU47" s="2"/>
      <c r="CV47" s="2"/>
      <c r="CW47" s="2"/>
      <c r="CX47" s="2"/>
      <c r="CY47" s="2"/>
      <c r="CZ47" s="2"/>
      <c r="DA47" s="2"/>
      <c r="DB47" s="2"/>
      <c r="DC47" s="2"/>
      <c r="DE47" s="1" t="s">
        <v>15</v>
      </c>
      <c r="DF47" s="2"/>
      <c r="DG47" s="2"/>
      <c r="DH47" s="2"/>
      <c r="DI47" s="2"/>
      <c r="DJ47" s="2"/>
      <c r="DK47" s="2"/>
      <c r="DL47" s="2"/>
      <c r="DM47" s="2"/>
      <c r="DN47" s="2"/>
      <c r="DQ47" s="2"/>
      <c r="DR47" s="2"/>
      <c r="DS47" s="2"/>
      <c r="DT47" s="2"/>
      <c r="DU47" s="2"/>
      <c r="DV47" s="2"/>
      <c r="DW47" s="2"/>
      <c r="DX47" s="2"/>
      <c r="DY47" s="2"/>
      <c r="EB47" s="2"/>
      <c r="EC47" s="2"/>
      <c r="ED47" s="2"/>
      <c r="EE47" s="2"/>
      <c r="EF47" s="2"/>
      <c r="EG47" s="2"/>
      <c r="EH47" s="2"/>
      <c r="EI47" s="2"/>
      <c r="EJ47" s="2"/>
      <c r="EL47" s="1" t="s">
        <v>15</v>
      </c>
      <c r="EM47" s="2"/>
      <c r="EN47" s="2"/>
      <c r="EO47" s="2"/>
      <c r="EP47" s="2"/>
      <c r="EQ47" s="2"/>
      <c r="ER47" s="2"/>
      <c r="ES47" s="2"/>
      <c r="ET47" s="2"/>
      <c r="EU47" s="2"/>
      <c r="EX47" s="2"/>
      <c r="EY47" s="282"/>
      <c r="EZ47" s="281" t="s">
        <v>15</v>
      </c>
      <c r="FA47" s="282"/>
      <c r="FB47" s="282"/>
      <c r="FC47" s="282"/>
      <c r="FD47" s="282"/>
      <c r="FE47" s="282"/>
      <c r="FF47" s="282"/>
      <c r="FG47" s="282"/>
      <c r="FH47" s="282"/>
      <c r="FI47" s="418"/>
      <c r="FJ47" s="282"/>
      <c r="FK47" s="282"/>
      <c r="FL47" s="282"/>
      <c r="FM47" s="282"/>
      <c r="FN47" s="342" t="s">
        <v>15</v>
      </c>
      <c r="FO47" s="344"/>
      <c r="FP47" s="344"/>
      <c r="FQ47" s="344"/>
      <c r="FR47" s="344"/>
      <c r="FS47" s="344"/>
      <c r="FT47" s="344"/>
      <c r="FU47" s="344"/>
      <c r="FV47" s="344"/>
      <c r="FW47" s="289">
        <f>[5]Calc_FlrSpace!CR71</f>
        <v>0</v>
      </c>
      <c r="FX47" s="341"/>
      <c r="FY47" s="341"/>
      <c r="FZ47" s="282"/>
      <c r="GA47" s="282"/>
      <c r="GB47" s="282"/>
      <c r="GC47" s="2"/>
      <c r="GD47" s="14" t="s">
        <v>39</v>
      </c>
      <c r="GE47" s="12">
        <f t="shared" ref="GE47:GK47" si="110">GE44/GE39</f>
        <v>0.92689851055751027</v>
      </c>
      <c r="GF47" s="12">
        <f t="shared" si="110"/>
        <v>1.0179556792046345</v>
      </c>
      <c r="GG47" s="12">
        <f t="shared" si="110"/>
        <v>1.0128367001073999</v>
      </c>
      <c r="GH47" s="12">
        <f t="shared" si="110"/>
        <v>1.0256393853445953</v>
      </c>
      <c r="GI47" s="12">
        <f t="shared" si="110"/>
        <v>1.063795814186258</v>
      </c>
      <c r="GJ47" s="12">
        <f t="shared" si="110"/>
        <v>0.96014170035218493</v>
      </c>
      <c r="GK47" s="12">
        <f t="shared" si="110"/>
        <v>0.96822437728673783</v>
      </c>
    </row>
    <row r="48" spans="3:290" x14ac:dyDescent="0.2">
      <c r="BW48" t="s">
        <v>9</v>
      </c>
      <c r="BX48" s="2">
        <v>3120.7420977488505</v>
      </c>
      <c r="BY48" s="2">
        <v>905.21898368234019</v>
      </c>
      <c r="BZ48" s="2">
        <v>1851.4827163799832</v>
      </c>
      <c r="CA48" s="2">
        <v>1508.3438074994024</v>
      </c>
      <c r="CB48" s="2">
        <v>1539.8980204730497</v>
      </c>
      <c r="CC48" s="2">
        <v>1150.1912921570593</v>
      </c>
      <c r="CD48" s="2">
        <v>753.96967396435207</v>
      </c>
      <c r="CE48" s="2"/>
      <c r="CF48" s="2">
        <v>10829.846591905032</v>
      </c>
      <c r="CG48" s="282"/>
      <c r="CI48" t="s">
        <v>9</v>
      </c>
      <c r="CJ48" s="2">
        <v>3244.5886189150201</v>
      </c>
      <c r="CK48" s="2">
        <v>903.35470855006895</v>
      </c>
      <c r="CL48" s="2">
        <v>1862.1629403678733</v>
      </c>
      <c r="CM48" s="2">
        <v>1520.3298077927327</v>
      </c>
      <c r="CN48" s="2">
        <v>1506.9625338963663</v>
      </c>
      <c r="CO48" s="2">
        <v>1168.7538600320192</v>
      </c>
      <c r="CP48" s="2">
        <v>980.21330427975033</v>
      </c>
      <c r="CQ48" s="2"/>
      <c r="CR48" s="2">
        <v>11186.365773833848</v>
      </c>
      <c r="CT48" t="s">
        <v>9</v>
      </c>
      <c r="CU48" s="2">
        <v>3335.7066718034694</v>
      </c>
      <c r="CV48" s="2">
        <v>981.53240605429926</v>
      </c>
      <c r="CW48" s="2">
        <v>1938.9035966827912</v>
      </c>
      <c r="CX48" s="2">
        <v>1568.5744311545004</v>
      </c>
      <c r="CY48" s="2">
        <v>1569.2521657369764</v>
      </c>
      <c r="CZ48" s="2">
        <v>1156.3158833485825</v>
      </c>
      <c r="DA48" s="2">
        <v>1001.6404973684585</v>
      </c>
      <c r="DB48" s="2">
        <v>153.26424682634999</v>
      </c>
      <c r="DC48" s="2">
        <v>11705.18989897545</v>
      </c>
      <c r="DE48" t="s">
        <v>9</v>
      </c>
      <c r="DF48" s="2">
        <v>3233.927376888752</v>
      </c>
      <c r="DG48" s="2">
        <v>914.89501444079895</v>
      </c>
      <c r="DH48" s="2">
        <v>1892.5742991213024</v>
      </c>
      <c r="DI48" s="2">
        <v>1499.0759526933125</v>
      </c>
      <c r="DJ48" s="2">
        <v>1592.4842439781924</v>
      </c>
      <c r="DK48" s="2">
        <v>1133.661820048663</v>
      </c>
      <c r="DL48" s="2">
        <v>963.55204778110567</v>
      </c>
      <c r="DM48" s="2">
        <v>327.20459295492964</v>
      </c>
      <c r="DN48" s="2">
        <v>11557.375347907044</v>
      </c>
      <c r="DQ48" s="2">
        <v>3107.7212922003209</v>
      </c>
      <c r="DR48" s="2">
        <v>959.20980348370961</v>
      </c>
      <c r="DS48" s="2">
        <v>1861.9523722697254</v>
      </c>
      <c r="DT48" s="2">
        <v>1517.0741855501863</v>
      </c>
      <c r="DU48" s="2">
        <v>1508.4934929510771</v>
      </c>
      <c r="DV48" s="2">
        <v>1127.5404564884004</v>
      </c>
      <c r="DW48" s="2">
        <v>961.17044611533061</v>
      </c>
      <c r="DX48" s="2">
        <v>495.26127762506962</v>
      </c>
      <c r="DY48" s="2">
        <v>11538.423326683882</v>
      </c>
      <c r="EB48" s="2">
        <v>3100.9930282928203</v>
      </c>
      <c r="EC48" s="2">
        <v>897.19477586389974</v>
      </c>
      <c r="ED48" s="2">
        <v>1853.2654031362995</v>
      </c>
      <c r="EE48" s="2">
        <v>1507.9545030448789</v>
      </c>
      <c r="EF48" s="2">
        <v>1533.2062566426014</v>
      </c>
      <c r="EG48" s="2">
        <v>1120.0991951028193</v>
      </c>
      <c r="EH48" s="2">
        <v>976.06018394217722</v>
      </c>
      <c r="EI48" s="2">
        <v>663.11673483154016</v>
      </c>
      <c r="EJ48" s="2">
        <v>11651.890080857105</v>
      </c>
      <c r="EL48" t="s">
        <v>9</v>
      </c>
      <c r="EM48" s="2">
        <v>3178.0971715811229</v>
      </c>
      <c r="EN48" s="2">
        <v>943.19966798267978</v>
      </c>
      <c r="EO48" s="2">
        <v>1883.1886051939618</v>
      </c>
      <c r="EP48" s="2">
        <v>1540.9355776537407</v>
      </c>
      <c r="EQ48" s="2">
        <v>1540.5319031701204</v>
      </c>
      <c r="ER48" s="2">
        <v>1108.7573138176808</v>
      </c>
      <c r="ES48" s="2">
        <v>971.44700651606047</v>
      </c>
      <c r="ET48" s="2">
        <v>805.05156168164876</v>
      </c>
      <c r="EU48" s="2">
        <v>11971.208807597</v>
      </c>
      <c r="EW48">
        <v>11971.208807597015</v>
      </c>
      <c r="EX48" s="2"/>
      <c r="EY48" s="282"/>
      <c r="EZ48" s="280" t="s">
        <v>9</v>
      </c>
      <c r="FA48" s="282">
        <v>3006.7886999783905</v>
      </c>
      <c r="FB48" s="282">
        <v>987.87906323811444</v>
      </c>
      <c r="FC48" s="282">
        <v>1911.3637666591487</v>
      </c>
      <c r="FD48" s="282">
        <v>1529.8976340873523</v>
      </c>
      <c r="FE48" s="282">
        <v>1545.237555971461</v>
      </c>
      <c r="FF48" s="282">
        <v>1128.9457438774305</v>
      </c>
      <c r="FG48" s="282">
        <v>980.2217297708354</v>
      </c>
      <c r="FH48" s="282">
        <v>905.68822624530901</v>
      </c>
      <c r="FI48" s="418">
        <v>12055.701508083133</v>
      </c>
      <c r="FJ48" s="282"/>
      <c r="FK48" s="282"/>
      <c r="FL48" s="282"/>
      <c r="FM48" s="282"/>
      <c r="FN48" s="341" t="s">
        <v>9</v>
      </c>
      <c r="FO48" s="344">
        <v>3178.0971715811229</v>
      </c>
      <c r="FP48" s="344">
        <v>943.19966798267978</v>
      </c>
      <c r="FQ48" s="344">
        <v>1883.1886051939618</v>
      </c>
      <c r="FR48" s="344">
        <v>1540.9355776537407</v>
      </c>
      <c r="FS48" s="344">
        <v>1540.5319031701204</v>
      </c>
      <c r="FT48" s="344">
        <v>1108.7573138176808</v>
      </c>
      <c r="FU48" s="344">
        <v>971.44700651606047</v>
      </c>
      <c r="FV48" s="344">
        <v>805.05156168164876</v>
      </c>
      <c r="FW48" s="289">
        <f>[5]Calc_FlrSpace!CR72</f>
        <v>12164.999355791728</v>
      </c>
      <c r="FX48" s="341"/>
      <c r="FY48" s="341">
        <v>11971.208807597015</v>
      </c>
      <c r="FZ48" s="282"/>
      <c r="GA48" s="282"/>
      <c r="GB48" s="282"/>
      <c r="GC48" s="2"/>
    </row>
    <row r="49" spans="75:271" x14ac:dyDescent="0.2">
      <c r="BW49" t="s">
        <v>10</v>
      </c>
      <c r="BX49" s="2">
        <v>3109.9595131363503</v>
      </c>
      <c r="BY49" s="2">
        <v>902.50388742114012</v>
      </c>
      <c r="BZ49" s="2">
        <v>1830.9232037357838</v>
      </c>
      <c r="CA49" s="2">
        <v>1445.0417165490019</v>
      </c>
      <c r="CB49" s="2">
        <v>1310.8853747046592</v>
      </c>
      <c r="CC49" s="2">
        <v>997.62108611169924</v>
      </c>
      <c r="CD49" s="2">
        <v>641.07118889423998</v>
      </c>
      <c r="CE49" s="2"/>
      <c r="CF49" s="2">
        <v>10238.005970552878</v>
      </c>
      <c r="CG49" s="282"/>
      <c r="CI49" t="s">
        <v>10</v>
      </c>
      <c r="CJ49" s="2">
        <v>3244.5886189150201</v>
      </c>
      <c r="CK49" s="2">
        <v>901.27998479946893</v>
      </c>
      <c r="CL49" s="2">
        <v>1843.2449262804735</v>
      </c>
      <c r="CM49" s="2">
        <v>1460.0884640795314</v>
      </c>
      <c r="CN49" s="2">
        <v>1329.4797335523403</v>
      </c>
      <c r="CO49" s="2">
        <v>1008.1102157096092</v>
      </c>
      <c r="CP49" s="2">
        <v>836.97683915870971</v>
      </c>
      <c r="CQ49" s="2"/>
      <c r="CR49" s="2">
        <v>10623.76878249517</v>
      </c>
      <c r="CT49" t="s">
        <v>10</v>
      </c>
      <c r="CU49" s="2">
        <v>3335.7066718034694</v>
      </c>
      <c r="CV49" s="2">
        <v>979.71094633029918</v>
      </c>
      <c r="CW49" s="2">
        <v>1922.0084329447914</v>
      </c>
      <c r="CX49" s="2">
        <v>1499.1736674859003</v>
      </c>
      <c r="CY49" s="2">
        <v>1370.2335956485315</v>
      </c>
      <c r="CZ49" s="2">
        <v>1014.8582657848995</v>
      </c>
      <c r="DA49" s="2">
        <v>852.95919035834959</v>
      </c>
      <c r="DB49" s="2">
        <v>146.25443392314997</v>
      </c>
      <c r="DC49" s="2">
        <v>11120.905204279412</v>
      </c>
      <c r="DE49" t="s">
        <v>10</v>
      </c>
      <c r="DF49" s="2">
        <v>3233.927376888752</v>
      </c>
      <c r="DG49" s="2">
        <v>914.89501444079895</v>
      </c>
      <c r="DH49" s="2">
        <v>1877.0558694049021</v>
      </c>
      <c r="DI49" s="2">
        <v>1441.649228146812</v>
      </c>
      <c r="DJ49" s="2">
        <v>1409.5838573336109</v>
      </c>
      <c r="DK49" s="2">
        <v>995.30576274780049</v>
      </c>
      <c r="DL49" s="2">
        <v>824.4432204160413</v>
      </c>
      <c r="DM49" s="2">
        <v>292.81166547572985</v>
      </c>
      <c r="DN49" s="2">
        <v>10989.671994854443</v>
      </c>
      <c r="DQ49" s="2">
        <v>3103.7569618195207</v>
      </c>
      <c r="DR49" s="2">
        <v>959.20980348370961</v>
      </c>
      <c r="DS49" s="2">
        <v>1850.9771365972256</v>
      </c>
      <c r="DT49" s="2">
        <v>1481.4216933310863</v>
      </c>
      <c r="DU49" s="2">
        <v>1373.9586002399778</v>
      </c>
      <c r="DV49" s="2">
        <v>988.21935470380026</v>
      </c>
      <c r="DW49" s="2">
        <v>839.55178877446031</v>
      </c>
      <c r="DX49" s="2">
        <v>446.73830566196972</v>
      </c>
      <c r="DY49" s="2">
        <v>11043.833644611805</v>
      </c>
      <c r="EB49" s="2">
        <v>3095.0945070719208</v>
      </c>
      <c r="EC49" s="2">
        <v>897.19477586389974</v>
      </c>
      <c r="ED49" s="2">
        <v>1850.5653319745993</v>
      </c>
      <c r="EE49" s="2">
        <v>1471.2625228392792</v>
      </c>
      <c r="EF49" s="2">
        <v>1382.9241690849015</v>
      </c>
      <c r="EG49" s="2">
        <v>978.45158020769941</v>
      </c>
      <c r="EH49" s="2">
        <v>836.52889057215816</v>
      </c>
      <c r="EI49" s="2">
        <v>592.25274713353974</v>
      </c>
      <c r="EJ49" s="2">
        <v>11104.274524748083</v>
      </c>
      <c r="EL49" t="s">
        <v>10</v>
      </c>
      <c r="EM49" s="2">
        <v>3172.6464098523234</v>
      </c>
      <c r="EN49" s="2">
        <v>943.19966798267978</v>
      </c>
      <c r="EO49" s="2">
        <v>1875.4124365243615</v>
      </c>
      <c r="EP49" s="2">
        <v>1492.4317005281407</v>
      </c>
      <c r="EQ49" s="2">
        <v>1409.0349213165423</v>
      </c>
      <c r="ER49" s="2">
        <v>989.55391550578042</v>
      </c>
      <c r="ES49" s="2">
        <v>839.53655834831011</v>
      </c>
      <c r="ET49" s="2">
        <v>708.92615908777907</v>
      </c>
      <c r="EU49" s="2">
        <v>11430.741769145907</v>
      </c>
      <c r="EW49">
        <v>11430.74176914592</v>
      </c>
      <c r="EX49" s="2"/>
      <c r="EY49" s="282"/>
      <c r="EZ49" s="280" t="s">
        <v>10</v>
      </c>
      <c r="FA49" s="282">
        <v>2999.8348920383901</v>
      </c>
      <c r="FB49" s="282">
        <v>987.7021305131226</v>
      </c>
      <c r="FC49" s="282">
        <v>1904.6267533263483</v>
      </c>
      <c r="FD49" s="282">
        <v>1488.8590189208389</v>
      </c>
      <c r="FE49" s="282">
        <v>1392.6176456708079</v>
      </c>
      <c r="FF49" s="282">
        <v>979.28760861335354</v>
      </c>
      <c r="FG49" s="282">
        <v>831.49971065925365</v>
      </c>
      <c r="FH49" s="282">
        <v>814.95097176755712</v>
      </c>
      <c r="FI49" s="418">
        <v>11462.411066629147</v>
      </c>
      <c r="FJ49" s="282"/>
      <c r="FK49" s="282"/>
      <c r="FL49" s="282"/>
      <c r="FM49" s="282"/>
      <c r="FN49" s="341" t="s">
        <v>10</v>
      </c>
      <c r="FO49" s="344">
        <v>3172.6464098523234</v>
      </c>
      <c r="FP49" s="344">
        <v>943.19966798267978</v>
      </c>
      <c r="FQ49" s="344">
        <v>1875.4124365243615</v>
      </c>
      <c r="FR49" s="344">
        <v>1492.4317005281407</v>
      </c>
      <c r="FS49" s="344">
        <v>1409.0349213165423</v>
      </c>
      <c r="FT49" s="344">
        <v>989.55391550578042</v>
      </c>
      <c r="FU49" s="344">
        <v>839.53655834831011</v>
      </c>
      <c r="FV49" s="344">
        <v>708.92615908777907</v>
      </c>
      <c r="FW49" s="289">
        <f>[5]Calc_FlrSpace!CR73</f>
        <v>11621.561292813496</v>
      </c>
      <c r="FX49" s="341"/>
      <c r="FY49" s="341">
        <v>11430.74176914592</v>
      </c>
      <c r="FZ49" s="282"/>
      <c r="GA49" s="282"/>
      <c r="GB49" s="282"/>
      <c r="GC49" s="2"/>
    </row>
    <row r="50" spans="75:271" x14ac:dyDescent="0.2">
      <c r="BW50" t="s">
        <v>11</v>
      </c>
      <c r="BX50" s="2">
        <v>676.91321928287971</v>
      </c>
      <c r="BY50" s="2">
        <v>99.920403914200008</v>
      </c>
      <c r="BZ50" s="2">
        <v>115.46642957990001</v>
      </c>
      <c r="CA50" s="2">
        <v>86.227031080000003</v>
      </c>
      <c r="CB50" s="2">
        <v>165.77290268030001</v>
      </c>
      <c r="CC50" s="2">
        <v>280.76821175049986</v>
      </c>
      <c r="CD50" s="2">
        <v>161.10371722870002</v>
      </c>
      <c r="CE50" s="2"/>
      <c r="CF50" s="2">
        <v>1586.1719155164826</v>
      </c>
      <c r="CG50" s="282"/>
      <c r="CI50" t="s">
        <v>11</v>
      </c>
      <c r="CJ50" s="2">
        <v>814.48103234609937</v>
      </c>
      <c r="CK50" s="2">
        <v>157.57593267724002</v>
      </c>
      <c r="CL50" s="2">
        <v>151.83851787232996</v>
      </c>
      <c r="CM50" s="2">
        <v>135.87767792687001</v>
      </c>
      <c r="CN50" s="2">
        <v>212.69344545043995</v>
      </c>
      <c r="CO50" s="2">
        <v>285.90690836421999</v>
      </c>
      <c r="CP50" s="2">
        <v>189.5428682635999</v>
      </c>
      <c r="CQ50" s="2"/>
      <c r="CR50" s="2">
        <v>1947.9163829007998</v>
      </c>
      <c r="CT50" t="s">
        <v>11</v>
      </c>
      <c r="CU50" s="2">
        <v>834.99187496670982</v>
      </c>
      <c r="CV50" s="2">
        <v>125.32178346970002</v>
      </c>
      <c r="CW50" s="2">
        <v>136.73215451137997</v>
      </c>
      <c r="CX50" s="2">
        <v>115.710514347</v>
      </c>
      <c r="CY50" s="2">
        <v>213.38859882467005</v>
      </c>
      <c r="CZ50" s="2">
        <v>279.39081652296005</v>
      </c>
      <c r="DA50" s="2">
        <v>187.48222823915003</v>
      </c>
      <c r="DB50" s="2">
        <v>26.997095974199997</v>
      </c>
      <c r="DC50" s="2">
        <v>1920.015066855769</v>
      </c>
      <c r="DE50" t="s">
        <v>11</v>
      </c>
      <c r="DF50" s="2">
        <v>718.15274816959982</v>
      </c>
      <c r="DG50" s="2">
        <v>135.30182518942999</v>
      </c>
      <c r="DH50" s="2">
        <v>130.81306099254002</v>
      </c>
      <c r="DI50" s="2">
        <v>100.16839368609999</v>
      </c>
      <c r="DJ50" s="2">
        <v>222.19026647750994</v>
      </c>
      <c r="DK50" s="2">
        <v>263.492949046376</v>
      </c>
      <c r="DL50" s="2">
        <v>194.9266842483899</v>
      </c>
      <c r="DM50" s="2">
        <v>63.281710146270008</v>
      </c>
      <c r="DN50" s="2">
        <v>1828.3276379562194</v>
      </c>
      <c r="DQ50" s="2">
        <v>733.80274016087981</v>
      </c>
      <c r="DR50" s="2">
        <v>116.98649311929002</v>
      </c>
      <c r="DS50" s="2">
        <v>115.75252935180001</v>
      </c>
      <c r="DT50" s="2">
        <v>92.485711415799997</v>
      </c>
      <c r="DU50" s="2">
        <v>208.6830256974601</v>
      </c>
      <c r="DV50" s="2">
        <v>265.45775318113994</v>
      </c>
      <c r="DW50" s="2">
        <v>181.90757927436999</v>
      </c>
      <c r="DX50" s="2">
        <v>109.72354116529003</v>
      </c>
      <c r="DY50" s="2">
        <v>1824.7993733660301</v>
      </c>
      <c r="EB50" s="2">
        <v>743.72109191636969</v>
      </c>
      <c r="EC50" s="2">
        <v>127.47143547090002</v>
      </c>
      <c r="ED50" s="2">
        <v>91.216673432780013</v>
      </c>
      <c r="EE50" s="2">
        <v>107.21614912549997</v>
      </c>
      <c r="EF50" s="2">
        <v>195.82904310055</v>
      </c>
      <c r="EG50" s="2">
        <v>250.43375210443998</v>
      </c>
      <c r="EH50" s="2">
        <v>156.03378774222003</v>
      </c>
      <c r="EI50" s="2">
        <v>161.96964983107006</v>
      </c>
      <c r="EJ50" s="2">
        <v>1833.8915827238291</v>
      </c>
      <c r="EL50" t="s">
        <v>11</v>
      </c>
      <c r="EM50" s="2">
        <v>589.69920415080048</v>
      </c>
      <c r="EN50" s="2">
        <v>134.66872667216998</v>
      </c>
      <c r="EO50" s="2">
        <v>145.28129549026991</v>
      </c>
      <c r="EP50" s="2">
        <v>144.45403239008999</v>
      </c>
      <c r="EQ50" s="2">
        <v>231.52245125693011</v>
      </c>
      <c r="ER50" s="2">
        <v>252.88588628731011</v>
      </c>
      <c r="ES50" s="2">
        <v>154.36484614322003</v>
      </c>
      <c r="ET50" s="2">
        <v>156.62830566326994</v>
      </c>
      <c r="EU50" s="2">
        <v>1809.5047480540604</v>
      </c>
      <c r="EW50">
        <v>1809.5047480540607</v>
      </c>
      <c r="EX50" s="2"/>
      <c r="EY50" s="282"/>
      <c r="EZ50" s="280" t="s">
        <v>11</v>
      </c>
      <c r="FA50" s="282">
        <v>608.18949850288266</v>
      </c>
      <c r="FB50" s="282">
        <v>117.28395317132399</v>
      </c>
      <c r="FC50" s="282">
        <v>123.59635538064082</v>
      </c>
      <c r="FD50" s="282">
        <v>113.62255493870552</v>
      </c>
      <c r="FE50" s="282">
        <v>221.73024844649069</v>
      </c>
      <c r="FF50" s="282">
        <v>288.33458493095202</v>
      </c>
      <c r="FG50" s="282">
        <v>178.28318866066255</v>
      </c>
      <c r="FH50" s="282">
        <v>189.65045338082396</v>
      </c>
      <c r="FI50" s="418">
        <v>1827.411218534739</v>
      </c>
      <c r="FJ50" s="282"/>
      <c r="FK50" s="282"/>
      <c r="FL50" s="282"/>
      <c r="FM50" s="282"/>
      <c r="FN50" s="341" t="s">
        <v>11</v>
      </c>
      <c r="FO50" s="344">
        <v>589.69920415080048</v>
      </c>
      <c r="FP50" s="344">
        <v>134.66872667216998</v>
      </c>
      <c r="FQ50" s="344">
        <v>145.28129549026991</v>
      </c>
      <c r="FR50" s="344">
        <v>144.45403239008999</v>
      </c>
      <c r="FS50" s="344">
        <v>231.52245125693011</v>
      </c>
      <c r="FT50" s="344">
        <v>252.88588628731011</v>
      </c>
      <c r="FU50" s="344">
        <v>154.36484614322003</v>
      </c>
      <c r="FV50" s="344">
        <v>156.62830566326994</v>
      </c>
      <c r="FW50" s="289">
        <f>[5]Calc_FlrSpace!CR74</f>
        <v>1866.460748229696</v>
      </c>
      <c r="FX50" s="341"/>
      <c r="FY50" s="341">
        <v>1809.5047480540607</v>
      </c>
      <c r="FZ50" s="282"/>
      <c r="GA50" s="282"/>
      <c r="GB50" s="282"/>
      <c r="GC50" s="2"/>
      <c r="GL50" s="2"/>
    </row>
    <row r="51" spans="75:271" x14ac:dyDescent="0.2">
      <c r="BW51" t="s">
        <v>12</v>
      </c>
      <c r="BX51" s="2">
        <v>3458.7007751021774</v>
      </c>
      <c r="BY51" s="2">
        <v>660.1686994789203</v>
      </c>
      <c r="BZ51" s="2">
        <v>628.83147800065001</v>
      </c>
      <c r="CA51" s="2">
        <v>857.24373512570071</v>
      </c>
      <c r="CB51" s="2">
        <v>887.87522682551855</v>
      </c>
      <c r="CC51" s="2">
        <v>447.38002331920012</v>
      </c>
      <c r="CD51" s="2">
        <v>125.66076035609997</v>
      </c>
      <c r="CE51" s="2"/>
      <c r="CF51" s="2">
        <v>7065.8606982082611</v>
      </c>
      <c r="CG51" s="282"/>
      <c r="CI51" t="s">
        <v>12</v>
      </c>
      <c r="CJ51" s="2">
        <v>3311.0764187217374</v>
      </c>
      <c r="CK51" s="2">
        <v>633.88184452733935</v>
      </c>
      <c r="CL51" s="2">
        <v>556.17704827736998</v>
      </c>
      <c r="CM51" s="2">
        <v>797.21164916180965</v>
      </c>
      <c r="CN51" s="2">
        <v>923.25688819898915</v>
      </c>
      <c r="CO51" s="2">
        <v>433.51474677361421</v>
      </c>
      <c r="CP51" s="2">
        <v>167.29226084333004</v>
      </c>
      <c r="CQ51" s="2"/>
      <c r="CR51" s="2">
        <v>6822.4108565041834</v>
      </c>
      <c r="CT51" t="s">
        <v>12</v>
      </c>
      <c r="CU51" s="2">
        <v>3112.7553243204288</v>
      </c>
      <c r="CV51" s="2">
        <v>587.1540960767303</v>
      </c>
      <c r="CW51" s="2">
        <v>589.58562405654993</v>
      </c>
      <c r="CX51" s="2">
        <v>873.64048926074963</v>
      </c>
      <c r="CY51" s="2">
        <v>877.49380224076947</v>
      </c>
      <c r="CZ51" s="2">
        <v>437.08024855670709</v>
      </c>
      <c r="DA51" s="2">
        <v>186.44204541958996</v>
      </c>
      <c r="DB51" s="2">
        <v>31.540433230500007</v>
      </c>
      <c r="DC51" s="2">
        <v>6695.6920631620333</v>
      </c>
      <c r="DE51" t="s">
        <v>12</v>
      </c>
      <c r="DF51" s="2">
        <v>3042.1208697112206</v>
      </c>
      <c r="DG51" s="2">
        <v>602.04620639720952</v>
      </c>
      <c r="DH51" s="2">
        <v>586.9134345245501</v>
      </c>
      <c r="DI51" s="2">
        <v>880.75522525875056</v>
      </c>
      <c r="DJ51" s="2">
        <v>952.63679719430013</v>
      </c>
      <c r="DK51" s="2">
        <v>419.50105119425785</v>
      </c>
      <c r="DL51" s="2">
        <v>173.17627678654097</v>
      </c>
      <c r="DM51" s="2">
        <v>90.001118065460005</v>
      </c>
      <c r="DN51" s="2">
        <v>6747.1509791322851</v>
      </c>
      <c r="DQ51" s="2">
        <v>3073.4315769503951</v>
      </c>
      <c r="DR51" s="2">
        <v>578.40995353467054</v>
      </c>
      <c r="DS51" s="2">
        <v>550.2259116207307</v>
      </c>
      <c r="DT51" s="2">
        <v>858.24550343009992</v>
      </c>
      <c r="DU51" s="2">
        <v>1186.1644655895586</v>
      </c>
      <c r="DV51" s="2">
        <v>404.24036317577009</v>
      </c>
      <c r="DW51" s="2">
        <v>168.24714511258995</v>
      </c>
      <c r="DX51" s="2">
        <v>149.49012152385004</v>
      </c>
      <c r="DY51" s="2">
        <v>6968.4550409376579</v>
      </c>
      <c r="EB51" s="2">
        <v>2994.084394372022</v>
      </c>
      <c r="EC51" s="2">
        <v>569.36989042343009</v>
      </c>
      <c r="ED51" s="2">
        <v>538.77811946736983</v>
      </c>
      <c r="EE51" s="2">
        <v>855.80841022958998</v>
      </c>
      <c r="EF51" s="2">
        <v>1155.9784955665798</v>
      </c>
      <c r="EG51" s="2">
        <v>410.52173054194986</v>
      </c>
      <c r="EH51" s="2">
        <v>165.63414470045004</v>
      </c>
      <c r="EI51" s="2">
        <v>209.89225613707998</v>
      </c>
      <c r="EJ51" s="2">
        <v>6900.0674414384648</v>
      </c>
      <c r="EL51" t="s">
        <v>12</v>
      </c>
      <c r="EM51" s="2">
        <v>2806.0962141658624</v>
      </c>
      <c r="EN51" s="2">
        <v>566.63343438049822</v>
      </c>
      <c r="EO51" s="2">
        <v>580.97535162764984</v>
      </c>
      <c r="EP51" s="2">
        <v>765.66528302425013</v>
      </c>
      <c r="EQ51" s="2">
        <v>1092.346070266909</v>
      </c>
      <c r="ER51" s="2">
        <v>396.65023092010023</v>
      </c>
      <c r="ES51" s="2">
        <v>171.61853781095004</v>
      </c>
      <c r="ET51" s="2">
        <v>290.5169871585</v>
      </c>
      <c r="EU51" s="2">
        <v>6670.5021093547202</v>
      </c>
      <c r="EW51">
        <v>6670.5021093547211</v>
      </c>
      <c r="EX51" s="2"/>
      <c r="EY51" s="282"/>
      <c r="EZ51" s="280" t="s">
        <v>12</v>
      </c>
      <c r="FA51" s="282">
        <v>3022.253682088432</v>
      </c>
      <c r="FB51" s="282">
        <v>581.84155334835054</v>
      </c>
      <c r="FC51" s="282">
        <v>554.82677748796107</v>
      </c>
      <c r="FD51" s="282">
        <v>908.5778066637472</v>
      </c>
      <c r="FE51" s="282">
        <v>1168.3007467457137</v>
      </c>
      <c r="FF51" s="282">
        <v>442.16302629688863</v>
      </c>
      <c r="FG51" s="282">
        <v>187.28407265092349</v>
      </c>
      <c r="FH51" s="282">
        <v>363.69871962491521</v>
      </c>
      <c r="FI51" s="418">
        <v>7164.5821171349335</v>
      </c>
      <c r="FJ51" s="282"/>
      <c r="FK51" s="282"/>
      <c r="FL51" s="282"/>
      <c r="FM51" s="282"/>
      <c r="FN51" s="341" t="s">
        <v>12</v>
      </c>
      <c r="FO51" s="344">
        <v>2806.0962141658624</v>
      </c>
      <c r="FP51" s="344">
        <v>566.63343438049822</v>
      </c>
      <c r="FQ51" s="344">
        <v>580.97535162764984</v>
      </c>
      <c r="FR51" s="344">
        <v>765.66528302425013</v>
      </c>
      <c r="FS51" s="344">
        <v>1092.346070266909</v>
      </c>
      <c r="FT51" s="344">
        <v>396.65023092010023</v>
      </c>
      <c r="FU51" s="344">
        <v>171.61853781095004</v>
      </c>
      <c r="FV51" s="344">
        <v>290.5169871585</v>
      </c>
      <c r="FW51" s="289">
        <f>[5]Calc_FlrSpace!CR75</f>
        <v>7078.2068783695422</v>
      </c>
      <c r="FX51" s="341"/>
      <c r="FY51" s="341">
        <v>6670.5021093547211</v>
      </c>
      <c r="FZ51" s="282"/>
      <c r="GA51" s="282"/>
      <c r="GB51" s="282"/>
      <c r="GC51" s="2"/>
      <c r="GL51" s="2"/>
    </row>
    <row r="52" spans="75:271" x14ac:dyDescent="0.2">
      <c r="BW52" t="s">
        <v>13</v>
      </c>
      <c r="BX52" s="2">
        <v>10.782584612499999</v>
      </c>
      <c r="BY52" s="2">
        <v>2.7150962611999998</v>
      </c>
      <c r="BZ52" s="2">
        <v>20.559512644200002</v>
      </c>
      <c r="CA52" s="2">
        <v>63.302090950399986</v>
      </c>
      <c r="CB52" s="2">
        <v>229.01264576839003</v>
      </c>
      <c r="CC52" s="2">
        <v>152.57020604535995</v>
      </c>
      <c r="CD52" s="2">
        <v>112.898485070112</v>
      </c>
      <c r="CE52" s="2"/>
      <c r="CF52" s="2">
        <v>591.84062135216209</v>
      </c>
      <c r="CG52" s="282"/>
      <c r="CI52" t="s">
        <v>13</v>
      </c>
      <c r="CJ52" s="2">
        <v>0</v>
      </c>
      <c r="CK52" s="2">
        <v>2.0747237506</v>
      </c>
      <c r="CL52" s="2">
        <v>18.9180140874</v>
      </c>
      <c r="CM52" s="2">
        <v>60.241343713200003</v>
      </c>
      <c r="CN52" s="2">
        <v>177.48280034402603</v>
      </c>
      <c r="CO52" s="2">
        <v>160.64364432240995</v>
      </c>
      <c r="CP52" s="2">
        <v>143.23646512104</v>
      </c>
      <c r="CQ52" s="2"/>
      <c r="CR52" s="2">
        <v>562.59699133867605</v>
      </c>
      <c r="CT52" t="s">
        <v>13</v>
      </c>
      <c r="CU52" s="2">
        <v>0</v>
      </c>
      <c r="CV52" s="2">
        <v>1.8214597240000001</v>
      </c>
      <c r="CW52" s="2">
        <v>16.895163738000001</v>
      </c>
      <c r="CX52" s="2">
        <v>69.400763668599993</v>
      </c>
      <c r="CY52" s="2">
        <v>199.01857008844502</v>
      </c>
      <c r="CZ52" s="2">
        <v>141.45761756368302</v>
      </c>
      <c r="DA52" s="2">
        <v>148.68130701010907</v>
      </c>
      <c r="DB52" s="2">
        <v>7.0098129032000003</v>
      </c>
      <c r="DC52" s="2">
        <v>584.28469469603715</v>
      </c>
      <c r="DE52" t="s">
        <v>13</v>
      </c>
      <c r="DF52" s="2">
        <v>0</v>
      </c>
      <c r="DG52" s="2">
        <v>0</v>
      </c>
      <c r="DH52" s="2">
        <v>15.5184297164</v>
      </c>
      <c r="DI52" s="2">
        <v>57.426724546499997</v>
      </c>
      <c r="DJ52" s="2">
        <v>182.90038664458001</v>
      </c>
      <c r="DK52" s="2">
        <v>138.356057300863</v>
      </c>
      <c r="DL52" s="2">
        <v>139.10882736506397</v>
      </c>
      <c r="DM52" s="2">
        <v>34.392927479199997</v>
      </c>
      <c r="DN52" s="2">
        <v>567.70335305260733</v>
      </c>
      <c r="DQ52" s="2">
        <v>3.9643303808000003</v>
      </c>
      <c r="DR52" s="2">
        <v>0</v>
      </c>
      <c r="DS52" s="2">
        <v>10.975235672499998</v>
      </c>
      <c r="DT52" s="2">
        <v>35.652492219099997</v>
      </c>
      <c r="DU52" s="2">
        <v>134.53489271110001</v>
      </c>
      <c r="DV52" s="2">
        <v>139.32110178460002</v>
      </c>
      <c r="DW52" s="2">
        <v>121.61865734086999</v>
      </c>
      <c r="DX52" s="2">
        <v>48.522971963099991</v>
      </c>
      <c r="DY52" s="2">
        <v>494.58968207207022</v>
      </c>
      <c r="EB52" s="2">
        <v>5.8985212209000002</v>
      </c>
      <c r="EC52" s="2">
        <v>0</v>
      </c>
      <c r="ED52" s="2">
        <v>2.7000711617000004</v>
      </c>
      <c r="EE52" s="2">
        <v>36.691980205599997</v>
      </c>
      <c r="EF52" s="2">
        <v>150.28208755769998</v>
      </c>
      <c r="EG52" s="2">
        <v>141.64761489512003</v>
      </c>
      <c r="EH52" s="2">
        <v>139.53129337002002</v>
      </c>
      <c r="EI52" s="2">
        <v>70.863987698000003</v>
      </c>
      <c r="EJ52" s="2">
        <v>547.61555610904031</v>
      </c>
      <c r="EL52" t="s">
        <v>13</v>
      </c>
      <c r="EM52" s="2">
        <v>5.4507617287999999</v>
      </c>
      <c r="EN52" s="2">
        <v>0</v>
      </c>
      <c r="EO52" s="2">
        <v>7.7761686695999996</v>
      </c>
      <c r="EP52" s="2">
        <v>48.503877125599999</v>
      </c>
      <c r="EQ52" s="2">
        <v>131.49698185357997</v>
      </c>
      <c r="ER52" s="2">
        <v>119.20339831189999</v>
      </c>
      <c r="ES52" s="2">
        <v>131.91044816774999</v>
      </c>
      <c r="ET52" s="2">
        <v>96.125402593870021</v>
      </c>
      <c r="EU52" s="2">
        <v>540.46703845110005</v>
      </c>
      <c r="EW52">
        <v>540.46703845109994</v>
      </c>
      <c r="EX52" s="2"/>
      <c r="EY52" s="282"/>
      <c r="EZ52" s="280" t="s">
        <v>13</v>
      </c>
      <c r="FA52" s="282">
        <v>6.9538079400000008</v>
      </c>
      <c r="FB52" s="282">
        <v>0.176932724992</v>
      </c>
      <c r="FC52" s="282">
        <v>6.7370133328000001</v>
      </c>
      <c r="FD52" s="282">
        <v>41.038615166512983</v>
      </c>
      <c r="FE52" s="282">
        <v>152.61991030064999</v>
      </c>
      <c r="FF52" s="282">
        <v>149.65813526407996</v>
      </c>
      <c r="FG52" s="282">
        <v>148.72201911158203</v>
      </c>
      <c r="FH52" s="282">
        <v>90.737254477747001</v>
      </c>
      <c r="FI52" s="418">
        <v>593.29044145399973</v>
      </c>
      <c r="FJ52" s="282"/>
      <c r="FK52" s="282"/>
      <c r="FL52" s="282"/>
      <c r="FM52" s="282"/>
      <c r="FN52" s="341" t="s">
        <v>13</v>
      </c>
      <c r="FO52" s="344">
        <v>5.4507617287999999</v>
      </c>
      <c r="FP52" s="344">
        <v>0</v>
      </c>
      <c r="FQ52" s="344">
        <v>7.7761686695999996</v>
      </c>
      <c r="FR52" s="344">
        <v>48.503877125599999</v>
      </c>
      <c r="FS52" s="344">
        <v>131.49698185357997</v>
      </c>
      <c r="FT52" s="344">
        <v>119.20339831189999</v>
      </c>
      <c r="FU52" s="344">
        <v>131.91044816774999</v>
      </c>
      <c r="FV52" s="344">
        <v>96.125402593870021</v>
      </c>
      <c r="FW52" s="289">
        <f>[5]Calc_FlrSpace!CR76</f>
        <v>543.4380629782396</v>
      </c>
      <c r="FX52" s="341"/>
      <c r="FY52" s="341">
        <v>540.46703845109994</v>
      </c>
      <c r="FZ52" s="282"/>
      <c r="GA52" s="282"/>
      <c r="GB52" s="282"/>
      <c r="GC52" s="2"/>
      <c r="GL52" s="2"/>
    </row>
    <row r="53" spans="75:271" x14ac:dyDescent="0.2">
      <c r="BW53" t="s">
        <v>14</v>
      </c>
      <c r="BX53" s="2">
        <v>7256.3560921339076</v>
      </c>
      <c r="BY53" s="2">
        <v>1665.3080870754604</v>
      </c>
      <c r="BZ53" s="2">
        <v>2595.7806239605338</v>
      </c>
      <c r="CA53" s="2">
        <v>2451.8145737051027</v>
      </c>
      <c r="CB53" s="2">
        <v>2593.5461499788676</v>
      </c>
      <c r="CC53" s="2">
        <v>1878.3395272267592</v>
      </c>
      <c r="CD53" s="2">
        <v>1040.7341515491521</v>
      </c>
      <c r="CE53" s="2"/>
      <c r="CF53" s="2">
        <v>19481.879205629786</v>
      </c>
      <c r="CG53" s="282"/>
      <c r="CI53" t="s">
        <v>14</v>
      </c>
      <c r="CJ53" s="2">
        <v>7370.1460699828567</v>
      </c>
      <c r="CK53" s="2">
        <v>1694.8124857546482</v>
      </c>
      <c r="CL53" s="2">
        <v>2570.1785065175732</v>
      </c>
      <c r="CM53" s="2">
        <v>2453.4191348814111</v>
      </c>
      <c r="CN53" s="2">
        <v>2642.9128675457955</v>
      </c>
      <c r="CO53" s="2">
        <v>1888.1755151698537</v>
      </c>
      <c r="CP53" s="2">
        <v>1337.0484333866798</v>
      </c>
      <c r="CQ53" s="2"/>
      <c r="CR53" s="2">
        <v>19956.693013238833</v>
      </c>
      <c r="CT53" t="s">
        <v>14</v>
      </c>
      <c r="CU53" s="2">
        <v>7283.4538710906081</v>
      </c>
      <c r="CV53" s="2">
        <v>1694.0082856007296</v>
      </c>
      <c r="CW53" s="2">
        <v>2665.2213752507214</v>
      </c>
      <c r="CX53" s="2">
        <v>2557.92543476225</v>
      </c>
      <c r="CY53" s="2">
        <v>2660.1345668024164</v>
      </c>
      <c r="CZ53" s="2">
        <v>1872.7869484282496</v>
      </c>
      <c r="DA53" s="2">
        <v>1375.5647710271985</v>
      </c>
      <c r="DB53" s="2">
        <v>211.80177603104997</v>
      </c>
      <c r="DC53" s="2">
        <v>20320.897028993248</v>
      </c>
      <c r="DE53" t="s">
        <v>14</v>
      </c>
      <c r="DF53" s="2">
        <v>6994.2009947695733</v>
      </c>
      <c r="DG53" s="2">
        <v>1652.2430460274386</v>
      </c>
      <c r="DH53" s="2">
        <v>2610.3007946383923</v>
      </c>
      <c r="DI53" s="2">
        <v>2479.9995716381623</v>
      </c>
      <c r="DJ53" s="2">
        <v>2767.3113076500008</v>
      </c>
      <c r="DK53" s="2">
        <v>1816.6558202892973</v>
      </c>
      <c r="DL53" s="2">
        <v>1331.6550088160361</v>
      </c>
      <c r="DM53" s="2">
        <v>480.48742116665989</v>
      </c>
      <c r="DN53" s="2">
        <v>20132.853964995556</v>
      </c>
      <c r="DQ53" s="2">
        <v>6914.9556093115953</v>
      </c>
      <c r="DR53" s="2">
        <v>1654.60625013767</v>
      </c>
      <c r="DS53" s="2">
        <v>2527.9308132422561</v>
      </c>
      <c r="DT53" s="2">
        <v>2467.8054003960865</v>
      </c>
      <c r="DU53" s="2">
        <v>2903.3409842380966</v>
      </c>
      <c r="DV53" s="2">
        <v>1797.2385728453103</v>
      </c>
      <c r="DW53" s="2">
        <v>1311.3251705022903</v>
      </c>
      <c r="DX53" s="2">
        <v>754.47494031420979</v>
      </c>
      <c r="DY53" s="2">
        <v>20331.677740987561</v>
      </c>
      <c r="EB53" s="2">
        <v>6838.7985145812127</v>
      </c>
      <c r="EC53" s="2">
        <v>1594.03610175823</v>
      </c>
      <c r="ED53" s="2">
        <v>2483.2601960364491</v>
      </c>
      <c r="EE53" s="2">
        <v>2470.9790623999688</v>
      </c>
      <c r="EF53" s="2">
        <v>2885.0137953097314</v>
      </c>
      <c r="EG53" s="2">
        <v>1781.0546777492093</v>
      </c>
      <c r="EH53" s="2">
        <v>1297.7281163848484</v>
      </c>
      <c r="EI53" s="2">
        <v>1034.9786407996899</v>
      </c>
      <c r="EJ53" s="2">
        <v>20385.849105019421</v>
      </c>
      <c r="EL53" t="s">
        <v>14</v>
      </c>
      <c r="EM53" s="2">
        <v>6573.8925898977868</v>
      </c>
      <c r="EN53" s="2">
        <v>1644.501829035348</v>
      </c>
      <c r="EO53" s="2">
        <v>2609.4452523118812</v>
      </c>
      <c r="EP53" s="2">
        <v>2451.0548930680802</v>
      </c>
      <c r="EQ53" s="2">
        <v>2864.4004246939617</v>
      </c>
      <c r="ER53" s="2">
        <v>1758.2934310250907</v>
      </c>
      <c r="ES53" s="2">
        <v>1297.4303904702301</v>
      </c>
      <c r="ET53" s="2">
        <v>1252.196854503419</v>
      </c>
      <c r="EU53" s="2">
        <v>20451.215665005788</v>
      </c>
      <c r="EW53">
        <v>20451.215665005795</v>
      </c>
      <c r="EZ53" s="280" t="s">
        <v>14</v>
      </c>
      <c r="FA53" s="282">
        <v>6637.231880569705</v>
      </c>
      <c r="FB53" s="282">
        <v>1687.0045697577891</v>
      </c>
      <c r="FC53" s="282">
        <v>2589.7868995277499</v>
      </c>
      <c r="FD53" s="282">
        <v>2552.0979956898041</v>
      </c>
      <c r="FE53" s="282">
        <v>2935.2685511636628</v>
      </c>
      <c r="FF53" s="282">
        <v>1859.4433551052743</v>
      </c>
      <c r="FG53" s="282">
        <v>1345.7889910824217</v>
      </c>
      <c r="FH53" s="282">
        <v>1459.0373992510433</v>
      </c>
      <c r="FI53" s="418">
        <v>21047.694843752819</v>
      </c>
      <c r="FN53" s="341" t="s">
        <v>14</v>
      </c>
      <c r="FO53" s="344">
        <v>6573.8925898977868</v>
      </c>
      <c r="FP53" s="344">
        <v>1644.501829035348</v>
      </c>
      <c r="FQ53" s="344">
        <v>2609.4452523118812</v>
      </c>
      <c r="FR53" s="344">
        <v>2451.0548930680802</v>
      </c>
      <c r="FS53" s="344">
        <v>2864.4004246939617</v>
      </c>
      <c r="FT53" s="344">
        <v>1758.2934310250907</v>
      </c>
      <c r="FU53" s="344">
        <v>1297.4303904702301</v>
      </c>
      <c r="FV53" s="344">
        <v>1252.196854503419</v>
      </c>
      <c r="FW53" s="289">
        <f>[5]Calc_FlrSpace!CR77</f>
        <v>21109.666982390969</v>
      </c>
      <c r="FX53" s="341"/>
      <c r="FY53" s="341">
        <v>20451.215665005795</v>
      </c>
      <c r="FZ53" s="282"/>
      <c r="GL53" s="2"/>
    </row>
    <row r="54" spans="75:271" x14ac:dyDescent="0.2">
      <c r="EK54" s="1"/>
      <c r="FI54" s="418"/>
      <c r="FN54" s="341"/>
      <c r="FO54" s="341"/>
      <c r="FP54" s="341"/>
      <c r="FQ54" s="341"/>
      <c r="FR54" s="341"/>
      <c r="FS54" s="341"/>
      <c r="FT54" s="341"/>
      <c r="FU54" s="341"/>
      <c r="FV54" s="341"/>
      <c r="FW54" s="404">
        <f>[5]Calc_FlrSpace!CR78</f>
        <v>0</v>
      </c>
      <c r="FX54" s="341"/>
      <c r="FY54" s="341"/>
      <c r="GL54" s="2"/>
    </row>
    <row r="55" spans="75:271" x14ac:dyDescent="0.2">
      <c r="BW55" s="1" t="s">
        <v>16</v>
      </c>
      <c r="CI55" s="1" t="s">
        <v>16</v>
      </c>
      <c r="CT55" s="1" t="s">
        <v>16</v>
      </c>
      <c r="DE55" s="1" t="s">
        <v>16</v>
      </c>
      <c r="EL55" s="1" t="s">
        <v>16</v>
      </c>
      <c r="EX55" s="2"/>
      <c r="EY55" s="282"/>
      <c r="EZ55" s="281" t="s">
        <v>16</v>
      </c>
      <c r="FI55" s="418"/>
      <c r="FJ55" s="282"/>
      <c r="FK55" s="282"/>
      <c r="FL55" s="282"/>
      <c r="FM55" s="282"/>
      <c r="FN55" s="342" t="s">
        <v>16</v>
      </c>
      <c r="FO55" s="341"/>
      <c r="FP55" s="341"/>
      <c r="FQ55" s="341"/>
      <c r="FR55" s="341"/>
      <c r="FS55" s="341"/>
      <c r="FT55" s="341"/>
      <c r="FU55" s="341"/>
      <c r="FV55" s="341"/>
      <c r="FW55" s="404">
        <f>[5]Calc_FlrSpace!CR79</f>
        <v>0</v>
      </c>
      <c r="FX55" s="341"/>
      <c r="FY55" s="341"/>
      <c r="GA55" s="282"/>
      <c r="GB55" s="282"/>
      <c r="GC55" s="2"/>
      <c r="GL55" s="2"/>
    </row>
    <row r="56" spans="75:271" x14ac:dyDescent="0.2">
      <c r="BW56" t="s">
        <v>9</v>
      </c>
      <c r="BX56" s="2">
        <v>1098</v>
      </c>
      <c r="BY56" s="2">
        <v>338</v>
      </c>
      <c r="BZ56" s="2">
        <v>689</v>
      </c>
      <c r="CA56" s="2">
        <v>582</v>
      </c>
      <c r="CB56" s="2">
        <v>574</v>
      </c>
      <c r="CC56" s="2">
        <v>407</v>
      </c>
      <c r="CD56" s="2">
        <v>273</v>
      </c>
      <c r="CE56" s="2"/>
      <c r="CF56" s="2">
        <v>3961</v>
      </c>
      <c r="CG56" s="282"/>
      <c r="CI56" t="s">
        <v>9</v>
      </c>
      <c r="CJ56" s="2">
        <v>1202</v>
      </c>
      <c r="CK56" s="2">
        <v>360</v>
      </c>
      <c r="CL56" s="2">
        <v>740</v>
      </c>
      <c r="CM56" s="2">
        <v>634</v>
      </c>
      <c r="CN56" s="2">
        <v>609</v>
      </c>
      <c r="CO56" s="2">
        <v>468</v>
      </c>
      <c r="CP56" s="2">
        <v>434</v>
      </c>
      <c r="CQ56" s="2"/>
      <c r="CR56" s="2">
        <v>4447</v>
      </c>
      <c r="CT56" t="s">
        <v>9</v>
      </c>
      <c r="CU56" s="2">
        <v>1149</v>
      </c>
      <c r="CV56" s="2">
        <v>354</v>
      </c>
      <c r="CW56" s="2">
        <v>693</v>
      </c>
      <c r="CX56" s="2">
        <v>578</v>
      </c>
      <c r="CY56" s="2">
        <v>570</v>
      </c>
      <c r="CZ56" s="2">
        <v>445</v>
      </c>
      <c r="DA56" s="2">
        <v>456</v>
      </c>
      <c r="DB56" s="2">
        <v>52</v>
      </c>
      <c r="DC56" s="2">
        <v>4297</v>
      </c>
      <c r="DE56" t="s">
        <v>9</v>
      </c>
      <c r="DF56" s="2">
        <v>1210</v>
      </c>
      <c r="DG56" s="2">
        <v>366</v>
      </c>
      <c r="DH56" s="2">
        <v>752</v>
      </c>
      <c r="DI56" s="2">
        <v>620</v>
      </c>
      <c r="DJ56" s="2">
        <v>623</v>
      </c>
      <c r="DK56" s="2">
        <v>480</v>
      </c>
      <c r="DL56" s="2">
        <v>538</v>
      </c>
      <c r="DM56" s="2">
        <v>153</v>
      </c>
      <c r="DN56" s="2">
        <v>4742</v>
      </c>
      <c r="DQ56" s="2">
        <v>1126</v>
      </c>
      <c r="DR56" s="2">
        <v>357</v>
      </c>
      <c r="DS56" s="2">
        <v>678</v>
      </c>
      <c r="DT56" s="2">
        <v>559</v>
      </c>
      <c r="DU56" s="2">
        <v>555</v>
      </c>
      <c r="DV56" s="2">
        <v>413</v>
      </c>
      <c r="DW56" s="2">
        <v>414</v>
      </c>
      <c r="DX56" s="2">
        <v>224</v>
      </c>
      <c r="DY56" s="2">
        <v>4326</v>
      </c>
      <c r="EB56" s="2">
        <v>968</v>
      </c>
      <c r="EC56" s="2">
        <v>282</v>
      </c>
      <c r="ED56" s="2">
        <v>593</v>
      </c>
      <c r="EE56" s="2">
        <v>479</v>
      </c>
      <c r="EF56" s="2">
        <v>488</v>
      </c>
      <c r="EG56" s="2">
        <v>363</v>
      </c>
      <c r="EH56" s="2">
        <v>371</v>
      </c>
      <c r="EI56" s="2">
        <v>249</v>
      </c>
      <c r="EJ56" s="2">
        <v>3793</v>
      </c>
      <c r="EL56" t="s">
        <v>9</v>
      </c>
      <c r="EM56" s="2">
        <v>1145</v>
      </c>
      <c r="EN56" s="2">
        <v>346</v>
      </c>
      <c r="EO56" s="2">
        <v>739</v>
      </c>
      <c r="EP56" s="2">
        <v>611</v>
      </c>
      <c r="EQ56" s="2">
        <v>588</v>
      </c>
      <c r="ER56" s="2">
        <v>460</v>
      </c>
      <c r="ES56" s="2">
        <v>477</v>
      </c>
      <c r="ET56" s="2">
        <v>433</v>
      </c>
      <c r="EU56" s="2">
        <v>4799</v>
      </c>
      <c r="EW56">
        <v>4799</v>
      </c>
      <c r="EX56" s="2"/>
      <c r="EY56" s="282"/>
      <c r="EZ56" s="280" t="s">
        <v>9</v>
      </c>
      <c r="FA56" s="282">
        <v>2128</v>
      </c>
      <c r="FB56" s="282">
        <v>744</v>
      </c>
      <c r="FC56" s="282">
        <v>1471</v>
      </c>
      <c r="FD56" s="282">
        <v>1099</v>
      </c>
      <c r="FE56" s="282">
        <v>1042</v>
      </c>
      <c r="FF56" s="282">
        <v>776</v>
      </c>
      <c r="FG56" s="282">
        <v>890</v>
      </c>
      <c r="FH56" s="282">
        <v>716</v>
      </c>
      <c r="FI56" s="418">
        <v>4328</v>
      </c>
      <c r="FJ56" s="282"/>
      <c r="FK56" s="282"/>
      <c r="FL56" s="282"/>
      <c r="FM56" s="282"/>
      <c r="FN56" s="341" t="s">
        <v>9</v>
      </c>
      <c r="FO56" s="344">
        <v>1145</v>
      </c>
      <c r="FP56" s="344">
        <v>346</v>
      </c>
      <c r="FQ56" s="344">
        <v>739</v>
      </c>
      <c r="FR56" s="344">
        <v>611</v>
      </c>
      <c r="FS56" s="344">
        <v>588</v>
      </c>
      <c r="FT56" s="344">
        <v>460</v>
      </c>
      <c r="FU56" s="344">
        <v>477</v>
      </c>
      <c r="FV56" s="344">
        <v>433</v>
      </c>
      <c r="FW56" s="289">
        <f>[5]Calc_FlrSpace!CR80</f>
        <v>6295</v>
      </c>
      <c r="FX56" s="341"/>
      <c r="FY56" s="341">
        <v>4799</v>
      </c>
      <c r="FZ56" s="282"/>
      <c r="GA56" s="282"/>
      <c r="GB56" s="282"/>
      <c r="GC56" s="2"/>
      <c r="GL56" s="2"/>
    </row>
    <row r="57" spans="75:271" x14ac:dyDescent="0.2">
      <c r="BW57" t="s">
        <v>10</v>
      </c>
      <c r="BX57" s="2">
        <v>1096</v>
      </c>
      <c r="BY57" s="2">
        <v>338</v>
      </c>
      <c r="BZ57" s="2">
        <v>682</v>
      </c>
      <c r="CA57" s="2">
        <v>557</v>
      </c>
      <c r="CB57" s="2">
        <v>483</v>
      </c>
      <c r="CC57" s="2">
        <v>351</v>
      </c>
      <c r="CD57" s="2">
        <v>247</v>
      </c>
      <c r="CE57" s="2"/>
      <c r="CF57" s="2">
        <v>3754</v>
      </c>
      <c r="CG57" s="282"/>
      <c r="CI57" t="s">
        <v>10</v>
      </c>
      <c r="CJ57" s="2">
        <v>1202</v>
      </c>
      <c r="CK57" s="2">
        <v>359</v>
      </c>
      <c r="CL57" s="2">
        <v>733</v>
      </c>
      <c r="CM57" s="2">
        <v>608</v>
      </c>
      <c r="CN57" s="2">
        <v>529</v>
      </c>
      <c r="CO57" s="2">
        <v>407</v>
      </c>
      <c r="CP57" s="2">
        <v>401</v>
      </c>
      <c r="CQ57" s="2"/>
      <c r="CR57" s="2">
        <v>4239</v>
      </c>
      <c r="CT57" t="s">
        <v>10</v>
      </c>
      <c r="CU57" s="2">
        <v>1149</v>
      </c>
      <c r="CV57" s="2">
        <v>353</v>
      </c>
      <c r="CW57" s="2">
        <v>687</v>
      </c>
      <c r="CX57" s="2">
        <v>551</v>
      </c>
      <c r="CY57" s="2">
        <v>488</v>
      </c>
      <c r="CZ57" s="2">
        <v>386</v>
      </c>
      <c r="DA57" s="2">
        <v>404</v>
      </c>
      <c r="DB57" s="2">
        <v>51</v>
      </c>
      <c r="DC57" s="2">
        <v>4069</v>
      </c>
      <c r="DE57" t="s">
        <v>10</v>
      </c>
      <c r="DF57" s="2">
        <v>1210</v>
      </c>
      <c r="DG57" s="2">
        <v>366</v>
      </c>
      <c r="DH57" s="2">
        <v>747</v>
      </c>
      <c r="DI57" s="2">
        <v>598</v>
      </c>
      <c r="DJ57" s="2">
        <v>540</v>
      </c>
      <c r="DK57" s="2">
        <v>426</v>
      </c>
      <c r="DL57" s="2">
        <v>491</v>
      </c>
      <c r="DM57" s="2">
        <v>148</v>
      </c>
      <c r="DN57" s="2">
        <v>4526</v>
      </c>
      <c r="DQ57" s="2">
        <v>1124</v>
      </c>
      <c r="DR57" s="2">
        <v>357</v>
      </c>
      <c r="DS57" s="2">
        <v>674</v>
      </c>
      <c r="DT57" s="2">
        <v>546</v>
      </c>
      <c r="DU57" s="2">
        <v>504</v>
      </c>
      <c r="DV57" s="2">
        <v>387</v>
      </c>
      <c r="DW57" s="2">
        <v>380</v>
      </c>
      <c r="DX57" s="2">
        <v>202</v>
      </c>
      <c r="DY57" s="2">
        <v>4174</v>
      </c>
      <c r="EB57" s="2">
        <v>966</v>
      </c>
      <c r="EC57" s="2">
        <v>282</v>
      </c>
      <c r="ED57" s="2">
        <v>592</v>
      </c>
      <c r="EE57" s="2">
        <v>466</v>
      </c>
      <c r="EF57" s="2">
        <v>437</v>
      </c>
      <c r="EG57" s="2">
        <v>335</v>
      </c>
      <c r="EH57" s="2">
        <v>334</v>
      </c>
      <c r="EI57" s="2">
        <v>230</v>
      </c>
      <c r="EJ57" s="2">
        <v>3642</v>
      </c>
      <c r="EL57" t="s">
        <v>10</v>
      </c>
      <c r="EM57" s="2">
        <v>1143</v>
      </c>
      <c r="EN57" s="2">
        <v>346</v>
      </c>
      <c r="EO57" s="2">
        <v>736</v>
      </c>
      <c r="EP57" s="2">
        <v>593</v>
      </c>
      <c r="EQ57" s="2">
        <v>543</v>
      </c>
      <c r="ER57" s="2">
        <v>434</v>
      </c>
      <c r="ES57" s="2">
        <v>442</v>
      </c>
      <c r="ET57" s="2">
        <v>407</v>
      </c>
      <c r="EU57" s="2">
        <v>4644</v>
      </c>
      <c r="EW57">
        <v>4644</v>
      </c>
      <c r="EX57" s="2"/>
      <c r="EY57" s="282"/>
      <c r="EZ57" s="280" t="s">
        <v>10</v>
      </c>
      <c r="FA57" s="282">
        <v>2121</v>
      </c>
      <c r="FB57" s="282">
        <v>742</v>
      </c>
      <c r="FC57" s="282">
        <v>1469</v>
      </c>
      <c r="FD57" s="282">
        <v>1063</v>
      </c>
      <c r="FE57" s="282">
        <v>948</v>
      </c>
      <c r="FF57" s="282">
        <v>708</v>
      </c>
      <c r="FG57" s="282">
        <v>830</v>
      </c>
      <c r="FH57" s="282">
        <v>674</v>
      </c>
      <c r="FI57" s="418">
        <v>4151</v>
      </c>
      <c r="FJ57" s="282"/>
      <c r="FK57" s="282"/>
      <c r="FL57" s="282"/>
      <c r="FM57" s="282"/>
      <c r="FN57" s="341" t="s">
        <v>10</v>
      </c>
      <c r="FO57" s="344">
        <v>1143</v>
      </c>
      <c r="FP57" s="344">
        <v>346</v>
      </c>
      <c r="FQ57" s="344">
        <v>736</v>
      </c>
      <c r="FR57" s="344">
        <v>593</v>
      </c>
      <c r="FS57" s="344">
        <v>543</v>
      </c>
      <c r="FT57" s="344">
        <v>434</v>
      </c>
      <c r="FU57" s="344">
        <v>442</v>
      </c>
      <c r="FV57" s="344">
        <v>407</v>
      </c>
      <c r="FW57" s="289">
        <f>[5]Calc_FlrSpace!CR81</f>
        <v>6115</v>
      </c>
      <c r="FX57" s="341"/>
      <c r="FY57" s="341">
        <v>4644</v>
      </c>
      <c r="FZ57" s="282"/>
      <c r="GA57" s="282"/>
      <c r="GB57" s="282"/>
      <c r="GC57" s="2"/>
      <c r="GL57" s="12"/>
    </row>
    <row r="58" spans="75:271" x14ac:dyDescent="0.2">
      <c r="BW58" t="s">
        <v>11</v>
      </c>
      <c r="BX58" s="2">
        <v>12</v>
      </c>
      <c r="BY58" s="2">
        <v>1</v>
      </c>
      <c r="BZ58" s="2">
        <v>2</v>
      </c>
      <c r="CA58" s="2">
        <v>3</v>
      </c>
      <c r="CB58" s="2">
        <v>3</v>
      </c>
      <c r="CC58" s="2">
        <v>3</v>
      </c>
      <c r="CD58" s="2">
        <v>21</v>
      </c>
      <c r="CE58" s="2"/>
      <c r="CF58" s="2">
        <v>45</v>
      </c>
      <c r="CG58" s="282"/>
      <c r="CI58" t="s">
        <v>11</v>
      </c>
      <c r="CJ58" s="2">
        <v>206</v>
      </c>
      <c r="CK58" s="2">
        <v>52</v>
      </c>
      <c r="CL58" s="2">
        <v>49</v>
      </c>
      <c r="CM58" s="2">
        <v>41</v>
      </c>
      <c r="CN58" s="2">
        <v>65</v>
      </c>
      <c r="CO58" s="2">
        <v>78</v>
      </c>
      <c r="CP58" s="2">
        <v>67</v>
      </c>
      <c r="CQ58" s="2"/>
      <c r="CR58" s="2">
        <v>558</v>
      </c>
      <c r="CT58" t="s">
        <v>11</v>
      </c>
      <c r="CU58" s="2">
        <v>165</v>
      </c>
      <c r="CV58" s="2">
        <v>27</v>
      </c>
      <c r="CW58" s="2">
        <v>36</v>
      </c>
      <c r="CX58" s="2">
        <v>30</v>
      </c>
      <c r="CY58" s="2">
        <v>57</v>
      </c>
      <c r="CZ58" s="2">
        <v>77</v>
      </c>
      <c r="DA58" s="2">
        <v>59</v>
      </c>
      <c r="DB58" s="2">
        <v>5</v>
      </c>
      <c r="DC58" s="2">
        <v>456</v>
      </c>
      <c r="DE58" t="s">
        <v>11</v>
      </c>
      <c r="DF58" s="2">
        <v>245</v>
      </c>
      <c r="DG58" s="2">
        <v>55</v>
      </c>
      <c r="DH58" s="2">
        <v>59</v>
      </c>
      <c r="DI58" s="2">
        <v>41</v>
      </c>
      <c r="DJ58" s="2">
        <v>79</v>
      </c>
      <c r="DK58" s="2">
        <v>106</v>
      </c>
      <c r="DL58" s="2">
        <v>102</v>
      </c>
      <c r="DM58" s="2">
        <v>23</v>
      </c>
      <c r="DN58" s="2">
        <v>710</v>
      </c>
      <c r="DQ58" s="2">
        <v>186</v>
      </c>
      <c r="DR58" s="2">
        <v>31</v>
      </c>
      <c r="DS58" s="2">
        <v>36</v>
      </c>
      <c r="DT58" s="2">
        <v>28</v>
      </c>
      <c r="DU58" s="2">
        <v>67</v>
      </c>
      <c r="DV58" s="2">
        <v>88</v>
      </c>
      <c r="DW58" s="2">
        <v>68</v>
      </c>
      <c r="DX58" s="2">
        <v>30</v>
      </c>
      <c r="DY58" s="2">
        <v>534</v>
      </c>
      <c r="EB58" s="2">
        <v>187</v>
      </c>
      <c r="EC58" s="2">
        <v>29</v>
      </c>
      <c r="ED58" s="2">
        <v>27</v>
      </c>
      <c r="EE58" s="2">
        <v>28</v>
      </c>
      <c r="EF58" s="2">
        <v>58</v>
      </c>
      <c r="EG58" s="2">
        <v>79</v>
      </c>
      <c r="EH58" s="2">
        <v>50</v>
      </c>
      <c r="EI58" s="2">
        <v>45</v>
      </c>
      <c r="EJ58" s="2">
        <v>503</v>
      </c>
      <c r="EL58" t="s">
        <v>11</v>
      </c>
      <c r="EM58" s="2">
        <v>273</v>
      </c>
      <c r="EN58" s="2">
        <v>56</v>
      </c>
      <c r="EO58" s="2">
        <v>65</v>
      </c>
      <c r="EP58" s="2">
        <v>59</v>
      </c>
      <c r="EQ58" s="2">
        <v>105</v>
      </c>
      <c r="ER58" s="2">
        <v>122</v>
      </c>
      <c r="ES58" s="2">
        <v>76</v>
      </c>
      <c r="ET58" s="2">
        <v>87</v>
      </c>
      <c r="EU58" s="2">
        <v>843</v>
      </c>
      <c r="EW58">
        <v>843</v>
      </c>
      <c r="EX58" s="2"/>
      <c r="EY58" s="282"/>
      <c r="EZ58" s="280" t="s">
        <v>11</v>
      </c>
      <c r="FA58" s="282">
        <v>255</v>
      </c>
      <c r="FB58" s="282">
        <v>57</v>
      </c>
      <c r="FC58" s="282">
        <v>50</v>
      </c>
      <c r="FD58" s="282">
        <v>61</v>
      </c>
      <c r="FE58" s="282">
        <v>116</v>
      </c>
      <c r="FF58" s="282">
        <v>158</v>
      </c>
      <c r="FG58" s="282">
        <v>103</v>
      </c>
      <c r="FH58" s="282">
        <v>122</v>
      </c>
      <c r="FI58" s="418">
        <v>650</v>
      </c>
      <c r="FJ58" s="282"/>
      <c r="FK58" s="282"/>
      <c r="FL58" s="282"/>
      <c r="FM58" s="282"/>
      <c r="FN58" s="341" t="s">
        <v>11</v>
      </c>
      <c r="FO58" s="344">
        <v>273</v>
      </c>
      <c r="FP58" s="344">
        <v>56</v>
      </c>
      <c r="FQ58" s="344">
        <v>65</v>
      </c>
      <c r="FR58" s="344">
        <v>59</v>
      </c>
      <c r="FS58" s="344">
        <v>105</v>
      </c>
      <c r="FT58" s="344">
        <v>122</v>
      </c>
      <c r="FU58" s="344">
        <v>76</v>
      </c>
      <c r="FV58" s="344">
        <v>87</v>
      </c>
      <c r="FW58" s="289">
        <f>[5]Calc_FlrSpace!CR82</f>
        <v>1385</v>
      </c>
      <c r="FX58" s="341"/>
      <c r="FY58" s="341">
        <v>843</v>
      </c>
      <c r="FZ58" s="282"/>
      <c r="GA58" s="282"/>
      <c r="GB58" s="282"/>
      <c r="GC58" s="2"/>
    </row>
    <row r="59" spans="75:271" x14ac:dyDescent="0.2">
      <c r="BW59" t="s">
        <v>12</v>
      </c>
      <c r="BX59" s="2">
        <v>43</v>
      </c>
      <c r="BY59" s="2">
        <v>10</v>
      </c>
      <c r="BZ59" s="2">
        <v>5</v>
      </c>
      <c r="CA59" s="2">
        <v>13</v>
      </c>
      <c r="CB59" s="2">
        <v>11</v>
      </c>
      <c r="CC59" s="2">
        <v>5</v>
      </c>
      <c r="CD59" s="2">
        <v>7</v>
      </c>
      <c r="CE59" s="2"/>
      <c r="CF59" s="2">
        <v>94</v>
      </c>
      <c r="CG59" s="282"/>
      <c r="CI59" t="s">
        <v>12</v>
      </c>
      <c r="CJ59" s="2">
        <v>584</v>
      </c>
      <c r="CK59" s="2">
        <v>94</v>
      </c>
      <c r="CL59" s="2">
        <v>82</v>
      </c>
      <c r="CM59" s="2">
        <v>163</v>
      </c>
      <c r="CN59" s="2">
        <v>188</v>
      </c>
      <c r="CO59" s="2">
        <v>81</v>
      </c>
      <c r="CP59" s="2">
        <v>39</v>
      </c>
      <c r="CQ59" s="2"/>
      <c r="CR59" s="2">
        <v>1231</v>
      </c>
      <c r="CT59" t="s">
        <v>12</v>
      </c>
      <c r="CU59" s="2">
        <v>713</v>
      </c>
      <c r="CV59" s="2">
        <v>126</v>
      </c>
      <c r="CW59" s="2">
        <v>113</v>
      </c>
      <c r="CX59" s="2">
        <v>207</v>
      </c>
      <c r="CY59" s="2">
        <v>225</v>
      </c>
      <c r="CZ59" s="2">
        <v>120</v>
      </c>
      <c r="DA59" s="2">
        <v>56</v>
      </c>
      <c r="DB59" s="2">
        <v>5</v>
      </c>
      <c r="DC59" s="2">
        <v>1565</v>
      </c>
      <c r="DE59" t="s">
        <v>12</v>
      </c>
      <c r="DF59" s="2">
        <v>837</v>
      </c>
      <c r="DG59" s="2">
        <v>152</v>
      </c>
      <c r="DH59" s="2">
        <v>154</v>
      </c>
      <c r="DI59" s="2">
        <v>267</v>
      </c>
      <c r="DJ59" s="2">
        <v>296</v>
      </c>
      <c r="DK59" s="2">
        <v>128</v>
      </c>
      <c r="DL59" s="2">
        <v>113</v>
      </c>
      <c r="DM59" s="2">
        <v>28</v>
      </c>
      <c r="DN59" s="2">
        <v>1975</v>
      </c>
      <c r="DQ59" s="2">
        <v>929</v>
      </c>
      <c r="DR59" s="2">
        <v>150</v>
      </c>
      <c r="DS59" s="2">
        <v>139</v>
      </c>
      <c r="DT59" s="2">
        <v>245</v>
      </c>
      <c r="DU59" s="2">
        <v>344</v>
      </c>
      <c r="DV59" s="2">
        <v>143</v>
      </c>
      <c r="DW59" s="2">
        <v>63</v>
      </c>
      <c r="DX59" s="2">
        <v>50</v>
      </c>
      <c r="DY59" s="2">
        <v>2063</v>
      </c>
      <c r="EB59" s="2">
        <v>841</v>
      </c>
      <c r="EC59" s="2">
        <v>138</v>
      </c>
      <c r="ED59" s="2">
        <v>132</v>
      </c>
      <c r="EE59" s="2">
        <v>227</v>
      </c>
      <c r="EF59" s="2">
        <v>314</v>
      </c>
      <c r="EG59" s="2">
        <v>142</v>
      </c>
      <c r="EH59" s="2">
        <v>68</v>
      </c>
      <c r="EI59" s="2">
        <v>58</v>
      </c>
      <c r="EJ59" s="2">
        <v>1920</v>
      </c>
      <c r="EL59" t="s">
        <v>12</v>
      </c>
      <c r="EM59" s="2">
        <v>981</v>
      </c>
      <c r="EN59" s="2">
        <v>191</v>
      </c>
      <c r="EO59" s="2">
        <v>195</v>
      </c>
      <c r="EP59" s="2">
        <v>282</v>
      </c>
      <c r="EQ59" s="2">
        <v>400</v>
      </c>
      <c r="ER59" s="2">
        <v>214</v>
      </c>
      <c r="ES59" s="2">
        <v>98</v>
      </c>
      <c r="ET59" s="2">
        <v>111</v>
      </c>
      <c r="EU59" s="2">
        <v>2472</v>
      </c>
      <c r="EW59">
        <v>2472</v>
      </c>
      <c r="EX59" s="2"/>
      <c r="EY59" s="282"/>
      <c r="EZ59" s="280" t="s">
        <v>12</v>
      </c>
      <c r="FA59" s="282">
        <v>1723</v>
      </c>
      <c r="FB59" s="282">
        <v>292</v>
      </c>
      <c r="FC59" s="282">
        <v>324</v>
      </c>
      <c r="FD59" s="282">
        <v>491</v>
      </c>
      <c r="FE59" s="282">
        <v>762</v>
      </c>
      <c r="FF59" s="282">
        <v>418</v>
      </c>
      <c r="FG59" s="282">
        <v>197</v>
      </c>
      <c r="FH59" s="282">
        <v>181</v>
      </c>
      <c r="FI59" s="418">
        <v>2841</v>
      </c>
      <c r="FJ59" s="282"/>
      <c r="FK59" s="282"/>
      <c r="FL59" s="282"/>
      <c r="FM59" s="282"/>
      <c r="FN59" s="341" t="s">
        <v>12</v>
      </c>
      <c r="FO59" s="344">
        <v>981</v>
      </c>
      <c r="FP59" s="344">
        <v>191</v>
      </c>
      <c r="FQ59" s="344">
        <v>195</v>
      </c>
      <c r="FR59" s="344">
        <v>282</v>
      </c>
      <c r="FS59" s="344">
        <v>400</v>
      </c>
      <c r="FT59" s="344">
        <v>214</v>
      </c>
      <c r="FU59" s="344">
        <v>98</v>
      </c>
      <c r="FV59" s="344">
        <v>111</v>
      </c>
      <c r="FW59" s="289">
        <f>[5]Calc_FlrSpace!CR83</f>
        <v>4388</v>
      </c>
      <c r="FX59" s="341"/>
      <c r="FY59" s="341">
        <v>2472</v>
      </c>
      <c r="FZ59" s="282"/>
      <c r="GA59" s="282"/>
      <c r="GB59" s="282"/>
      <c r="GC59" s="2"/>
    </row>
    <row r="60" spans="75:271" x14ac:dyDescent="0.2">
      <c r="BW60" t="s">
        <v>13</v>
      </c>
      <c r="BX60" s="2">
        <v>2</v>
      </c>
      <c r="BY60" s="2">
        <v>0</v>
      </c>
      <c r="BZ60" s="2">
        <v>7</v>
      </c>
      <c r="CA60" s="2">
        <v>25</v>
      </c>
      <c r="CB60" s="2">
        <v>91</v>
      </c>
      <c r="CC60" s="2">
        <v>56</v>
      </c>
      <c r="CD60" s="2">
        <v>26</v>
      </c>
      <c r="CE60" s="2"/>
      <c r="CF60" s="2">
        <v>207</v>
      </c>
      <c r="CG60" s="282"/>
      <c r="CI60" t="s">
        <v>13</v>
      </c>
      <c r="CJ60" s="2">
        <v>0</v>
      </c>
      <c r="CK60" s="2">
        <v>1</v>
      </c>
      <c r="CL60" s="2">
        <v>7</v>
      </c>
      <c r="CM60" s="2">
        <v>26</v>
      </c>
      <c r="CN60" s="2">
        <v>80</v>
      </c>
      <c r="CO60" s="2">
        <v>61</v>
      </c>
      <c r="CP60" s="2">
        <v>33</v>
      </c>
      <c r="CQ60" s="2"/>
      <c r="CR60" s="2">
        <v>208</v>
      </c>
      <c r="CT60" t="s">
        <v>13</v>
      </c>
      <c r="CU60" s="2">
        <v>0</v>
      </c>
      <c r="CV60" s="2">
        <v>1</v>
      </c>
      <c r="CW60" s="2">
        <v>6</v>
      </c>
      <c r="CX60" s="2">
        <v>27</v>
      </c>
      <c r="CY60" s="2">
        <v>82</v>
      </c>
      <c r="CZ60" s="2">
        <v>59</v>
      </c>
      <c r="DA60" s="2">
        <v>52</v>
      </c>
      <c r="DB60" s="2">
        <v>1</v>
      </c>
      <c r="DC60" s="2">
        <v>228</v>
      </c>
      <c r="DE60" t="s">
        <v>13</v>
      </c>
      <c r="DF60" s="2">
        <v>0</v>
      </c>
      <c r="DG60" s="2">
        <v>0</v>
      </c>
      <c r="DH60" s="2">
        <v>5</v>
      </c>
      <c r="DI60" s="2">
        <v>22</v>
      </c>
      <c r="DJ60" s="2">
        <v>83</v>
      </c>
      <c r="DK60" s="2">
        <v>54</v>
      </c>
      <c r="DL60" s="2">
        <v>47</v>
      </c>
      <c r="DM60" s="2">
        <v>5</v>
      </c>
      <c r="DN60" s="2">
        <v>216</v>
      </c>
      <c r="DQ60" s="2">
        <v>2</v>
      </c>
      <c r="DR60" s="2">
        <v>0</v>
      </c>
      <c r="DS60" s="2">
        <v>4</v>
      </c>
      <c r="DT60" s="2">
        <v>13</v>
      </c>
      <c r="DU60" s="2">
        <v>51</v>
      </c>
      <c r="DV60" s="2">
        <v>26</v>
      </c>
      <c r="DW60" s="2">
        <v>34</v>
      </c>
      <c r="DX60" s="2">
        <v>22</v>
      </c>
      <c r="DY60" s="2">
        <v>152</v>
      </c>
      <c r="EB60" s="2">
        <v>2</v>
      </c>
      <c r="EC60" s="2">
        <v>0</v>
      </c>
      <c r="ED60" s="2">
        <v>1</v>
      </c>
      <c r="EE60" s="2">
        <v>13</v>
      </c>
      <c r="EF60" s="2">
        <v>51</v>
      </c>
      <c r="EG60" s="2">
        <v>28</v>
      </c>
      <c r="EH60" s="2">
        <v>37</v>
      </c>
      <c r="EI60" s="2">
        <v>19</v>
      </c>
      <c r="EJ60" s="2">
        <v>151</v>
      </c>
      <c r="EL60" t="s">
        <v>13</v>
      </c>
      <c r="EM60" s="2">
        <v>2</v>
      </c>
      <c r="EN60" s="2">
        <v>0</v>
      </c>
      <c r="EO60" s="2">
        <v>3</v>
      </c>
      <c r="EP60" s="2">
        <v>18</v>
      </c>
      <c r="EQ60" s="2">
        <v>45</v>
      </c>
      <c r="ER60" s="2">
        <v>26</v>
      </c>
      <c r="ES60" s="2">
        <v>35</v>
      </c>
      <c r="ET60" s="2">
        <v>26</v>
      </c>
      <c r="EU60" s="2">
        <v>155</v>
      </c>
      <c r="EW60">
        <v>155</v>
      </c>
      <c r="EX60" s="2"/>
      <c r="EY60" s="282"/>
      <c r="EZ60" s="280" t="s">
        <v>13</v>
      </c>
      <c r="FA60" s="282">
        <v>7</v>
      </c>
      <c r="FB60" s="282">
        <v>2</v>
      </c>
      <c r="FC60" s="282">
        <v>2</v>
      </c>
      <c r="FD60" s="282">
        <v>36</v>
      </c>
      <c r="FE60" s="282">
        <v>94</v>
      </c>
      <c r="FF60" s="282">
        <v>68</v>
      </c>
      <c r="FG60" s="282">
        <v>60</v>
      </c>
      <c r="FH60" s="282">
        <v>42</v>
      </c>
      <c r="FI60" s="418">
        <v>177</v>
      </c>
      <c r="FJ60" s="282"/>
      <c r="FK60" s="282"/>
      <c r="FL60" s="282"/>
      <c r="FM60" s="282"/>
      <c r="FN60" s="341" t="s">
        <v>13</v>
      </c>
      <c r="FO60" s="344">
        <v>2</v>
      </c>
      <c r="FP60" s="344">
        <v>0</v>
      </c>
      <c r="FQ60" s="344">
        <v>3</v>
      </c>
      <c r="FR60" s="344">
        <v>18</v>
      </c>
      <c r="FS60" s="344">
        <v>45</v>
      </c>
      <c r="FT60" s="344">
        <v>26</v>
      </c>
      <c r="FU60" s="344">
        <v>35</v>
      </c>
      <c r="FV60" s="344">
        <v>26</v>
      </c>
      <c r="FW60" s="289">
        <f>[5]Calc_FlrSpace!CR84</f>
        <v>180</v>
      </c>
      <c r="FX60" s="341"/>
      <c r="FY60" s="341">
        <v>155</v>
      </c>
      <c r="FZ60" s="282"/>
      <c r="GA60" s="282"/>
      <c r="GB60" s="282"/>
      <c r="GC60" s="2"/>
      <c r="GD60" s="2"/>
      <c r="GE60" s="2"/>
      <c r="GF60" s="2"/>
      <c r="GG60" s="2"/>
      <c r="GH60" s="2"/>
      <c r="GI60" s="2"/>
    </row>
    <row r="61" spans="75:271" x14ac:dyDescent="0.2">
      <c r="BW61" t="s">
        <v>14</v>
      </c>
      <c r="BX61" s="2">
        <v>1153</v>
      </c>
      <c r="BY61" s="2">
        <v>349</v>
      </c>
      <c r="BZ61" s="2">
        <v>696</v>
      </c>
      <c r="CA61" s="2">
        <v>598</v>
      </c>
      <c r="CB61" s="2">
        <v>588</v>
      </c>
      <c r="CC61" s="2">
        <v>415</v>
      </c>
      <c r="CD61" s="2">
        <v>301</v>
      </c>
      <c r="CE61" s="2"/>
      <c r="CF61" s="2">
        <v>4100</v>
      </c>
      <c r="CG61" s="282"/>
      <c r="CI61" t="s">
        <v>14</v>
      </c>
      <c r="CJ61" s="2">
        <v>1992</v>
      </c>
      <c r="CK61" s="2">
        <v>506</v>
      </c>
      <c r="CL61" s="2">
        <v>871</v>
      </c>
      <c r="CM61" s="2">
        <v>838</v>
      </c>
      <c r="CN61" s="2">
        <v>862</v>
      </c>
      <c r="CO61" s="2">
        <v>628</v>
      </c>
      <c r="CP61" s="2">
        <v>540</v>
      </c>
      <c r="CQ61" s="2"/>
      <c r="CR61" s="2">
        <v>6237</v>
      </c>
      <c r="CT61" t="s">
        <v>14</v>
      </c>
      <c r="CU61" s="2">
        <v>2027</v>
      </c>
      <c r="CV61" s="2">
        <v>507</v>
      </c>
      <c r="CW61" s="2">
        <v>842</v>
      </c>
      <c r="CX61" s="2">
        <v>815</v>
      </c>
      <c r="CY61" s="2">
        <v>852</v>
      </c>
      <c r="CZ61" s="2">
        <v>642</v>
      </c>
      <c r="DA61" s="2">
        <v>571</v>
      </c>
      <c r="DB61" s="2">
        <v>62</v>
      </c>
      <c r="DC61" s="2">
        <v>6318</v>
      </c>
      <c r="DE61" t="s">
        <v>14</v>
      </c>
      <c r="DF61" s="2">
        <v>2292</v>
      </c>
      <c r="DG61" s="2">
        <v>573</v>
      </c>
      <c r="DH61" s="2">
        <v>965</v>
      </c>
      <c r="DI61" s="2">
        <v>928</v>
      </c>
      <c r="DJ61" s="2">
        <v>998</v>
      </c>
      <c r="DK61" s="2">
        <v>714</v>
      </c>
      <c r="DL61" s="2">
        <v>753</v>
      </c>
      <c r="DM61" s="2">
        <v>204</v>
      </c>
      <c r="DN61" s="2">
        <v>7427</v>
      </c>
      <c r="DQ61" s="2">
        <v>2241</v>
      </c>
      <c r="DR61" s="2">
        <v>538</v>
      </c>
      <c r="DS61" s="2">
        <v>853</v>
      </c>
      <c r="DT61" s="2">
        <v>832</v>
      </c>
      <c r="DU61" s="2">
        <v>966</v>
      </c>
      <c r="DV61" s="2">
        <v>644</v>
      </c>
      <c r="DW61" s="2">
        <v>545</v>
      </c>
      <c r="DX61" s="2">
        <v>304</v>
      </c>
      <c r="DY61" s="2">
        <v>6923</v>
      </c>
      <c r="EB61" s="2">
        <v>1996</v>
      </c>
      <c r="EC61" s="2">
        <v>449</v>
      </c>
      <c r="ED61" s="2">
        <v>752</v>
      </c>
      <c r="EE61" s="2">
        <v>734</v>
      </c>
      <c r="EF61" s="2">
        <v>860</v>
      </c>
      <c r="EG61" s="2">
        <v>584</v>
      </c>
      <c r="EH61" s="2">
        <v>489</v>
      </c>
      <c r="EI61" s="2">
        <v>352</v>
      </c>
      <c r="EJ61" s="2">
        <v>6216</v>
      </c>
      <c r="EL61" t="s">
        <v>14</v>
      </c>
      <c r="EM61" s="2">
        <v>2399</v>
      </c>
      <c r="EN61" s="2">
        <v>593</v>
      </c>
      <c r="EO61" s="2">
        <v>999</v>
      </c>
      <c r="EP61" s="2">
        <v>952</v>
      </c>
      <c r="EQ61" s="2">
        <v>1093</v>
      </c>
      <c r="ER61" s="2">
        <v>796</v>
      </c>
      <c r="ES61" s="2">
        <v>651</v>
      </c>
      <c r="ET61" s="2">
        <v>631</v>
      </c>
      <c r="EU61" s="2">
        <v>8114</v>
      </c>
      <c r="EW61">
        <v>8114</v>
      </c>
      <c r="EZ61" s="280" t="s">
        <v>14</v>
      </c>
      <c r="FA61" s="282">
        <v>4106</v>
      </c>
      <c r="FB61" s="282">
        <v>1093</v>
      </c>
      <c r="FC61" s="282">
        <v>1845</v>
      </c>
      <c r="FD61" s="282">
        <v>1651</v>
      </c>
      <c r="FE61" s="282">
        <v>1920</v>
      </c>
      <c r="FF61" s="282">
        <v>1352</v>
      </c>
      <c r="FG61" s="282">
        <v>1190</v>
      </c>
      <c r="FH61" s="282">
        <v>1019</v>
      </c>
      <c r="FI61" s="418">
        <v>7819</v>
      </c>
      <c r="FN61" s="341" t="s">
        <v>14</v>
      </c>
      <c r="FO61" s="344">
        <v>2399</v>
      </c>
      <c r="FP61" s="344">
        <v>593</v>
      </c>
      <c r="FQ61" s="344">
        <v>999</v>
      </c>
      <c r="FR61" s="344">
        <v>952</v>
      </c>
      <c r="FS61" s="344">
        <v>1093</v>
      </c>
      <c r="FT61" s="344">
        <v>796</v>
      </c>
      <c r="FU61" s="344">
        <v>651</v>
      </c>
      <c r="FV61" s="344">
        <v>631</v>
      </c>
      <c r="FW61" s="289">
        <f>[5]Calc_FlrSpace!CR85</f>
        <v>12068</v>
      </c>
      <c r="FX61" s="341"/>
      <c r="FY61" s="341">
        <v>8114</v>
      </c>
      <c r="FZ61" s="282"/>
    </row>
    <row r="62" spans="75:271" x14ac:dyDescent="0.2">
      <c r="DQ62" t="s">
        <v>26</v>
      </c>
      <c r="DR62" t="s">
        <v>26</v>
      </c>
      <c r="DS62" t="s">
        <v>26</v>
      </c>
      <c r="DT62" t="s">
        <v>26</v>
      </c>
      <c r="DU62" t="s">
        <v>26</v>
      </c>
      <c r="ED62" t="s">
        <v>26</v>
      </c>
      <c r="EE62" t="s">
        <v>26</v>
      </c>
      <c r="EF62" t="s">
        <v>26</v>
      </c>
      <c r="EX62" s="3"/>
      <c r="EY62" s="294"/>
      <c r="FJ62" s="294"/>
      <c r="FK62" s="294"/>
      <c r="FL62" s="294"/>
      <c r="FM62" s="294"/>
      <c r="FN62" s="341"/>
      <c r="FO62" s="341"/>
      <c r="FP62" s="341"/>
      <c r="FQ62" s="341"/>
      <c r="FR62" s="341"/>
      <c r="FS62" s="341"/>
      <c r="FT62" s="341"/>
      <c r="FU62" s="341"/>
      <c r="FV62" s="341"/>
      <c r="FW62" s="341"/>
      <c r="FX62" s="341"/>
      <c r="FY62" s="341"/>
      <c r="GA62" s="294"/>
      <c r="GB62" s="294"/>
      <c r="GD62" s="4"/>
      <c r="GF62" s="5"/>
    </row>
    <row r="63" spans="75:271" x14ac:dyDescent="0.2">
      <c r="BW63" t="s">
        <v>17</v>
      </c>
      <c r="BY63" s="3">
        <v>30.021848674421783</v>
      </c>
      <c r="CI63" t="s">
        <v>17</v>
      </c>
      <c r="CK63" s="3">
        <v>36.49608845069227</v>
      </c>
      <c r="CT63" t="s">
        <v>17</v>
      </c>
      <c r="CV63" s="3">
        <v>37.988020022647262</v>
      </c>
      <c r="DE63" t="s">
        <v>17</v>
      </c>
      <c r="DG63" s="3">
        <v>38.518938120519941</v>
      </c>
      <c r="DP63" t="s">
        <v>17</v>
      </c>
      <c r="DR63" s="3">
        <v>39.310463648962283</v>
      </c>
      <c r="DS63" t="s">
        <v>26</v>
      </c>
      <c r="DT63" t="s">
        <v>26</v>
      </c>
      <c r="DU63" t="s">
        <v>26</v>
      </c>
      <c r="EA63" t="s">
        <v>17</v>
      </c>
      <c r="EC63" s="3">
        <v>39.310463648962283</v>
      </c>
      <c r="ED63" t="s">
        <v>26</v>
      </c>
      <c r="EE63" t="s">
        <v>26</v>
      </c>
      <c r="EF63" t="s">
        <v>26</v>
      </c>
      <c r="EL63" t="s">
        <v>17</v>
      </c>
      <c r="EN63" s="3">
        <v>39.66317131376389</v>
      </c>
      <c r="EZ63" s="280" t="s">
        <v>17</v>
      </c>
      <c r="FB63" s="284">
        <v>39.836324569166266</v>
      </c>
      <c r="FN63" s="341" t="s">
        <v>17</v>
      </c>
      <c r="FO63" s="341"/>
      <c r="FP63" s="346">
        <v>39.66317131376389</v>
      </c>
      <c r="FQ63" s="341"/>
      <c r="FR63" s="341"/>
      <c r="FS63" s="341"/>
      <c r="FT63" s="341"/>
      <c r="FU63" s="341"/>
      <c r="FV63" s="341"/>
      <c r="FW63" s="341"/>
      <c r="FX63" s="341"/>
      <c r="FY63" s="341"/>
      <c r="FZ63" s="294"/>
    </row>
    <row r="64" spans="75:271" x14ac:dyDescent="0.2">
      <c r="DQ64" t="s">
        <v>26</v>
      </c>
      <c r="DR64" t="s">
        <v>26</v>
      </c>
      <c r="DS64" t="s">
        <v>26</v>
      </c>
      <c r="DT64" t="s">
        <v>26</v>
      </c>
      <c r="DU64" t="s">
        <v>26</v>
      </c>
      <c r="EB64" t="s">
        <v>26</v>
      </c>
      <c r="EC64" t="s">
        <v>26</v>
      </c>
      <c r="ED64" t="s">
        <v>26</v>
      </c>
      <c r="EE64" t="s">
        <v>26</v>
      </c>
      <c r="EF64" t="s">
        <v>26</v>
      </c>
      <c r="EK64" s="1"/>
      <c r="FN64" s="341"/>
      <c r="FO64" s="341"/>
      <c r="FP64" s="341"/>
      <c r="FQ64" s="341"/>
      <c r="FR64" s="341"/>
      <c r="FS64" s="341"/>
      <c r="FT64" s="341"/>
      <c r="FU64" s="341"/>
      <c r="FV64" s="341"/>
      <c r="FW64" s="341"/>
      <c r="FX64" s="341"/>
      <c r="FY64" s="341"/>
      <c r="JJ64" t="s">
        <v>43</v>
      </c>
      <c r="JK64" t="s">
        <v>21</v>
      </c>
    </row>
    <row r="65" spans="75:278" ht="15.75" x14ac:dyDescent="0.25">
      <c r="BW65" s="6" t="s">
        <v>21</v>
      </c>
      <c r="CI65" s="6" t="s">
        <v>21</v>
      </c>
      <c r="CT65" s="6" t="s">
        <v>21</v>
      </c>
      <c r="DE65" s="6" t="s">
        <v>21</v>
      </c>
      <c r="DP65" s="6" t="s">
        <v>21</v>
      </c>
      <c r="EA65" s="6" t="s">
        <v>21</v>
      </c>
      <c r="EL65" s="6" t="s">
        <v>21</v>
      </c>
      <c r="EZ65" s="6" t="s">
        <v>21</v>
      </c>
      <c r="FN65" s="347" t="s">
        <v>21</v>
      </c>
      <c r="FO65" s="341"/>
      <c r="FP65" s="341"/>
      <c r="FQ65" s="341"/>
      <c r="FR65" s="341"/>
      <c r="FS65" s="341"/>
      <c r="FT65" s="341"/>
      <c r="FU65" s="341"/>
      <c r="FV65" s="341"/>
      <c r="FW65" s="341"/>
      <c r="FX65" s="341"/>
      <c r="FY65" s="341"/>
      <c r="IO65" t="s">
        <v>33</v>
      </c>
      <c r="IQ65" t="s">
        <v>21</v>
      </c>
      <c r="IY65" t="s">
        <v>28</v>
      </c>
      <c r="JJ65" s="1" t="s">
        <v>40</v>
      </c>
    </row>
    <row r="66" spans="75:278" x14ac:dyDescent="0.2">
      <c r="BX66" t="s">
        <v>0</v>
      </c>
      <c r="BY66" t="s">
        <v>1</v>
      </c>
      <c r="BZ66" t="s">
        <v>2</v>
      </c>
      <c r="CA66" t="s">
        <v>3</v>
      </c>
      <c r="CB66" t="s">
        <v>4</v>
      </c>
      <c r="CC66" t="s">
        <v>5</v>
      </c>
      <c r="CD66" t="s">
        <v>6</v>
      </c>
      <c r="CE66" t="s">
        <v>7</v>
      </c>
      <c r="CJ66" t="s">
        <v>0</v>
      </c>
      <c r="CK66" t="s">
        <v>1</v>
      </c>
      <c r="CL66" t="s">
        <v>2</v>
      </c>
      <c r="CM66" t="s">
        <v>3</v>
      </c>
      <c r="CN66" t="s">
        <v>4</v>
      </c>
      <c r="CO66" t="s">
        <v>5</v>
      </c>
      <c r="CP66" t="s">
        <v>6</v>
      </c>
      <c r="CQ66" t="s">
        <v>7</v>
      </c>
      <c r="CU66" t="s">
        <v>0</v>
      </c>
      <c r="CV66" t="s">
        <v>1</v>
      </c>
      <c r="CW66" t="s">
        <v>2</v>
      </c>
      <c r="CX66" t="s">
        <v>3</v>
      </c>
      <c r="CY66" t="s">
        <v>4</v>
      </c>
      <c r="CZ66" t="s">
        <v>5</v>
      </c>
      <c r="DA66" t="s">
        <v>6</v>
      </c>
      <c r="DB66" t="s">
        <v>7</v>
      </c>
      <c r="DF66" t="s">
        <v>0</v>
      </c>
      <c r="DG66" t="s">
        <v>1</v>
      </c>
      <c r="DH66" t="s">
        <v>2</v>
      </c>
      <c r="DI66" t="s">
        <v>3</v>
      </c>
      <c r="DJ66" t="s">
        <v>4</v>
      </c>
      <c r="DK66" t="s">
        <v>5</v>
      </c>
      <c r="DL66" t="s">
        <v>6</v>
      </c>
      <c r="DM66" t="s">
        <v>7</v>
      </c>
      <c r="DQ66" t="s">
        <v>0</v>
      </c>
      <c r="DR66" t="s">
        <v>1</v>
      </c>
      <c r="DS66" t="s">
        <v>2</v>
      </c>
      <c r="DT66" t="s">
        <v>3</v>
      </c>
      <c r="DU66" t="s">
        <v>4</v>
      </c>
      <c r="DV66" t="s">
        <v>5</v>
      </c>
      <c r="DW66" t="s">
        <v>6</v>
      </c>
      <c r="DX66" t="s">
        <v>7</v>
      </c>
      <c r="EB66" t="s">
        <v>0</v>
      </c>
      <c r="EC66" t="s">
        <v>1</v>
      </c>
      <c r="ED66" t="s">
        <v>2</v>
      </c>
      <c r="EE66" t="s">
        <v>3</v>
      </c>
      <c r="EF66" t="s">
        <v>4</v>
      </c>
      <c r="EG66" t="s">
        <v>5</v>
      </c>
      <c r="EH66" t="s">
        <v>6</v>
      </c>
      <c r="EI66" t="s">
        <v>7</v>
      </c>
      <c r="EM66" t="s">
        <v>0</v>
      </c>
      <c r="EN66" t="s">
        <v>1</v>
      </c>
      <c r="EO66" t="s">
        <v>2</v>
      </c>
      <c r="EP66" t="s">
        <v>3</v>
      </c>
      <c r="EQ66" t="s">
        <v>4</v>
      </c>
      <c r="ER66" t="s">
        <v>5</v>
      </c>
      <c r="ES66" t="s">
        <v>6</v>
      </c>
      <c r="ET66" t="s">
        <v>7</v>
      </c>
      <c r="FA66" s="280" t="s">
        <v>0</v>
      </c>
      <c r="FB66" s="280" t="s">
        <v>1</v>
      </c>
      <c r="FC66" s="280" t="s">
        <v>2</v>
      </c>
      <c r="FD66" s="280" t="s">
        <v>3</v>
      </c>
      <c r="FE66" s="280" t="s">
        <v>4</v>
      </c>
      <c r="FF66" s="280" t="s">
        <v>5</v>
      </c>
      <c r="FG66" s="280" t="s">
        <v>6</v>
      </c>
      <c r="FH66" s="280" t="s">
        <v>7</v>
      </c>
      <c r="FN66" s="341"/>
      <c r="FO66" s="341" t="s">
        <v>0</v>
      </c>
      <c r="FP66" s="341" t="s">
        <v>1</v>
      </c>
      <c r="FQ66" s="341" t="s">
        <v>2</v>
      </c>
      <c r="FR66" s="341" t="s">
        <v>3</v>
      </c>
      <c r="FS66" s="341" t="s">
        <v>4</v>
      </c>
      <c r="FT66" s="341" t="s">
        <v>5</v>
      </c>
      <c r="FU66" s="341" t="s">
        <v>6</v>
      </c>
      <c r="FV66" s="341" t="s">
        <v>7</v>
      </c>
      <c r="FW66" s="341"/>
      <c r="FX66" s="341"/>
      <c r="FY66" s="341"/>
      <c r="IP66" t="s">
        <v>0</v>
      </c>
      <c r="IQ66" t="s">
        <v>1</v>
      </c>
      <c r="IR66" t="s">
        <v>2</v>
      </c>
      <c r="IS66" t="s">
        <v>3</v>
      </c>
      <c r="IT66" t="s">
        <v>4</v>
      </c>
      <c r="IU66" t="s">
        <v>5</v>
      </c>
      <c r="IV66" t="s">
        <v>6</v>
      </c>
      <c r="IY66" t="s">
        <v>29</v>
      </c>
      <c r="IZ66" t="s">
        <v>30</v>
      </c>
      <c r="JF66" t="s">
        <v>35</v>
      </c>
    </row>
    <row r="67" spans="75:278" x14ac:dyDescent="0.2">
      <c r="DQ67" t="s">
        <v>26</v>
      </c>
      <c r="DR67" t="s">
        <v>26</v>
      </c>
      <c r="DS67" t="s">
        <v>26</v>
      </c>
      <c r="DT67" t="s">
        <v>26</v>
      </c>
      <c r="DU67" t="s">
        <v>26</v>
      </c>
      <c r="EB67" t="s">
        <v>26</v>
      </c>
      <c r="EC67" t="s">
        <v>26</v>
      </c>
      <c r="ED67">
        <v>2500</v>
      </c>
      <c r="EE67" t="s">
        <v>26</v>
      </c>
      <c r="EF67" t="s">
        <v>26</v>
      </c>
      <c r="EK67" s="1"/>
      <c r="FN67" s="341"/>
      <c r="FO67" s="341"/>
      <c r="FP67" s="341"/>
      <c r="FQ67" s="341"/>
      <c r="FR67" s="341"/>
      <c r="FS67" s="341"/>
      <c r="FT67" s="341"/>
      <c r="FU67" s="341"/>
      <c r="FV67" s="341"/>
      <c r="FW67" s="341"/>
      <c r="FX67" s="341"/>
      <c r="FY67" s="341"/>
      <c r="IO67" s="11">
        <v>1997</v>
      </c>
      <c r="IP67" s="2">
        <f t="shared" ref="IP67:IV67" si="111">BX81</f>
        <v>6.8041574901999997</v>
      </c>
      <c r="IQ67" s="2">
        <f t="shared" si="111"/>
        <v>0</v>
      </c>
      <c r="IR67" s="2">
        <f t="shared" si="111"/>
        <v>21.528942491700001</v>
      </c>
      <c r="IS67" s="2">
        <f t="shared" si="111"/>
        <v>184.0993390174001</v>
      </c>
      <c r="IT67" s="2">
        <f t="shared" si="111"/>
        <v>392.72283133727797</v>
      </c>
      <c r="IU67" s="2">
        <f t="shared" si="111"/>
        <v>231.33671546529294</v>
      </c>
      <c r="IV67" s="2">
        <f t="shared" si="111"/>
        <v>319.6571512608499</v>
      </c>
      <c r="IW67" s="2"/>
      <c r="IX67" s="11">
        <f>IO67</f>
        <v>1997</v>
      </c>
      <c r="IY67" s="2">
        <f t="shared" ref="IY67:IY73" si="112">SUM(IP67:IU67)</f>
        <v>836.49198580187101</v>
      </c>
      <c r="IZ67">
        <f>EXP(JD67)</f>
        <v>811.52079257794753</v>
      </c>
      <c r="JA67">
        <f t="shared" ref="JA67:JA73" si="113">LN(IY67)</f>
        <v>6.7292169397496284</v>
      </c>
      <c r="JB67">
        <v>0</v>
      </c>
      <c r="JC67">
        <f t="shared" ref="JC67:JC73" si="114">JA67</f>
        <v>6.7292169397496284</v>
      </c>
      <c r="JD67">
        <f>$JG$67+JB67*$JF$67</f>
        <v>6.6989100090268261</v>
      </c>
      <c r="JF67" s="13">
        <f t="array" ref="JF67:JG72">LINEST(JC67:JC73,JB67:JB73,TRUE,TRUE)</f>
        <v>-2.4502250595529875E-2</v>
      </c>
      <c r="JG67">
        <v>6.6989100090268261</v>
      </c>
      <c r="JJ67" t="s">
        <v>41</v>
      </c>
      <c r="JK67" t="s">
        <v>30</v>
      </c>
    </row>
    <row r="68" spans="75:278" x14ac:dyDescent="0.2">
      <c r="BW68" s="1" t="s">
        <v>8</v>
      </c>
      <c r="CF68" s="2"/>
      <c r="CG68" s="282"/>
      <c r="CI68" s="1" t="s">
        <v>8</v>
      </c>
      <c r="CR68" s="2"/>
      <c r="CT68" s="1" t="s">
        <v>8</v>
      </c>
      <c r="DC68" s="2"/>
      <c r="DE68" s="1" t="s">
        <v>8</v>
      </c>
      <c r="DN68" s="2"/>
      <c r="DP68" s="1" t="s">
        <v>8</v>
      </c>
      <c r="DQ68" t="s">
        <v>26</v>
      </c>
      <c r="DR68" t="s">
        <v>26</v>
      </c>
      <c r="DS68" t="s">
        <v>26</v>
      </c>
      <c r="DT68" t="s">
        <v>26</v>
      </c>
      <c r="DU68" t="s">
        <v>26</v>
      </c>
      <c r="EA68" s="1" t="s">
        <v>8</v>
      </c>
      <c r="EB68" t="s">
        <v>26</v>
      </c>
      <c r="EC68" t="s">
        <v>26</v>
      </c>
      <c r="ED68" t="s">
        <v>26</v>
      </c>
      <c r="EE68" t="s">
        <v>26</v>
      </c>
      <c r="EF68" t="s">
        <v>26</v>
      </c>
      <c r="EL68" s="1" t="s">
        <v>8</v>
      </c>
      <c r="EU68" s="2"/>
      <c r="EX68" s="2"/>
      <c r="EY68" s="282"/>
      <c r="EZ68" s="281" t="s">
        <v>8</v>
      </c>
      <c r="FI68" s="282"/>
      <c r="FJ68" s="282"/>
      <c r="FK68" s="282"/>
      <c r="FL68" s="282"/>
      <c r="FM68" s="282"/>
      <c r="FN68" s="342" t="s">
        <v>8</v>
      </c>
      <c r="FO68" s="341"/>
      <c r="FP68" s="341"/>
      <c r="FQ68" s="341"/>
      <c r="FR68" s="341"/>
      <c r="FS68" s="341"/>
      <c r="FT68" s="341"/>
      <c r="FU68" s="341"/>
      <c r="FV68" s="341"/>
      <c r="FW68" s="344"/>
      <c r="FX68" s="341"/>
      <c r="FY68" s="341"/>
      <c r="GA68" s="282"/>
      <c r="GD68" t="s">
        <v>27</v>
      </c>
      <c r="GF68" t="s">
        <v>21</v>
      </c>
      <c r="IO68" s="11">
        <v>1999</v>
      </c>
      <c r="IP68" s="2">
        <f t="shared" ref="IP68:IV68" si="115">CJ81</f>
        <v>11.5860545669</v>
      </c>
      <c r="IQ68" s="2">
        <f t="shared" si="115"/>
        <v>1.8912064918000002</v>
      </c>
      <c r="IR68" s="2">
        <f t="shared" si="115"/>
        <v>17.142504509210003</v>
      </c>
      <c r="IS68" s="2">
        <f t="shared" si="115"/>
        <v>148.48369221853997</v>
      </c>
      <c r="IT68" s="2">
        <f t="shared" si="115"/>
        <v>343.57446329810722</v>
      </c>
      <c r="IU68" s="2">
        <f t="shared" si="115"/>
        <v>239.18349589438898</v>
      </c>
      <c r="IV68" s="2">
        <f t="shared" si="115"/>
        <v>416.67590465005992</v>
      </c>
      <c r="IW68" s="2"/>
      <c r="IX68" s="11">
        <f t="shared" ref="IX68:IX73" si="116">IO68</f>
        <v>1999</v>
      </c>
      <c r="IY68" s="2">
        <f t="shared" si="112"/>
        <v>761.86141697894618</v>
      </c>
      <c r="IZ68">
        <f t="shared" ref="IZ68:IZ73" si="117">EXP(JD68)</f>
        <v>772.71130692164206</v>
      </c>
      <c r="JA68">
        <f t="shared" si="113"/>
        <v>6.6357646716650525</v>
      </c>
      <c r="JB68">
        <v>2</v>
      </c>
      <c r="JC68">
        <f t="shared" si="114"/>
        <v>6.6357646716650525</v>
      </c>
      <c r="JD68">
        <f t="shared" ref="JD68:JD73" si="118">$JG$67+JB68*$JF$67</f>
        <v>6.6499055078357667</v>
      </c>
      <c r="JF68">
        <v>3.1041900142911322E-3</v>
      </c>
      <c r="JG68">
        <v>2.2384632530619938E-2</v>
      </c>
      <c r="JI68" s="11">
        <f t="shared" ref="JI68:JI73" si="119">IX68</f>
        <v>1999</v>
      </c>
      <c r="JJ68" s="2">
        <f t="shared" ref="JJ68:JJ73" si="120">SUM(IP68:IV68)</f>
        <v>1178.5373216290061</v>
      </c>
      <c r="JK68">
        <f t="shared" ref="JK68:JK73" si="121">EXP(JO68)</f>
        <v>1162.5151834290668</v>
      </c>
      <c r="JL68">
        <f t="shared" ref="JL68:JL73" si="122">LN(JJ68)</f>
        <v>7.0720293906307923</v>
      </c>
      <c r="JM68">
        <v>0</v>
      </c>
      <c r="JN68">
        <f t="shared" ref="JN68:JN73" si="123">JL68</f>
        <v>7.0720293906307923</v>
      </c>
      <c r="JO68">
        <f t="shared" ref="JO68:JO73" si="124">$JR$68+JM68*$JQ$68</f>
        <v>7.058341198390468</v>
      </c>
      <c r="JQ68" s="13">
        <f t="array" ref="JQ68:JR72">LINEST(JN68:JN73,JM68:JM73,TRUE,TRUE)</f>
        <v>-2.0475499868312149E-2</v>
      </c>
      <c r="JR68">
        <v>7.058341198390468</v>
      </c>
    </row>
    <row r="69" spans="75:278" x14ac:dyDescent="0.2">
      <c r="BW69" t="s">
        <v>9</v>
      </c>
      <c r="BX69" s="2">
        <v>2059.8233339062663</v>
      </c>
      <c r="BY69" s="2">
        <v>1818.0395998289418</v>
      </c>
      <c r="BZ69" s="2">
        <v>1849.1734758798764</v>
      </c>
      <c r="CA69" s="2">
        <v>1962.956519430403</v>
      </c>
      <c r="CB69" s="2">
        <v>2048.8704418560069</v>
      </c>
      <c r="CC69" s="2">
        <v>2188.0282216828873</v>
      </c>
      <c r="CD69" s="2">
        <v>2221.4269519840018</v>
      </c>
      <c r="CE69" s="2"/>
      <c r="CF69" s="2">
        <v>2016.3781142967264</v>
      </c>
      <c r="CG69" s="282"/>
      <c r="CI69" t="s">
        <v>9</v>
      </c>
      <c r="CJ69" s="2">
        <v>2043.2120060557932</v>
      </c>
      <c r="CK69" s="2">
        <v>1744.9199130022425</v>
      </c>
      <c r="CL69" s="2">
        <v>1745.1779129667557</v>
      </c>
      <c r="CM69" s="2">
        <v>1857.1450906590876</v>
      </c>
      <c r="CN69" s="2">
        <v>2067.4736167614415</v>
      </c>
      <c r="CO69" s="2">
        <v>2275.9306973051694</v>
      </c>
      <c r="CP69" s="2">
        <v>2593.489269852781</v>
      </c>
      <c r="CQ69" s="2"/>
      <c r="CR69" s="2">
        <v>2043.0950500678771</v>
      </c>
      <c r="CT69" t="s">
        <v>9</v>
      </c>
      <c r="CU69" s="2">
        <v>2048.259609915056</v>
      </c>
      <c r="CV69" s="2">
        <v>1690.1406502047789</v>
      </c>
      <c r="CW69" s="2">
        <v>1730.9652740381264</v>
      </c>
      <c r="CX69" s="2">
        <v>1870.4983966761874</v>
      </c>
      <c r="CY69" s="2">
        <v>1986.7418285315289</v>
      </c>
      <c r="CZ69" s="2">
        <v>2233.7215795216057</v>
      </c>
      <c r="DA69" s="2">
        <v>2554.8238853655021</v>
      </c>
      <c r="DB69" s="2">
        <v>2739.323944343018</v>
      </c>
      <c r="DC69" s="2">
        <v>2032.7145442457579</v>
      </c>
      <c r="DE69" t="s">
        <v>9</v>
      </c>
      <c r="DF69" s="2">
        <v>2061.5846054235458</v>
      </c>
      <c r="DG69" s="2">
        <v>1812.4423989939733</v>
      </c>
      <c r="DH69" s="2">
        <v>1786.8715742667912</v>
      </c>
      <c r="DI69" s="2">
        <v>1942.4045115915942</v>
      </c>
      <c r="DJ69" s="2">
        <v>2016.3401637860029</v>
      </c>
      <c r="DK69" s="2">
        <v>2317.870882349705</v>
      </c>
      <c r="DL69" s="2">
        <v>2635.195656459457</v>
      </c>
      <c r="DM69" s="2">
        <v>2741.6701055545527</v>
      </c>
      <c r="DN69" s="2">
        <v>2103.2380645946528</v>
      </c>
      <c r="DP69" t="s">
        <v>9</v>
      </c>
      <c r="DQ69" s="2">
        <v>2067.5642072534647</v>
      </c>
      <c r="DR69" s="2">
        <v>1757.6907070540574</v>
      </c>
      <c r="DS69" s="2">
        <v>1803.2271695100419</v>
      </c>
      <c r="DT69" s="2">
        <v>1947.7473839704303</v>
      </c>
      <c r="DU69" s="2">
        <v>2086.246451362782</v>
      </c>
      <c r="DV69" s="2">
        <v>2326.5558737742454</v>
      </c>
      <c r="DW69" s="2">
        <v>2700.7249026739655</v>
      </c>
      <c r="DX69" s="2">
        <v>2914.6929655635927</v>
      </c>
      <c r="DY69" s="2">
        <v>2153.1181164443478</v>
      </c>
      <c r="EA69" t="s">
        <v>9</v>
      </c>
      <c r="EB69" s="2">
        <v>2105.472771425892</v>
      </c>
      <c r="EC69" s="2">
        <v>1737.0106884394327</v>
      </c>
      <c r="ED69" s="2">
        <v>1747.0594652036471</v>
      </c>
      <c r="EE69" s="2">
        <v>1957.3206050806616</v>
      </c>
      <c r="EF69" s="2">
        <v>2048.0397755472304</v>
      </c>
      <c r="EG69" s="2">
        <v>2237.5900821165319</v>
      </c>
      <c r="EH69" s="2">
        <v>2698.4139687639058</v>
      </c>
      <c r="EI69" s="2">
        <v>2930.1787855608118</v>
      </c>
      <c r="EJ69" s="2">
        <v>2163.9023859550234</v>
      </c>
      <c r="EL69" t="s">
        <v>9</v>
      </c>
      <c r="EM69" s="2">
        <v>2065.2888170062406</v>
      </c>
      <c r="EN69" s="2">
        <v>1778.0649626593322</v>
      </c>
      <c r="EO69" s="2">
        <v>1787.6421186228758</v>
      </c>
      <c r="EP69" s="2">
        <v>1940.0903975990425</v>
      </c>
      <c r="EQ69" s="2">
        <v>2112.9442726380939</v>
      </c>
      <c r="ER69" s="2">
        <v>2162.2819355710776</v>
      </c>
      <c r="ES69" s="2">
        <v>2656.7785855859643</v>
      </c>
      <c r="ET69" s="2">
        <v>2807.5926527689635</v>
      </c>
      <c r="EU69" s="2">
        <v>2157.3100838639425</v>
      </c>
      <c r="EX69" s="2"/>
      <c r="EY69" s="282"/>
      <c r="EZ69" s="280" t="s">
        <v>9</v>
      </c>
      <c r="FA69" s="282">
        <v>2022.4586336061225</v>
      </c>
      <c r="FB69" s="282">
        <v>1739.2869971614318</v>
      </c>
      <c r="FC69" s="282">
        <v>1760.1996260963781</v>
      </c>
      <c r="FD69" s="282">
        <v>1965.0286447346334</v>
      </c>
      <c r="FE69" s="282">
        <v>2119.8044791409839</v>
      </c>
      <c r="FF69" s="282">
        <v>2222.3268810043219</v>
      </c>
      <c r="FG69" s="282">
        <v>2651.735425456146</v>
      </c>
      <c r="FH69" s="282">
        <v>2945.3831889053058</v>
      </c>
      <c r="FI69" s="418">
        <v>2175.2943075798371</v>
      </c>
      <c r="FJ69" s="282"/>
      <c r="FK69" s="282"/>
      <c r="FL69" s="282"/>
      <c r="FM69" s="282"/>
      <c r="FN69" s="341" t="s">
        <v>9</v>
      </c>
      <c r="FO69" s="344">
        <v>2065.2888170062406</v>
      </c>
      <c r="FP69" s="344">
        <v>1778.0649626593322</v>
      </c>
      <c r="FQ69" s="344">
        <v>1787.6421186228758</v>
      </c>
      <c r="FR69" s="344">
        <v>1940.0903975990425</v>
      </c>
      <c r="FS69" s="344">
        <v>2112.9442726380939</v>
      </c>
      <c r="FT69" s="344">
        <v>2162.2819355710776</v>
      </c>
      <c r="FU69" s="344">
        <v>2656.7785855859643</v>
      </c>
      <c r="FV69" s="344">
        <v>2807.5926527689635</v>
      </c>
      <c r="FW69" s="289">
        <f>[5]Calc_FlrSpace!CR93</f>
        <v>2111.37041384349</v>
      </c>
      <c r="FX69" s="341"/>
      <c r="FY69" s="341"/>
      <c r="FZ69" s="282"/>
      <c r="GA69" s="282"/>
      <c r="GE69" t="s">
        <v>0</v>
      </c>
      <c r="GF69" t="s">
        <v>1</v>
      </c>
      <c r="GG69" t="s">
        <v>2</v>
      </c>
      <c r="GH69" t="s">
        <v>3</v>
      </c>
      <c r="GI69" t="s">
        <v>4</v>
      </c>
      <c r="GJ69" t="s">
        <v>5</v>
      </c>
      <c r="GK69" t="s">
        <v>6</v>
      </c>
      <c r="IO69" s="11">
        <v>2001</v>
      </c>
      <c r="IP69" s="2">
        <f t="shared" ref="IP69:IV69" si="125">CU81</f>
        <v>14.3424881312</v>
      </c>
      <c r="IQ69" s="2">
        <f t="shared" si="125"/>
        <v>0</v>
      </c>
      <c r="IR69" s="2">
        <f t="shared" si="125"/>
        <v>25.960508364500001</v>
      </c>
      <c r="IS69" s="2">
        <f t="shared" si="125"/>
        <v>124.64871711844002</v>
      </c>
      <c r="IT69" s="2">
        <f t="shared" si="125"/>
        <v>334.71386532099092</v>
      </c>
      <c r="IU69" s="2">
        <f t="shared" si="125"/>
        <v>244.298606184025</v>
      </c>
      <c r="IV69" s="2">
        <f t="shared" si="125"/>
        <v>404.74288618778991</v>
      </c>
      <c r="IW69" s="2"/>
      <c r="IX69" s="11">
        <f t="shared" si="116"/>
        <v>2001</v>
      </c>
      <c r="IY69" s="2">
        <f t="shared" si="112"/>
        <v>743.9641851191559</v>
      </c>
      <c r="IZ69">
        <f t="shared" si="117"/>
        <v>735.75781336151181</v>
      </c>
      <c r="JA69">
        <f t="shared" si="113"/>
        <v>6.6119928953937031</v>
      </c>
      <c r="JB69">
        <v>4</v>
      </c>
      <c r="JC69">
        <f t="shared" si="114"/>
        <v>6.6119928953937031</v>
      </c>
      <c r="JD69">
        <f t="shared" si="118"/>
        <v>6.6009010066447065</v>
      </c>
      <c r="JF69">
        <v>0.92571012007703568</v>
      </c>
      <c r="JG69">
        <v>3.28516592004175E-2</v>
      </c>
      <c r="JI69" s="11">
        <f t="shared" si="119"/>
        <v>2001</v>
      </c>
      <c r="JJ69" s="2">
        <f t="shared" si="120"/>
        <v>1148.7070713069459</v>
      </c>
      <c r="JK69">
        <f t="shared" si="121"/>
        <v>1115.8706136761948</v>
      </c>
      <c r="JL69">
        <f t="shared" si="122"/>
        <v>7.0463923030538407</v>
      </c>
      <c r="JM69">
        <v>2</v>
      </c>
      <c r="JN69">
        <f t="shared" si="123"/>
        <v>7.0463923030538407</v>
      </c>
      <c r="JO69">
        <f t="shared" si="124"/>
        <v>7.0173901986538434</v>
      </c>
      <c r="JQ69" s="15">
        <v>4.0402633666242532E-3</v>
      </c>
      <c r="JR69">
        <v>2.4465009625214088E-2</v>
      </c>
    </row>
    <row r="70" spans="75:278" x14ac:dyDescent="0.2">
      <c r="BW70" t="s">
        <v>10</v>
      </c>
      <c r="BX70" s="2">
        <v>2062.0902496404901</v>
      </c>
      <c r="BY70" s="2">
        <v>1818.0395998289418</v>
      </c>
      <c r="BZ70" s="2">
        <v>1854.4036820301665</v>
      </c>
      <c r="CA70" s="2">
        <v>2049.8774882571033</v>
      </c>
      <c r="CB70" s="2">
        <v>2210.0897248094129</v>
      </c>
      <c r="CC70" s="2">
        <v>2368.5558117644459</v>
      </c>
      <c r="CD70" s="2">
        <v>2450.0101748976899</v>
      </c>
      <c r="CE70" s="2"/>
      <c r="CF70" s="2">
        <v>2082.867024175297</v>
      </c>
      <c r="CG70" s="282"/>
      <c r="CI70" t="s">
        <v>10</v>
      </c>
      <c r="CJ70" s="2">
        <v>2044.5897921767846</v>
      </c>
      <c r="CK70" s="2">
        <v>1744.9199130022425</v>
      </c>
      <c r="CL70" s="2">
        <v>1750.9066073544843</v>
      </c>
      <c r="CM70" s="2">
        <v>1918.3180640780524</v>
      </c>
      <c r="CN70" s="2">
        <v>2207.5561274417314</v>
      </c>
      <c r="CO70" s="2">
        <v>2475.2053530434982</v>
      </c>
      <c r="CP70" s="2">
        <v>2887.6717905318742</v>
      </c>
      <c r="CQ70" s="2"/>
      <c r="CR70" s="2">
        <v>2108.0561271949673</v>
      </c>
      <c r="CT70" t="s">
        <v>10</v>
      </c>
      <c r="CU70" s="2">
        <v>2051.2523799844889</v>
      </c>
      <c r="CV70" s="2">
        <v>1690.1406502047789</v>
      </c>
      <c r="CW70" s="2">
        <v>1739.8147779697083</v>
      </c>
      <c r="CX70" s="2">
        <v>1924.534645641595</v>
      </c>
      <c r="CY70" s="2">
        <v>2116.7834477641932</v>
      </c>
      <c r="CZ70" s="2">
        <v>2443.0649964698264</v>
      </c>
      <c r="DA70" s="2">
        <v>2808.4016007877062</v>
      </c>
      <c r="DB70" s="2">
        <v>2964.6298184455463</v>
      </c>
      <c r="DC70" s="2">
        <v>2096.9234766653108</v>
      </c>
      <c r="DE70" t="s">
        <v>10</v>
      </c>
      <c r="DF70" s="2">
        <v>2064.7476111684541</v>
      </c>
      <c r="DG70" s="2">
        <v>1812.4423989939733</v>
      </c>
      <c r="DH70" s="2">
        <v>1789.6120449286427</v>
      </c>
      <c r="DI70" s="2">
        <v>2005.890332366371</v>
      </c>
      <c r="DJ70" s="2">
        <v>2141.2528351380106</v>
      </c>
      <c r="DK70" s="2">
        <v>2522.6593277731972</v>
      </c>
      <c r="DL70" s="2">
        <v>2840.2586152837721</v>
      </c>
      <c r="DM70" s="2">
        <v>2917.3994791562191</v>
      </c>
      <c r="DN70" s="2">
        <v>2164.5646784829905</v>
      </c>
      <c r="DP70" t="s">
        <v>10</v>
      </c>
      <c r="DQ70" s="2">
        <v>2069.9954458175557</v>
      </c>
      <c r="DR70" s="2">
        <v>1758.4847027958231</v>
      </c>
      <c r="DS70" s="2">
        <v>1807.0214510313979</v>
      </c>
      <c r="DT70" s="2">
        <v>1982.345851428388</v>
      </c>
      <c r="DU70" s="2">
        <v>2170.2282267254809</v>
      </c>
      <c r="DV70" s="2">
        <v>2510.249527836967</v>
      </c>
      <c r="DW70" s="2">
        <v>2943.3570989390291</v>
      </c>
      <c r="DX70" s="2">
        <v>3042.99495402003</v>
      </c>
      <c r="DY70" s="2">
        <v>2207.4946592819542</v>
      </c>
      <c r="EA70" t="s">
        <v>10</v>
      </c>
      <c r="EB70" s="2">
        <v>2106.4150299741104</v>
      </c>
      <c r="EC70" s="2">
        <v>1738.661785210996</v>
      </c>
      <c r="ED70" s="2">
        <v>1749.2806963425999</v>
      </c>
      <c r="EE70" s="2">
        <v>1980.0533492565849</v>
      </c>
      <c r="EF70" s="2">
        <v>2130.5002061785663</v>
      </c>
      <c r="EG70" s="2">
        <v>2425.0447560547987</v>
      </c>
      <c r="EH70" s="2">
        <v>2963.3812471544611</v>
      </c>
      <c r="EI70" s="2">
        <v>3064.989413691992</v>
      </c>
      <c r="EJ70" s="2">
        <v>2221.0418973416199</v>
      </c>
      <c r="EL70" t="s">
        <v>10</v>
      </c>
      <c r="EM70" s="2">
        <v>2067.475618800233</v>
      </c>
      <c r="EN70" s="2">
        <v>1780.979130977719</v>
      </c>
      <c r="EO70" s="2">
        <v>1788.280709533117</v>
      </c>
      <c r="EP70" s="2">
        <v>1972.0322274890175</v>
      </c>
      <c r="EQ70" s="2">
        <v>2225.04584262761</v>
      </c>
      <c r="ER70" s="2">
        <v>2354.2296469770099</v>
      </c>
      <c r="ES70" s="2">
        <v>2882.8814007802334</v>
      </c>
      <c r="ET70" s="2">
        <v>2921.2786634643771</v>
      </c>
      <c r="EU70" s="2">
        <v>2215.8986864646108</v>
      </c>
      <c r="EX70" s="2"/>
      <c r="EY70" s="282"/>
      <c r="EZ70" s="280" t="s">
        <v>10</v>
      </c>
      <c r="FA70" s="282">
        <v>2024.4813032404493</v>
      </c>
      <c r="FB70" s="282">
        <v>1739.3330246052185</v>
      </c>
      <c r="FC70" s="282">
        <v>1761.5450793120306</v>
      </c>
      <c r="FD70" s="282">
        <v>1984.2307819448547</v>
      </c>
      <c r="FE70" s="282">
        <v>2205.7909359463574</v>
      </c>
      <c r="FF70" s="282">
        <v>2454.3388379536395</v>
      </c>
      <c r="FG70" s="282">
        <v>2887.2986434193472</v>
      </c>
      <c r="FH70" s="282">
        <v>3066.1610519629417</v>
      </c>
      <c r="FI70" s="418">
        <v>2230.8332988431316</v>
      </c>
      <c r="FJ70" s="282"/>
      <c r="FK70" s="282"/>
      <c r="FL70" s="282"/>
      <c r="FM70" s="282"/>
      <c r="FN70" s="341" t="s">
        <v>10</v>
      </c>
      <c r="FO70" s="344">
        <v>2067.475618800233</v>
      </c>
      <c r="FP70" s="344">
        <v>1780.979130977719</v>
      </c>
      <c r="FQ70" s="344">
        <v>1788.280709533117</v>
      </c>
      <c r="FR70" s="344">
        <v>1972.0322274890175</v>
      </c>
      <c r="FS70" s="344">
        <v>2225.04584262761</v>
      </c>
      <c r="FT70" s="344">
        <v>2354.2296469770099</v>
      </c>
      <c r="FU70" s="344">
        <v>2882.8814007802334</v>
      </c>
      <c r="FV70" s="344">
        <v>2921.2786634643771</v>
      </c>
      <c r="FW70" s="289">
        <f>[5]Calc_FlrSpace!CR94</f>
        <v>2168.0289656118625</v>
      </c>
      <c r="FX70" s="341"/>
      <c r="FY70" s="341"/>
      <c r="FZ70" s="282"/>
      <c r="GA70" s="282"/>
      <c r="GD70" s="11">
        <v>1997</v>
      </c>
      <c r="GE70" s="2">
        <f t="shared" ref="GE70:GK70" si="126">BX78+BX79</f>
        <v>4746.9247126156097</v>
      </c>
      <c r="GF70" s="2">
        <f t="shared" si="126"/>
        <v>1469.2028504061</v>
      </c>
      <c r="GG70" s="2">
        <f t="shared" si="126"/>
        <v>2933.6710019213924</v>
      </c>
      <c r="GH70" s="2">
        <f t="shared" si="126"/>
        <v>2384.2965733228034</v>
      </c>
      <c r="GI70" s="2">
        <f t="shared" si="126"/>
        <v>2821.1537071789471</v>
      </c>
      <c r="GJ70" s="2">
        <f t="shared" si="126"/>
        <v>1512.766496820801</v>
      </c>
      <c r="GK70" s="2">
        <f t="shared" si="126"/>
        <v>1608.9042574617868</v>
      </c>
      <c r="IO70" s="11">
        <v>2003</v>
      </c>
      <c r="IP70" s="2">
        <f t="shared" ref="IP70:IV70" si="127">DF81</f>
        <v>13.1900216919</v>
      </c>
      <c r="IQ70" s="2">
        <f t="shared" si="127"/>
        <v>0</v>
      </c>
      <c r="IR70" s="2">
        <f t="shared" si="127"/>
        <v>7.4790784012799998</v>
      </c>
      <c r="IS70" s="2">
        <f t="shared" si="127"/>
        <v>128.96665545176998</v>
      </c>
      <c r="IT70" s="2">
        <f t="shared" si="127"/>
        <v>296.58753405399</v>
      </c>
      <c r="IU70" s="2">
        <f t="shared" si="127"/>
        <v>234.07054792304606</v>
      </c>
      <c r="IV70" s="2">
        <f t="shared" si="127"/>
        <v>335.70046181740003</v>
      </c>
      <c r="IW70" s="2"/>
      <c r="IX70" s="11">
        <f t="shared" si="116"/>
        <v>2003</v>
      </c>
      <c r="IY70" s="2">
        <f t="shared" si="112"/>
        <v>680.29383752198601</v>
      </c>
      <c r="IZ70">
        <f t="shared" si="117"/>
        <v>700.57155249756033</v>
      </c>
      <c r="JA70">
        <f t="shared" si="113"/>
        <v>6.5225248188387033</v>
      </c>
      <c r="JB70">
        <v>6</v>
      </c>
      <c r="JC70">
        <f t="shared" si="114"/>
        <v>6.5225248188387033</v>
      </c>
      <c r="JD70">
        <f t="shared" si="118"/>
        <v>6.5518965054536471</v>
      </c>
      <c r="JF70">
        <v>62.303918180845208</v>
      </c>
      <c r="JG70">
        <v>5</v>
      </c>
      <c r="JI70" s="11">
        <f t="shared" si="119"/>
        <v>2003</v>
      </c>
      <c r="JJ70" s="2">
        <f t="shared" si="120"/>
        <v>1015.9942993393861</v>
      </c>
      <c r="JK70">
        <f t="shared" si="121"/>
        <v>1071.0976030379436</v>
      </c>
      <c r="JL70">
        <f t="shared" si="122"/>
        <v>6.9236230172362552</v>
      </c>
      <c r="JM70">
        <v>4</v>
      </c>
      <c r="JN70">
        <f t="shared" si="123"/>
        <v>6.9236230172362552</v>
      </c>
      <c r="JO70">
        <f t="shared" si="124"/>
        <v>6.9764391989172196</v>
      </c>
      <c r="JQ70">
        <v>0.86524378468685592</v>
      </c>
      <c r="JR70">
        <v>3.3803268555245014E-2</v>
      </c>
    </row>
    <row r="71" spans="75:278" x14ac:dyDescent="0.2">
      <c r="BW71" t="s">
        <v>11</v>
      </c>
      <c r="BX71" s="9">
        <v>1000</v>
      </c>
      <c r="BY71" s="2">
        <v>1056</v>
      </c>
      <c r="BZ71" s="2">
        <v>800</v>
      </c>
      <c r="CA71" s="2">
        <v>1900.0000000000002</v>
      </c>
      <c r="CB71" s="2">
        <v>1074.0260866145852</v>
      </c>
      <c r="CC71" s="2">
        <v>1098.6918929654071</v>
      </c>
      <c r="CD71" s="2">
        <v>1872.8153401762468</v>
      </c>
      <c r="CE71" s="2"/>
      <c r="CF71" s="2">
        <v>1546.9287229619113</v>
      </c>
      <c r="CG71" s="282"/>
      <c r="CI71" t="s">
        <v>11</v>
      </c>
      <c r="CJ71" s="9">
        <v>1662.9638736486108</v>
      </c>
      <c r="CK71" s="2">
        <v>1032.0395840107421</v>
      </c>
      <c r="CL71" s="2">
        <v>1328.8167144230601</v>
      </c>
      <c r="CM71" s="2">
        <v>1175.3424577400506</v>
      </c>
      <c r="CN71" s="2">
        <v>1344.3004665676826</v>
      </c>
      <c r="CO71" s="2">
        <v>1467.8326183808172</v>
      </c>
      <c r="CP71" s="2">
        <v>1609.510929082277</v>
      </c>
      <c r="CQ71" s="2"/>
      <c r="CR71" s="2">
        <v>1439.5428202801716</v>
      </c>
      <c r="CT71" t="s">
        <v>11</v>
      </c>
      <c r="CU71" s="10">
        <v>1233.822555503104</v>
      </c>
      <c r="CV71" s="2">
        <v>969.95899021198409</v>
      </c>
      <c r="CW71" s="2">
        <v>1150.5076644144067</v>
      </c>
      <c r="CX71" s="2">
        <v>1216.9271864794787</v>
      </c>
      <c r="CY71" s="2">
        <v>1564.4511859131203</v>
      </c>
      <c r="CZ71" s="2">
        <v>1480.7759467419348</v>
      </c>
      <c r="DA71" s="2">
        <v>1570.361454449938</v>
      </c>
      <c r="DB71" s="2">
        <v>1589.05914658913</v>
      </c>
      <c r="DC71" s="2">
        <v>1459.1769800730776</v>
      </c>
      <c r="DE71" t="s">
        <v>11</v>
      </c>
      <c r="DF71" s="10">
        <v>1341.179017003986</v>
      </c>
      <c r="DG71" s="2">
        <v>1290.0860705416032</v>
      </c>
      <c r="DH71" s="2">
        <v>1288.7565595032781</v>
      </c>
      <c r="DI71" s="2">
        <v>1217.0572547860631</v>
      </c>
      <c r="DJ71" s="2">
        <v>1430.7529046480081</v>
      </c>
      <c r="DK71" s="2">
        <v>1748.1248142834268</v>
      </c>
      <c r="DL71" s="2">
        <v>1567.1336673708925</v>
      </c>
      <c r="DM71" s="2">
        <v>1873.8536980576696</v>
      </c>
      <c r="DN71" s="2">
        <v>1537.0444345791684</v>
      </c>
      <c r="DP71" t="s">
        <v>11</v>
      </c>
      <c r="DQ71" s="2">
        <v>1579.0850453053763</v>
      </c>
      <c r="DR71" s="2">
        <v>980.61776033156502</v>
      </c>
      <c r="DS71" s="2">
        <v>1083.1704173051846</v>
      </c>
      <c r="DT71" s="2">
        <v>1170.7788249421674</v>
      </c>
      <c r="DU71" s="2">
        <v>1359.3675578419109</v>
      </c>
      <c r="DV71" s="2">
        <v>1739.8810786121444</v>
      </c>
      <c r="DW71" s="2">
        <v>1598.7791854088655</v>
      </c>
      <c r="DX71" s="2">
        <v>1909.6744642380836</v>
      </c>
      <c r="DY71" s="2">
        <v>1567.0941596043795</v>
      </c>
      <c r="EA71" t="s">
        <v>11</v>
      </c>
      <c r="EB71" s="2">
        <v>1619.9809040738301</v>
      </c>
      <c r="EC71" s="2">
        <v>1153.4625003672222</v>
      </c>
      <c r="ED71" s="2">
        <v>1072.9667191758085</v>
      </c>
      <c r="EE71" s="2">
        <v>1253.2069285132561</v>
      </c>
      <c r="EF71" s="2">
        <v>1289.0106213618926</v>
      </c>
      <c r="EG71" s="2">
        <v>1662.9176039802715</v>
      </c>
      <c r="EH71" s="2">
        <v>1670.9786886927716</v>
      </c>
      <c r="EI71" s="2">
        <v>1907.4045199856932</v>
      </c>
      <c r="EJ71" s="2">
        <v>1576.4218027262721</v>
      </c>
      <c r="EL71" t="s">
        <v>11</v>
      </c>
      <c r="EM71" s="9">
        <v>1692.2453923506291</v>
      </c>
      <c r="EN71" s="2">
        <v>1056.5137578869435</v>
      </c>
      <c r="EO71" s="2">
        <v>1118.6041683046872</v>
      </c>
      <c r="EP71" s="2">
        <v>1244.8320268918183</v>
      </c>
      <c r="EQ71" s="2">
        <v>1228.3791891447486</v>
      </c>
      <c r="ER71" s="2">
        <v>1784.6566051949135</v>
      </c>
      <c r="ES71" s="2">
        <v>1661.7208350418657</v>
      </c>
      <c r="ET71" s="2">
        <v>1777.8526738118305</v>
      </c>
      <c r="EU71" s="2">
        <v>1582.6055508778657</v>
      </c>
      <c r="EX71" s="2"/>
      <c r="EY71" s="282"/>
      <c r="EZ71" s="280" t="s">
        <v>11</v>
      </c>
      <c r="FA71" s="9">
        <v>1486.1848052103257</v>
      </c>
      <c r="FB71" s="282">
        <v>1000.6990913487153</v>
      </c>
      <c r="FC71" s="282">
        <v>1306.995318970356</v>
      </c>
      <c r="FD71" s="282">
        <v>1310.4045910222362</v>
      </c>
      <c r="FE71" s="282">
        <v>1415.8584798015504</v>
      </c>
      <c r="FF71" s="282">
        <v>1676.3661842039596</v>
      </c>
      <c r="FG71" s="282">
        <v>1651.0242341135722</v>
      </c>
      <c r="FH71" s="282">
        <v>1873.4547123950092</v>
      </c>
      <c r="FI71" s="418">
        <v>1629.0505367490439</v>
      </c>
      <c r="FJ71" s="282"/>
      <c r="FK71" s="282"/>
      <c r="FL71" s="282"/>
      <c r="FM71" s="282"/>
      <c r="FN71" s="341" t="s">
        <v>11</v>
      </c>
      <c r="FO71" s="349">
        <v>1692.2453923506291</v>
      </c>
      <c r="FP71" s="344">
        <v>1056.5137578869435</v>
      </c>
      <c r="FQ71" s="344">
        <v>1118.6041683046872</v>
      </c>
      <c r="FR71" s="344">
        <v>1244.8320268918183</v>
      </c>
      <c r="FS71" s="344">
        <v>1228.3791891447486</v>
      </c>
      <c r="FT71" s="344">
        <v>1784.6566051949135</v>
      </c>
      <c r="FU71" s="344">
        <v>1661.7208350418657</v>
      </c>
      <c r="FV71" s="344">
        <v>1777.8526738118305</v>
      </c>
      <c r="FW71" s="289">
        <f>[5]Calc_FlrSpace!CR95</f>
        <v>1709.0885213035278</v>
      </c>
      <c r="FX71" s="341"/>
      <c r="FY71" s="341"/>
      <c r="FZ71" s="282"/>
      <c r="GA71" s="282"/>
      <c r="GB71" s="282"/>
      <c r="GC71" s="2"/>
      <c r="GD71" s="11">
        <v>1999</v>
      </c>
      <c r="GE71" s="2">
        <f t="shared" ref="GE71:GK71" si="128">CJ78+CJ79</f>
        <v>4870.2523062469982</v>
      </c>
      <c r="GF71" s="2">
        <f t="shared" si="128"/>
        <v>1494.8147389057528</v>
      </c>
      <c r="GG71" s="2">
        <f t="shared" si="128"/>
        <v>2875.3135017073623</v>
      </c>
      <c r="GH71" s="2">
        <f t="shared" si="128"/>
        <v>2408.5186732274856</v>
      </c>
      <c r="GI71" s="2">
        <f t="shared" si="128"/>
        <v>2879.4337593009936</v>
      </c>
      <c r="GJ71" s="2">
        <f t="shared" si="128"/>
        <v>1494.2408158839989</v>
      </c>
      <c r="GK71" s="2">
        <f t="shared" si="128"/>
        <v>2088.4248089016896</v>
      </c>
      <c r="IO71" s="11">
        <v>2005</v>
      </c>
      <c r="IP71" s="2">
        <f t="shared" ref="IP71:IV71" si="129">DQ81</f>
        <v>12.6832985318</v>
      </c>
      <c r="IQ71" s="2">
        <f t="shared" si="129"/>
        <v>2.0648969135000002</v>
      </c>
      <c r="IR71" s="2">
        <f t="shared" si="129"/>
        <v>9.4444581538000012</v>
      </c>
      <c r="IS71" s="2">
        <f t="shared" si="129"/>
        <v>96.61507065240005</v>
      </c>
      <c r="IT71" s="2">
        <f t="shared" si="129"/>
        <v>299.93979719478</v>
      </c>
      <c r="IU71" s="2">
        <f t="shared" si="129"/>
        <v>231.82453533559999</v>
      </c>
      <c r="IV71" s="2">
        <f t="shared" si="129"/>
        <v>363.9203871499999</v>
      </c>
      <c r="IW71" s="2"/>
      <c r="IX71" s="11">
        <f t="shared" si="116"/>
        <v>2005</v>
      </c>
      <c r="IY71" s="2">
        <f t="shared" si="112"/>
        <v>652.57205678188006</v>
      </c>
      <c r="IZ71">
        <f t="shared" si="117"/>
        <v>667.06800968444304</v>
      </c>
      <c r="JA71">
        <f t="shared" si="113"/>
        <v>6.480921564949325</v>
      </c>
      <c r="JB71">
        <v>8</v>
      </c>
      <c r="JC71">
        <f t="shared" si="114"/>
        <v>6.480921564949325</v>
      </c>
      <c r="JD71">
        <f t="shared" si="118"/>
        <v>6.5028920042625868</v>
      </c>
      <c r="JF71">
        <v>6.7240351835568146E-2</v>
      </c>
      <c r="JG71">
        <v>5.3961575611018789E-3</v>
      </c>
      <c r="JI71" s="11">
        <f t="shared" si="119"/>
        <v>2005</v>
      </c>
      <c r="JJ71" s="2">
        <f t="shared" si="120"/>
        <v>1016.49244393188</v>
      </c>
      <c r="JK71">
        <f t="shared" si="121"/>
        <v>1028.1210573814233</v>
      </c>
      <c r="JL71">
        <f t="shared" si="122"/>
        <v>6.9241131996240295</v>
      </c>
      <c r="JM71">
        <v>6</v>
      </c>
      <c r="JN71">
        <f t="shared" si="123"/>
        <v>6.9241131996240295</v>
      </c>
      <c r="JO71">
        <f t="shared" si="124"/>
        <v>6.935488199180595</v>
      </c>
      <c r="JQ71">
        <v>25.683231980839402</v>
      </c>
      <c r="JR71">
        <v>4</v>
      </c>
    </row>
    <row r="72" spans="75:278" x14ac:dyDescent="0.2">
      <c r="BW72" t="s">
        <v>12</v>
      </c>
      <c r="BX72" s="2">
        <v>1232.284483546299</v>
      </c>
      <c r="BY72" s="2">
        <v>905.11368403204233</v>
      </c>
      <c r="BZ72" s="2">
        <v>449.30460826457676</v>
      </c>
      <c r="CA72" s="2">
        <v>709.57077077526242</v>
      </c>
      <c r="CB72" s="2">
        <v>575.06776263604559</v>
      </c>
      <c r="CC72" s="2">
        <v>907.28570730821548</v>
      </c>
      <c r="CD72" s="2">
        <v>884.6327135527365</v>
      </c>
      <c r="CE72" s="2"/>
      <c r="CF72" s="2">
        <v>871.2680171202046</v>
      </c>
      <c r="CG72" s="282"/>
      <c r="CI72" t="s">
        <v>12</v>
      </c>
      <c r="CJ72" s="2">
        <v>1044.2638276026366</v>
      </c>
      <c r="CK72" s="2">
        <v>793.8113714249389</v>
      </c>
      <c r="CL72" s="2">
        <v>886.1765888732557</v>
      </c>
      <c r="CM72" s="2">
        <v>1049.6459686122987</v>
      </c>
      <c r="CN72" s="2">
        <v>821.13756056679244</v>
      </c>
      <c r="CO72" s="2">
        <v>967.34853971623124</v>
      </c>
      <c r="CP72" s="2">
        <v>1039.2150990058342</v>
      </c>
      <c r="CQ72" s="2"/>
      <c r="CR72" s="2">
        <v>955.81770178314844</v>
      </c>
      <c r="CT72" t="s">
        <v>12</v>
      </c>
      <c r="CU72" s="2">
        <v>1034.3440977668215</v>
      </c>
      <c r="CV72" s="2">
        <v>798.41795667744725</v>
      </c>
      <c r="CW72" s="2">
        <v>860.5375961400191</v>
      </c>
      <c r="CX72" s="2">
        <v>974.81635166498017</v>
      </c>
      <c r="CY72" s="2">
        <v>850.47270916001719</v>
      </c>
      <c r="CZ72" s="2">
        <v>1113.406128244799</v>
      </c>
      <c r="DA72" s="2">
        <v>1040.5896774890512</v>
      </c>
      <c r="DB72" s="2">
        <v>794.60837733466326</v>
      </c>
      <c r="DC72" s="2">
        <v>967.08496329105196</v>
      </c>
      <c r="DE72" t="s">
        <v>12</v>
      </c>
      <c r="DF72" s="2">
        <v>1097.7334247572287</v>
      </c>
      <c r="DG72" s="2">
        <v>1023.3381052863764</v>
      </c>
      <c r="DH72" s="2">
        <v>1007.5764016313831</v>
      </c>
      <c r="DI72" s="2">
        <v>917.55617254167828</v>
      </c>
      <c r="DJ72" s="2">
        <v>917.37098486660523</v>
      </c>
      <c r="DK72" s="2">
        <v>1074.1231976995059</v>
      </c>
      <c r="DL72" s="2">
        <v>1102.9785647786371</v>
      </c>
      <c r="DM72" s="2">
        <v>947.27350134534731</v>
      </c>
      <c r="DN72" s="2">
        <v>1012.3673313569964</v>
      </c>
      <c r="DP72" t="s">
        <v>12</v>
      </c>
      <c r="DQ72" s="2">
        <v>1220.2909927396249</v>
      </c>
      <c r="DR72" s="2">
        <v>980.04232242592877</v>
      </c>
      <c r="DS72" s="2">
        <v>749.30866401707635</v>
      </c>
      <c r="DT72" s="2">
        <v>1031.1845607719549</v>
      </c>
      <c r="DU72" s="2">
        <v>883.83806665113775</v>
      </c>
      <c r="DV72" s="2">
        <v>1028.2829047115426</v>
      </c>
      <c r="DW72" s="2">
        <v>1103.9364085660602</v>
      </c>
      <c r="DX72" s="2">
        <v>1134.5961759973991</v>
      </c>
      <c r="DY72" s="2">
        <v>1023.7918418871722</v>
      </c>
      <c r="EA72" t="s">
        <v>12</v>
      </c>
      <c r="EB72" s="2">
        <v>1271.0615893124254</v>
      </c>
      <c r="EC72" s="2">
        <v>1244.7178766563682</v>
      </c>
      <c r="ED72" s="2">
        <v>865.87843492745992</v>
      </c>
      <c r="EE72" s="2">
        <v>997.79100125889352</v>
      </c>
      <c r="EF72" s="2">
        <v>876.77142558455466</v>
      </c>
      <c r="EG72" s="2">
        <v>1173.4828186661894</v>
      </c>
      <c r="EH72" s="2">
        <v>1065.1228172821345</v>
      </c>
      <c r="EI72" s="2">
        <v>1218.3014925453319</v>
      </c>
      <c r="EJ72" s="2">
        <v>1063.6003280002581</v>
      </c>
      <c r="EL72" t="s">
        <v>12</v>
      </c>
      <c r="EM72" s="2">
        <v>1214.1275498532336</v>
      </c>
      <c r="EN72" s="2">
        <v>1542.0488293648198</v>
      </c>
      <c r="EO72" s="2">
        <v>795.10110190338071</v>
      </c>
      <c r="EP72" s="2">
        <v>919.70352910358633</v>
      </c>
      <c r="EQ72" s="2">
        <v>861.18445685708446</v>
      </c>
      <c r="ER72" s="2">
        <v>1342.8820560602062</v>
      </c>
      <c r="ES72" s="2">
        <v>1256.4009770650146</v>
      </c>
      <c r="ET72" s="2">
        <v>1236.0358184790798</v>
      </c>
      <c r="EU72" s="2">
        <v>1081.8057205677383</v>
      </c>
      <c r="EX72" s="2"/>
      <c r="EY72" s="282"/>
      <c r="EZ72" s="280" t="s">
        <v>12</v>
      </c>
      <c r="FA72" s="282">
        <v>1095.2071461840912</v>
      </c>
      <c r="FB72" s="282">
        <v>1317.5604317142729</v>
      </c>
      <c r="FC72" s="282">
        <v>914.57527806587507</v>
      </c>
      <c r="FD72" s="282">
        <v>870.16465376431677</v>
      </c>
      <c r="FE72" s="282">
        <v>895.59905340482828</v>
      </c>
      <c r="FF72" s="282">
        <v>1116.4536712322069</v>
      </c>
      <c r="FG72" s="282">
        <v>1064.3598725311967</v>
      </c>
      <c r="FH72" s="282">
        <v>1117.1300134191424</v>
      </c>
      <c r="FI72" s="418">
        <v>1031.9568644969311</v>
      </c>
      <c r="FJ72" s="282"/>
      <c r="FK72" s="282"/>
      <c r="FL72" s="282"/>
      <c r="FM72" s="282"/>
      <c r="FN72" s="341" t="s">
        <v>12</v>
      </c>
      <c r="FO72" s="344">
        <v>1214.1275498532336</v>
      </c>
      <c r="FP72" s="344">
        <v>1542.0488293648198</v>
      </c>
      <c r="FQ72" s="344">
        <v>795.10110190338071</v>
      </c>
      <c r="FR72" s="344">
        <v>919.70352910358633</v>
      </c>
      <c r="FS72" s="344">
        <v>861.18445685708446</v>
      </c>
      <c r="FT72" s="344">
        <v>1342.8820560602062</v>
      </c>
      <c r="FU72" s="344">
        <v>1256.4009770650146</v>
      </c>
      <c r="FV72" s="344">
        <v>1236.0358184790798</v>
      </c>
      <c r="FW72" s="289">
        <f>[5]Calc_FlrSpace!CR96</f>
        <v>1023.9558185750883</v>
      </c>
      <c r="FX72" s="341"/>
      <c r="FY72" s="341"/>
      <c r="FZ72" s="282"/>
      <c r="GA72" s="282"/>
      <c r="GB72" s="282"/>
      <c r="GC72" s="2"/>
      <c r="GD72" s="11">
        <v>2001</v>
      </c>
      <c r="GE72" s="2">
        <f t="shared" ref="GE72:GK72" si="130">CU78+CU79</f>
        <v>4752.0131489246342</v>
      </c>
      <c r="GF72" s="2">
        <f t="shared" si="130"/>
        <v>1461.3482153053919</v>
      </c>
      <c r="GG72" s="2">
        <f t="shared" si="130"/>
        <v>2836.0369570029643</v>
      </c>
      <c r="GH72" s="2">
        <f t="shared" si="130"/>
        <v>2462.6868582323987</v>
      </c>
      <c r="GI72" s="2">
        <f t="shared" si="130"/>
        <v>2913.0489199557605</v>
      </c>
      <c r="GJ72" s="2">
        <f t="shared" si="130"/>
        <v>1497.9911488418993</v>
      </c>
      <c r="GK72" s="2">
        <f t="shared" si="130"/>
        <v>2153.6945025628388</v>
      </c>
      <c r="IO72" s="11">
        <v>2007</v>
      </c>
      <c r="IP72" s="2">
        <f t="shared" ref="IP72:IV72" si="131">EB81</f>
        <v>13.142463266500002</v>
      </c>
      <c r="IQ72" s="2">
        <f t="shared" si="131"/>
        <v>2.4361079921000002</v>
      </c>
      <c r="IR72" s="2">
        <f t="shared" si="131"/>
        <v>7.5336175666000003</v>
      </c>
      <c r="IS72" s="2">
        <f t="shared" si="131"/>
        <v>91.363066956500006</v>
      </c>
      <c r="IT72" s="2">
        <f t="shared" si="131"/>
        <v>273.69593841214004</v>
      </c>
      <c r="IU72" s="2">
        <f t="shared" si="131"/>
        <v>232.27474921993004</v>
      </c>
      <c r="IV72" s="2">
        <f t="shared" si="131"/>
        <v>363.22001356082001</v>
      </c>
      <c r="IW72" s="2"/>
      <c r="IX72" s="11">
        <f t="shared" si="116"/>
        <v>2007</v>
      </c>
      <c r="IY72" s="2">
        <f t="shared" si="112"/>
        <v>620.44594341377012</v>
      </c>
      <c r="IZ72">
        <f t="shared" si="117"/>
        <v>635.16671203390626</v>
      </c>
      <c r="JA72">
        <f t="shared" si="113"/>
        <v>6.4304384830636598</v>
      </c>
      <c r="JB72">
        <v>10</v>
      </c>
      <c r="JC72">
        <f t="shared" si="114"/>
        <v>6.4304384830636598</v>
      </c>
      <c r="JD72">
        <f t="shared" si="118"/>
        <v>6.4538875030715275</v>
      </c>
      <c r="JF72" t="e">
        <v>#N/A</v>
      </c>
      <c r="JG72" t="e">
        <v>#N/A</v>
      </c>
      <c r="JI72" s="11">
        <f t="shared" si="119"/>
        <v>2007</v>
      </c>
      <c r="JJ72" s="2">
        <f t="shared" si="120"/>
        <v>983.66595697459013</v>
      </c>
      <c r="JK72">
        <f t="shared" si="121"/>
        <v>986.86889563849707</v>
      </c>
      <c r="JL72">
        <f t="shared" si="122"/>
        <v>6.8912863647983817</v>
      </c>
      <c r="JM72">
        <v>8</v>
      </c>
      <c r="JN72">
        <f t="shared" si="123"/>
        <v>6.8912863647983817</v>
      </c>
      <c r="JO72">
        <f t="shared" si="124"/>
        <v>6.8945371994439713</v>
      </c>
      <c r="JQ72">
        <v>2.9347226640007534E-2</v>
      </c>
      <c r="JR72">
        <v>4.5706438600720658E-3</v>
      </c>
    </row>
    <row r="73" spans="75:278" x14ac:dyDescent="0.2">
      <c r="BW73" t="s">
        <v>13</v>
      </c>
      <c r="BX73" s="2">
        <v>683.20310219576652</v>
      </c>
      <c r="BY73" s="9">
        <v>800</v>
      </c>
      <c r="BZ73" s="2">
        <v>1023.8258555903082</v>
      </c>
      <c r="CA73" s="2">
        <v>833.03952683504838</v>
      </c>
      <c r="CB73" s="2">
        <v>993.22958798931529</v>
      </c>
      <c r="CC73" s="2">
        <v>1108.7932466003838</v>
      </c>
      <c r="CD73" s="2">
        <v>1187.4628699511718</v>
      </c>
      <c r="CE73" s="2"/>
      <c r="CF73" s="2">
        <v>1042.4134915379782</v>
      </c>
      <c r="CG73" s="282"/>
      <c r="CI73" t="s">
        <v>13</v>
      </c>
      <c r="CJ73" s="2">
        <v>1538.5258649353425</v>
      </c>
      <c r="CK73" s="9">
        <v>0</v>
      </c>
      <c r="CL73" s="2">
        <v>729.10819294610235</v>
      </c>
      <c r="CM73" s="2">
        <v>876.45935750863782</v>
      </c>
      <c r="CN73" s="2">
        <v>997.84275393243865</v>
      </c>
      <c r="CO73" s="2">
        <v>1189.0947285725608</v>
      </c>
      <c r="CP73" s="2">
        <v>1194.2312103928848</v>
      </c>
      <c r="CQ73" s="2"/>
      <c r="CR73" s="2">
        <v>1092.5521763888612</v>
      </c>
      <c r="CT73" t="s">
        <v>13</v>
      </c>
      <c r="CU73" s="2">
        <v>1162.6525268320245</v>
      </c>
      <c r="CV73" s="10">
        <v>0</v>
      </c>
      <c r="CW73" s="2">
        <v>760.2551138940064</v>
      </c>
      <c r="CX73" s="2">
        <v>873.91610203358778</v>
      </c>
      <c r="CY73" s="2">
        <v>972.61395193546775</v>
      </c>
      <c r="CZ73" s="2">
        <v>1083.2182397357674</v>
      </c>
      <c r="DA73" s="2">
        <v>1279.2712590824688</v>
      </c>
      <c r="DB73" s="2">
        <v>1401.7728171366089</v>
      </c>
      <c r="DC73" s="2">
        <v>1100.3633576539869</v>
      </c>
      <c r="DE73" t="s">
        <v>13</v>
      </c>
      <c r="DF73" s="2">
        <v>1082.9032342604496</v>
      </c>
      <c r="DG73" s="10">
        <v>0</v>
      </c>
      <c r="DH73" s="2">
        <v>604.82244155753835</v>
      </c>
      <c r="DI73" s="2">
        <v>877.20013416426434</v>
      </c>
      <c r="DJ73" s="2">
        <v>968.4721934321708</v>
      </c>
      <c r="DK73" s="2">
        <v>1139.1475102942547</v>
      </c>
      <c r="DL73" s="2">
        <v>1398.1021034289008</v>
      </c>
      <c r="DM73" s="2">
        <v>1488.8091755238768</v>
      </c>
      <c r="DN73" s="2">
        <v>1160.6985786627852</v>
      </c>
      <c r="DP73" t="s">
        <v>13</v>
      </c>
      <c r="DQ73" s="2">
        <v>1100.9663204759356</v>
      </c>
      <c r="DR73" s="2">
        <v>1296</v>
      </c>
      <c r="DS73" s="2">
        <v>792.03773789022046</v>
      </c>
      <c r="DT73" s="2">
        <v>978.25760722386337</v>
      </c>
      <c r="DU73" s="2">
        <v>1097.4413859718272</v>
      </c>
      <c r="DV73" s="2">
        <v>1074.3819014186308</v>
      </c>
      <c r="DW73" s="2">
        <v>1233.4354335501241</v>
      </c>
      <c r="DX73" s="2">
        <v>1476.8565231872165</v>
      </c>
      <c r="DY73" s="2">
        <v>1166.0738641994612</v>
      </c>
      <c r="EA73" t="s">
        <v>13</v>
      </c>
      <c r="EB73" s="2">
        <v>1837.202172177439</v>
      </c>
      <c r="EC73" s="2">
        <v>925.99999999999989</v>
      </c>
      <c r="ED73" s="2">
        <v>1018.2811486577698</v>
      </c>
      <c r="EE73" s="2">
        <v>1329.2221734268137</v>
      </c>
      <c r="EF73" s="2">
        <v>1072.3492412699868</v>
      </c>
      <c r="EG73" s="2">
        <v>1083.1215446932811</v>
      </c>
      <c r="EH73" s="2">
        <v>1210.0791588353684</v>
      </c>
      <c r="EI73" s="2">
        <v>1435.3101904212958</v>
      </c>
      <c r="EJ73" s="2">
        <v>1199.215651860369</v>
      </c>
      <c r="EL73" t="s">
        <v>13</v>
      </c>
      <c r="EM73" s="2">
        <v>1557.1045495629426</v>
      </c>
      <c r="EN73" s="9">
        <v>1110.5032736770697</v>
      </c>
      <c r="EO73" s="2">
        <v>1158</v>
      </c>
      <c r="EP73" s="2">
        <v>1135.5591950626242</v>
      </c>
      <c r="EQ73" s="2">
        <v>1046.2223610154888</v>
      </c>
      <c r="ER73" s="2">
        <v>1024.6755170113927</v>
      </c>
      <c r="ES73" s="2">
        <v>1382.9519327501171</v>
      </c>
      <c r="ET73" s="2">
        <v>1518.5502010674861</v>
      </c>
      <c r="EU73" s="2">
        <v>1227.1946403719021</v>
      </c>
      <c r="EX73" s="2"/>
      <c r="EY73" s="282"/>
      <c r="EZ73" s="280" t="s">
        <v>13</v>
      </c>
      <c r="FA73" s="282">
        <v>1289.0919069749928</v>
      </c>
      <c r="FB73" s="9">
        <v>1100</v>
      </c>
      <c r="FC73" s="282">
        <v>991.494783561693</v>
      </c>
      <c r="FD73" s="282">
        <v>1332.5119468748919</v>
      </c>
      <c r="FE73" s="282">
        <v>1049.7771324088892</v>
      </c>
      <c r="FF73" s="282">
        <v>992.78215582925031</v>
      </c>
      <c r="FG73" s="282">
        <v>1332.0233269651433</v>
      </c>
      <c r="FH73" s="282">
        <v>1546.5435259450314</v>
      </c>
      <c r="FI73" s="418">
        <v>1225.6188135940495</v>
      </c>
      <c r="FJ73" s="282"/>
      <c r="FK73" s="282"/>
      <c r="FL73" s="282"/>
      <c r="FM73" s="282"/>
      <c r="FN73" s="341" t="s">
        <v>13</v>
      </c>
      <c r="FO73" s="344">
        <v>1557.1045495629426</v>
      </c>
      <c r="FP73" s="349">
        <v>1110.5032736770697</v>
      </c>
      <c r="FQ73" s="344">
        <v>1158</v>
      </c>
      <c r="FR73" s="344">
        <v>1135.5591950626242</v>
      </c>
      <c r="FS73" s="344">
        <v>1046.2223610154888</v>
      </c>
      <c r="FT73" s="344">
        <v>1024.6755170113927</v>
      </c>
      <c r="FU73" s="344">
        <v>1382.9519327501171</v>
      </c>
      <c r="FV73" s="344">
        <v>1518.5502010674861</v>
      </c>
      <c r="FW73" s="289">
        <f>[5]Calc_FlrSpace!CR97</f>
        <v>1183.4426241776493</v>
      </c>
      <c r="FX73" s="341"/>
      <c r="FY73" s="341"/>
      <c r="FZ73" s="282"/>
      <c r="GA73" s="282"/>
      <c r="GB73" s="282"/>
      <c r="GC73" s="2"/>
      <c r="GD73" s="11">
        <v>2003</v>
      </c>
      <c r="GE73" s="2">
        <f t="shared" ref="GE73:GK73" si="132">+DF78+DF79</f>
        <v>4576.0975534971212</v>
      </c>
      <c r="GF73" s="2">
        <f t="shared" si="132"/>
        <v>1380.6747248787692</v>
      </c>
      <c r="GG73" s="2">
        <f t="shared" si="132"/>
        <v>2721.9503076370579</v>
      </c>
      <c r="GH73" s="2">
        <f t="shared" si="132"/>
        <v>2424.5750895556876</v>
      </c>
      <c r="GI73" s="2">
        <f t="shared" si="132"/>
        <v>2806.4933774827314</v>
      </c>
      <c r="GJ73" s="2">
        <f t="shared" si="132"/>
        <v>1491.0905315168677</v>
      </c>
      <c r="GK73" s="2">
        <f t="shared" si="132"/>
        <v>2147.0856032089059</v>
      </c>
      <c r="IO73" s="11">
        <v>2009</v>
      </c>
      <c r="IP73" s="2">
        <f t="shared" ref="IP73:IV73" si="133">EM81</f>
        <v>16.141937717400001</v>
      </c>
      <c r="IQ73" s="2">
        <f t="shared" si="133"/>
        <v>5.1597336696000005</v>
      </c>
      <c r="IR73" s="2">
        <f t="shared" si="133"/>
        <v>2.4860170129000001</v>
      </c>
      <c r="IS73" s="2">
        <f t="shared" si="133"/>
        <v>87.128402590820031</v>
      </c>
      <c r="IT73" s="2">
        <f t="shared" si="133"/>
        <v>289.30967617679988</v>
      </c>
      <c r="IU73" s="2">
        <f t="shared" si="133"/>
        <v>234.00708677261994</v>
      </c>
      <c r="IV73" s="2">
        <f t="shared" si="133"/>
        <v>336.77826471322999</v>
      </c>
      <c r="IW73" s="2"/>
      <c r="IX73" s="11">
        <f t="shared" si="116"/>
        <v>2009</v>
      </c>
      <c r="IY73" s="2">
        <f t="shared" si="112"/>
        <v>634.23285394013988</v>
      </c>
      <c r="IZ73">
        <f t="shared" si="117"/>
        <v>604.79103512520237</v>
      </c>
      <c r="JA73">
        <f t="shared" si="113"/>
        <v>6.4524161645154585</v>
      </c>
      <c r="JB73">
        <v>12</v>
      </c>
      <c r="JC73">
        <f t="shared" si="114"/>
        <v>6.4524161645154585</v>
      </c>
      <c r="JD73">
        <f t="shared" si="118"/>
        <v>6.4048830018804672</v>
      </c>
      <c r="JI73" s="11">
        <f t="shared" si="119"/>
        <v>2009</v>
      </c>
      <c r="JJ73" s="2">
        <f t="shared" si="120"/>
        <v>971.01111865336986</v>
      </c>
      <c r="JK73">
        <f t="shared" si="121"/>
        <v>947.27192891005495</v>
      </c>
      <c r="JL73">
        <f t="shared" si="122"/>
        <v>6.8783379189501428</v>
      </c>
      <c r="JM73">
        <v>10</v>
      </c>
      <c r="JN73">
        <f t="shared" si="123"/>
        <v>6.8783379189501428</v>
      </c>
      <c r="JO73">
        <f t="shared" si="124"/>
        <v>6.8535861997073466</v>
      </c>
    </row>
    <row r="74" spans="75:278" x14ac:dyDescent="0.2">
      <c r="BW74" t="s">
        <v>14</v>
      </c>
      <c r="BX74" s="2">
        <v>2046.5465521281021</v>
      </c>
      <c r="BY74" s="2">
        <v>1811.5087689397178</v>
      </c>
      <c r="BZ74" s="2">
        <v>1842.8181968213944</v>
      </c>
      <c r="CA74" s="2">
        <v>1954.5852538635647</v>
      </c>
      <c r="CB74" s="2">
        <v>2007.3494452978966</v>
      </c>
      <c r="CC74" s="2">
        <v>2154.1933154937278</v>
      </c>
      <c r="CD74" s="2">
        <v>2155.0975652290986</v>
      </c>
      <c r="CE74" s="2"/>
      <c r="CF74" s="2">
        <v>1995.4037964966674</v>
      </c>
      <c r="CG74" s="282"/>
      <c r="CI74" t="s">
        <v>14</v>
      </c>
      <c r="CJ74" s="2">
        <v>1920.1565564629716</v>
      </c>
      <c r="CK74" s="2">
        <v>1671.2982469336469</v>
      </c>
      <c r="CL74" s="2">
        <v>1683.903880586427</v>
      </c>
      <c r="CM74" s="2">
        <v>1741.0252480776578</v>
      </c>
      <c r="CN74" s="2">
        <v>1816.0913724460183</v>
      </c>
      <c r="CO74" s="2">
        <v>1934.0624772981489</v>
      </c>
      <c r="CP74" s="2">
        <v>2351.8173229801619</v>
      </c>
      <c r="CQ74" s="2"/>
      <c r="CR74" s="2">
        <v>1884.9152886061934</v>
      </c>
      <c r="CT74" t="s">
        <v>14</v>
      </c>
      <c r="CU74" s="2">
        <v>1881.9979031151959</v>
      </c>
      <c r="CV74" s="2">
        <v>1580.297882476608</v>
      </c>
      <c r="CW74" s="2">
        <v>1643.5711682033191</v>
      </c>
      <c r="CX74" s="2">
        <v>1691.1103657037047</v>
      </c>
      <c r="CY74" s="2">
        <v>1712.688204353999</v>
      </c>
      <c r="CZ74" s="2">
        <v>1890.3177096273223</v>
      </c>
      <c r="DA74" s="2">
        <v>2264.6039771635228</v>
      </c>
      <c r="DB74" s="2">
        <v>2326.145227861683</v>
      </c>
      <c r="DC74" s="2">
        <v>1832.8216784330016</v>
      </c>
      <c r="DE74" t="s">
        <v>14</v>
      </c>
      <c r="DF74" s="2">
        <v>1892.7454002916975</v>
      </c>
      <c r="DG74" s="2">
        <v>1705.5438469540472</v>
      </c>
      <c r="DH74" s="2">
        <v>1706.4130587769582</v>
      </c>
      <c r="DI74" s="2">
        <v>1754.7017000072626</v>
      </c>
      <c r="DJ74" s="2">
        <v>1720.4350438828471</v>
      </c>
      <c r="DK74" s="2">
        <v>1959.1596428265486</v>
      </c>
      <c r="DL74" s="2">
        <v>2335.6526215066019</v>
      </c>
      <c r="DM74" s="2">
        <v>2408.4685680352154</v>
      </c>
      <c r="DN74" s="2">
        <v>1893.3038062322962</v>
      </c>
      <c r="DP74" t="s">
        <v>14</v>
      </c>
      <c r="DQ74" s="2">
        <v>1908.8575039118632</v>
      </c>
      <c r="DR74" s="2">
        <v>1670.3134364263688</v>
      </c>
      <c r="DS74" s="2">
        <v>1707.6249287393969</v>
      </c>
      <c r="DT74" s="2">
        <v>1769.8017691445805</v>
      </c>
      <c r="DU74" s="2">
        <v>1727.2747541973119</v>
      </c>
      <c r="DV74" s="2">
        <v>1926.6523508009295</v>
      </c>
      <c r="DW74" s="2">
        <v>2388.8036923834188</v>
      </c>
      <c r="DX74" s="2">
        <v>2581.0652950639328</v>
      </c>
      <c r="DY74" s="2">
        <v>1924.8589534002567</v>
      </c>
      <c r="EA74" t="s">
        <v>14</v>
      </c>
      <c r="EB74" s="2">
        <v>1927.3500916290247</v>
      </c>
      <c r="EC74" s="2">
        <v>1678.168639673142</v>
      </c>
      <c r="ED74" s="2">
        <v>1657.4757077748361</v>
      </c>
      <c r="EE74" s="2">
        <v>1748.9509725599005</v>
      </c>
      <c r="EF74" s="2">
        <v>1652.9322875868836</v>
      </c>
      <c r="EG74" s="2">
        <v>1911.5628916579312</v>
      </c>
      <c r="EH74" s="2">
        <v>2384.665534178102</v>
      </c>
      <c r="EI74" s="2">
        <v>2627.2593612894007</v>
      </c>
      <c r="EJ74" s="2">
        <v>1924.5298133556489</v>
      </c>
      <c r="EL74" t="s">
        <v>14</v>
      </c>
      <c r="EM74" s="2">
        <v>1913.2838866623601</v>
      </c>
      <c r="EN74" s="2">
        <v>1748.4443026637255</v>
      </c>
      <c r="EO74" s="2">
        <v>1696.2964726735529</v>
      </c>
      <c r="EP74" s="2">
        <v>1734.6629321786554</v>
      </c>
      <c r="EQ74" s="2">
        <v>1695.5885597225838</v>
      </c>
      <c r="ER74" s="2">
        <v>1917.6384861383622</v>
      </c>
      <c r="ES74" s="2">
        <v>2362.4268793009078</v>
      </c>
      <c r="ET74" s="2">
        <v>2505.5918401187519</v>
      </c>
      <c r="EU74" s="2">
        <v>1933.5063323790789</v>
      </c>
      <c r="EX74" s="2"/>
      <c r="EY74" s="282"/>
      <c r="EZ74" s="280" t="s">
        <v>14</v>
      </c>
      <c r="FA74" s="282">
        <v>1842.1411195515639</v>
      </c>
      <c r="FB74" s="282">
        <v>1686.6602606363288</v>
      </c>
      <c r="FC74" s="282">
        <v>1680.862044613192</v>
      </c>
      <c r="FD74" s="282">
        <v>1725.6129324292017</v>
      </c>
      <c r="FE74" s="282">
        <v>1724.7646938976923</v>
      </c>
      <c r="FF74" s="282">
        <v>1882.3285326146877</v>
      </c>
      <c r="FG74" s="282">
        <v>2327.0738050096024</v>
      </c>
      <c r="FH74" s="282">
        <v>2572.9481029298177</v>
      </c>
      <c r="FI74" s="418">
        <v>1927.2587853094701</v>
      </c>
      <c r="FJ74" s="282"/>
      <c r="FK74" s="282"/>
      <c r="FL74" s="282"/>
      <c r="FM74" s="282"/>
      <c r="FN74" s="341" t="s">
        <v>14</v>
      </c>
      <c r="FO74" s="344">
        <v>1913.2838866623601</v>
      </c>
      <c r="FP74" s="344">
        <v>1748.4443026637255</v>
      </c>
      <c r="FQ74" s="344">
        <v>1696.2964726735529</v>
      </c>
      <c r="FR74" s="344">
        <v>1734.6629321786554</v>
      </c>
      <c r="FS74" s="344">
        <v>1695.5885597225838</v>
      </c>
      <c r="FT74" s="344">
        <v>1917.6384861383622</v>
      </c>
      <c r="FU74" s="344">
        <v>2362.4268793009078</v>
      </c>
      <c r="FV74" s="344">
        <v>2505.5918401187519</v>
      </c>
      <c r="FW74" s="289">
        <f>[5]Calc_FlrSpace!CR98</f>
        <v>1875.9622326336614</v>
      </c>
      <c r="FX74" s="341"/>
      <c r="FY74" s="341"/>
      <c r="FZ74" s="282"/>
      <c r="GA74" s="282"/>
      <c r="GB74" s="282"/>
      <c r="GC74" s="2"/>
      <c r="GD74" s="11">
        <v>2005</v>
      </c>
      <c r="GE74" s="2">
        <f t="shared" ref="GE74:GK74" si="134">DQ78+DQ79</f>
        <v>4316.7178581070366</v>
      </c>
      <c r="GF74" s="2">
        <f t="shared" si="134"/>
        <v>1301.6295837435998</v>
      </c>
      <c r="GG74" s="2">
        <f t="shared" si="134"/>
        <v>2729.6507418755759</v>
      </c>
      <c r="GH74" s="2">
        <f t="shared" si="134"/>
        <v>2321.3546606637879</v>
      </c>
      <c r="GI74" s="2">
        <f t="shared" si="134"/>
        <v>3124.1549598890228</v>
      </c>
      <c r="GJ74" s="2">
        <f t="shared" si="134"/>
        <v>1464.276817791598</v>
      </c>
      <c r="GK74" s="2">
        <f t="shared" si="134"/>
        <v>2140.3181804646642</v>
      </c>
      <c r="IO74" s="14" t="s">
        <v>39</v>
      </c>
      <c r="IP74" s="12">
        <f>IP73/IP68</f>
        <v>1.3932212751280859</v>
      </c>
      <c r="IQ74" s="12">
        <f t="shared" ref="IQ74:IV74" si="135">IQ73/IQ68</f>
        <v>2.7282762046195721</v>
      </c>
      <c r="IR74" s="12">
        <f t="shared" si="135"/>
        <v>0.14502064220338162</v>
      </c>
      <c r="IS74" s="12">
        <f t="shared" si="135"/>
        <v>0.58678768886339028</v>
      </c>
      <c r="IT74" s="12">
        <f t="shared" si="135"/>
        <v>0.84205814774358323</v>
      </c>
      <c r="IU74" s="12">
        <f t="shared" si="135"/>
        <v>0.97835800040294307</v>
      </c>
      <c r="IV74" s="12">
        <f t="shared" si="135"/>
        <v>0.80824991547343983</v>
      </c>
      <c r="IW74" s="12"/>
      <c r="IY74" s="2"/>
    </row>
    <row r="75" spans="75:278" x14ac:dyDescent="0.2">
      <c r="BX75" s="2"/>
      <c r="BY75" s="2"/>
      <c r="BZ75" s="2"/>
      <c r="CA75" s="2"/>
      <c r="CB75" s="2"/>
      <c r="CC75" s="2"/>
      <c r="CD75" s="2"/>
      <c r="CE75" s="2"/>
      <c r="CF75" s="2"/>
      <c r="CG75" s="282"/>
      <c r="CJ75" s="2"/>
      <c r="CK75" s="2"/>
      <c r="CL75" s="2"/>
      <c r="CM75" s="2"/>
      <c r="CN75" s="2"/>
      <c r="CO75" s="2"/>
      <c r="CP75" s="2"/>
      <c r="CQ75" s="2"/>
      <c r="CR75" s="2"/>
      <c r="CU75" s="2"/>
      <c r="CV75" s="2"/>
      <c r="CW75" s="2"/>
      <c r="CX75" s="2"/>
      <c r="CY75" s="2"/>
      <c r="CZ75" s="2"/>
      <c r="DA75" s="2"/>
      <c r="DB75" s="2"/>
      <c r="DC75" s="2"/>
      <c r="DF75" s="2"/>
      <c r="DG75" s="2"/>
      <c r="DH75" s="2"/>
      <c r="DI75" s="2"/>
      <c r="DJ75" s="2"/>
      <c r="DK75" s="2"/>
      <c r="DL75" s="2"/>
      <c r="DM75" s="2"/>
      <c r="DN75" s="2"/>
      <c r="DQ75" s="2"/>
      <c r="DR75" s="2"/>
      <c r="DS75" s="2"/>
      <c r="DT75" s="2"/>
      <c r="DU75" s="2"/>
      <c r="DV75" s="2"/>
      <c r="DW75" s="2"/>
      <c r="DX75" s="2"/>
      <c r="DY75" s="2"/>
      <c r="EB75" s="2"/>
      <c r="EC75" s="2"/>
      <c r="ED75" s="2"/>
      <c r="EE75" s="2"/>
      <c r="EF75" s="2"/>
      <c r="EG75" s="2"/>
      <c r="EH75" s="2"/>
      <c r="EI75" s="2"/>
      <c r="EJ75" s="2"/>
      <c r="EK75" s="1"/>
      <c r="EM75" s="2"/>
      <c r="EN75" s="2"/>
      <c r="EO75" s="2"/>
      <c r="EP75" s="2"/>
      <c r="EQ75" s="2"/>
      <c r="ER75" s="2"/>
      <c r="ES75" s="2"/>
      <c r="ET75" s="2"/>
      <c r="EU75" s="2"/>
      <c r="EX75" s="2"/>
      <c r="EY75" s="282"/>
      <c r="FA75" s="282"/>
      <c r="FB75" s="282"/>
      <c r="FC75" s="282"/>
      <c r="FD75" s="282"/>
      <c r="FE75" s="282"/>
      <c r="FF75" s="282"/>
      <c r="FG75" s="282"/>
      <c r="FH75" s="282"/>
      <c r="FI75" s="418"/>
      <c r="FJ75" s="282"/>
      <c r="FK75" s="282"/>
      <c r="FL75" s="282"/>
      <c r="FM75" s="282"/>
      <c r="FN75" s="341"/>
      <c r="FO75" s="344"/>
      <c r="FP75" s="344"/>
      <c r="FQ75" s="344"/>
      <c r="FR75" s="344"/>
      <c r="FS75" s="344"/>
      <c r="FT75" s="344"/>
      <c r="FU75" s="344"/>
      <c r="FV75" s="344"/>
      <c r="FW75" s="289"/>
      <c r="FX75" s="341"/>
      <c r="FY75" s="341"/>
      <c r="FZ75" s="282"/>
      <c r="GA75" s="282"/>
      <c r="GB75" s="282"/>
      <c r="GC75" s="2"/>
      <c r="GD75" s="11">
        <v>2007</v>
      </c>
      <c r="GE75" s="2">
        <f t="shared" ref="GE75:GK75" si="136">EB78+EB79</f>
        <v>4122.4490198387921</v>
      </c>
      <c r="GF75" s="2">
        <f t="shared" si="136"/>
        <v>1311.6540608208011</v>
      </c>
      <c r="GG75" s="2">
        <f t="shared" si="136"/>
        <v>2672.1608695940095</v>
      </c>
      <c r="GH75" s="2">
        <f t="shared" si="136"/>
        <v>2239.5329991743006</v>
      </c>
      <c r="GI75" s="2">
        <f t="shared" si="136"/>
        <v>2992.3481198405548</v>
      </c>
      <c r="GJ75" s="2">
        <f t="shared" si="136"/>
        <v>1453.2249378257995</v>
      </c>
      <c r="GK75" s="2">
        <f t="shared" si="136"/>
        <v>2128.7210852147005</v>
      </c>
    </row>
    <row r="76" spans="75:278" x14ac:dyDescent="0.2">
      <c r="BW76" s="1" t="s">
        <v>15</v>
      </c>
      <c r="BX76" s="2"/>
      <c r="BY76" s="2"/>
      <c r="BZ76" s="2"/>
      <c r="CA76" s="2"/>
      <c r="CB76" s="2"/>
      <c r="CC76" s="2"/>
      <c r="CD76" s="2"/>
      <c r="CE76" s="2"/>
      <c r="CF76" s="2"/>
      <c r="CG76" s="282"/>
      <c r="CI76" s="1" t="s">
        <v>15</v>
      </c>
      <c r="CJ76" s="2"/>
      <c r="CK76" s="2"/>
      <c r="CL76" s="2"/>
      <c r="CM76" s="2"/>
      <c r="CN76" s="2"/>
      <c r="CO76" s="2"/>
      <c r="CP76" s="2"/>
      <c r="CQ76" s="2"/>
      <c r="CR76" s="2"/>
      <c r="CT76" s="1" t="s">
        <v>15</v>
      </c>
      <c r="CU76" s="2"/>
      <c r="CV76" s="2"/>
      <c r="CW76" s="2"/>
      <c r="CX76" s="2"/>
      <c r="CY76" s="2"/>
      <c r="CZ76" s="2"/>
      <c r="DA76" s="2"/>
      <c r="DB76" s="2"/>
      <c r="DC76" s="2"/>
      <c r="DE76" s="1" t="s">
        <v>15</v>
      </c>
      <c r="DF76" s="2"/>
      <c r="DG76" s="2"/>
      <c r="DH76" s="2"/>
      <c r="DI76" s="2"/>
      <c r="DJ76" s="2"/>
      <c r="DK76" s="2"/>
      <c r="DL76" s="2"/>
      <c r="DM76" s="2"/>
      <c r="DN76" s="2"/>
      <c r="DP76" s="1" t="s">
        <v>15</v>
      </c>
      <c r="DQ76" s="2"/>
      <c r="DR76" s="2"/>
      <c r="DS76" s="2"/>
      <c r="DT76" s="2"/>
      <c r="DU76" s="2"/>
      <c r="DV76" s="2"/>
      <c r="DW76" s="2"/>
      <c r="DX76" s="2"/>
      <c r="DY76" s="2"/>
      <c r="EA76" s="1" t="s">
        <v>15</v>
      </c>
      <c r="EB76" s="2"/>
      <c r="EC76" s="2"/>
      <c r="ED76" s="2"/>
      <c r="EE76" s="2"/>
      <c r="EF76" s="2"/>
      <c r="EG76" s="2"/>
      <c r="EH76" s="2"/>
      <c r="EI76" s="2"/>
      <c r="EJ76" s="2"/>
      <c r="EL76" s="1" t="s">
        <v>15</v>
      </c>
      <c r="EM76" s="2"/>
      <c r="EN76" s="2"/>
      <c r="EO76" s="2"/>
      <c r="EP76" s="2"/>
      <c r="EQ76" s="2"/>
      <c r="ER76" s="2"/>
      <c r="ES76" s="2"/>
      <c r="ET76" s="2"/>
      <c r="EU76" s="2"/>
      <c r="EX76" s="2"/>
      <c r="EY76" s="282"/>
      <c r="EZ76" s="281" t="s">
        <v>15</v>
      </c>
      <c r="FA76" s="282"/>
      <c r="FB76" s="282"/>
      <c r="FC76" s="282"/>
      <c r="FD76" s="282"/>
      <c r="FE76" s="282"/>
      <c r="FF76" s="282"/>
      <c r="FG76" s="282"/>
      <c r="FH76" s="282"/>
      <c r="FI76" s="418"/>
      <c r="FJ76" s="282"/>
      <c r="FK76" s="282"/>
      <c r="FL76" s="282"/>
      <c r="FM76" s="282"/>
      <c r="FN76" s="342" t="s">
        <v>15</v>
      </c>
      <c r="FO76" s="344"/>
      <c r="FP76" s="344"/>
      <c r="FQ76" s="344"/>
      <c r="FR76" s="344"/>
      <c r="FS76" s="344"/>
      <c r="FT76" s="344"/>
      <c r="FU76" s="344"/>
      <c r="FV76" s="344"/>
      <c r="FW76" s="289"/>
      <c r="FX76" s="341"/>
      <c r="FY76" s="341"/>
      <c r="FZ76" s="282"/>
      <c r="GA76" s="282"/>
      <c r="GB76" s="282"/>
      <c r="GC76" s="2"/>
      <c r="GD76" s="11">
        <v>2009</v>
      </c>
      <c r="GE76" s="2">
        <f t="shared" ref="GE76:GK76" si="137">EM78+EM79</f>
        <v>4226.5360205252755</v>
      </c>
      <c r="GF76" s="2">
        <f t="shared" si="137"/>
        <v>1313.1541093479304</v>
      </c>
      <c r="GG76" s="2">
        <f t="shared" si="137"/>
        <v>2693.9368741453118</v>
      </c>
      <c r="GH76" s="2">
        <f t="shared" si="137"/>
        <v>2248.2090991686196</v>
      </c>
      <c r="GI76" s="2">
        <f t="shared" si="137"/>
        <v>2880.2134877261615</v>
      </c>
      <c r="GJ76" s="2">
        <f t="shared" si="137"/>
        <v>1471.5642095565011</v>
      </c>
      <c r="GK76" s="2">
        <f t="shared" si="137"/>
        <v>2097.3871756296821</v>
      </c>
    </row>
    <row r="77" spans="75:278" x14ac:dyDescent="0.2">
      <c r="BW77" t="s">
        <v>9</v>
      </c>
      <c r="BX77" s="2">
        <v>4647.1615761419198</v>
      </c>
      <c r="BY77" s="2">
        <v>1441.6235049115</v>
      </c>
      <c r="BZ77" s="2">
        <v>2877.8565184682921</v>
      </c>
      <c r="CA77" s="2">
        <v>2448.8108474737005</v>
      </c>
      <c r="CB77" s="2">
        <v>2898.2811471614341</v>
      </c>
      <c r="CC77" s="2">
        <v>1512.5264744910928</v>
      </c>
      <c r="CD77" s="2">
        <v>1745.589242424177</v>
      </c>
      <c r="CE77" s="2"/>
      <c r="CF77" s="2">
        <v>17571.849311072183</v>
      </c>
      <c r="CG77" s="282"/>
      <c r="CI77" t="s">
        <v>9</v>
      </c>
      <c r="CJ77" s="2">
        <v>4768.3579186291181</v>
      </c>
      <c r="CK77" s="2">
        <v>1447.924684183793</v>
      </c>
      <c r="CL77" s="2">
        <v>2799.090588502112</v>
      </c>
      <c r="CM77" s="2">
        <v>2442.5991456056527</v>
      </c>
      <c r="CN77" s="2">
        <v>2941.6829587451498</v>
      </c>
      <c r="CO77" s="2">
        <v>1527.0793064255406</v>
      </c>
      <c r="CP77" s="2">
        <v>2258.1632866556706</v>
      </c>
      <c r="CQ77" s="2"/>
      <c r="CR77" s="2">
        <v>18184.897888747193</v>
      </c>
      <c r="CT77" t="s">
        <v>9</v>
      </c>
      <c r="CU77" s="2">
        <v>4658.2836861402648</v>
      </c>
      <c r="CV77" s="2">
        <v>1413.4507639000019</v>
      </c>
      <c r="CW77" s="2">
        <v>2781.8254266848044</v>
      </c>
      <c r="CX77" s="2">
        <v>2483.9281762572391</v>
      </c>
      <c r="CY77" s="2">
        <v>2950.7780883204341</v>
      </c>
      <c r="CZ77" s="2">
        <v>1546.0651189300229</v>
      </c>
      <c r="DA77" s="2">
        <v>2299.0147706594653</v>
      </c>
      <c r="DB77" s="2">
        <v>390.07617581743983</v>
      </c>
      <c r="DC77" s="2">
        <v>18523.422206709518</v>
      </c>
      <c r="DE77" t="s">
        <v>9</v>
      </c>
      <c r="DF77" s="2">
        <v>4494.4443305745899</v>
      </c>
      <c r="DG77" s="2">
        <v>1343.7117314187192</v>
      </c>
      <c r="DH77" s="2">
        <v>2669.8458853979278</v>
      </c>
      <c r="DI77" s="2">
        <v>2467.7316263402677</v>
      </c>
      <c r="DJ77" s="2">
        <v>2873.1052900537443</v>
      </c>
      <c r="DK77" s="2">
        <v>1541.5662204626635</v>
      </c>
      <c r="DL77" s="2">
        <v>2275.7851121532876</v>
      </c>
      <c r="DM77" s="2">
        <v>808.12412463082046</v>
      </c>
      <c r="DN77" s="2">
        <v>18474.314321031929</v>
      </c>
      <c r="DP77" t="s">
        <v>9</v>
      </c>
      <c r="DQ77" s="2">
        <v>4259.2807608615576</v>
      </c>
      <c r="DR77" s="2">
        <v>1290.6580182694997</v>
      </c>
      <c r="DS77" s="2">
        <v>2685.1420574199765</v>
      </c>
      <c r="DT77" s="2">
        <v>2347.5617399750868</v>
      </c>
      <c r="DU77" s="2">
        <v>3185.3697903124084</v>
      </c>
      <c r="DV77" s="2">
        <v>1507.7096057001982</v>
      </c>
      <c r="DW77" s="2">
        <v>2282.5195501672401</v>
      </c>
      <c r="DX77" s="2">
        <v>1303.2287403934906</v>
      </c>
      <c r="DY77" s="2">
        <v>18861.470263099382</v>
      </c>
      <c r="EA77" t="s">
        <v>9</v>
      </c>
      <c r="EB77" s="2">
        <v>4068.0717835136911</v>
      </c>
      <c r="EC77" s="2">
        <v>1298.1920637433013</v>
      </c>
      <c r="ED77" s="2">
        <v>2621.1550397311089</v>
      </c>
      <c r="EE77" s="2">
        <v>2272.9514434241</v>
      </c>
      <c r="EF77" s="2">
        <v>3032.1642715802932</v>
      </c>
      <c r="EG77" s="2">
        <v>1516.8893511901306</v>
      </c>
      <c r="EH77" s="2">
        <v>2263.5489468655383</v>
      </c>
      <c r="EI77" s="2">
        <v>1736.2568453876074</v>
      </c>
      <c r="EJ77" s="2">
        <v>18809.229745435739</v>
      </c>
      <c r="EL77" t="s">
        <v>9</v>
      </c>
      <c r="EM77" s="2">
        <v>4172.8317296487958</v>
      </c>
      <c r="EN77" s="2">
        <v>1297.0916134743704</v>
      </c>
      <c r="EO77" s="2">
        <v>2651.8316240687318</v>
      </c>
      <c r="EP77" s="2">
        <v>2271.8331621878092</v>
      </c>
      <c r="EQ77" s="2">
        <v>2976.0583564577514</v>
      </c>
      <c r="ER77" s="2">
        <v>1530.1685297202214</v>
      </c>
      <c r="ES77" s="2">
        <v>2201.9628463114836</v>
      </c>
      <c r="ET77" s="2">
        <v>1986.4645116493384</v>
      </c>
      <c r="EU77" s="2">
        <v>19088.242373518609</v>
      </c>
      <c r="EW77">
        <v>19088.2423735185</v>
      </c>
      <c r="EX77" s="2"/>
      <c r="EY77" s="282"/>
      <c r="EZ77" s="280" t="s">
        <v>9</v>
      </c>
      <c r="FA77" s="282">
        <v>4051.8889698588628</v>
      </c>
      <c r="FB77" s="282">
        <v>1221.4728656692769</v>
      </c>
      <c r="FC77" s="282">
        <v>2705.8777910289396</v>
      </c>
      <c r="FD77" s="282">
        <v>2252.0318615835331</v>
      </c>
      <c r="FE77" s="282">
        <v>2983.2080605955393</v>
      </c>
      <c r="FF77" s="282">
        <v>1526.1594716697989</v>
      </c>
      <c r="FG77" s="282">
        <v>2274.8958028414877</v>
      </c>
      <c r="FH77" s="282">
        <v>2177.7338450812158</v>
      </c>
      <c r="FI77" s="418">
        <v>19124.853930420581</v>
      </c>
      <c r="FJ77" s="282"/>
      <c r="FK77" s="282"/>
      <c r="FL77" s="282"/>
      <c r="FM77" s="282"/>
      <c r="FN77" s="341" t="s">
        <v>9</v>
      </c>
      <c r="FO77" s="344">
        <v>4172.8317296487958</v>
      </c>
      <c r="FP77" s="344">
        <v>1297.0916134743704</v>
      </c>
      <c r="FQ77" s="344">
        <v>2651.8316240687318</v>
      </c>
      <c r="FR77" s="344">
        <v>2271.8331621878092</v>
      </c>
      <c r="FS77" s="344">
        <v>2976.0583564577514</v>
      </c>
      <c r="FT77" s="344">
        <v>1530.1685297202214</v>
      </c>
      <c r="FU77" s="344">
        <v>2201.9628463114836</v>
      </c>
      <c r="FV77" s="344">
        <v>1986.4645116493384</v>
      </c>
      <c r="FW77" s="289">
        <f>[5]Calc_FlrSpace!CR101</f>
        <v>19201.158111130891</v>
      </c>
      <c r="FX77" s="341"/>
      <c r="FY77" s="341">
        <v>19088.2423735185</v>
      </c>
      <c r="FZ77" s="282"/>
      <c r="GA77" s="282"/>
      <c r="GB77" s="282"/>
      <c r="GC77" s="2"/>
      <c r="GD77" s="11">
        <v>2011</v>
      </c>
      <c r="GE77" s="282">
        <f t="shared" ref="GE77:GK77" si="138">FA78+FA79</f>
        <v>4106.7114956868309</v>
      </c>
      <c r="GF77" s="282">
        <f t="shared" si="138"/>
        <v>1235.6601267547937</v>
      </c>
      <c r="GG77" s="282">
        <f t="shared" si="138"/>
        <v>2754.1866833883842</v>
      </c>
      <c r="GH77" s="282">
        <f t="shared" si="138"/>
        <v>2254.9633151754151</v>
      </c>
      <c r="GI77" s="282">
        <f t="shared" si="138"/>
        <v>2939.9982412403224</v>
      </c>
      <c r="GJ77" s="282">
        <f t="shared" si="138"/>
        <v>1465.2521531616728</v>
      </c>
      <c r="GK77" s="282">
        <f t="shared" si="138"/>
        <v>2132.2948750759942</v>
      </c>
    </row>
    <row r="78" spans="75:278" x14ac:dyDescent="0.2">
      <c r="BW78" t="s">
        <v>10</v>
      </c>
      <c r="BX78" s="2">
        <v>4640.3574186517199</v>
      </c>
      <c r="BY78" s="2">
        <v>1441.6235049115</v>
      </c>
      <c r="BZ78" s="2">
        <v>2856.3275759765925</v>
      </c>
      <c r="CA78" s="2">
        <v>2264.7115084563034</v>
      </c>
      <c r="CB78" s="2">
        <v>2505.558315824157</v>
      </c>
      <c r="CC78" s="2">
        <v>1281.1897590258011</v>
      </c>
      <c r="CD78" s="2">
        <v>1425.9320911633267</v>
      </c>
      <c r="CE78" s="2"/>
      <c r="CF78" s="2">
        <v>16415.700174009424</v>
      </c>
      <c r="CG78" s="282"/>
      <c r="CI78" t="s">
        <v>10</v>
      </c>
      <c r="CJ78" s="2">
        <v>4756.7718640622179</v>
      </c>
      <c r="CK78" s="2">
        <v>1446.0334776919929</v>
      </c>
      <c r="CL78" s="2">
        <v>2781.9480839929024</v>
      </c>
      <c r="CM78" s="2">
        <v>2294.1154533871154</v>
      </c>
      <c r="CN78" s="2">
        <v>2598.1084954470434</v>
      </c>
      <c r="CO78" s="2">
        <v>1287.895810531149</v>
      </c>
      <c r="CP78" s="2">
        <v>1841.4873820056098</v>
      </c>
      <c r="CQ78" s="2"/>
      <c r="CR78" s="2">
        <v>17006.360567118216</v>
      </c>
      <c r="CT78" t="s">
        <v>10</v>
      </c>
      <c r="CU78" s="2">
        <v>4643.9411980090645</v>
      </c>
      <c r="CV78" s="2">
        <v>1413.4507639000019</v>
      </c>
      <c r="CW78" s="2">
        <v>2755.8649183203042</v>
      </c>
      <c r="CX78" s="2">
        <v>2359.2794591387988</v>
      </c>
      <c r="CY78" s="2">
        <v>2616.0642229994405</v>
      </c>
      <c r="CZ78" s="2">
        <v>1301.7665127459993</v>
      </c>
      <c r="DA78" s="2">
        <v>1894.2718844716787</v>
      </c>
      <c r="DB78" s="2">
        <v>322.27553387923984</v>
      </c>
      <c r="DC78" s="2">
        <v>17306.91449346441</v>
      </c>
      <c r="DE78" t="s">
        <v>10</v>
      </c>
      <c r="DF78" s="2">
        <v>4481.2543088826915</v>
      </c>
      <c r="DG78" s="2">
        <v>1343.7117314187192</v>
      </c>
      <c r="DH78" s="2">
        <v>2662.3668069966479</v>
      </c>
      <c r="DI78" s="2">
        <v>2338.7649708884974</v>
      </c>
      <c r="DJ78" s="2">
        <v>2576.5177559997514</v>
      </c>
      <c r="DK78" s="2">
        <v>1307.4956725396178</v>
      </c>
      <c r="DL78" s="2">
        <v>1940.0846503358862</v>
      </c>
      <c r="DM78" s="2">
        <v>684.14397981612035</v>
      </c>
      <c r="DN78" s="2">
        <v>17334.339876877926</v>
      </c>
      <c r="DP78" t="s">
        <v>10</v>
      </c>
      <c r="DQ78" s="2">
        <v>4246.597462329757</v>
      </c>
      <c r="DR78" s="2">
        <v>1288.5931213559998</v>
      </c>
      <c r="DS78" s="2">
        <v>2675.697599266176</v>
      </c>
      <c r="DT78" s="2">
        <v>2250.9466693226877</v>
      </c>
      <c r="DU78" s="2">
        <v>2885.4299931176229</v>
      </c>
      <c r="DV78" s="2">
        <v>1275.8850703645981</v>
      </c>
      <c r="DW78" s="2">
        <v>1918.5991630172443</v>
      </c>
      <c r="DX78" s="2">
        <v>1162.5086952064019</v>
      </c>
      <c r="DY78" s="2">
        <v>17704.257773980447</v>
      </c>
      <c r="EA78" t="s">
        <v>10</v>
      </c>
      <c r="EB78" s="2">
        <v>4054.9293202471918</v>
      </c>
      <c r="EC78" s="2">
        <v>1295.7559557512011</v>
      </c>
      <c r="ED78" s="2">
        <v>2613.6214221645096</v>
      </c>
      <c r="EE78" s="2">
        <v>2181.5883764676005</v>
      </c>
      <c r="EF78" s="2">
        <v>2758.4683331681549</v>
      </c>
      <c r="EG78" s="2">
        <v>1284.6146019701996</v>
      </c>
      <c r="EH78" s="2">
        <v>1900.3289333047205</v>
      </c>
      <c r="EI78" s="2">
        <v>1568.056470968309</v>
      </c>
      <c r="EJ78" s="2">
        <v>17657.363414041913</v>
      </c>
      <c r="EL78" t="s">
        <v>10</v>
      </c>
      <c r="EM78" s="2">
        <v>4156.6897919313951</v>
      </c>
      <c r="EN78" s="2">
        <v>1291.9318798047705</v>
      </c>
      <c r="EO78" s="2">
        <v>2649.3456070558318</v>
      </c>
      <c r="EP78" s="2">
        <v>2184.7047595969898</v>
      </c>
      <c r="EQ78" s="2">
        <v>2686.7486802809512</v>
      </c>
      <c r="ER78" s="2">
        <v>1296.161442947601</v>
      </c>
      <c r="ES78" s="2">
        <v>1865.184581598252</v>
      </c>
      <c r="ET78" s="2">
        <v>1812.7571032587787</v>
      </c>
      <c r="EU78" s="2">
        <v>17943.523846474731</v>
      </c>
      <c r="EW78">
        <v>17943.523846474571</v>
      </c>
      <c r="EX78" s="2"/>
      <c r="EY78" s="282"/>
      <c r="EZ78" s="280" t="s">
        <v>10</v>
      </c>
      <c r="FA78" s="282">
        <v>4042.0793699739697</v>
      </c>
      <c r="FB78" s="282">
        <v>1221.3938521034827</v>
      </c>
      <c r="FC78" s="282">
        <v>2699.5685414608283</v>
      </c>
      <c r="FD78" s="282">
        <v>2186.4013937511513</v>
      </c>
      <c r="FE78" s="282">
        <v>2758.3301741052701</v>
      </c>
      <c r="FF78" s="282">
        <v>1282.1565080753578</v>
      </c>
      <c r="FG78" s="282">
        <v>1912.7923956418385</v>
      </c>
      <c r="FH78" s="282">
        <v>2000.5247284465709</v>
      </c>
      <c r="FI78" s="418">
        <v>18071.970181739831</v>
      </c>
      <c r="FJ78" s="282"/>
      <c r="FK78" s="282"/>
      <c r="FL78" s="282"/>
      <c r="FM78" s="282"/>
      <c r="FN78" s="341" t="s">
        <v>10</v>
      </c>
      <c r="FO78" s="344">
        <v>4156.6897919313951</v>
      </c>
      <c r="FP78" s="344">
        <v>1291.9318798047705</v>
      </c>
      <c r="FQ78" s="344">
        <v>2649.3456070558318</v>
      </c>
      <c r="FR78" s="344">
        <v>2184.7047595969898</v>
      </c>
      <c r="FS78" s="344">
        <v>2686.7486802809512</v>
      </c>
      <c r="FT78" s="344">
        <v>1296.161442947601</v>
      </c>
      <c r="FU78" s="344">
        <v>1865.184581598252</v>
      </c>
      <c r="FV78" s="344">
        <v>1812.7571032587787</v>
      </c>
      <c r="FW78" s="289">
        <f>[5]Calc_FlrSpace!CR102</f>
        <v>18107.552817222251</v>
      </c>
      <c r="FX78" s="341"/>
      <c r="FY78" s="341">
        <v>17943.523846474571</v>
      </c>
      <c r="FZ78" s="282"/>
      <c r="GA78" s="282"/>
      <c r="GB78" s="282"/>
      <c r="GC78" s="2"/>
      <c r="GD78" s="14" t="s">
        <v>557</v>
      </c>
      <c r="GE78" s="12">
        <f>GE77/GE71</f>
        <v>0.84322356162517798</v>
      </c>
      <c r="GF78" s="12">
        <f t="shared" ref="GF78:GK78" si="139">GF77/GF71</f>
        <v>0.82663094937057702</v>
      </c>
      <c r="GG78" s="12">
        <f t="shared" si="139"/>
        <v>0.95787352640084189</v>
      </c>
      <c r="GH78" s="12">
        <f t="shared" si="139"/>
        <v>0.93624489618496431</v>
      </c>
      <c r="GI78" s="12">
        <f t="shared" si="139"/>
        <v>1.0210334694256107</v>
      </c>
      <c r="GJ78" s="12">
        <f t="shared" si="139"/>
        <v>0.98059973839947856</v>
      </c>
      <c r="GK78" s="12">
        <f t="shared" si="139"/>
        <v>1.0210062943072278</v>
      </c>
    </row>
    <row r="79" spans="75:278" x14ac:dyDescent="0.2">
      <c r="BW79" t="s">
        <v>11</v>
      </c>
      <c r="BX79" s="2">
        <v>106.56729396389001</v>
      </c>
      <c r="BY79" s="2">
        <v>27.579345494600002</v>
      </c>
      <c r="BZ79" s="2">
        <v>77.343425944800003</v>
      </c>
      <c r="CA79" s="2">
        <v>119.58506486650001</v>
      </c>
      <c r="CB79" s="2">
        <v>315.59539135479014</v>
      </c>
      <c r="CC79" s="2">
        <v>231.57673779499987</v>
      </c>
      <c r="CD79" s="2">
        <v>182.97216629846008</v>
      </c>
      <c r="CE79" s="2"/>
      <c r="CF79" s="2">
        <v>1061.2194257180395</v>
      </c>
      <c r="CG79" s="282"/>
      <c r="CI79" t="s">
        <v>11</v>
      </c>
      <c r="CJ79" s="2">
        <v>113.48044218478</v>
      </c>
      <c r="CK79" s="2">
        <v>48.781261213760004</v>
      </c>
      <c r="CL79" s="2">
        <v>93.365417714459994</v>
      </c>
      <c r="CM79" s="2">
        <v>114.40321984036999</v>
      </c>
      <c r="CN79" s="2">
        <v>281.3252638539501</v>
      </c>
      <c r="CO79" s="2">
        <v>206.34500535285008</v>
      </c>
      <c r="CP79" s="2">
        <v>246.93742689608004</v>
      </c>
      <c r="CQ79" s="2"/>
      <c r="CR79" s="2">
        <v>1104.6380370562499</v>
      </c>
      <c r="CT79" t="s">
        <v>11</v>
      </c>
      <c r="CU79" s="2">
        <v>108.07195091557</v>
      </c>
      <c r="CV79" s="2">
        <v>47.897451405390001</v>
      </c>
      <c r="CW79" s="2">
        <v>80.172038682660016</v>
      </c>
      <c r="CX79" s="2">
        <v>103.40739909360002</v>
      </c>
      <c r="CY79" s="2">
        <v>296.98469695632002</v>
      </c>
      <c r="CZ79" s="2">
        <v>196.22463609590002</v>
      </c>
      <c r="DA79" s="2">
        <v>259.42261809116007</v>
      </c>
      <c r="DB79" s="2">
        <v>73.268875219999984</v>
      </c>
      <c r="DC79" s="2">
        <v>1165.4496664606011</v>
      </c>
      <c r="DE79" t="s">
        <v>11</v>
      </c>
      <c r="DF79" s="2">
        <v>94.84324461443002</v>
      </c>
      <c r="DG79" s="2">
        <v>36.962993460049994</v>
      </c>
      <c r="DH79" s="2">
        <v>59.583500640409987</v>
      </c>
      <c r="DI79" s="2">
        <v>85.810118667190011</v>
      </c>
      <c r="DJ79" s="2">
        <v>229.97562148297999</v>
      </c>
      <c r="DK79" s="2">
        <v>183.59485897725</v>
      </c>
      <c r="DL79" s="2">
        <v>207.00095287301994</v>
      </c>
      <c r="DM79" s="2">
        <v>122.19131472579004</v>
      </c>
      <c r="DN79" s="2">
        <v>1019.9626054411186</v>
      </c>
      <c r="DP79" t="s">
        <v>11</v>
      </c>
      <c r="DQ79" s="2">
        <v>70.120395777279995</v>
      </c>
      <c r="DR79" s="2">
        <v>13.0364623876</v>
      </c>
      <c r="DS79" s="2">
        <v>53.95314260939999</v>
      </c>
      <c r="DT79" s="2">
        <v>70.407991341100001</v>
      </c>
      <c r="DU79" s="2">
        <v>238.72496677140009</v>
      </c>
      <c r="DV79" s="2">
        <v>188.3917474269999</v>
      </c>
      <c r="DW79" s="2">
        <v>221.71901744742004</v>
      </c>
      <c r="DX79" s="2">
        <v>184.89542027354995</v>
      </c>
      <c r="DY79" s="2">
        <v>1041.2491440347503</v>
      </c>
      <c r="EA79" t="s">
        <v>11</v>
      </c>
      <c r="EB79" s="2">
        <v>67.519699591600002</v>
      </c>
      <c r="EC79" s="2">
        <v>15.898105069600001</v>
      </c>
      <c r="ED79" s="2">
        <v>58.539447429500015</v>
      </c>
      <c r="EE79" s="2">
        <v>57.944622706700009</v>
      </c>
      <c r="EF79" s="2">
        <v>233.8797866724</v>
      </c>
      <c r="EG79" s="2">
        <v>168.61033585559997</v>
      </c>
      <c r="EH79" s="2">
        <v>228.3921519099801</v>
      </c>
      <c r="EI79" s="2">
        <v>247.86126773537998</v>
      </c>
      <c r="EJ79" s="2">
        <v>1078.6454169707597</v>
      </c>
      <c r="EL79" t="s">
        <v>11</v>
      </c>
      <c r="EM79" s="2">
        <v>69.846228593880014</v>
      </c>
      <c r="EN79" s="2">
        <v>21.222229543160005</v>
      </c>
      <c r="EO79" s="2">
        <v>44.591267089479992</v>
      </c>
      <c r="EP79" s="2">
        <v>63.504339571629991</v>
      </c>
      <c r="EQ79" s="2">
        <v>193.46480744521</v>
      </c>
      <c r="ER79" s="2">
        <v>175.40276660890004</v>
      </c>
      <c r="ES79" s="2">
        <v>232.2025940314301</v>
      </c>
      <c r="ET79" s="2">
        <v>255.05659022963007</v>
      </c>
      <c r="EU79" s="2">
        <v>1055.2908231133204</v>
      </c>
      <c r="EW79">
        <v>1055.2908231133201</v>
      </c>
      <c r="EX79" s="2"/>
      <c r="EY79" s="282"/>
      <c r="EZ79" s="280" t="s">
        <v>11</v>
      </c>
      <c r="FA79" s="282">
        <v>64.632125712860912</v>
      </c>
      <c r="FB79" s="282">
        <v>14.266274651310999</v>
      </c>
      <c r="FC79" s="282">
        <v>54.618141927555691</v>
      </c>
      <c r="FD79" s="282">
        <v>68.561921424263801</v>
      </c>
      <c r="FE79" s="282">
        <v>181.6680671350525</v>
      </c>
      <c r="FF79" s="282">
        <v>183.0956450863151</v>
      </c>
      <c r="FG79" s="282">
        <v>219.50247943415584</v>
      </c>
      <c r="FH79" s="282">
        <v>286.28613325793816</v>
      </c>
      <c r="FI79" s="418">
        <v>1063.073470832094</v>
      </c>
      <c r="FJ79" s="282"/>
      <c r="FK79" s="282"/>
      <c r="FL79" s="282"/>
      <c r="FM79" s="282"/>
      <c r="FN79" s="341" t="s">
        <v>11</v>
      </c>
      <c r="FO79" s="344">
        <v>69.846228593880014</v>
      </c>
      <c r="FP79" s="344">
        <v>21.222229543160005</v>
      </c>
      <c r="FQ79" s="344">
        <v>44.591267089479992</v>
      </c>
      <c r="FR79" s="344">
        <v>63.504339571629991</v>
      </c>
      <c r="FS79" s="344">
        <v>193.46480744521</v>
      </c>
      <c r="FT79" s="344">
        <v>175.40276660890004</v>
      </c>
      <c r="FU79" s="344">
        <v>232.2025940314301</v>
      </c>
      <c r="FV79" s="344">
        <v>255.05659022963007</v>
      </c>
      <c r="FW79" s="289">
        <f>[5]Calc_FlrSpace!CR103</f>
        <v>1165.2463985398547</v>
      </c>
      <c r="FX79" s="341"/>
      <c r="FY79" s="341">
        <v>1055.2908231133201</v>
      </c>
      <c r="FZ79" s="282"/>
      <c r="GA79" s="282"/>
      <c r="GB79" s="282"/>
      <c r="GC79" s="2"/>
      <c r="GD79" s="14" t="s">
        <v>556</v>
      </c>
      <c r="GE79" s="12">
        <f t="shared" ref="GE79:GK79" si="140">GE76/GE71</f>
        <v>0.86782691219178976</v>
      </c>
      <c r="GF79" s="12">
        <f t="shared" si="140"/>
        <v>0.87847281350008422</v>
      </c>
      <c r="GG79" s="12">
        <f t="shared" si="140"/>
        <v>0.93691935594002218</v>
      </c>
      <c r="GH79" s="12">
        <f t="shared" si="140"/>
        <v>0.93344059324063844</v>
      </c>
      <c r="GI79" s="12">
        <f t="shared" si="140"/>
        <v>1.0002707922773528</v>
      </c>
      <c r="GJ79" s="12">
        <f t="shared" si="140"/>
        <v>0.98482399484310545</v>
      </c>
      <c r="GK79" s="12">
        <f t="shared" si="140"/>
        <v>1.0042914481238641</v>
      </c>
    </row>
    <row r="80" spans="75:278" x14ac:dyDescent="0.2">
      <c r="BW80" t="s">
        <v>12</v>
      </c>
      <c r="BX80" s="2">
        <v>1584.751822165468</v>
      </c>
      <c r="BY80" s="2">
        <v>290.70564530517004</v>
      </c>
      <c r="BZ80" s="2">
        <v>344.32165910121006</v>
      </c>
      <c r="CA80" s="2">
        <v>716.49980085671984</v>
      </c>
      <c r="CB80" s="2">
        <v>1262.84868107801</v>
      </c>
      <c r="CC80" s="2">
        <v>728.44092857884345</v>
      </c>
      <c r="CD80" s="2">
        <v>390.56857513379998</v>
      </c>
      <c r="CE80" s="2"/>
      <c r="CF80" s="2">
        <v>5318.137112219204</v>
      </c>
      <c r="CG80" s="282"/>
      <c r="CI80" t="s">
        <v>12</v>
      </c>
      <c r="CJ80" s="2">
        <v>1368.4193424320924</v>
      </c>
      <c r="CK80" s="2">
        <v>251.334436443306</v>
      </c>
      <c r="CL80" s="2">
        <v>332.59355943005522</v>
      </c>
      <c r="CM80" s="2">
        <v>684.05056642208046</v>
      </c>
      <c r="CN80" s="2">
        <v>1243.0350086781784</v>
      </c>
      <c r="CO80" s="2">
        <v>726.5514117515811</v>
      </c>
      <c r="CP80" s="2">
        <v>464.13728304282989</v>
      </c>
      <c r="CQ80" s="2"/>
      <c r="CR80" s="2">
        <v>5070.1216082001274</v>
      </c>
      <c r="CT80" t="s">
        <v>12</v>
      </c>
      <c r="CU80" s="2">
        <v>1268.8219135821209</v>
      </c>
      <c r="CV80" s="2">
        <v>232.22852407528006</v>
      </c>
      <c r="CW80" s="2">
        <v>347.04576673135006</v>
      </c>
      <c r="CX80" s="2">
        <v>728.85025089066971</v>
      </c>
      <c r="CY80" s="2">
        <v>1220.01974945706</v>
      </c>
      <c r="CZ80" s="2">
        <v>711.66446768409617</v>
      </c>
      <c r="DA80" s="2">
        <v>496.65716160632019</v>
      </c>
      <c r="DB80" s="2">
        <v>63.8123048088</v>
      </c>
      <c r="DC80" s="2">
        <v>5069.1001388357045</v>
      </c>
      <c r="DE80" t="s">
        <v>12</v>
      </c>
      <c r="DF80" s="2">
        <v>1223.2095254584879</v>
      </c>
      <c r="DG80" s="2">
        <v>263.50080827390684</v>
      </c>
      <c r="DH80" s="2">
        <v>330.60262394491008</v>
      </c>
      <c r="DI80" s="2">
        <v>634.68714869928044</v>
      </c>
      <c r="DJ80" s="2">
        <v>1228.9420591955911</v>
      </c>
      <c r="DK80" s="2">
        <v>685.3685953369752</v>
      </c>
      <c r="DL80" s="2">
        <v>477.95630245362997</v>
      </c>
      <c r="DM80" s="2">
        <v>149.69660817429997</v>
      </c>
      <c r="DN80" s="2">
        <v>4993.9636715370934</v>
      </c>
      <c r="DP80" t="s">
        <v>12</v>
      </c>
      <c r="DQ80" s="2">
        <v>1134.1337634607396</v>
      </c>
      <c r="DR80" s="2">
        <v>193.39235876281995</v>
      </c>
      <c r="DS80" s="2">
        <v>285.60995431748006</v>
      </c>
      <c r="DT80" s="2">
        <v>601.0480554433301</v>
      </c>
      <c r="DU80" s="2">
        <v>1429.8728685746203</v>
      </c>
      <c r="DV80" s="2">
        <v>687.76283767486689</v>
      </c>
      <c r="DW80" s="2">
        <v>478.62107019916994</v>
      </c>
      <c r="DX80" s="2">
        <v>242.22488642511996</v>
      </c>
      <c r="DY80" s="2">
        <v>5052.6657948581478</v>
      </c>
      <c r="EA80" t="s">
        <v>12</v>
      </c>
      <c r="EB80" s="2">
        <v>1251.1511288926113</v>
      </c>
      <c r="EC80" s="2">
        <v>204.6740049451499</v>
      </c>
      <c r="ED80" s="2">
        <v>290.19262888000992</v>
      </c>
      <c r="EE80" s="2">
        <v>660.88051478302975</v>
      </c>
      <c r="EF80" s="2">
        <v>1569.6797077396304</v>
      </c>
      <c r="EG80" s="2">
        <v>670.52714404030564</v>
      </c>
      <c r="EH80" s="2">
        <v>470.76022104905002</v>
      </c>
      <c r="EI80" s="2">
        <v>290.61504327633003</v>
      </c>
      <c r="EJ80" s="2">
        <v>5408.480393606118</v>
      </c>
      <c r="EL80" t="s">
        <v>12</v>
      </c>
      <c r="EM80" s="2">
        <v>1033.0533246046596</v>
      </c>
      <c r="EN80" s="2">
        <v>184.42322531575999</v>
      </c>
      <c r="EO80" s="2">
        <v>305.38358750981001</v>
      </c>
      <c r="EP80" s="2">
        <v>621.32321070081991</v>
      </c>
      <c r="EQ80" s="2">
        <v>1511.8258653847031</v>
      </c>
      <c r="ER80" s="2">
        <v>675.31006750557981</v>
      </c>
      <c r="ES80" s="2">
        <v>506.40796914038981</v>
      </c>
      <c r="ET80" s="2">
        <v>387.11862920725008</v>
      </c>
      <c r="EU80" s="2">
        <v>5224.8458793689606</v>
      </c>
      <c r="EW80">
        <v>5224.8458793689724</v>
      </c>
      <c r="EX80" s="2"/>
      <c r="EY80" s="282"/>
      <c r="EZ80" s="280" t="s">
        <v>12</v>
      </c>
      <c r="FA80" s="282">
        <v>1072.2915468785327</v>
      </c>
      <c r="FB80" s="282">
        <v>176.2755011786256</v>
      </c>
      <c r="FC80" s="282">
        <v>322.59825270763758</v>
      </c>
      <c r="FD80" s="282">
        <v>677.05356434720761</v>
      </c>
      <c r="FE80" s="282">
        <v>1466.4559857968079</v>
      </c>
      <c r="FF80" s="282">
        <v>694.27785265708405</v>
      </c>
      <c r="FG80" s="282">
        <v>522.36244906117395</v>
      </c>
      <c r="FH80" s="282">
        <v>486.69173092772809</v>
      </c>
      <c r="FI80" s="418">
        <v>5474.8264820350378</v>
      </c>
      <c r="FJ80" s="282"/>
      <c r="FK80" s="282"/>
      <c r="FL80" s="282"/>
      <c r="FM80" s="282"/>
      <c r="FN80" s="341" t="s">
        <v>12</v>
      </c>
      <c r="FO80" s="344">
        <v>1033.0533246046596</v>
      </c>
      <c r="FP80" s="344">
        <v>184.42322531575999</v>
      </c>
      <c r="FQ80" s="344">
        <v>305.38358750981001</v>
      </c>
      <c r="FR80" s="344">
        <v>621.32321070081991</v>
      </c>
      <c r="FS80" s="344">
        <v>1511.8258653847031</v>
      </c>
      <c r="FT80" s="344">
        <v>675.31006750557981</v>
      </c>
      <c r="FU80" s="344">
        <v>506.40796914038981</v>
      </c>
      <c r="FV80" s="344">
        <v>387.11862920725008</v>
      </c>
      <c r="FW80" s="289">
        <f>[5]Calc_FlrSpace!CR104</f>
        <v>5546.0629544249832</v>
      </c>
      <c r="FX80" s="341"/>
      <c r="FY80" s="341">
        <v>5224.8458793689724</v>
      </c>
      <c r="FZ80" s="282"/>
      <c r="GA80" s="282"/>
      <c r="GB80" s="282"/>
      <c r="GC80" s="2"/>
      <c r="GD80" s="2"/>
      <c r="GE80" s="2"/>
      <c r="GF80" s="2"/>
      <c r="GG80" s="2"/>
      <c r="GH80" s="2"/>
      <c r="GI80" s="2"/>
    </row>
    <row r="81" spans="75:271" x14ac:dyDescent="0.2">
      <c r="BW81" t="s">
        <v>13</v>
      </c>
      <c r="BX81" s="2">
        <v>6.8041574901999997</v>
      </c>
      <c r="BY81" s="2">
        <v>0</v>
      </c>
      <c r="BZ81" s="2">
        <v>21.528942491700001</v>
      </c>
      <c r="CA81" s="2">
        <v>184.0993390174001</v>
      </c>
      <c r="CB81" s="2">
        <v>392.72283133727797</v>
      </c>
      <c r="CC81" s="2">
        <v>231.33671546529294</v>
      </c>
      <c r="CD81" s="2">
        <v>319.6571512608499</v>
      </c>
      <c r="CE81" s="2"/>
      <c r="CF81" s="2">
        <v>1156.1491370627209</v>
      </c>
      <c r="CG81" s="282"/>
      <c r="CI81" t="s">
        <v>13</v>
      </c>
      <c r="CJ81" s="2">
        <v>11.5860545669</v>
      </c>
      <c r="CK81" s="2">
        <v>1.8912064918000002</v>
      </c>
      <c r="CL81" s="2">
        <v>17.142504509210003</v>
      </c>
      <c r="CM81" s="2">
        <v>148.48369221853997</v>
      </c>
      <c r="CN81" s="2">
        <v>343.57446329810722</v>
      </c>
      <c r="CO81" s="2">
        <v>239.18349589438898</v>
      </c>
      <c r="CP81" s="2">
        <v>416.67590465005992</v>
      </c>
      <c r="CQ81" s="2"/>
      <c r="CR81" s="2">
        <v>1178.5373216290059</v>
      </c>
      <c r="CT81" t="s">
        <v>13</v>
      </c>
      <c r="CU81" s="2">
        <v>14.3424881312</v>
      </c>
      <c r="CV81" s="2">
        <v>0</v>
      </c>
      <c r="CW81" s="2">
        <v>25.960508364500001</v>
      </c>
      <c r="CX81" s="2">
        <v>124.64871711844002</v>
      </c>
      <c r="CY81" s="2">
        <v>334.71386532099092</v>
      </c>
      <c r="CZ81" s="2">
        <v>244.298606184025</v>
      </c>
      <c r="DA81" s="2">
        <v>404.74288618778991</v>
      </c>
      <c r="DB81" s="2">
        <v>67.800641938200002</v>
      </c>
      <c r="DC81" s="2">
        <v>1216.5077132451479</v>
      </c>
      <c r="DE81" t="s">
        <v>13</v>
      </c>
      <c r="DF81" s="2">
        <v>13.1900216919</v>
      </c>
      <c r="DG81" s="2">
        <v>0</v>
      </c>
      <c r="DH81" s="2">
        <v>7.4790784012799998</v>
      </c>
      <c r="DI81" s="2">
        <v>128.96665545176998</v>
      </c>
      <c r="DJ81" s="2">
        <v>296.58753405399</v>
      </c>
      <c r="DK81" s="2">
        <v>234.07054792304606</v>
      </c>
      <c r="DL81" s="2">
        <v>335.70046181740003</v>
      </c>
      <c r="DM81" s="2">
        <v>123.9801448147</v>
      </c>
      <c r="DN81" s="2">
        <v>1139.9744441540861</v>
      </c>
      <c r="DP81" t="s">
        <v>13</v>
      </c>
      <c r="DQ81" s="2">
        <v>12.6832985318</v>
      </c>
      <c r="DR81" s="2">
        <v>2.0648969135000002</v>
      </c>
      <c r="DS81" s="2">
        <v>9.4444581538000012</v>
      </c>
      <c r="DT81" s="2">
        <v>96.61507065240005</v>
      </c>
      <c r="DU81" s="2">
        <v>299.93979719478</v>
      </c>
      <c r="DV81" s="2">
        <v>231.82453533559999</v>
      </c>
      <c r="DW81" s="2">
        <v>363.9203871499999</v>
      </c>
      <c r="DX81" s="2">
        <v>140.72004518708997</v>
      </c>
      <c r="DY81" s="2">
        <v>1157.2124891189708</v>
      </c>
      <c r="EA81" t="s">
        <v>13</v>
      </c>
      <c r="EB81" s="2">
        <v>13.142463266500002</v>
      </c>
      <c r="EC81" s="2">
        <v>2.4361079921000002</v>
      </c>
      <c r="ED81" s="2">
        <v>7.5336175666000003</v>
      </c>
      <c r="EE81" s="2">
        <v>91.363066956500006</v>
      </c>
      <c r="EF81" s="2">
        <v>273.69593841214004</v>
      </c>
      <c r="EG81" s="2">
        <v>232.27474921993004</v>
      </c>
      <c r="EH81" s="2">
        <v>363.22001356082001</v>
      </c>
      <c r="EI81" s="2">
        <v>168.2003744193</v>
      </c>
      <c r="EJ81" s="2">
        <v>1151.8663313938905</v>
      </c>
      <c r="EL81" t="s">
        <v>13</v>
      </c>
      <c r="EM81" s="2">
        <v>16.141937717400001</v>
      </c>
      <c r="EN81" s="2">
        <v>5.1597336696000005</v>
      </c>
      <c r="EO81" s="2">
        <v>2.4860170129000001</v>
      </c>
      <c r="EP81" s="2">
        <v>87.128402590820031</v>
      </c>
      <c r="EQ81" s="2">
        <v>289.30967617679988</v>
      </c>
      <c r="ER81" s="2">
        <v>234.00708677261994</v>
      </c>
      <c r="ES81" s="2">
        <v>336.77826471322999</v>
      </c>
      <c r="ET81" s="2">
        <v>173.70740839056006</v>
      </c>
      <c r="EU81" s="2">
        <v>1144.7185270439293</v>
      </c>
      <c r="EW81">
        <v>1144.71852704393</v>
      </c>
      <c r="EX81" s="2"/>
      <c r="EY81" s="282"/>
      <c r="EZ81" s="280" t="s">
        <v>13</v>
      </c>
      <c r="FA81" s="282">
        <v>9.8095998848930002</v>
      </c>
      <c r="FB81" s="282">
        <v>7.9013565793999999E-2</v>
      </c>
      <c r="FC81" s="282">
        <v>6.3092495681110004</v>
      </c>
      <c r="FD81" s="282">
        <v>65.630467832379011</v>
      </c>
      <c r="FE81" s="282">
        <v>224.87788649026922</v>
      </c>
      <c r="FF81" s="282">
        <v>244.00296359444098</v>
      </c>
      <c r="FG81" s="282">
        <v>362.10340719965893</v>
      </c>
      <c r="FH81" s="282">
        <v>177.20911663465094</v>
      </c>
      <c r="FI81" s="418">
        <v>1052.8837486807906</v>
      </c>
      <c r="FJ81" s="282"/>
      <c r="FK81" s="282"/>
      <c r="FL81" s="282"/>
      <c r="FM81" s="282"/>
      <c r="FN81" s="341" t="s">
        <v>13</v>
      </c>
      <c r="FO81" s="344">
        <v>16.141937717400001</v>
      </c>
      <c r="FP81" s="344">
        <v>5.1597336696000005</v>
      </c>
      <c r="FQ81" s="344">
        <v>2.4860170129000001</v>
      </c>
      <c r="FR81" s="344">
        <v>87.128402590820031</v>
      </c>
      <c r="FS81" s="344">
        <v>289.30967617679988</v>
      </c>
      <c r="FT81" s="344">
        <v>234.00708677261994</v>
      </c>
      <c r="FU81" s="344">
        <v>336.77826471322999</v>
      </c>
      <c r="FV81" s="344">
        <v>173.70740839056006</v>
      </c>
      <c r="FW81" s="289">
        <f>[5]Calc_FlrSpace!CR105</f>
        <v>1093.6052939086705</v>
      </c>
      <c r="FX81" s="341"/>
      <c r="FY81" s="341">
        <v>1144.71852704393</v>
      </c>
      <c r="FZ81" s="282"/>
      <c r="GA81" s="282"/>
      <c r="GB81" s="282"/>
      <c r="GC81" s="2"/>
      <c r="GD81" s="2"/>
      <c r="GE81" s="2"/>
      <c r="GF81" s="2"/>
      <c r="GG81" s="2"/>
      <c r="GH81" s="2"/>
      <c r="GI81" s="2"/>
    </row>
    <row r="82" spans="75:271" x14ac:dyDescent="0.2">
      <c r="BW82" t="s">
        <v>14</v>
      </c>
      <c r="BX82" s="2">
        <v>6338.4806922712778</v>
      </c>
      <c r="BY82" s="2">
        <v>1759.90849571127</v>
      </c>
      <c r="BZ82" s="2">
        <v>3299.5216035143026</v>
      </c>
      <c r="CA82" s="2">
        <v>3284.8957131969232</v>
      </c>
      <c r="CB82" s="2">
        <v>4476.7252195942347</v>
      </c>
      <c r="CC82" s="2">
        <v>2472.5441408649372</v>
      </c>
      <c r="CD82" s="2">
        <v>2319.1299838564369</v>
      </c>
      <c r="CE82" s="2"/>
      <c r="CF82" s="2">
        <v>23951.205849009388</v>
      </c>
      <c r="CG82" s="282"/>
      <c r="CI82" t="s">
        <v>14</v>
      </c>
      <c r="CJ82" s="2">
        <v>6250.2577032459913</v>
      </c>
      <c r="CK82" s="2">
        <v>1748.0403818408588</v>
      </c>
      <c r="CL82" s="2">
        <v>3225.0495656466273</v>
      </c>
      <c r="CM82" s="2">
        <v>3241.0529318681056</v>
      </c>
      <c r="CN82" s="2">
        <v>4466.0432312772791</v>
      </c>
      <c r="CO82" s="2">
        <v>2459.9757235299689</v>
      </c>
      <c r="CP82" s="2">
        <v>2969.2379965945797</v>
      </c>
      <c r="CQ82" s="2"/>
      <c r="CR82" s="2">
        <v>24359.657534003596</v>
      </c>
      <c r="CT82" t="s">
        <v>14</v>
      </c>
      <c r="CU82" s="2">
        <v>6035.1775506379563</v>
      </c>
      <c r="CV82" s="2">
        <v>1693.5767393806716</v>
      </c>
      <c r="CW82" s="2">
        <v>3209.0432320988148</v>
      </c>
      <c r="CX82" s="2">
        <v>3316.185826241508</v>
      </c>
      <c r="CY82" s="2">
        <v>4467.7825347338112</v>
      </c>
      <c r="CZ82" s="2">
        <v>2453.9542227100205</v>
      </c>
      <c r="DA82" s="2">
        <v>3055.0945503569487</v>
      </c>
      <c r="DB82" s="2">
        <v>527.15735584623985</v>
      </c>
      <c r="DC82" s="2">
        <v>24757.972012005859</v>
      </c>
      <c r="DE82" t="s">
        <v>14</v>
      </c>
      <c r="DF82" s="2">
        <v>5812.497100647508</v>
      </c>
      <c r="DG82" s="2">
        <v>1644.1755331526761</v>
      </c>
      <c r="DH82" s="2">
        <v>3060.0320099832479</v>
      </c>
      <c r="DI82" s="2">
        <v>3188.2288937067378</v>
      </c>
      <c r="DJ82" s="2">
        <v>4332.0229707323124</v>
      </c>
      <c r="DK82" s="2">
        <v>2410.5296747768889</v>
      </c>
      <c r="DL82" s="2">
        <v>2960.7423674799361</v>
      </c>
      <c r="DM82" s="2">
        <v>1080.0120475309102</v>
      </c>
      <c r="DN82" s="2">
        <v>24488.240598010227</v>
      </c>
      <c r="DP82" t="s">
        <v>14</v>
      </c>
      <c r="DQ82" s="2">
        <v>5463.534920099577</v>
      </c>
      <c r="DR82" s="2">
        <v>1497.0868394199199</v>
      </c>
      <c r="DS82" s="2">
        <v>3024.7051543468565</v>
      </c>
      <c r="DT82" s="2">
        <v>3019.017786759518</v>
      </c>
      <c r="DU82" s="2">
        <v>4853.9676256584235</v>
      </c>
      <c r="DV82" s="2">
        <v>2383.864190802065</v>
      </c>
      <c r="DW82" s="2">
        <v>2982.8596378138345</v>
      </c>
      <c r="DX82" s="2">
        <v>1730.349047092162</v>
      </c>
      <c r="DY82" s="2">
        <v>24955.385201992314</v>
      </c>
      <c r="EA82" t="s">
        <v>14</v>
      </c>
      <c r="EB82" s="2">
        <v>5386.7426119979036</v>
      </c>
      <c r="EC82" s="2">
        <v>1518.7641737580511</v>
      </c>
      <c r="ED82" s="2">
        <v>2969.8871160406197</v>
      </c>
      <c r="EE82" s="2">
        <v>2991.7765809138305</v>
      </c>
      <c r="EF82" s="2">
        <v>4835.7237659923258</v>
      </c>
      <c r="EG82" s="2">
        <v>2356.0268310860351</v>
      </c>
      <c r="EH82" s="2">
        <v>2962.7013198245704</v>
      </c>
      <c r="EI82" s="2">
        <v>2274.7331563993189</v>
      </c>
      <c r="EJ82" s="2">
        <v>25296.355556012684</v>
      </c>
      <c r="EL82" t="s">
        <v>14</v>
      </c>
      <c r="EM82" s="2">
        <v>5275.731282847335</v>
      </c>
      <c r="EN82" s="2">
        <v>1502.7370683332904</v>
      </c>
      <c r="EO82" s="2">
        <v>3001.806478668022</v>
      </c>
      <c r="EP82" s="2">
        <v>2956.6607124602601</v>
      </c>
      <c r="EQ82" s="2">
        <v>4681.3490292876641</v>
      </c>
      <c r="ER82" s="2">
        <v>2380.8813638347006</v>
      </c>
      <c r="ES82" s="2">
        <v>2940.5734094833019</v>
      </c>
      <c r="ET82" s="2">
        <v>2628.6397310862189</v>
      </c>
      <c r="EU82" s="2">
        <v>25368.379076000943</v>
      </c>
      <c r="EW82">
        <v>25368.379076000794</v>
      </c>
      <c r="EZ82" s="280" t="s">
        <v>14</v>
      </c>
      <c r="FA82" s="282">
        <v>5188.8126424502561</v>
      </c>
      <c r="FB82" s="282">
        <v>1412.0146414992134</v>
      </c>
      <c r="FC82" s="282">
        <v>3083.0941856641325</v>
      </c>
      <c r="FD82" s="282">
        <v>2997.6473473550018</v>
      </c>
      <c r="FE82" s="282">
        <v>4631.3321135274</v>
      </c>
      <c r="FF82" s="282">
        <v>2403.5329694131979</v>
      </c>
      <c r="FG82" s="282">
        <v>3016.7607313368271</v>
      </c>
      <c r="FH82" s="282">
        <v>2950.7117092668886</v>
      </c>
      <c r="FI82" s="418">
        <v>25662.753883287751</v>
      </c>
      <c r="FN82" s="341" t="s">
        <v>14</v>
      </c>
      <c r="FO82" s="344">
        <v>5275.731282847335</v>
      </c>
      <c r="FP82" s="344">
        <v>1502.7370683332904</v>
      </c>
      <c r="FQ82" s="344">
        <v>3001.806478668022</v>
      </c>
      <c r="FR82" s="344">
        <v>2956.6607124602601</v>
      </c>
      <c r="FS82" s="344">
        <v>4681.3490292876641</v>
      </c>
      <c r="FT82" s="344">
        <v>2380.8813638347006</v>
      </c>
      <c r="FU82" s="344">
        <v>2940.5734094833019</v>
      </c>
      <c r="FV82" s="344">
        <v>2628.6397310862189</v>
      </c>
      <c r="FW82" s="289">
        <f>[5]Calc_FlrSpace!CR106</f>
        <v>25912.467464095764</v>
      </c>
      <c r="FX82" s="341"/>
      <c r="FY82" s="341">
        <v>25368.379076000794</v>
      </c>
      <c r="FZ82" s="282"/>
      <c r="GB82" s="282"/>
      <c r="GC82" s="2"/>
      <c r="GD82" s="2"/>
      <c r="GE82" s="2"/>
      <c r="GF82" s="2"/>
      <c r="GG82" s="2"/>
      <c r="GH82" s="2"/>
      <c r="GI82" s="2"/>
    </row>
    <row r="83" spans="75:271" x14ac:dyDescent="0.2">
      <c r="EK83" s="1"/>
      <c r="FI83" s="210"/>
      <c r="FN83" s="341"/>
      <c r="FO83" s="341"/>
      <c r="FP83" s="341"/>
      <c r="FQ83" s="341"/>
      <c r="FR83" s="341"/>
      <c r="FS83" s="341"/>
      <c r="FT83" s="341"/>
      <c r="FU83" s="341"/>
      <c r="FV83" s="341"/>
      <c r="FW83" s="404"/>
      <c r="FX83" s="341"/>
      <c r="FY83" s="341"/>
      <c r="GB83" s="282"/>
      <c r="GC83" s="2"/>
      <c r="GD83" s="2"/>
      <c r="GE83" s="2"/>
      <c r="GF83" s="2"/>
      <c r="GG83" s="2"/>
      <c r="GH83" s="2"/>
      <c r="GI83" s="2"/>
    </row>
    <row r="84" spans="75:271" x14ac:dyDescent="0.2">
      <c r="BW84" s="1" t="s">
        <v>16</v>
      </c>
      <c r="CI84" s="1" t="s">
        <v>16</v>
      </c>
      <c r="CT84" s="1" t="s">
        <v>16</v>
      </c>
      <c r="DE84" s="1" t="s">
        <v>16</v>
      </c>
      <c r="DP84" s="1" t="s">
        <v>16</v>
      </c>
      <c r="EA84" s="1" t="s">
        <v>16</v>
      </c>
      <c r="EL84" s="1" t="s">
        <v>16</v>
      </c>
      <c r="EX84" s="2"/>
      <c r="EY84" s="282"/>
      <c r="EZ84" s="281" t="s">
        <v>16</v>
      </c>
      <c r="FI84" s="210"/>
      <c r="FJ84" s="282"/>
      <c r="FK84" s="282"/>
      <c r="FL84" s="282"/>
      <c r="FM84" s="282"/>
      <c r="FN84" s="342" t="s">
        <v>16</v>
      </c>
      <c r="FO84" s="341"/>
      <c r="FP84" s="341"/>
      <c r="FQ84" s="341"/>
      <c r="FR84" s="341"/>
      <c r="FS84" s="341"/>
      <c r="FT84" s="341"/>
      <c r="FU84" s="341"/>
      <c r="FV84" s="341"/>
      <c r="FW84" s="404"/>
      <c r="FX84" s="341"/>
      <c r="FY84" s="341"/>
      <c r="GA84" s="282"/>
      <c r="GB84" s="282"/>
      <c r="GC84" s="2"/>
      <c r="GD84" s="2"/>
      <c r="GE84" s="2"/>
      <c r="GF84" s="2"/>
      <c r="GG84" s="2"/>
      <c r="GH84" s="2"/>
      <c r="GI84" s="2"/>
    </row>
    <row r="85" spans="75:271" x14ac:dyDescent="0.2">
      <c r="BW85" t="s">
        <v>9</v>
      </c>
      <c r="BX85" s="2">
        <v>1722</v>
      </c>
      <c r="BY85" s="2">
        <v>553</v>
      </c>
      <c r="BZ85" s="2">
        <v>1082</v>
      </c>
      <c r="CA85" s="2">
        <v>942</v>
      </c>
      <c r="CB85" s="2">
        <v>1112</v>
      </c>
      <c r="CC85" s="2">
        <v>567</v>
      </c>
      <c r="CD85" s="2">
        <v>571</v>
      </c>
      <c r="CE85" s="2"/>
      <c r="CF85" s="2">
        <v>6549</v>
      </c>
      <c r="CG85" s="282"/>
      <c r="CI85" t="s">
        <v>9</v>
      </c>
      <c r="CJ85" s="2">
        <v>1944</v>
      </c>
      <c r="CK85" s="2">
        <v>640</v>
      </c>
      <c r="CL85" s="2">
        <v>1269</v>
      </c>
      <c r="CM85" s="2">
        <v>1123</v>
      </c>
      <c r="CN85" s="2">
        <v>1301</v>
      </c>
      <c r="CO85" s="2">
        <v>694</v>
      </c>
      <c r="CP85" s="2">
        <v>983</v>
      </c>
      <c r="CQ85" s="2"/>
      <c r="CR85" s="2">
        <v>7954</v>
      </c>
      <c r="CT85" t="s">
        <v>9</v>
      </c>
      <c r="CU85" s="2">
        <v>1758</v>
      </c>
      <c r="CV85" s="2">
        <v>527</v>
      </c>
      <c r="CW85" s="2">
        <v>1049</v>
      </c>
      <c r="CX85" s="2">
        <v>958</v>
      </c>
      <c r="CY85" s="2">
        <v>1156</v>
      </c>
      <c r="CZ85" s="2">
        <v>600</v>
      </c>
      <c r="DA85" s="2">
        <v>979</v>
      </c>
      <c r="DB85" s="2">
        <v>134</v>
      </c>
      <c r="DC85" s="2">
        <v>7161</v>
      </c>
      <c r="DE85" t="s">
        <v>9</v>
      </c>
      <c r="DF85" s="2">
        <v>1870</v>
      </c>
      <c r="DG85" s="2">
        <v>602</v>
      </c>
      <c r="DH85" s="2">
        <v>1219</v>
      </c>
      <c r="DI85" s="2">
        <v>1133</v>
      </c>
      <c r="DJ85" s="2">
        <v>1276</v>
      </c>
      <c r="DK85" s="2">
        <v>693</v>
      </c>
      <c r="DL85" s="2">
        <v>1205</v>
      </c>
      <c r="DM85" s="2">
        <v>342</v>
      </c>
      <c r="DN85" s="2">
        <v>8340</v>
      </c>
      <c r="DP85" t="s">
        <v>9</v>
      </c>
      <c r="DQ85" s="2">
        <v>1609</v>
      </c>
      <c r="DR85" s="2">
        <v>483</v>
      </c>
      <c r="DS85" s="2">
        <v>1025</v>
      </c>
      <c r="DT85" s="2">
        <v>910</v>
      </c>
      <c r="DU85" s="2">
        <v>1216</v>
      </c>
      <c r="DV85" s="2">
        <v>542</v>
      </c>
      <c r="DW85" s="2">
        <v>943</v>
      </c>
      <c r="DX85" s="2">
        <v>512</v>
      </c>
      <c r="DY85" s="2">
        <v>7240</v>
      </c>
      <c r="EA85" t="s">
        <v>9</v>
      </c>
      <c r="EB85" s="2">
        <v>1362</v>
      </c>
      <c r="EC85" s="2">
        <v>427</v>
      </c>
      <c r="ED85" s="2">
        <v>893</v>
      </c>
      <c r="EE85" s="2">
        <v>777</v>
      </c>
      <c r="EF85" s="2">
        <v>1027</v>
      </c>
      <c r="EG85" s="2">
        <v>485</v>
      </c>
      <c r="EH85" s="2">
        <v>850</v>
      </c>
      <c r="EI85" s="2">
        <v>638</v>
      </c>
      <c r="EJ85" s="2">
        <v>6459</v>
      </c>
      <c r="EL85" t="s">
        <v>9</v>
      </c>
      <c r="EM85" s="2">
        <v>1509</v>
      </c>
      <c r="EN85" s="2">
        <v>531</v>
      </c>
      <c r="EO85" s="2">
        <v>1140</v>
      </c>
      <c r="EP85" s="2">
        <v>945</v>
      </c>
      <c r="EQ85" s="2">
        <v>1207</v>
      </c>
      <c r="ER85" s="2">
        <v>609</v>
      </c>
      <c r="ES85" s="2">
        <v>966</v>
      </c>
      <c r="ET85" s="2">
        <v>889</v>
      </c>
      <c r="EU85" s="2">
        <v>7796</v>
      </c>
      <c r="EW85">
        <v>7796</v>
      </c>
      <c r="EX85" s="2"/>
      <c r="EY85" s="282"/>
      <c r="EZ85" s="280" t="s">
        <v>9</v>
      </c>
      <c r="FA85" s="282">
        <v>3327</v>
      </c>
      <c r="FB85" s="282">
        <v>1229</v>
      </c>
      <c r="FC85" s="282">
        <v>2727</v>
      </c>
      <c r="FD85" s="282">
        <v>2410</v>
      </c>
      <c r="FE85" s="282">
        <v>2689</v>
      </c>
      <c r="FF85" s="282">
        <v>1760</v>
      </c>
      <c r="FG85" s="282">
        <v>2944</v>
      </c>
      <c r="FH85" s="282">
        <v>2721</v>
      </c>
      <c r="FI85" s="418">
        <v>7392</v>
      </c>
      <c r="FJ85" s="282"/>
      <c r="FK85" s="282"/>
      <c r="FL85" s="282"/>
      <c r="FM85" s="282"/>
      <c r="FN85" s="341" t="s">
        <v>9</v>
      </c>
      <c r="FO85" s="344">
        <v>1509</v>
      </c>
      <c r="FP85" s="344">
        <v>531</v>
      </c>
      <c r="FQ85" s="344">
        <v>1140</v>
      </c>
      <c r="FR85" s="344">
        <v>945</v>
      </c>
      <c r="FS85" s="344">
        <v>1207</v>
      </c>
      <c r="FT85" s="344">
        <v>609</v>
      </c>
      <c r="FU85" s="344">
        <v>966</v>
      </c>
      <c r="FV85" s="344">
        <v>889</v>
      </c>
      <c r="FW85" s="289">
        <f>[5]Calc_FlrSpace!CR109</f>
        <v>9858</v>
      </c>
      <c r="FX85" s="341"/>
      <c r="FY85" s="341">
        <v>7796</v>
      </c>
      <c r="FZ85" s="282"/>
      <c r="GA85" s="282"/>
    </row>
    <row r="86" spans="75:271" x14ac:dyDescent="0.2">
      <c r="BW86" t="s">
        <v>10</v>
      </c>
      <c r="BX86" s="2">
        <v>1719</v>
      </c>
      <c r="BY86" s="2">
        <v>553</v>
      </c>
      <c r="BZ86" s="2">
        <v>1075</v>
      </c>
      <c r="CA86" s="2">
        <v>868</v>
      </c>
      <c r="CB86" s="2">
        <v>955</v>
      </c>
      <c r="CC86" s="2">
        <v>484</v>
      </c>
      <c r="CD86" s="2">
        <v>520</v>
      </c>
      <c r="CE86" s="2"/>
      <c r="CF86" s="2">
        <v>6174</v>
      </c>
      <c r="CG86" s="282"/>
      <c r="CI86" t="s">
        <v>10</v>
      </c>
      <c r="CJ86" s="2">
        <v>1939</v>
      </c>
      <c r="CK86" s="2">
        <v>640</v>
      </c>
      <c r="CL86" s="2">
        <v>1262</v>
      </c>
      <c r="CM86" s="2">
        <v>1059</v>
      </c>
      <c r="CN86" s="2">
        <v>1149</v>
      </c>
      <c r="CO86" s="2">
        <v>605</v>
      </c>
      <c r="CP86" s="2">
        <v>902</v>
      </c>
      <c r="CQ86" s="2"/>
      <c r="CR86" s="2">
        <v>7556</v>
      </c>
      <c r="CT86" t="s">
        <v>10</v>
      </c>
      <c r="CU86" s="2">
        <v>1752</v>
      </c>
      <c r="CV86" s="2">
        <v>527</v>
      </c>
      <c r="CW86" s="2">
        <v>1039</v>
      </c>
      <c r="CX86" s="2">
        <v>904</v>
      </c>
      <c r="CY86" s="2">
        <v>1008</v>
      </c>
      <c r="CZ86" s="2">
        <v>513</v>
      </c>
      <c r="DA86" s="2">
        <v>882</v>
      </c>
      <c r="DB86" s="2">
        <v>126</v>
      </c>
      <c r="DC86" s="2">
        <v>6751</v>
      </c>
      <c r="DE86" t="s">
        <v>10</v>
      </c>
      <c r="DF86" s="2">
        <v>1865</v>
      </c>
      <c r="DG86" s="2">
        <v>602</v>
      </c>
      <c r="DH86" s="2">
        <v>1216</v>
      </c>
      <c r="DI86" s="2">
        <v>1076</v>
      </c>
      <c r="DJ86" s="2">
        <v>1135</v>
      </c>
      <c r="DK86" s="2">
        <v>606</v>
      </c>
      <c r="DL86" s="2">
        <v>1109</v>
      </c>
      <c r="DM86" s="2">
        <v>316</v>
      </c>
      <c r="DN86" s="2">
        <v>7925</v>
      </c>
      <c r="DP86" t="s">
        <v>10</v>
      </c>
      <c r="DQ86" s="2">
        <v>1605</v>
      </c>
      <c r="DR86" s="2">
        <v>482</v>
      </c>
      <c r="DS86" s="2">
        <v>1021</v>
      </c>
      <c r="DT86" s="2">
        <v>878</v>
      </c>
      <c r="DU86" s="2">
        <v>1114</v>
      </c>
      <c r="DV86" s="2">
        <v>481</v>
      </c>
      <c r="DW86" s="2">
        <v>860</v>
      </c>
      <c r="DX86" s="2">
        <v>461</v>
      </c>
      <c r="DY86" s="2">
        <v>6902</v>
      </c>
      <c r="EA86" t="s">
        <v>10</v>
      </c>
      <c r="EB86" s="2">
        <v>1357</v>
      </c>
      <c r="EC86" s="2">
        <v>426</v>
      </c>
      <c r="ED86" s="2">
        <v>890</v>
      </c>
      <c r="EE86" s="2">
        <v>752</v>
      </c>
      <c r="EF86" s="2">
        <v>939</v>
      </c>
      <c r="EG86" s="2">
        <v>420</v>
      </c>
      <c r="EH86" s="2">
        <v>767</v>
      </c>
      <c r="EI86" s="2">
        <v>588</v>
      </c>
      <c r="EJ86" s="2">
        <v>6139</v>
      </c>
      <c r="EL86" t="s">
        <v>10</v>
      </c>
      <c r="EM86" s="2">
        <v>1503</v>
      </c>
      <c r="EN86" s="2">
        <v>529</v>
      </c>
      <c r="EO86" s="2">
        <v>1139</v>
      </c>
      <c r="EP86" s="2">
        <v>916</v>
      </c>
      <c r="EQ86" s="2">
        <v>1096</v>
      </c>
      <c r="ER86" s="2">
        <v>532</v>
      </c>
      <c r="ES86" s="2">
        <v>868</v>
      </c>
      <c r="ET86" s="2">
        <v>833</v>
      </c>
      <c r="EU86" s="2">
        <v>7416</v>
      </c>
      <c r="EW86">
        <v>7416</v>
      </c>
      <c r="EX86" s="2"/>
      <c r="EY86" s="282"/>
      <c r="EZ86" s="280" t="s">
        <v>10</v>
      </c>
      <c r="FA86" s="282">
        <v>3320</v>
      </c>
      <c r="FB86" s="282">
        <v>1228</v>
      </c>
      <c r="FC86" s="282">
        <v>2721</v>
      </c>
      <c r="FD86" s="282">
        <v>2358</v>
      </c>
      <c r="FE86" s="282">
        <v>2521</v>
      </c>
      <c r="FF86" s="282">
        <v>1598</v>
      </c>
      <c r="FG86" s="282">
        <v>2743</v>
      </c>
      <c r="FH86" s="282">
        <v>2599</v>
      </c>
      <c r="FI86" s="418">
        <v>7015</v>
      </c>
      <c r="FJ86" s="282"/>
      <c r="FK86" s="282"/>
      <c r="FL86" s="282"/>
      <c r="FM86" s="282"/>
      <c r="FN86" s="341" t="s">
        <v>10</v>
      </c>
      <c r="FO86" s="344">
        <v>1503</v>
      </c>
      <c r="FP86" s="344">
        <v>529</v>
      </c>
      <c r="FQ86" s="344">
        <v>1139</v>
      </c>
      <c r="FR86" s="344">
        <v>916</v>
      </c>
      <c r="FS86" s="344">
        <v>1096</v>
      </c>
      <c r="FT86" s="344">
        <v>532</v>
      </c>
      <c r="FU86" s="344">
        <v>868</v>
      </c>
      <c r="FV86" s="344">
        <v>833</v>
      </c>
      <c r="FW86" s="289">
        <f>[5]Calc_FlrSpace!CR110</f>
        <v>9398</v>
      </c>
      <c r="FX86" s="341"/>
      <c r="FY86" s="341">
        <v>7416</v>
      </c>
      <c r="FZ86" s="282"/>
      <c r="GA86" s="282"/>
    </row>
    <row r="87" spans="75:271" x14ac:dyDescent="0.2">
      <c r="BW87" t="s">
        <v>11</v>
      </c>
      <c r="BX87" s="2">
        <v>0</v>
      </c>
      <c r="BY87" s="2">
        <v>1</v>
      </c>
      <c r="BZ87" s="2">
        <v>1</v>
      </c>
      <c r="CA87" s="2">
        <v>1</v>
      </c>
      <c r="CB87" s="2">
        <v>7</v>
      </c>
      <c r="CC87" s="2">
        <v>6</v>
      </c>
      <c r="CD87" s="2">
        <v>21</v>
      </c>
      <c r="CE87" s="2"/>
      <c r="CF87" s="2">
        <v>37</v>
      </c>
      <c r="CG87" s="282"/>
      <c r="CI87" t="s">
        <v>11</v>
      </c>
      <c r="CJ87" s="2">
        <v>34</v>
      </c>
      <c r="CK87" s="2">
        <v>16</v>
      </c>
      <c r="CL87" s="2">
        <v>27</v>
      </c>
      <c r="CM87" s="2">
        <v>43</v>
      </c>
      <c r="CN87" s="2">
        <v>105</v>
      </c>
      <c r="CO87" s="2">
        <v>93</v>
      </c>
      <c r="CP87" s="2">
        <v>117</v>
      </c>
      <c r="CQ87" s="2"/>
      <c r="CR87" s="2">
        <v>435</v>
      </c>
      <c r="CT87" t="s">
        <v>11</v>
      </c>
      <c r="CU87" s="2">
        <v>31</v>
      </c>
      <c r="CV87" s="2">
        <v>12</v>
      </c>
      <c r="CW87" s="2">
        <v>23</v>
      </c>
      <c r="CX87" s="2">
        <v>32</v>
      </c>
      <c r="CY87" s="2">
        <v>97</v>
      </c>
      <c r="CZ87" s="2">
        <v>73</v>
      </c>
      <c r="DA87" s="2">
        <v>123</v>
      </c>
      <c r="DB87" s="2">
        <v>26</v>
      </c>
      <c r="DC87" s="2">
        <v>417</v>
      </c>
      <c r="DE87" t="s">
        <v>11</v>
      </c>
      <c r="DF87" s="2">
        <v>42</v>
      </c>
      <c r="DG87" s="2">
        <v>16</v>
      </c>
      <c r="DH87" s="2">
        <v>23</v>
      </c>
      <c r="DI87" s="2">
        <v>39</v>
      </c>
      <c r="DJ87" s="2">
        <v>105</v>
      </c>
      <c r="DK87" s="2">
        <v>91</v>
      </c>
      <c r="DL87" s="2">
        <v>124</v>
      </c>
      <c r="DM87" s="2">
        <v>52</v>
      </c>
      <c r="DN87" s="2">
        <v>492</v>
      </c>
      <c r="DP87" t="s">
        <v>11</v>
      </c>
      <c r="DQ87" s="2">
        <v>22</v>
      </c>
      <c r="DR87" s="2">
        <v>5</v>
      </c>
      <c r="DS87" s="2">
        <v>16</v>
      </c>
      <c r="DT87" s="2">
        <v>27</v>
      </c>
      <c r="DU87" s="2">
        <v>89</v>
      </c>
      <c r="DV87" s="2">
        <v>71</v>
      </c>
      <c r="DW87" s="2">
        <v>93</v>
      </c>
      <c r="DX87" s="2">
        <v>71</v>
      </c>
      <c r="DY87" s="2">
        <v>394</v>
      </c>
      <c r="EA87" t="s">
        <v>11</v>
      </c>
      <c r="EB87" s="2">
        <v>19</v>
      </c>
      <c r="EC87" s="2">
        <v>3</v>
      </c>
      <c r="ED87" s="2">
        <v>15</v>
      </c>
      <c r="EE87" s="2">
        <v>20</v>
      </c>
      <c r="EF87" s="2">
        <v>77</v>
      </c>
      <c r="EG87" s="2">
        <v>52</v>
      </c>
      <c r="EH87" s="2">
        <v>82</v>
      </c>
      <c r="EI87" s="2">
        <v>80</v>
      </c>
      <c r="EJ87" s="2">
        <v>348</v>
      </c>
      <c r="EL87" t="s">
        <v>11</v>
      </c>
      <c r="EM87" s="2">
        <v>27</v>
      </c>
      <c r="EN87" s="2">
        <v>8</v>
      </c>
      <c r="EO87" s="2">
        <v>19</v>
      </c>
      <c r="EP87" s="2">
        <v>28</v>
      </c>
      <c r="EQ87" s="2">
        <v>91</v>
      </c>
      <c r="ER87" s="2">
        <v>74</v>
      </c>
      <c r="ES87" s="2">
        <v>115</v>
      </c>
      <c r="ET87" s="2">
        <v>120</v>
      </c>
      <c r="EU87" s="2">
        <v>482</v>
      </c>
      <c r="EW87">
        <v>482</v>
      </c>
      <c r="EX87" s="2"/>
      <c r="EY87" s="282"/>
      <c r="EZ87" s="280" t="s">
        <v>11</v>
      </c>
      <c r="FA87" s="282">
        <v>75</v>
      </c>
      <c r="FB87" s="282">
        <v>27</v>
      </c>
      <c r="FC87" s="282">
        <v>61</v>
      </c>
      <c r="FD87" s="282">
        <v>92</v>
      </c>
      <c r="FE87" s="282">
        <v>242</v>
      </c>
      <c r="FF87" s="282">
        <v>238</v>
      </c>
      <c r="FG87" s="282">
        <v>294</v>
      </c>
      <c r="FH87" s="282">
        <v>321</v>
      </c>
      <c r="FI87" s="418">
        <v>425</v>
      </c>
      <c r="FJ87" s="282"/>
      <c r="FK87" s="282"/>
      <c r="FL87" s="282"/>
      <c r="FM87" s="282"/>
      <c r="FN87" s="341" t="s">
        <v>11</v>
      </c>
      <c r="FO87" s="344">
        <v>27</v>
      </c>
      <c r="FP87" s="344">
        <v>8</v>
      </c>
      <c r="FQ87" s="344">
        <v>19</v>
      </c>
      <c r="FR87" s="344">
        <v>28</v>
      </c>
      <c r="FS87" s="344">
        <v>91</v>
      </c>
      <c r="FT87" s="344">
        <v>74</v>
      </c>
      <c r="FU87" s="344">
        <v>115</v>
      </c>
      <c r="FV87" s="344">
        <v>120</v>
      </c>
      <c r="FW87" s="289">
        <f>[5]Calc_FlrSpace!CR111</f>
        <v>723</v>
      </c>
      <c r="FX87" s="341"/>
      <c r="FY87" s="341">
        <v>482</v>
      </c>
      <c r="FZ87" s="282"/>
      <c r="GA87" s="282"/>
      <c r="GB87" s="282"/>
      <c r="GC87" s="2"/>
      <c r="GD87" s="2"/>
      <c r="GE87" s="2"/>
      <c r="GF87" s="2"/>
      <c r="GG87" s="2"/>
      <c r="GH87" s="2"/>
      <c r="GI87" s="2"/>
    </row>
    <row r="88" spans="75:271" x14ac:dyDescent="0.2">
      <c r="BW88" t="s">
        <v>12</v>
      </c>
      <c r="BX88" s="2">
        <v>27</v>
      </c>
      <c r="BY88" s="2">
        <v>3</v>
      </c>
      <c r="BZ88" s="2">
        <v>4</v>
      </c>
      <c r="CA88" s="2">
        <v>6</v>
      </c>
      <c r="CB88" s="2">
        <v>25</v>
      </c>
      <c r="CC88" s="2">
        <v>9</v>
      </c>
      <c r="CD88" s="2">
        <v>19</v>
      </c>
      <c r="CE88" s="2"/>
      <c r="CF88" s="2">
        <v>93</v>
      </c>
      <c r="CG88" s="282"/>
      <c r="CI88" t="s">
        <v>12</v>
      </c>
      <c r="CJ88" s="2">
        <v>341</v>
      </c>
      <c r="CK88" s="2">
        <v>65</v>
      </c>
      <c r="CL88" s="2">
        <v>101</v>
      </c>
      <c r="CM88" s="2">
        <v>185</v>
      </c>
      <c r="CN88" s="2">
        <v>323</v>
      </c>
      <c r="CO88" s="2">
        <v>188</v>
      </c>
      <c r="CP88" s="2">
        <v>99</v>
      </c>
      <c r="CQ88" s="2"/>
      <c r="CR88" s="2">
        <v>1302</v>
      </c>
      <c r="CT88" t="s">
        <v>12</v>
      </c>
      <c r="CU88" s="2">
        <v>343</v>
      </c>
      <c r="CV88" s="2">
        <v>71</v>
      </c>
      <c r="CW88" s="2">
        <v>110</v>
      </c>
      <c r="CX88" s="2">
        <v>226</v>
      </c>
      <c r="CY88" s="2">
        <v>370</v>
      </c>
      <c r="CZ88" s="2">
        <v>202</v>
      </c>
      <c r="DA88" s="2">
        <v>129</v>
      </c>
      <c r="DB88" s="2">
        <v>11</v>
      </c>
      <c r="DC88" s="2">
        <v>1462</v>
      </c>
      <c r="DE88" t="s">
        <v>12</v>
      </c>
      <c r="DF88" s="2">
        <v>475</v>
      </c>
      <c r="DG88" s="2">
        <v>111</v>
      </c>
      <c r="DH88" s="2">
        <v>139</v>
      </c>
      <c r="DI88" s="2">
        <v>260</v>
      </c>
      <c r="DJ88" s="2">
        <v>502</v>
      </c>
      <c r="DK88" s="2">
        <v>261</v>
      </c>
      <c r="DL88" s="2">
        <v>212</v>
      </c>
      <c r="DM88" s="2">
        <v>46</v>
      </c>
      <c r="DN88" s="2">
        <v>2006</v>
      </c>
      <c r="DP88" t="s">
        <v>12</v>
      </c>
      <c r="DQ88" s="2">
        <v>361</v>
      </c>
      <c r="DR88" s="2">
        <v>60</v>
      </c>
      <c r="DS88" s="2">
        <v>91</v>
      </c>
      <c r="DT88" s="2">
        <v>195</v>
      </c>
      <c r="DU88" s="2">
        <v>496</v>
      </c>
      <c r="DV88" s="2">
        <v>246</v>
      </c>
      <c r="DW88" s="2">
        <v>160</v>
      </c>
      <c r="DX88" s="2">
        <v>75</v>
      </c>
      <c r="DY88" s="2">
        <v>1684</v>
      </c>
      <c r="EA88" t="s">
        <v>12</v>
      </c>
      <c r="EB88" s="2">
        <v>337</v>
      </c>
      <c r="EC88" s="2">
        <v>56</v>
      </c>
      <c r="ED88" s="2">
        <v>85</v>
      </c>
      <c r="EE88" s="2">
        <v>187</v>
      </c>
      <c r="EF88" s="2">
        <v>464</v>
      </c>
      <c r="EG88" s="2">
        <v>232</v>
      </c>
      <c r="EH88" s="2">
        <v>171</v>
      </c>
      <c r="EI88" s="2">
        <v>98</v>
      </c>
      <c r="EJ88" s="2">
        <v>1630</v>
      </c>
      <c r="EL88" t="s">
        <v>12</v>
      </c>
      <c r="EM88" s="2">
        <v>369</v>
      </c>
      <c r="EN88" s="2">
        <v>62</v>
      </c>
      <c r="EO88" s="2">
        <v>107</v>
      </c>
      <c r="EP88" s="2">
        <v>233</v>
      </c>
      <c r="EQ88" s="2">
        <v>567</v>
      </c>
      <c r="ER88" s="2">
        <v>279</v>
      </c>
      <c r="ES88" s="2">
        <v>196</v>
      </c>
      <c r="ET88" s="2">
        <v>162</v>
      </c>
      <c r="EU88" s="2">
        <v>1975</v>
      </c>
      <c r="EW88">
        <v>1975</v>
      </c>
      <c r="EX88" s="2"/>
      <c r="EY88" s="282"/>
      <c r="EZ88" s="280" t="s">
        <v>12</v>
      </c>
      <c r="FA88" s="282">
        <v>980</v>
      </c>
      <c r="FB88" s="282">
        <v>203</v>
      </c>
      <c r="FC88" s="282">
        <v>381</v>
      </c>
      <c r="FD88" s="282">
        <v>847</v>
      </c>
      <c r="FE88" s="282">
        <v>1492</v>
      </c>
      <c r="FF88" s="282">
        <v>864</v>
      </c>
      <c r="FG88" s="282">
        <v>660</v>
      </c>
      <c r="FH88" s="282">
        <v>497</v>
      </c>
      <c r="FI88" s="418">
        <v>2337</v>
      </c>
      <c r="FJ88" s="282"/>
      <c r="FK88" s="282"/>
      <c r="FL88" s="282"/>
      <c r="FM88" s="282"/>
      <c r="FN88" s="341" t="s">
        <v>12</v>
      </c>
      <c r="FO88" s="344">
        <v>369</v>
      </c>
      <c r="FP88" s="344">
        <v>62</v>
      </c>
      <c r="FQ88" s="344">
        <v>107</v>
      </c>
      <c r="FR88" s="344">
        <v>233</v>
      </c>
      <c r="FS88" s="344">
        <v>567</v>
      </c>
      <c r="FT88" s="344">
        <v>279</v>
      </c>
      <c r="FU88" s="344">
        <v>196</v>
      </c>
      <c r="FV88" s="344">
        <v>162</v>
      </c>
      <c r="FW88" s="289">
        <f>[5]Calc_FlrSpace!CR112</f>
        <v>3462</v>
      </c>
      <c r="FX88" s="341"/>
      <c r="FY88" s="341">
        <v>1975</v>
      </c>
      <c r="FZ88" s="282"/>
      <c r="GA88" s="282"/>
      <c r="GB88" s="282"/>
      <c r="GC88" s="2"/>
      <c r="GD88" s="2"/>
      <c r="GE88" s="2"/>
      <c r="GF88" s="2"/>
      <c r="GG88" s="2"/>
      <c r="GH88" s="2"/>
      <c r="GI88" s="2"/>
    </row>
    <row r="89" spans="75:271" x14ac:dyDescent="0.2">
      <c r="BW89" t="s">
        <v>13</v>
      </c>
      <c r="BX89" s="2">
        <v>3</v>
      </c>
      <c r="BY89" s="2">
        <v>0</v>
      </c>
      <c r="BZ89" s="2">
        <v>7</v>
      </c>
      <c r="CA89" s="2">
        <v>74</v>
      </c>
      <c r="CB89" s="2">
        <v>157</v>
      </c>
      <c r="CC89" s="2">
        <v>83</v>
      </c>
      <c r="CD89" s="2">
        <v>51</v>
      </c>
      <c r="CE89" s="2"/>
      <c r="CF89" s="2">
        <v>375</v>
      </c>
      <c r="CG89" s="282"/>
      <c r="CI89" t="s">
        <v>13</v>
      </c>
      <c r="CJ89" s="2">
        <v>5</v>
      </c>
      <c r="CK89" s="2">
        <v>0</v>
      </c>
      <c r="CL89" s="2">
        <v>7</v>
      </c>
      <c r="CM89" s="2">
        <v>64</v>
      </c>
      <c r="CN89" s="2">
        <v>152</v>
      </c>
      <c r="CO89" s="2">
        <v>89</v>
      </c>
      <c r="CP89" s="2">
        <v>81</v>
      </c>
      <c r="CQ89" s="2"/>
      <c r="CR89" s="2">
        <v>398</v>
      </c>
      <c r="CT89" t="s">
        <v>13</v>
      </c>
      <c r="CU89" s="2">
        <v>6</v>
      </c>
      <c r="CV89" s="2">
        <v>0</v>
      </c>
      <c r="CW89" s="2">
        <v>10</v>
      </c>
      <c r="CX89" s="2">
        <v>54</v>
      </c>
      <c r="CY89" s="2">
        <v>148</v>
      </c>
      <c r="CZ89" s="2">
        <v>87</v>
      </c>
      <c r="DA89" s="2">
        <v>97</v>
      </c>
      <c r="DB89" s="2">
        <v>8</v>
      </c>
      <c r="DC89" s="2">
        <v>410</v>
      </c>
      <c r="DE89" t="s">
        <v>13</v>
      </c>
      <c r="DF89" s="2">
        <v>5</v>
      </c>
      <c r="DG89" s="2">
        <v>0</v>
      </c>
      <c r="DH89" s="2">
        <v>3</v>
      </c>
      <c r="DI89" s="2">
        <v>57</v>
      </c>
      <c r="DJ89" s="2">
        <v>141</v>
      </c>
      <c r="DK89" s="2">
        <v>87</v>
      </c>
      <c r="DL89" s="2">
        <v>96</v>
      </c>
      <c r="DM89" s="2">
        <v>26</v>
      </c>
      <c r="DN89" s="2">
        <v>415</v>
      </c>
      <c r="DP89" t="s">
        <v>13</v>
      </c>
      <c r="DQ89" s="2">
        <v>4</v>
      </c>
      <c r="DR89" s="2">
        <v>1</v>
      </c>
      <c r="DS89" s="2">
        <v>4</v>
      </c>
      <c r="DT89" s="2">
        <v>32</v>
      </c>
      <c r="DU89" s="2">
        <v>102</v>
      </c>
      <c r="DV89" s="2">
        <v>61</v>
      </c>
      <c r="DW89" s="2">
        <v>83</v>
      </c>
      <c r="DX89" s="2">
        <v>51</v>
      </c>
      <c r="DY89" s="2">
        <v>338</v>
      </c>
      <c r="EA89" t="s">
        <v>13</v>
      </c>
      <c r="EB89" s="2">
        <v>5</v>
      </c>
      <c r="EC89" s="2">
        <v>1</v>
      </c>
      <c r="ED89" s="2">
        <v>3</v>
      </c>
      <c r="EE89" s="2">
        <v>25</v>
      </c>
      <c r="EF89" s="2">
        <v>88</v>
      </c>
      <c r="EG89" s="2">
        <v>65</v>
      </c>
      <c r="EH89" s="2">
        <v>83</v>
      </c>
      <c r="EI89" s="2">
        <v>50</v>
      </c>
      <c r="EJ89" s="2">
        <v>320</v>
      </c>
      <c r="EL89" t="s">
        <v>13</v>
      </c>
      <c r="EM89" s="2">
        <v>6</v>
      </c>
      <c r="EN89" s="2">
        <v>2</v>
      </c>
      <c r="EO89" s="2">
        <v>1</v>
      </c>
      <c r="EP89" s="2">
        <v>29</v>
      </c>
      <c r="EQ89" s="2">
        <v>111</v>
      </c>
      <c r="ER89" s="2">
        <v>77</v>
      </c>
      <c r="ES89" s="2">
        <v>98</v>
      </c>
      <c r="ET89" s="2">
        <v>56</v>
      </c>
      <c r="EU89" s="2">
        <v>380</v>
      </c>
      <c r="EW89">
        <v>380</v>
      </c>
      <c r="EX89" s="2"/>
      <c r="EY89" s="282"/>
      <c r="EZ89" s="280" t="s">
        <v>13</v>
      </c>
      <c r="FA89" s="282">
        <v>7</v>
      </c>
      <c r="FB89" s="282">
        <v>1</v>
      </c>
      <c r="FC89" s="282">
        <v>6</v>
      </c>
      <c r="FD89" s="282">
        <v>52</v>
      </c>
      <c r="FE89" s="282">
        <v>168</v>
      </c>
      <c r="FF89" s="282">
        <v>162</v>
      </c>
      <c r="FG89" s="282">
        <v>201</v>
      </c>
      <c r="FH89" s="282">
        <v>122</v>
      </c>
      <c r="FI89" s="418">
        <v>377</v>
      </c>
      <c r="FJ89" s="282"/>
      <c r="FK89" s="282"/>
      <c r="FL89" s="282"/>
      <c r="FM89" s="282"/>
      <c r="FN89" s="341" t="s">
        <v>13</v>
      </c>
      <c r="FO89" s="344">
        <v>6</v>
      </c>
      <c r="FP89" s="344">
        <v>2</v>
      </c>
      <c r="FQ89" s="344">
        <v>1</v>
      </c>
      <c r="FR89" s="344">
        <v>29</v>
      </c>
      <c r="FS89" s="344">
        <v>111</v>
      </c>
      <c r="FT89" s="344">
        <v>77</v>
      </c>
      <c r="FU89" s="344">
        <v>98</v>
      </c>
      <c r="FV89" s="344">
        <v>56</v>
      </c>
      <c r="FW89" s="289">
        <f>[5]Calc_FlrSpace!CR113</f>
        <v>460</v>
      </c>
      <c r="FX89" s="341"/>
      <c r="FY89" s="341">
        <v>380</v>
      </c>
      <c r="FZ89" s="282"/>
      <c r="GA89" s="282"/>
      <c r="GB89" s="282"/>
      <c r="GC89" s="2"/>
      <c r="GD89" s="2"/>
      <c r="GE89" s="2"/>
      <c r="GF89" s="2"/>
      <c r="GG89" s="2"/>
      <c r="GH89" s="2"/>
      <c r="GI89" s="2"/>
    </row>
    <row r="90" spans="75:271" x14ac:dyDescent="0.2">
      <c r="BW90" t="s">
        <v>14</v>
      </c>
      <c r="BX90" s="2">
        <v>1749</v>
      </c>
      <c r="BY90" s="2">
        <v>557</v>
      </c>
      <c r="BZ90" s="2">
        <v>1087</v>
      </c>
      <c r="CA90" s="2">
        <v>949</v>
      </c>
      <c r="CB90" s="2">
        <v>1144</v>
      </c>
      <c r="CC90" s="2">
        <v>582</v>
      </c>
      <c r="CD90" s="2">
        <v>611</v>
      </c>
      <c r="CE90" s="2"/>
      <c r="CF90" s="2">
        <v>6679</v>
      </c>
      <c r="CG90" s="282"/>
      <c r="CI90" t="s">
        <v>14</v>
      </c>
      <c r="CJ90" s="2">
        <v>2319</v>
      </c>
      <c r="CK90" s="2">
        <v>721</v>
      </c>
      <c r="CL90" s="2">
        <v>1397</v>
      </c>
      <c r="CM90" s="2">
        <v>1351</v>
      </c>
      <c r="CN90" s="2">
        <v>1729</v>
      </c>
      <c r="CO90" s="2">
        <v>975</v>
      </c>
      <c r="CP90" s="2">
        <v>1199</v>
      </c>
      <c r="CQ90" s="2"/>
      <c r="CR90" s="2">
        <v>9691</v>
      </c>
      <c r="CT90" t="s">
        <v>14</v>
      </c>
      <c r="CU90" s="2">
        <v>2132</v>
      </c>
      <c r="CV90" s="2">
        <v>610</v>
      </c>
      <c r="CW90" s="2">
        <v>1182</v>
      </c>
      <c r="CX90" s="2">
        <v>1216</v>
      </c>
      <c r="CY90" s="2">
        <v>1623</v>
      </c>
      <c r="CZ90" s="2">
        <v>875</v>
      </c>
      <c r="DA90" s="2">
        <v>1231</v>
      </c>
      <c r="DB90" s="2">
        <v>171</v>
      </c>
      <c r="DC90" s="2">
        <v>9040</v>
      </c>
      <c r="DE90" t="s">
        <v>14</v>
      </c>
      <c r="DF90" s="2">
        <v>2387</v>
      </c>
      <c r="DG90" s="2">
        <v>729</v>
      </c>
      <c r="DH90" s="2">
        <v>1381</v>
      </c>
      <c r="DI90" s="2">
        <v>1432</v>
      </c>
      <c r="DJ90" s="2">
        <v>1883</v>
      </c>
      <c r="DK90" s="2">
        <v>1045</v>
      </c>
      <c r="DL90" s="2">
        <v>1541</v>
      </c>
      <c r="DM90" s="2">
        <v>440</v>
      </c>
      <c r="DN90" s="2">
        <v>10838</v>
      </c>
      <c r="DP90" t="s">
        <v>14</v>
      </c>
      <c r="DQ90" s="2">
        <v>1992</v>
      </c>
      <c r="DR90" s="2">
        <v>548</v>
      </c>
      <c r="DS90" s="2">
        <v>1132</v>
      </c>
      <c r="DT90" s="2">
        <v>1132</v>
      </c>
      <c r="DU90" s="2">
        <v>1801</v>
      </c>
      <c r="DV90" s="2">
        <v>859</v>
      </c>
      <c r="DW90" s="2">
        <v>1196</v>
      </c>
      <c r="DX90" s="2">
        <v>658</v>
      </c>
      <c r="DY90" s="2">
        <v>9318</v>
      </c>
      <c r="EA90" t="s">
        <v>14</v>
      </c>
      <c r="EB90" s="2">
        <v>1718</v>
      </c>
      <c r="EC90" s="2">
        <v>486</v>
      </c>
      <c r="ED90" s="2">
        <v>993</v>
      </c>
      <c r="EE90" s="2">
        <v>984</v>
      </c>
      <c r="EF90" s="2">
        <v>1568</v>
      </c>
      <c r="EG90" s="2">
        <v>769</v>
      </c>
      <c r="EH90" s="2">
        <v>1103</v>
      </c>
      <c r="EI90" s="2">
        <v>816</v>
      </c>
      <c r="EJ90" s="2">
        <v>8437</v>
      </c>
      <c r="EL90" t="s">
        <v>14</v>
      </c>
      <c r="EM90" s="2">
        <v>1905</v>
      </c>
      <c r="EN90" s="2">
        <v>601</v>
      </c>
      <c r="EO90" s="2">
        <v>1266</v>
      </c>
      <c r="EP90" s="2">
        <v>1206</v>
      </c>
      <c r="EQ90" s="2">
        <v>1865</v>
      </c>
      <c r="ER90" s="2">
        <v>962</v>
      </c>
      <c r="ES90" s="2">
        <v>1277</v>
      </c>
      <c r="ET90" s="2">
        <v>1171</v>
      </c>
      <c r="EU90" s="2">
        <v>10253</v>
      </c>
      <c r="EW90">
        <v>10253</v>
      </c>
      <c r="EZ90" s="280" t="s">
        <v>14</v>
      </c>
      <c r="FA90" s="282">
        <v>4382</v>
      </c>
      <c r="FB90" s="282">
        <v>1459</v>
      </c>
      <c r="FC90" s="282">
        <v>3169</v>
      </c>
      <c r="FD90" s="282">
        <v>3349</v>
      </c>
      <c r="FE90" s="282">
        <v>4423</v>
      </c>
      <c r="FF90" s="282">
        <v>2862</v>
      </c>
      <c r="FG90" s="282">
        <v>3898</v>
      </c>
      <c r="FH90" s="282">
        <v>3539</v>
      </c>
      <c r="FI90" s="418">
        <v>10154</v>
      </c>
      <c r="FN90" s="341" t="s">
        <v>14</v>
      </c>
      <c r="FO90" s="344">
        <v>1905</v>
      </c>
      <c r="FP90" s="344">
        <v>601</v>
      </c>
      <c r="FQ90" s="344">
        <v>1266</v>
      </c>
      <c r="FR90" s="344">
        <v>1206</v>
      </c>
      <c r="FS90" s="344">
        <v>1865</v>
      </c>
      <c r="FT90" s="344">
        <v>962</v>
      </c>
      <c r="FU90" s="344">
        <v>1277</v>
      </c>
      <c r="FV90" s="344">
        <v>1171</v>
      </c>
      <c r="FW90" s="289">
        <f>[5]Calc_FlrSpace!CR114</f>
        <v>14043</v>
      </c>
      <c r="FX90" s="341"/>
      <c r="FY90" s="341">
        <v>10253</v>
      </c>
      <c r="FZ90" s="282"/>
      <c r="GB90" s="282"/>
      <c r="GC90" s="2"/>
      <c r="GD90" s="2"/>
      <c r="GE90" s="2"/>
      <c r="GF90" s="2"/>
      <c r="GG90" s="2"/>
      <c r="GH90" s="2"/>
      <c r="GI90" s="2"/>
    </row>
    <row r="91" spans="75:271" x14ac:dyDescent="0.2">
      <c r="DQ91" t="s">
        <v>26</v>
      </c>
      <c r="DR91" t="s">
        <v>26</v>
      </c>
      <c r="DS91" t="s">
        <v>26</v>
      </c>
      <c r="DT91" t="s">
        <v>26</v>
      </c>
      <c r="DU91" t="s">
        <v>26</v>
      </c>
      <c r="EB91" t="s">
        <v>26</v>
      </c>
      <c r="EC91" t="s">
        <v>26</v>
      </c>
      <c r="ED91" t="s">
        <v>26</v>
      </c>
      <c r="EE91" t="s">
        <v>26</v>
      </c>
      <c r="EF91" t="s">
        <v>26</v>
      </c>
      <c r="EX91" s="3"/>
      <c r="EY91" s="294"/>
      <c r="FJ91" s="294"/>
      <c r="FK91" s="294"/>
      <c r="FL91" s="294"/>
      <c r="FM91" s="294"/>
      <c r="FN91" s="341"/>
      <c r="FO91" s="341"/>
      <c r="FP91" s="341"/>
      <c r="FQ91" s="341"/>
      <c r="FR91" s="341"/>
      <c r="FS91" s="341"/>
      <c r="FT91" s="341"/>
      <c r="FU91" s="341"/>
      <c r="FV91" s="341"/>
      <c r="FW91" s="341"/>
      <c r="FX91" s="341"/>
      <c r="FY91" s="341"/>
      <c r="GA91" s="294"/>
      <c r="GB91" s="282"/>
      <c r="GC91" s="2"/>
      <c r="GD91" s="2"/>
      <c r="GE91" s="2"/>
      <c r="GF91" s="2"/>
      <c r="GG91" s="2"/>
      <c r="GH91" s="2"/>
      <c r="GI91" s="2"/>
    </row>
    <row r="92" spans="75:271" x14ac:dyDescent="0.2">
      <c r="BW92" t="s">
        <v>17</v>
      </c>
      <c r="BY92" s="3">
        <v>41.373334652400906</v>
      </c>
      <c r="CI92" t="s">
        <v>17</v>
      </c>
      <c r="CK92" s="3">
        <v>43.470059713745066</v>
      </c>
      <c r="CT92" t="s">
        <v>17</v>
      </c>
      <c r="CV92" s="3">
        <v>44.172937449183635</v>
      </c>
      <c r="DE92" t="s">
        <v>17</v>
      </c>
      <c r="DG92" s="3">
        <v>45.425200778172375</v>
      </c>
      <c r="DP92" t="s">
        <v>17</v>
      </c>
      <c r="DR92" s="3">
        <v>47.162372766176652</v>
      </c>
      <c r="DS92" t="s">
        <v>26</v>
      </c>
      <c r="DT92" t="s">
        <v>26</v>
      </c>
      <c r="DU92" t="s">
        <v>26</v>
      </c>
      <c r="EA92" t="s">
        <v>17</v>
      </c>
      <c r="EC92" s="3">
        <v>47.162372766176652</v>
      </c>
      <c r="ED92" t="s">
        <v>26</v>
      </c>
      <c r="EE92" t="s">
        <v>26</v>
      </c>
      <c r="EF92" t="s">
        <v>26</v>
      </c>
      <c r="EL92" t="s">
        <v>17</v>
      </c>
      <c r="EN92" s="3">
        <v>48.383793918046777</v>
      </c>
      <c r="EZ92" s="280" t="s">
        <v>17</v>
      </c>
      <c r="FB92" s="284">
        <v>48.843737476946103</v>
      </c>
      <c r="FN92" s="341" t="s">
        <v>17</v>
      </c>
      <c r="FO92" s="341"/>
      <c r="FP92" s="346">
        <v>48.383793918046777</v>
      </c>
      <c r="FQ92" s="341"/>
      <c r="FR92" s="341"/>
      <c r="FS92" s="341"/>
      <c r="FT92" s="341"/>
      <c r="FU92" s="341"/>
      <c r="FV92" s="341"/>
      <c r="FW92" s="341"/>
      <c r="FX92" s="341"/>
      <c r="FY92" s="341"/>
      <c r="FZ92" s="294"/>
      <c r="GB92" s="282"/>
      <c r="GC92" s="2"/>
      <c r="GD92" s="2"/>
      <c r="GE92" s="2"/>
      <c r="GF92" s="2"/>
      <c r="GG92" s="2"/>
      <c r="GH92" s="2"/>
      <c r="GI92" s="2"/>
    </row>
    <row r="93" spans="75:271" ht="15.75" x14ac:dyDescent="0.25">
      <c r="DQ93" t="s">
        <v>26</v>
      </c>
      <c r="DR93" t="s">
        <v>26</v>
      </c>
      <c r="DS93" t="s">
        <v>26</v>
      </c>
      <c r="DT93" t="s">
        <v>26</v>
      </c>
      <c r="DU93" t="s">
        <v>26</v>
      </c>
      <c r="EB93" t="s">
        <v>26</v>
      </c>
      <c r="EC93" t="s">
        <v>26</v>
      </c>
      <c r="ED93" t="s">
        <v>26</v>
      </c>
      <c r="EE93" t="s">
        <v>26</v>
      </c>
      <c r="EF93" t="s">
        <v>26</v>
      </c>
      <c r="EK93" s="6"/>
      <c r="FN93" s="341"/>
      <c r="FO93" s="341"/>
      <c r="FP93" s="341"/>
      <c r="FQ93" s="341"/>
      <c r="FR93" s="341"/>
      <c r="FS93" s="341"/>
      <c r="FT93" s="341"/>
      <c r="FU93" s="341"/>
      <c r="FV93" s="341"/>
      <c r="FW93" s="341"/>
      <c r="FX93" s="341"/>
      <c r="FY93" s="341"/>
      <c r="JJ93" t="s">
        <v>43</v>
      </c>
      <c r="JK93" t="s">
        <v>22</v>
      </c>
    </row>
    <row r="94" spans="75:271" ht="15.75" x14ac:dyDescent="0.25">
      <c r="BW94" s="6" t="s">
        <v>22</v>
      </c>
      <c r="CI94" s="6" t="s">
        <v>22</v>
      </c>
      <c r="CT94" s="6" t="s">
        <v>22</v>
      </c>
      <c r="DE94" s="6" t="s">
        <v>22</v>
      </c>
      <c r="DP94" s="6" t="s">
        <v>22</v>
      </c>
      <c r="EA94" s="6" t="s">
        <v>22</v>
      </c>
      <c r="EL94" s="6" t="s">
        <v>22</v>
      </c>
      <c r="EZ94" s="6" t="s">
        <v>22</v>
      </c>
      <c r="FN94" s="347" t="s">
        <v>22</v>
      </c>
      <c r="FO94" s="341"/>
      <c r="FP94" s="341"/>
      <c r="FQ94" s="341"/>
      <c r="FR94" s="341"/>
      <c r="FS94" s="341"/>
      <c r="FT94" s="341"/>
      <c r="FU94" s="341"/>
      <c r="FV94" s="341"/>
      <c r="FW94" s="341"/>
      <c r="FX94" s="341"/>
      <c r="FY94" s="341"/>
      <c r="GB94" s="294"/>
      <c r="IO94" t="s">
        <v>33</v>
      </c>
      <c r="IQ94" t="s">
        <v>22</v>
      </c>
      <c r="IY94" t="s">
        <v>28</v>
      </c>
      <c r="JJ94" s="1" t="s">
        <v>40</v>
      </c>
    </row>
    <row r="95" spans="75:271" x14ac:dyDescent="0.2">
      <c r="BX95" t="s">
        <v>0</v>
      </c>
      <c r="BY95" t="s">
        <v>1</v>
      </c>
      <c r="BZ95" t="s">
        <v>2</v>
      </c>
      <c r="CA95" t="s">
        <v>3</v>
      </c>
      <c r="CB95" t="s">
        <v>4</v>
      </c>
      <c r="CC95" t="s">
        <v>5</v>
      </c>
      <c r="CD95" t="s">
        <v>6</v>
      </c>
      <c r="CE95" t="s">
        <v>7</v>
      </c>
      <c r="CJ95" t="s">
        <v>0</v>
      </c>
      <c r="CK95" t="s">
        <v>1</v>
      </c>
      <c r="CL95" t="s">
        <v>2</v>
      </c>
      <c r="CM95" t="s">
        <v>3</v>
      </c>
      <c r="CN95" t="s">
        <v>4</v>
      </c>
      <c r="CO95" t="s">
        <v>5</v>
      </c>
      <c r="CP95" t="s">
        <v>6</v>
      </c>
      <c r="CQ95" t="s">
        <v>7</v>
      </c>
      <c r="CU95" t="s">
        <v>0</v>
      </c>
      <c r="CV95" t="s">
        <v>1</v>
      </c>
      <c r="CW95" t="s">
        <v>2</v>
      </c>
      <c r="CX95" t="s">
        <v>3</v>
      </c>
      <c r="CY95" t="s">
        <v>4</v>
      </c>
      <c r="CZ95" t="s">
        <v>5</v>
      </c>
      <c r="DA95" t="s">
        <v>6</v>
      </c>
      <c r="DB95" t="s">
        <v>7</v>
      </c>
      <c r="DF95" t="s">
        <v>0</v>
      </c>
      <c r="DG95" t="s">
        <v>1</v>
      </c>
      <c r="DH95" t="s">
        <v>2</v>
      </c>
      <c r="DI95" t="s">
        <v>3</v>
      </c>
      <c r="DJ95" t="s">
        <v>4</v>
      </c>
      <c r="DK95" t="s">
        <v>5</v>
      </c>
      <c r="DL95" t="s">
        <v>6</v>
      </c>
      <c r="DM95" t="s">
        <v>7</v>
      </c>
      <c r="DQ95" t="s">
        <v>0</v>
      </c>
      <c r="DR95" t="s">
        <v>1</v>
      </c>
      <c r="DS95" t="s">
        <v>2</v>
      </c>
      <c r="DT95" t="s">
        <v>3</v>
      </c>
      <c r="DU95" t="s">
        <v>4</v>
      </c>
      <c r="DV95" t="s">
        <v>5</v>
      </c>
      <c r="DW95" t="s">
        <v>6</v>
      </c>
      <c r="DX95" t="s">
        <v>7</v>
      </c>
      <c r="EB95" t="s">
        <v>0</v>
      </c>
      <c r="EC95" t="s">
        <v>1</v>
      </c>
      <c r="ED95" t="s">
        <v>2</v>
      </c>
      <c r="EE95" t="s">
        <v>3</v>
      </c>
      <c r="EF95" t="s">
        <v>4</v>
      </c>
      <c r="EG95" t="s">
        <v>5</v>
      </c>
      <c r="EH95" t="s">
        <v>6</v>
      </c>
      <c r="EI95" t="s">
        <v>7</v>
      </c>
      <c r="EM95" t="s">
        <v>0</v>
      </c>
      <c r="EN95" t="s">
        <v>1</v>
      </c>
      <c r="EO95" t="s">
        <v>2</v>
      </c>
      <c r="EP95" t="s">
        <v>3</v>
      </c>
      <c r="EQ95" t="s">
        <v>4</v>
      </c>
      <c r="ER95" t="s">
        <v>5</v>
      </c>
      <c r="ES95" t="s">
        <v>6</v>
      </c>
      <c r="ET95" t="s">
        <v>7</v>
      </c>
      <c r="FA95" s="280" t="s">
        <v>0</v>
      </c>
      <c r="FB95" s="280" t="s">
        <v>1</v>
      </c>
      <c r="FC95" s="280" t="s">
        <v>2</v>
      </c>
      <c r="FD95" s="280" t="s">
        <v>3</v>
      </c>
      <c r="FE95" s="280" t="s">
        <v>4</v>
      </c>
      <c r="FF95" s="280" t="s">
        <v>5</v>
      </c>
      <c r="FG95" s="280" t="s">
        <v>6</v>
      </c>
      <c r="FH95" s="280" t="s">
        <v>7</v>
      </c>
      <c r="FN95" s="341"/>
      <c r="FO95" s="341" t="s">
        <v>0</v>
      </c>
      <c r="FP95" s="341" t="s">
        <v>1</v>
      </c>
      <c r="FQ95" s="341" t="s">
        <v>2</v>
      </c>
      <c r="FR95" s="341" t="s">
        <v>3</v>
      </c>
      <c r="FS95" s="341" t="s">
        <v>4</v>
      </c>
      <c r="FT95" s="341" t="s">
        <v>5</v>
      </c>
      <c r="FU95" s="341" t="s">
        <v>6</v>
      </c>
      <c r="FV95" s="341" t="s">
        <v>7</v>
      </c>
      <c r="FW95" s="341"/>
      <c r="FX95" s="341"/>
      <c r="FY95" s="341"/>
      <c r="IP95" t="s">
        <v>0</v>
      </c>
      <c r="IQ95" t="s">
        <v>1</v>
      </c>
      <c r="IR95" t="s">
        <v>2</v>
      </c>
      <c r="IS95" t="s">
        <v>3</v>
      </c>
      <c r="IT95" t="s">
        <v>4</v>
      </c>
      <c r="IU95" t="s">
        <v>5</v>
      </c>
      <c r="IV95" t="s">
        <v>6</v>
      </c>
      <c r="IY95" t="s">
        <v>29</v>
      </c>
      <c r="IZ95" t="s">
        <v>30</v>
      </c>
      <c r="JF95" t="s">
        <v>35</v>
      </c>
    </row>
    <row r="96" spans="75:271" x14ac:dyDescent="0.2">
      <c r="DQ96" t="s">
        <v>26</v>
      </c>
      <c r="DR96" t="s">
        <v>26</v>
      </c>
      <c r="DS96" t="s">
        <v>26</v>
      </c>
      <c r="DT96" t="s">
        <v>26</v>
      </c>
      <c r="DU96" t="s">
        <v>26</v>
      </c>
      <c r="EB96" t="s">
        <v>26</v>
      </c>
      <c r="EC96" t="s">
        <v>26</v>
      </c>
      <c r="ED96" t="s">
        <v>26</v>
      </c>
      <c r="EE96" t="s">
        <v>26</v>
      </c>
      <c r="EF96" t="s">
        <v>26</v>
      </c>
      <c r="EK96" s="1"/>
      <c r="FN96" s="341"/>
      <c r="FO96" s="341"/>
      <c r="FP96" s="341"/>
      <c r="FQ96" s="341"/>
      <c r="FR96" s="341"/>
      <c r="FS96" s="341"/>
      <c r="FT96" s="341"/>
      <c r="FU96" s="341"/>
      <c r="FV96" s="341"/>
      <c r="FW96" s="341"/>
      <c r="FX96" s="341"/>
      <c r="FY96" s="341"/>
      <c r="IO96" s="11">
        <v>1997</v>
      </c>
      <c r="IP96" s="2">
        <f t="shared" ref="IP96:IV96" si="141">BX110</f>
        <v>12.360046065499999</v>
      </c>
      <c r="IQ96" s="2">
        <f t="shared" si="141"/>
        <v>9.5262142994999994</v>
      </c>
      <c r="IR96" s="2">
        <f t="shared" si="141"/>
        <v>33.850838954149999</v>
      </c>
      <c r="IS96" s="2">
        <f t="shared" si="141"/>
        <v>295.87720797565009</v>
      </c>
      <c r="IT96" s="2">
        <f t="shared" si="141"/>
        <v>1159.1466192497826</v>
      </c>
      <c r="IU96" s="2">
        <f t="shared" si="141"/>
        <v>905.44096591832886</v>
      </c>
      <c r="IV96" s="2">
        <f t="shared" si="141"/>
        <v>1051.6662139233197</v>
      </c>
      <c r="IW96" s="2"/>
      <c r="IX96" s="11">
        <f>IO96</f>
        <v>1997</v>
      </c>
      <c r="IY96" s="2">
        <f t="shared" ref="IY96:IY102" si="142">SUM(IP96:IU96)</f>
        <v>2416.2018924629115</v>
      </c>
      <c r="IZ96">
        <f>EXP(JD96)</f>
        <v>2404.5487572220918</v>
      </c>
      <c r="JA96">
        <f t="shared" ref="JA96:JA102" si="143">LN(IY96)</f>
        <v>7.7899521203245046</v>
      </c>
      <c r="JB96">
        <v>0</v>
      </c>
      <c r="JC96">
        <f t="shared" ref="JC96:JC102" si="144">JA96</f>
        <v>7.7899521203245046</v>
      </c>
      <c r="JD96">
        <f>$JG$96+JB96*$JF$96</f>
        <v>7.7851175380010451</v>
      </c>
      <c r="JF96" s="13">
        <f t="array" ref="JF96:JG101">LINEST(JC96:JC102,JB96:JB102,TRUE,TRUE)</f>
        <v>-2.6363146597159322E-2</v>
      </c>
      <c r="JG96">
        <v>7.7851175380010451</v>
      </c>
      <c r="JJ96" t="s">
        <v>41</v>
      </c>
      <c r="JK96" t="s">
        <v>30</v>
      </c>
    </row>
    <row r="97" spans="75:278" x14ac:dyDescent="0.2">
      <c r="BW97" s="1" t="s">
        <v>8</v>
      </c>
      <c r="CF97" s="2"/>
      <c r="CG97" s="282"/>
      <c r="CI97" s="1" t="s">
        <v>8</v>
      </c>
      <c r="CR97" s="2"/>
      <c r="CT97" s="1" t="s">
        <v>8</v>
      </c>
      <c r="DC97" s="2"/>
      <c r="DE97" s="1" t="s">
        <v>8</v>
      </c>
      <c r="DN97" s="2"/>
      <c r="DP97" s="1" t="s">
        <v>8</v>
      </c>
      <c r="DQ97" t="s">
        <v>26</v>
      </c>
      <c r="DR97" t="s">
        <v>26</v>
      </c>
      <c r="DS97" t="s">
        <v>26</v>
      </c>
      <c r="DT97" t="s">
        <v>26</v>
      </c>
      <c r="DU97" t="s">
        <v>26</v>
      </c>
      <c r="EA97" s="1" t="s">
        <v>8</v>
      </c>
      <c r="EB97" t="s">
        <v>26</v>
      </c>
      <c r="EC97" t="s">
        <v>26</v>
      </c>
      <c r="ED97" t="s">
        <v>26</v>
      </c>
      <c r="EE97" t="s">
        <v>26</v>
      </c>
      <c r="EF97" t="s">
        <v>26</v>
      </c>
      <c r="EL97" s="1" t="s">
        <v>8</v>
      </c>
      <c r="EU97" s="2"/>
      <c r="EX97" s="2"/>
      <c r="EY97" s="282"/>
      <c r="EZ97" s="281" t="s">
        <v>8</v>
      </c>
      <c r="FI97" s="282"/>
      <c r="FJ97" s="282"/>
      <c r="FK97" s="282"/>
      <c r="FL97" s="282"/>
      <c r="FM97" s="282"/>
      <c r="FN97" s="342" t="s">
        <v>8</v>
      </c>
      <c r="FO97" s="341"/>
      <c r="FP97" s="341"/>
      <c r="FQ97" s="341"/>
      <c r="FR97" s="341"/>
      <c r="FS97" s="341"/>
      <c r="FT97" s="341"/>
      <c r="FU97" s="341"/>
      <c r="FV97" s="341"/>
      <c r="FW97" s="344"/>
      <c r="FX97" s="341"/>
      <c r="FY97" s="341"/>
      <c r="GA97" s="282"/>
      <c r="IO97" s="11">
        <v>1999</v>
      </c>
      <c r="IP97" s="2">
        <f t="shared" ref="IP97:IV97" si="145">CJ110</f>
        <v>18.267773941900003</v>
      </c>
      <c r="IQ97" s="2">
        <f t="shared" si="145"/>
        <v>10.8571835912</v>
      </c>
      <c r="IR97" s="2">
        <f t="shared" si="145"/>
        <v>37.501598767060003</v>
      </c>
      <c r="IS97" s="2">
        <f t="shared" si="145"/>
        <v>236.19141254791106</v>
      </c>
      <c r="IT97" s="2">
        <f t="shared" si="145"/>
        <v>1039.434312867523</v>
      </c>
      <c r="IU97" s="2">
        <f t="shared" si="145"/>
        <v>886.30425967470251</v>
      </c>
      <c r="IV97" s="2">
        <f t="shared" si="145"/>
        <v>1512.1670195611396</v>
      </c>
      <c r="IW97" s="2"/>
      <c r="IX97" s="11">
        <f t="shared" ref="IX97:IX102" si="146">IO97</f>
        <v>1999</v>
      </c>
      <c r="IY97" s="2">
        <f t="shared" si="142"/>
        <v>2228.5565413902968</v>
      </c>
      <c r="IZ97">
        <f t="shared" ref="IZ97:IZ102" si="147">EXP(JD97)</f>
        <v>2281.0502339265913</v>
      </c>
      <c r="JA97">
        <f t="shared" si="143"/>
        <v>7.7091093640146235</v>
      </c>
      <c r="JB97">
        <v>2</v>
      </c>
      <c r="JC97">
        <f t="shared" si="144"/>
        <v>7.7091093640146235</v>
      </c>
      <c r="JD97">
        <f t="shared" ref="JD97:JD102" si="148">$JG$96+JB97*$JF$96</f>
        <v>7.7323912448067267</v>
      </c>
      <c r="JF97">
        <v>1.5388630824032753E-3</v>
      </c>
      <c r="JG97">
        <v>1.1096899499047149E-2</v>
      </c>
      <c r="JI97" s="11">
        <f t="shared" ref="JI97:JI102" si="149">IX97</f>
        <v>1999</v>
      </c>
      <c r="JJ97" s="2">
        <f t="shared" ref="JJ97:JJ102" si="150">SUM(IP97:IV97)</f>
        <v>3740.7235609514364</v>
      </c>
      <c r="JK97">
        <f t="shared" ref="JK97:JK102" si="151">EXP(JO97)</f>
        <v>3796.1495204734852</v>
      </c>
      <c r="JL97">
        <f t="shared" ref="JL97:JL102" si="152">LN(JJ97)</f>
        <v>8.2270343371915793</v>
      </c>
      <c r="JM97">
        <v>0</v>
      </c>
      <c r="JN97">
        <f t="shared" ref="JN97:JN102" si="153">JL97</f>
        <v>8.2270343371915793</v>
      </c>
      <c r="JO97">
        <f t="shared" ref="JO97:JO102" si="154">$JR$97+JM97*$JQ$97</f>
        <v>8.2417425479091744</v>
      </c>
      <c r="JQ97" s="13">
        <f t="array" ref="JQ97:JR101">LINEST(JN97:JN102,JM97:JM102,TRUE,TRUE)</f>
        <v>-1.6029053862105666E-2</v>
      </c>
      <c r="JR97">
        <v>8.2417425479091744</v>
      </c>
    </row>
    <row r="98" spans="75:278" x14ac:dyDescent="0.2">
      <c r="BW98" t="s">
        <v>9</v>
      </c>
      <c r="BX98" s="2">
        <v>1698.6354742800977</v>
      </c>
      <c r="BY98" s="2">
        <v>1463.9068583026353</v>
      </c>
      <c r="BZ98" s="2">
        <v>1576.2938125516</v>
      </c>
      <c r="CA98" s="2">
        <v>1696.0010905889189</v>
      </c>
      <c r="CB98" s="2">
        <v>1746.0970797341129</v>
      </c>
      <c r="CC98" s="2">
        <v>1831.5957945693058</v>
      </c>
      <c r="CD98" s="2">
        <v>1992.7746193572873</v>
      </c>
      <c r="CE98" s="2"/>
      <c r="CF98" s="2">
        <v>1741.1160344309144</v>
      </c>
      <c r="CG98" s="282"/>
      <c r="CI98" t="s">
        <v>9</v>
      </c>
      <c r="CJ98" s="2">
        <v>1909.7074197444665</v>
      </c>
      <c r="CK98" s="2">
        <v>1533.2773933838273</v>
      </c>
      <c r="CL98" s="2">
        <v>1673.8834384430572</v>
      </c>
      <c r="CM98" s="2">
        <v>1863.5850819441741</v>
      </c>
      <c r="CN98" s="2">
        <v>1888.2999123378725</v>
      </c>
      <c r="CO98" s="2">
        <v>1963.1145901869354</v>
      </c>
      <c r="CP98" s="2">
        <v>2279.2558415549611</v>
      </c>
      <c r="CQ98" s="2"/>
      <c r="CR98" s="2">
        <v>1922.1259400168688</v>
      </c>
      <c r="CT98" t="s">
        <v>9</v>
      </c>
      <c r="CU98" s="2">
        <v>1911.1038991586088</v>
      </c>
      <c r="CV98" s="2">
        <v>1500.9388271056164</v>
      </c>
      <c r="CW98" s="2">
        <v>1654.8650806221642</v>
      </c>
      <c r="CX98" s="2">
        <v>1779.1844851350281</v>
      </c>
      <c r="CY98" s="2">
        <v>1863.4605908988076</v>
      </c>
      <c r="CZ98" s="2">
        <v>1958.8338753382588</v>
      </c>
      <c r="DA98" s="2">
        <v>2233.0717202309233</v>
      </c>
      <c r="DB98" s="2">
        <v>2565.140004407895</v>
      </c>
      <c r="DC98" s="2">
        <v>1917.0490635207045</v>
      </c>
      <c r="DE98" t="s">
        <v>9</v>
      </c>
      <c r="DF98" s="2">
        <v>1926.7109037673708</v>
      </c>
      <c r="DG98" s="2">
        <v>1506.1801284031012</v>
      </c>
      <c r="DH98" s="2">
        <v>1695.391431951831</v>
      </c>
      <c r="DI98" s="2">
        <v>1807.3408861531839</v>
      </c>
      <c r="DJ98" s="2">
        <v>1909.2284786006937</v>
      </c>
      <c r="DK98" s="2">
        <v>2014.5688167368905</v>
      </c>
      <c r="DL98" s="2">
        <v>2279.5715113584756</v>
      </c>
      <c r="DM98" s="2">
        <v>2564.9578002166631</v>
      </c>
      <c r="DN98" s="2">
        <v>1976.1268752566209</v>
      </c>
      <c r="DP98" t="s">
        <v>9</v>
      </c>
      <c r="DQ98" s="2">
        <v>1964.7164770384588</v>
      </c>
      <c r="DR98" s="2">
        <v>1520.10539924453</v>
      </c>
      <c r="DS98" s="2">
        <v>1676.0401643128521</v>
      </c>
      <c r="DT98" s="2">
        <v>1903.1600316647528</v>
      </c>
      <c r="DU98" s="2">
        <v>1982.7997420242054</v>
      </c>
      <c r="DV98" s="2">
        <v>2080.3213335039568</v>
      </c>
      <c r="DW98" s="2">
        <v>2370.3618552284238</v>
      </c>
      <c r="DX98" s="2">
        <v>2630.0449815431703</v>
      </c>
      <c r="DY98" s="2">
        <v>2064.9635251160034</v>
      </c>
      <c r="EA98" t="s">
        <v>9</v>
      </c>
      <c r="EB98" s="2">
        <v>1987.7246164011681</v>
      </c>
      <c r="EC98" s="2">
        <v>1519.0362030770395</v>
      </c>
      <c r="ED98" s="2">
        <v>1714.181238259252</v>
      </c>
      <c r="EE98" s="2">
        <v>1937.5777739468695</v>
      </c>
      <c r="EF98" s="2">
        <v>1978.2643996412094</v>
      </c>
      <c r="EG98" s="2">
        <v>2088.4919825636725</v>
      </c>
      <c r="EH98" s="2">
        <v>2328.1551278659972</v>
      </c>
      <c r="EI98" s="2">
        <v>2613.5209126831164</v>
      </c>
      <c r="EJ98" s="2">
        <v>2087.1616202266505</v>
      </c>
      <c r="EL98" t="s">
        <v>9</v>
      </c>
      <c r="EM98" s="2">
        <v>2015.4003114893458</v>
      </c>
      <c r="EN98" s="2">
        <v>1506.0924797979535</v>
      </c>
      <c r="EO98" s="2">
        <v>1687.8370829801995</v>
      </c>
      <c r="EP98" s="2">
        <v>2042.9821515164906</v>
      </c>
      <c r="EQ98" s="2">
        <v>2006.1942095732427</v>
      </c>
      <c r="ER98" s="2">
        <v>2042.6760438192118</v>
      </c>
      <c r="ES98" s="2">
        <v>2362.0092177160996</v>
      </c>
      <c r="ET98" s="2">
        <v>2589.9987263537396</v>
      </c>
      <c r="EU98" s="2">
        <v>2113.3041412708844</v>
      </c>
      <c r="EX98" s="2"/>
      <c r="EY98" s="282"/>
      <c r="EZ98" s="280" t="s">
        <v>9</v>
      </c>
      <c r="FA98" s="282">
        <v>2017.2057248062099</v>
      </c>
      <c r="FB98" s="282">
        <v>1597.8733015864975</v>
      </c>
      <c r="FC98" s="282">
        <v>1824.8798518657113</v>
      </c>
      <c r="FD98" s="282">
        <v>1938.7167825356669</v>
      </c>
      <c r="FE98" s="282">
        <v>2007.8042171890831</v>
      </c>
      <c r="FF98" s="282">
        <v>2017.7765571154976</v>
      </c>
      <c r="FG98" s="282">
        <v>2342.3700440678026</v>
      </c>
      <c r="FH98" s="282">
        <v>2636.5703225693942</v>
      </c>
      <c r="FI98" s="418">
        <v>2131.0307758504964</v>
      </c>
      <c r="FJ98" s="282"/>
      <c r="FK98" s="282"/>
      <c r="FL98" s="282"/>
      <c r="FM98" s="282"/>
      <c r="FN98" s="341" t="s">
        <v>9</v>
      </c>
      <c r="FO98" s="344">
        <v>2015.4003114893458</v>
      </c>
      <c r="FP98" s="344">
        <v>1506.0924797979535</v>
      </c>
      <c r="FQ98" s="344">
        <v>1687.8370829801995</v>
      </c>
      <c r="FR98" s="344">
        <v>2042.9821515164906</v>
      </c>
      <c r="FS98" s="344">
        <v>2006.1942095732427</v>
      </c>
      <c r="FT98" s="344">
        <v>2042.6760438192118</v>
      </c>
      <c r="FU98" s="344">
        <v>2362.0092177160996</v>
      </c>
      <c r="FV98" s="344">
        <v>2589.9987263537396</v>
      </c>
      <c r="FW98" s="289">
        <f>[5]Calc_FlrSpace!CR122</f>
        <v>2125.476228611094</v>
      </c>
      <c r="FX98" s="341"/>
      <c r="FY98" s="341"/>
      <c r="FZ98" s="282"/>
      <c r="GA98" s="282"/>
      <c r="IO98" s="11">
        <v>2001</v>
      </c>
      <c r="IP98" s="2">
        <f t="shared" ref="IP98:IV98" si="155">CU110</f>
        <v>30.087070099300004</v>
      </c>
      <c r="IQ98" s="2">
        <f t="shared" si="155"/>
        <v>18.9996152541</v>
      </c>
      <c r="IR98" s="2">
        <f t="shared" si="155"/>
        <v>30.275283538940002</v>
      </c>
      <c r="IS98" s="2">
        <f t="shared" si="155"/>
        <v>222.93521579784198</v>
      </c>
      <c r="IT98" s="2">
        <f t="shared" si="155"/>
        <v>1015.9301309646856</v>
      </c>
      <c r="IU98" s="2">
        <f t="shared" si="155"/>
        <v>900.95430509833693</v>
      </c>
      <c r="IV98" s="2">
        <f t="shared" si="155"/>
        <v>1528.5629500472794</v>
      </c>
      <c r="IW98" s="2"/>
      <c r="IX98" s="11">
        <f t="shared" si="146"/>
        <v>2001</v>
      </c>
      <c r="IY98" s="2">
        <f t="shared" si="142"/>
        <v>2219.1816207532047</v>
      </c>
      <c r="IZ98">
        <f t="shared" si="147"/>
        <v>2163.894640966922</v>
      </c>
      <c r="JA98">
        <f t="shared" si="143"/>
        <v>7.7048937676017966</v>
      </c>
      <c r="JB98">
        <v>4</v>
      </c>
      <c r="JC98">
        <f t="shared" si="144"/>
        <v>7.7048937676017966</v>
      </c>
      <c r="JD98">
        <f t="shared" si="148"/>
        <v>7.6796649516124083</v>
      </c>
      <c r="JF98">
        <v>0.98324906629973885</v>
      </c>
      <c r="JG98">
        <v>1.6285796071269454E-2</v>
      </c>
      <c r="JI98" s="11">
        <f t="shared" si="149"/>
        <v>2001</v>
      </c>
      <c r="JJ98" s="2">
        <f t="shared" si="150"/>
        <v>3747.7445708004843</v>
      </c>
      <c r="JK98">
        <f t="shared" si="151"/>
        <v>3676.3821647276513</v>
      </c>
      <c r="JL98">
        <f t="shared" si="152"/>
        <v>8.2289094902356439</v>
      </c>
      <c r="JM98">
        <v>2</v>
      </c>
      <c r="JN98">
        <f t="shared" si="153"/>
        <v>8.2289094902356439</v>
      </c>
      <c r="JO98">
        <f t="shared" si="154"/>
        <v>8.2096844401849633</v>
      </c>
      <c r="JQ98" s="15">
        <v>1.4613737768151747E-3</v>
      </c>
      <c r="JR98">
        <v>8.8490576656865046E-3</v>
      </c>
    </row>
    <row r="99" spans="75:278" x14ac:dyDescent="0.2">
      <c r="BW99" t="s">
        <v>10</v>
      </c>
      <c r="BX99" s="2">
        <v>1699.373653905493</v>
      </c>
      <c r="BY99" s="2">
        <v>1467.2301152325122</v>
      </c>
      <c r="BZ99" s="2">
        <v>1582.4370019813787</v>
      </c>
      <c r="CA99" s="2">
        <v>1753.4048967367876</v>
      </c>
      <c r="CB99" s="2">
        <v>1915.729220315819</v>
      </c>
      <c r="CC99" s="2">
        <v>2017.5885665794597</v>
      </c>
      <c r="CD99" s="2">
        <v>2238.8237791783472</v>
      </c>
      <c r="CE99" s="2"/>
      <c r="CF99" s="2">
        <v>1832.2464543879171</v>
      </c>
      <c r="CG99" s="282"/>
      <c r="CI99" t="s">
        <v>10</v>
      </c>
      <c r="CJ99" s="2">
        <v>1915.6645503871373</v>
      </c>
      <c r="CK99" s="2">
        <v>1537.0417771349655</v>
      </c>
      <c r="CL99" s="2">
        <v>1678.1238363547782</v>
      </c>
      <c r="CM99" s="2">
        <v>1926.8969221002831</v>
      </c>
      <c r="CN99" s="2">
        <v>2073.730199703879</v>
      </c>
      <c r="CO99" s="2">
        <v>2184.5549275474768</v>
      </c>
      <c r="CP99" s="2">
        <v>2623.2150653012718</v>
      </c>
      <c r="CQ99" s="2"/>
      <c r="CR99" s="2">
        <v>2038.2884447632766</v>
      </c>
      <c r="CT99" t="s">
        <v>10</v>
      </c>
      <c r="CU99" s="2">
        <v>1920.1025430001598</v>
      </c>
      <c r="CV99" s="2">
        <v>1508.0078095158974</v>
      </c>
      <c r="CW99" s="2">
        <v>1656.3449363604407</v>
      </c>
      <c r="CX99" s="2">
        <v>1830.7472762814855</v>
      </c>
      <c r="CY99" s="2">
        <v>2029.4452916086288</v>
      </c>
      <c r="CZ99" s="2">
        <v>2155.5677749559709</v>
      </c>
      <c r="DA99" s="2">
        <v>2535.8549464478615</v>
      </c>
      <c r="DB99" s="2">
        <v>2679.8349277055199</v>
      </c>
      <c r="DC99" s="2">
        <v>2016.295796184012</v>
      </c>
      <c r="DE99" t="s">
        <v>10</v>
      </c>
      <c r="DF99" s="2">
        <v>1936.9205912525626</v>
      </c>
      <c r="DG99" s="2">
        <v>1512.9632018218588</v>
      </c>
      <c r="DH99" s="2">
        <v>1699.0230427606889</v>
      </c>
      <c r="DI99" s="2">
        <v>1856.6757755908386</v>
      </c>
      <c r="DJ99" s="2">
        <v>2076.4626159419413</v>
      </c>
      <c r="DK99" s="2">
        <v>2175.5218899015431</v>
      </c>
      <c r="DL99" s="2">
        <v>2547.6996335090707</v>
      </c>
      <c r="DM99" s="2">
        <v>2725.6440112012287</v>
      </c>
      <c r="DN99" s="2">
        <v>2072.5353782654852</v>
      </c>
      <c r="DP99" t="s">
        <v>10</v>
      </c>
      <c r="DQ99" s="2">
        <v>1971.4760648761323</v>
      </c>
      <c r="DR99" s="2">
        <v>1529.75533940482</v>
      </c>
      <c r="DS99" s="2">
        <v>1677.9062407751053</v>
      </c>
      <c r="DT99" s="2">
        <v>1940.710627662083</v>
      </c>
      <c r="DU99" s="2">
        <v>2089.1313103779776</v>
      </c>
      <c r="DV99" s="2">
        <v>2216.5406790558454</v>
      </c>
      <c r="DW99" s="2">
        <v>2607.888191784064</v>
      </c>
      <c r="DX99" s="2">
        <v>2766.8806325378623</v>
      </c>
      <c r="DY99" s="2">
        <v>2142.6031556891285</v>
      </c>
      <c r="EA99" t="s">
        <v>10</v>
      </c>
      <c r="EB99" s="2">
        <v>1997.8286097684384</v>
      </c>
      <c r="EC99" s="2">
        <v>1532.7885970912621</v>
      </c>
      <c r="ED99" s="2">
        <v>1719.2859163472931</v>
      </c>
      <c r="EE99" s="2">
        <v>1967.7113606963014</v>
      </c>
      <c r="EF99" s="2">
        <v>2087.7729335745548</v>
      </c>
      <c r="EG99" s="2">
        <v>2241.2956899523792</v>
      </c>
      <c r="EH99" s="2">
        <v>2575.40612937476</v>
      </c>
      <c r="EI99" s="2">
        <v>2769.1980672976165</v>
      </c>
      <c r="EJ99" s="2">
        <v>2174.8213243088258</v>
      </c>
      <c r="EL99" t="s">
        <v>10</v>
      </c>
      <c r="EM99" s="2">
        <v>2018.0399728069717</v>
      </c>
      <c r="EN99" s="2">
        <v>1526.0969586134638</v>
      </c>
      <c r="EO99" s="2">
        <v>1691.0633595165989</v>
      </c>
      <c r="EP99" s="2">
        <v>2070.0902648506308</v>
      </c>
      <c r="EQ99" s="2">
        <v>2103.9115096194228</v>
      </c>
      <c r="ER99" s="2">
        <v>2212.3995552123461</v>
      </c>
      <c r="ES99" s="2">
        <v>2561.0092301952991</v>
      </c>
      <c r="ET99" s="2">
        <v>2719.5412649414898</v>
      </c>
      <c r="EU99" s="2">
        <v>2190.7487612947184</v>
      </c>
      <c r="EX99" s="2"/>
      <c r="EY99" s="282"/>
      <c r="EZ99" s="280" t="s">
        <v>10</v>
      </c>
      <c r="FA99" s="282">
        <v>2026.9117989946751</v>
      </c>
      <c r="FB99" s="282">
        <v>1620.5701494368404</v>
      </c>
      <c r="FC99" s="282">
        <v>1830.0572377845861</v>
      </c>
      <c r="FD99" s="282">
        <v>1977.6708357140769</v>
      </c>
      <c r="FE99" s="282">
        <v>2113.9439333209893</v>
      </c>
      <c r="FF99" s="282">
        <v>2202.5116020195201</v>
      </c>
      <c r="FG99" s="282">
        <v>2608.3993647429234</v>
      </c>
      <c r="FH99" s="282">
        <v>2778.6268019671033</v>
      </c>
      <c r="FI99" s="418">
        <v>2230.9831664204403</v>
      </c>
      <c r="FJ99" s="282"/>
      <c r="FK99" s="282"/>
      <c r="FL99" s="282"/>
      <c r="FM99" s="282"/>
      <c r="FN99" s="341" t="s">
        <v>10</v>
      </c>
      <c r="FO99" s="344">
        <v>2018.0399728069717</v>
      </c>
      <c r="FP99" s="344">
        <v>1526.0969586134638</v>
      </c>
      <c r="FQ99" s="344">
        <v>1691.0633595165989</v>
      </c>
      <c r="FR99" s="344">
        <v>2070.0902648506308</v>
      </c>
      <c r="FS99" s="344">
        <v>2103.9115096194228</v>
      </c>
      <c r="FT99" s="344">
        <v>2212.3995552123461</v>
      </c>
      <c r="FU99" s="344">
        <v>2561.0092301952991</v>
      </c>
      <c r="FV99" s="344">
        <v>2719.5412649414898</v>
      </c>
      <c r="FW99" s="289">
        <f>[5]Calc_FlrSpace!CR123</f>
        <v>2203.097031799844</v>
      </c>
      <c r="FX99" s="341"/>
      <c r="FY99" s="341"/>
      <c r="FZ99" s="282"/>
      <c r="GA99" s="282"/>
      <c r="IO99" s="11">
        <v>2003</v>
      </c>
      <c r="IP99" s="2">
        <f t="shared" ref="IP99:IV99" si="156">DF110</f>
        <v>23.451221988699999</v>
      </c>
      <c r="IQ99" s="2">
        <f t="shared" si="156"/>
        <v>16.566786128800004</v>
      </c>
      <c r="IR99" s="2">
        <f t="shared" si="156"/>
        <v>31.607202221759998</v>
      </c>
      <c r="IS99" s="2">
        <f t="shared" si="156"/>
        <v>199.68705129156996</v>
      </c>
      <c r="IT99" s="2">
        <f t="shared" si="156"/>
        <v>953.77550666301795</v>
      </c>
      <c r="IU99" s="2">
        <f t="shared" si="156"/>
        <v>827.96911760034561</v>
      </c>
      <c r="IV99" s="2">
        <f t="shared" si="156"/>
        <v>1502.7838753900601</v>
      </c>
      <c r="IW99" s="2"/>
      <c r="IX99" s="11">
        <f t="shared" si="146"/>
        <v>2003</v>
      </c>
      <c r="IY99" s="2">
        <f t="shared" si="142"/>
        <v>2053.0568858941938</v>
      </c>
      <c r="IZ99">
        <f t="shared" si="147"/>
        <v>2052.7562030692438</v>
      </c>
      <c r="JA99">
        <f t="shared" si="143"/>
        <v>7.6270851253024663</v>
      </c>
      <c r="JB99">
        <v>6</v>
      </c>
      <c r="JC99">
        <f t="shared" si="144"/>
        <v>7.6270851253024663</v>
      </c>
      <c r="JD99">
        <f t="shared" si="148"/>
        <v>7.6269386584180889</v>
      </c>
      <c r="JF99">
        <v>293.49082382327555</v>
      </c>
      <c r="JG99">
        <v>5</v>
      </c>
      <c r="JI99" s="11">
        <f t="shared" si="149"/>
        <v>2003</v>
      </c>
      <c r="JJ99" s="2">
        <f t="shared" si="150"/>
        <v>3555.8407612842539</v>
      </c>
      <c r="JK99">
        <f t="shared" si="151"/>
        <v>3560.3934324066818</v>
      </c>
      <c r="JL99">
        <f t="shared" si="152"/>
        <v>8.1763468153398602</v>
      </c>
      <c r="JM99">
        <v>4</v>
      </c>
      <c r="JN99">
        <f t="shared" si="153"/>
        <v>8.1763468153398602</v>
      </c>
      <c r="JO99">
        <f t="shared" si="154"/>
        <v>8.1776263324607523</v>
      </c>
      <c r="JQ99">
        <v>0.96782176497322037</v>
      </c>
      <c r="JR99">
        <v>1.2226730228863864E-2</v>
      </c>
    </row>
    <row r="100" spans="75:278" x14ac:dyDescent="0.2">
      <c r="BW100" t="s">
        <v>11</v>
      </c>
      <c r="BX100" s="2">
        <v>435.02586086596961</v>
      </c>
      <c r="BY100" s="2">
        <v>630.797130361634</v>
      </c>
      <c r="BZ100" s="2">
        <v>900</v>
      </c>
      <c r="CA100" s="2">
        <v>1653.4264163912098</v>
      </c>
      <c r="CB100" s="2">
        <v>921.76782877253868</v>
      </c>
      <c r="CC100" s="2">
        <v>1201.9319109589389</v>
      </c>
      <c r="CD100" s="2">
        <v>1616.5671386279964</v>
      </c>
      <c r="CE100" s="2"/>
      <c r="CF100" s="2">
        <v>1284.6341684495931</v>
      </c>
      <c r="CG100" s="282"/>
      <c r="CI100" t="s">
        <v>11</v>
      </c>
      <c r="CJ100" s="2">
        <v>1735.5765739000635</v>
      </c>
      <c r="CK100" s="2">
        <v>1652.155068775543</v>
      </c>
      <c r="CL100" s="2">
        <v>944.28754189878077</v>
      </c>
      <c r="CM100" s="2">
        <v>1306.3202580121429</v>
      </c>
      <c r="CN100" s="2">
        <v>1401.3062078500398</v>
      </c>
      <c r="CO100" s="2">
        <v>1306.66121778773</v>
      </c>
      <c r="CP100" s="2">
        <v>1472.3347577138693</v>
      </c>
      <c r="CQ100" s="2"/>
      <c r="CR100" s="2">
        <v>1396.7742439506687</v>
      </c>
      <c r="CT100" t="s">
        <v>11</v>
      </c>
      <c r="CU100" s="2">
        <v>2109.8911304341641</v>
      </c>
      <c r="CV100" s="2">
        <v>1359.7361069691046</v>
      </c>
      <c r="CW100" s="2">
        <v>1094.5913199766117</v>
      </c>
      <c r="CX100" s="2">
        <v>1371.6964671270073</v>
      </c>
      <c r="CY100" s="2">
        <v>1362.3601385308143</v>
      </c>
      <c r="CZ100" s="2">
        <v>1458.6958591144528</v>
      </c>
      <c r="DA100" s="2">
        <v>1361.0367661842615</v>
      </c>
      <c r="DB100" s="2">
        <v>1663.6613632734116</v>
      </c>
      <c r="DC100" s="2">
        <v>1445.5679511061217</v>
      </c>
      <c r="DE100" t="s">
        <v>11</v>
      </c>
      <c r="DF100" s="2">
        <v>2324.8624501054132</v>
      </c>
      <c r="DG100" s="2">
        <v>1528.8426000550244</v>
      </c>
      <c r="DH100" s="2">
        <v>2009.7524896294296</v>
      </c>
      <c r="DI100" s="2">
        <v>1664.3921981904207</v>
      </c>
      <c r="DJ100" s="2">
        <v>1446.7797481484897</v>
      </c>
      <c r="DK100" s="2">
        <v>1532.4100073833995</v>
      </c>
      <c r="DL100" s="2">
        <v>1667.1348226592502</v>
      </c>
      <c r="DM100" s="2">
        <v>1765.5243968615721</v>
      </c>
      <c r="DN100" s="2">
        <v>1656.9203459813041</v>
      </c>
      <c r="DP100" t="s">
        <v>11</v>
      </c>
      <c r="DQ100" s="2">
        <v>2072.2841458880257</v>
      </c>
      <c r="DR100" s="2">
        <v>1893.914027981916</v>
      </c>
      <c r="DS100" s="2">
        <v>2659.1047407297037</v>
      </c>
      <c r="DT100" s="2">
        <v>1665.4747746594826</v>
      </c>
      <c r="DU100" s="2">
        <v>1676.1812312902407</v>
      </c>
      <c r="DV100" s="2">
        <v>1617.7800708729521</v>
      </c>
      <c r="DW100" s="2">
        <v>1757.8045657757609</v>
      </c>
      <c r="DX100" s="2">
        <v>1930.3439785311448</v>
      </c>
      <c r="DY100" s="2">
        <v>1791.5497381832504</v>
      </c>
      <c r="EA100" t="s">
        <v>11</v>
      </c>
      <c r="EB100" s="2">
        <v>2299.121926033376</v>
      </c>
      <c r="EC100" s="2">
        <v>1737.7280889620929</v>
      </c>
      <c r="ED100" s="2">
        <v>2662.7993232919766</v>
      </c>
      <c r="EE100" s="2">
        <v>2015.7191983592134</v>
      </c>
      <c r="EF100" s="2">
        <v>1736.5801145036869</v>
      </c>
      <c r="EG100" s="2">
        <v>1625.2247091592787</v>
      </c>
      <c r="EH100" s="2">
        <v>1821.5365118212376</v>
      </c>
      <c r="EI100" s="2">
        <v>1961.4336456798892</v>
      </c>
      <c r="EJ100" s="2">
        <v>1863.6660672936091</v>
      </c>
      <c r="EL100" t="s">
        <v>11</v>
      </c>
      <c r="EM100" s="2">
        <v>2348.6492610487785</v>
      </c>
      <c r="EN100" s="2">
        <v>2496.4725167865718</v>
      </c>
      <c r="EO100" s="2">
        <v>1961.185907299797</v>
      </c>
      <c r="EP100" s="2">
        <v>1363.86349169559</v>
      </c>
      <c r="EQ100" s="2">
        <v>2168.6274283640109</v>
      </c>
      <c r="ER100" s="2">
        <v>1719.4042799962701</v>
      </c>
      <c r="ES100" s="2">
        <v>2125.6789073861883</v>
      </c>
      <c r="ET100" s="2">
        <v>1838.6625129254612</v>
      </c>
      <c r="EU100" s="2">
        <v>1941.0269553384323</v>
      </c>
      <c r="EX100" s="2"/>
      <c r="EY100" s="282"/>
      <c r="EZ100" s="280" t="s">
        <v>11</v>
      </c>
      <c r="FA100" s="282">
        <v>2757.1295828577308</v>
      </c>
      <c r="FB100" s="282">
        <v>1563.6742875324205</v>
      </c>
      <c r="FC100" s="282">
        <v>1978.4333081004625</v>
      </c>
      <c r="FD100" s="282">
        <v>1398.7783373584759</v>
      </c>
      <c r="FE100" s="282">
        <v>1504.3739127258038</v>
      </c>
      <c r="FF100" s="282">
        <v>1611.6198626678379</v>
      </c>
      <c r="FG100" s="282">
        <v>1769.7253830109903</v>
      </c>
      <c r="FH100" s="282">
        <v>1733.6258752302622</v>
      </c>
      <c r="FI100" s="418">
        <v>1732.7895352554856</v>
      </c>
      <c r="FJ100" s="282"/>
      <c r="FK100" s="282"/>
      <c r="FL100" s="282"/>
      <c r="FM100" s="282"/>
      <c r="FN100" s="341" t="s">
        <v>11</v>
      </c>
      <c r="FO100" s="344">
        <v>2348.6492610487785</v>
      </c>
      <c r="FP100" s="344">
        <v>2496.4725167865718</v>
      </c>
      <c r="FQ100" s="344">
        <v>1961.185907299797</v>
      </c>
      <c r="FR100" s="344">
        <v>1363.86349169559</v>
      </c>
      <c r="FS100" s="344">
        <v>2168.6274283640109</v>
      </c>
      <c r="FT100" s="344">
        <v>1719.4042799962701</v>
      </c>
      <c r="FU100" s="344">
        <v>2125.6789073861883</v>
      </c>
      <c r="FV100" s="344">
        <v>1838.6625129254612</v>
      </c>
      <c r="FW100" s="289">
        <f>[5]Calc_FlrSpace!CR124</f>
        <v>1850.3503814625094</v>
      </c>
      <c r="FX100" s="341"/>
      <c r="FY100" s="341"/>
      <c r="FZ100" s="282"/>
      <c r="GA100" s="282"/>
      <c r="GB100" s="282"/>
      <c r="GC100" s="2"/>
      <c r="IO100" s="11">
        <v>2005</v>
      </c>
      <c r="IP100" s="2">
        <f t="shared" ref="IP100:IV100" si="157">DQ110</f>
        <v>23.790772279999999</v>
      </c>
      <c r="IQ100" s="2">
        <f t="shared" si="157"/>
        <v>27.667449033299999</v>
      </c>
      <c r="IR100" s="2">
        <f t="shared" si="157"/>
        <v>15.852635426700001</v>
      </c>
      <c r="IS100" s="2">
        <f t="shared" si="157"/>
        <v>185.89362055696</v>
      </c>
      <c r="IT100" s="2">
        <f t="shared" si="157"/>
        <v>783.69989249011132</v>
      </c>
      <c r="IU100" s="2">
        <f t="shared" si="157"/>
        <v>891.90752227906785</v>
      </c>
      <c r="IV100" s="2">
        <f t="shared" si="157"/>
        <v>1521.9258008405498</v>
      </c>
      <c r="IW100" s="2"/>
      <c r="IX100" s="11">
        <f t="shared" si="146"/>
        <v>2005</v>
      </c>
      <c r="IY100" s="2">
        <f t="shared" si="142"/>
        <v>1928.8118920661391</v>
      </c>
      <c r="IZ100">
        <f t="shared" si="147"/>
        <v>1947.3258768996025</v>
      </c>
      <c r="JA100">
        <f t="shared" si="143"/>
        <v>7.5646594923737425</v>
      </c>
      <c r="JB100">
        <v>8</v>
      </c>
      <c r="JC100">
        <f t="shared" si="144"/>
        <v>7.5646594923737425</v>
      </c>
      <c r="JD100">
        <f t="shared" si="148"/>
        <v>7.5742123652237705</v>
      </c>
      <c r="JF100">
        <v>7.7841735832371098E-2</v>
      </c>
      <c r="JG100">
        <v>1.326135768374878E-3</v>
      </c>
      <c r="JI100" s="11">
        <f t="shared" si="149"/>
        <v>2005</v>
      </c>
      <c r="JJ100" s="2">
        <f t="shared" si="150"/>
        <v>3450.7376929066886</v>
      </c>
      <c r="JK100">
        <f t="shared" si="151"/>
        <v>3448.0641090977783</v>
      </c>
      <c r="JL100">
        <f t="shared" si="152"/>
        <v>8.1463433111992298</v>
      </c>
      <c r="JM100">
        <v>6</v>
      </c>
      <c r="JN100">
        <f t="shared" si="153"/>
        <v>8.1463433111992298</v>
      </c>
      <c r="JO100">
        <f t="shared" si="154"/>
        <v>8.1455682247365395</v>
      </c>
      <c r="JQ100">
        <v>120.30762584309207</v>
      </c>
      <c r="JR100">
        <v>4</v>
      </c>
    </row>
    <row r="101" spans="75:278" x14ac:dyDescent="0.2">
      <c r="BW101" t="s">
        <v>12</v>
      </c>
      <c r="BX101" s="2">
        <v>844.22215883841955</v>
      </c>
      <c r="BY101" s="2">
        <v>936.05390631076239</v>
      </c>
      <c r="BZ101" s="2">
        <v>361.22330702436227</v>
      </c>
      <c r="CA101" s="2">
        <v>699.01640943758116</v>
      </c>
      <c r="CB101" s="2">
        <v>747.01252125884957</v>
      </c>
      <c r="CC101" s="2">
        <v>910.92754021339192</v>
      </c>
      <c r="CD101" s="2">
        <v>1064.3559745888522</v>
      </c>
      <c r="CE101" s="2"/>
      <c r="CF101" s="2">
        <v>875.39751600961642</v>
      </c>
      <c r="CG101" s="282"/>
      <c r="CI101" t="s">
        <v>12</v>
      </c>
      <c r="CJ101" s="2">
        <v>973.22824801139916</v>
      </c>
      <c r="CK101" s="2">
        <v>868.96838035293456</v>
      </c>
      <c r="CL101" s="2">
        <v>815.87794592071498</v>
      </c>
      <c r="CM101" s="2">
        <v>886.39012694832059</v>
      </c>
      <c r="CN101" s="2">
        <v>990.55969941981834</v>
      </c>
      <c r="CO101" s="2">
        <v>939.50270316984393</v>
      </c>
      <c r="CP101" s="2">
        <v>1092.3221108085761</v>
      </c>
      <c r="CQ101" s="2"/>
      <c r="CR101" s="2">
        <v>961.25672761818601</v>
      </c>
      <c r="CT101" t="s">
        <v>12</v>
      </c>
      <c r="CU101" s="2">
        <v>967.74688406213124</v>
      </c>
      <c r="CV101" s="2">
        <v>986.48413176901136</v>
      </c>
      <c r="CW101" s="2">
        <v>853.63185590217813</v>
      </c>
      <c r="CX101" s="2">
        <v>959.66349087920378</v>
      </c>
      <c r="CY101" s="2">
        <v>1020.2012249907273</v>
      </c>
      <c r="CZ101" s="2">
        <v>928.02942959369386</v>
      </c>
      <c r="DA101" s="2">
        <v>1046.9254576548526</v>
      </c>
      <c r="DB101" s="2">
        <v>1074.9547106253253</v>
      </c>
      <c r="DC101" s="2">
        <v>978.75417063767748</v>
      </c>
      <c r="DE101" t="s">
        <v>12</v>
      </c>
      <c r="DF101" s="2">
        <v>1054.3604557840281</v>
      </c>
      <c r="DG101" s="2">
        <v>886.43774820573685</v>
      </c>
      <c r="DH101" s="2">
        <v>869.4868936815601</v>
      </c>
      <c r="DI101" s="2">
        <v>1032.6624208692513</v>
      </c>
      <c r="DJ101" s="2">
        <v>1074.9530051703955</v>
      </c>
      <c r="DK101" s="2">
        <v>959.73695881111018</v>
      </c>
      <c r="DL101" s="2">
        <v>1143.5305797561364</v>
      </c>
      <c r="DM101" s="2">
        <v>1133.8328586391301</v>
      </c>
      <c r="DN101" s="2">
        <v>1030.8866584195389</v>
      </c>
      <c r="DP101" t="s">
        <v>12</v>
      </c>
      <c r="DQ101" s="2">
        <v>1215.4590244987369</v>
      </c>
      <c r="DR101" s="2">
        <v>767.68946229874427</v>
      </c>
      <c r="DS101" s="2">
        <v>974.05461705112123</v>
      </c>
      <c r="DT101" s="2">
        <v>1087.3584609103748</v>
      </c>
      <c r="DU101" s="2">
        <v>1058.0566808056503</v>
      </c>
      <c r="DV101" s="2">
        <v>953.11336515014045</v>
      </c>
      <c r="DW101" s="2">
        <v>1096.4590291625716</v>
      </c>
      <c r="DX101" s="2">
        <v>1195.1080925793103</v>
      </c>
      <c r="DY101" s="2">
        <v>1041.8466251289619</v>
      </c>
      <c r="EA101" t="s">
        <v>12</v>
      </c>
      <c r="EB101" s="2">
        <v>1081.8218513611916</v>
      </c>
      <c r="EC101" s="2">
        <v>920.7143578439219</v>
      </c>
      <c r="ED101" s="2">
        <v>878.56320089860571</v>
      </c>
      <c r="EE101" s="2">
        <v>1096.750086167063</v>
      </c>
      <c r="EF101" s="2">
        <v>1049.4266662303344</v>
      </c>
      <c r="EG101" s="2">
        <v>950.91881207002996</v>
      </c>
      <c r="EH101" s="2">
        <v>1089.4872001085178</v>
      </c>
      <c r="EI101" s="2">
        <v>1250.0156985568226</v>
      </c>
      <c r="EJ101" s="2">
        <v>1044.64399990211</v>
      </c>
      <c r="EL101" t="s">
        <v>12</v>
      </c>
      <c r="EM101" s="2">
        <v>1011.4910302903545</v>
      </c>
      <c r="EN101" s="2">
        <v>770.02935392727079</v>
      </c>
      <c r="EO101" s="2">
        <v>842.99292949624464</v>
      </c>
      <c r="EP101" s="2">
        <v>1040.4020276548379</v>
      </c>
      <c r="EQ101" s="2">
        <v>1020.8617163342274</v>
      </c>
      <c r="ER101" s="2">
        <v>967.58786032736145</v>
      </c>
      <c r="ES101" s="2">
        <v>1120.9673121005217</v>
      </c>
      <c r="ET101" s="2">
        <v>1222.563976795662</v>
      </c>
      <c r="EU101" s="2">
        <v>1029.3757397156458</v>
      </c>
      <c r="EX101" s="2"/>
      <c r="EY101" s="282"/>
      <c r="EZ101" s="280" t="s">
        <v>12</v>
      </c>
      <c r="FA101" s="282">
        <v>1186.161295328503</v>
      </c>
      <c r="FB101" s="282">
        <v>798.65179345931529</v>
      </c>
      <c r="FC101" s="282">
        <v>843.19435984817062</v>
      </c>
      <c r="FD101" s="282">
        <v>1076.7791871687041</v>
      </c>
      <c r="FE101" s="282">
        <v>1073.1057589314805</v>
      </c>
      <c r="FF101" s="282">
        <v>1019.2266972355044</v>
      </c>
      <c r="FG101" s="282">
        <v>1066.0166042310627</v>
      </c>
      <c r="FH101" s="282">
        <v>1257.0375686566961</v>
      </c>
      <c r="FI101" s="418">
        <v>1075.8434983397926</v>
      </c>
      <c r="FJ101" s="282"/>
      <c r="FK101" s="282"/>
      <c r="FL101" s="282"/>
      <c r="FM101" s="282"/>
      <c r="FN101" s="341" t="s">
        <v>12</v>
      </c>
      <c r="FO101" s="344">
        <v>1011.4910302903545</v>
      </c>
      <c r="FP101" s="344">
        <v>770.02935392727079</v>
      </c>
      <c r="FQ101" s="344">
        <v>842.99292949624464</v>
      </c>
      <c r="FR101" s="344">
        <v>1040.4020276548379</v>
      </c>
      <c r="FS101" s="344">
        <v>1020.8617163342274</v>
      </c>
      <c r="FT101" s="344">
        <v>967.58786032736145</v>
      </c>
      <c r="FU101" s="344">
        <v>1120.9673121005217</v>
      </c>
      <c r="FV101" s="344">
        <v>1222.563976795662</v>
      </c>
      <c r="FW101" s="289">
        <f>[5]Calc_FlrSpace!CR125</f>
        <v>1037.7242138644042</v>
      </c>
      <c r="FX101" s="341"/>
      <c r="FY101" s="341"/>
      <c r="FZ101" s="282"/>
      <c r="GA101" s="282"/>
      <c r="GB101" s="282"/>
      <c r="GC101" s="2"/>
      <c r="GD101" t="s">
        <v>27</v>
      </c>
      <c r="GF101" t="s">
        <v>22</v>
      </c>
      <c r="IO101" s="11">
        <v>2007</v>
      </c>
      <c r="IP101" s="2">
        <f t="shared" ref="IP101:IV101" si="158">EB110</f>
        <v>26.356823165200005</v>
      </c>
      <c r="IQ101" s="2">
        <f t="shared" si="158"/>
        <v>35.322478719999999</v>
      </c>
      <c r="IR101" s="2">
        <f t="shared" si="158"/>
        <v>28.5083034337</v>
      </c>
      <c r="IS101" s="2">
        <f t="shared" si="158"/>
        <v>143.42128962000001</v>
      </c>
      <c r="IT101" s="2">
        <f t="shared" si="158"/>
        <v>720.5056422754792</v>
      </c>
      <c r="IU101" s="2">
        <f t="shared" si="158"/>
        <v>902.73969732320325</v>
      </c>
      <c r="IV101" s="2">
        <f t="shared" si="158"/>
        <v>1478.8508272494898</v>
      </c>
      <c r="IW101" s="2"/>
      <c r="IX101" s="11">
        <f t="shared" si="146"/>
        <v>2007</v>
      </c>
      <c r="IY101" s="2">
        <f t="shared" si="142"/>
        <v>1856.8542345375824</v>
      </c>
      <c r="IZ101">
        <f t="shared" si="147"/>
        <v>1847.3104917052301</v>
      </c>
      <c r="JA101">
        <f t="shared" si="143"/>
        <v>7.5266390631385667</v>
      </c>
      <c r="JB101">
        <v>10</v>
      </c>
      <c r="JC101">
        <f t="shared" si="144"/>
        <v>7.5266390631385667</v>
      </c>
      <c r="JD101">
        <f t="shared" si="148"/>
        <v>7.5214860720294521</v>
      </c>
      <c r="JF101" t="e">
        <v>#N/A</v>
      </c>
      <c r="JG101" t="e">
        <v>#N/A</v>
      </c>
      <c r="JI101" s="11">
        <f t="shared" si="149"/>
        <v>2007</v>
      </c>
      <c r="JJ101" s="2">
        <f t="shared" si="150"/>
        <v>3335.7050617870723</v>
      </c>
      <c r="JK101">
        <f t="shared" si="151"/>
        <v>3339.2787415664052</v>
      </c>
      <c r="JL101">
        <f t="shared" si="152"/>
        <v>8.1124393488348883</v>
      </c>
      <c r="JM101">
        <v>8</v>
      </c>
      <c r="JN101">
        <f t="shared" si="153"/>
        <v>8.1124393488348883</v>
      </c>
      <c r="JO101">
        <f t="shared" si="154"/>
        <v>8.1135101170123285</v>
      </c>
      <c r="JQ101">
        <v>1.7985139739999916E-2</v>
      </c>
      <c r="JR101">
        <v>5.9797172835765347E-4</v>
      </c>
    </row>
    <row r="102" spans="75:278" x14ac:dyDescent="0.2">
      <c r="BW102" t="s">
        <v>13</v>
      </c>
      <c r="BX102" s="2">
        <v>1515.9720860641462</v>
      </c>
      <c r="BY102" s="2">
        <v>870.17901181012598</v>
      </c>
      <c r="BZ102" s="2">
        <v>937.816038603675</v>
      </c>
      <c r="CA102" s="2">
        <v>909.14309172101935</v>
      </c>
      <c r="CB102" s="2">
        <v>1037.72442873047</v>
      </c>
      <c r="CC102" s="2">
        <v>1058.0202789292077</v>
      </c>
      <c r="CD102" s="2">
        <v>1313.9112592848194</v>
      </c>
      <c r="CE102" s="2"/>
      <c r="CF102" s="2">
        <v>1116.2079667582279</v>
      </c>
      <c r="CG102" s="282"/>
      <c r="CI102" t="s">
        <v>13</v>
      </c>
      <c r="CJ102" s="2">
        <v>1094.0474436607415</v>
      </c>
      <c r="CK102" s="2">
        <v>911.75468162718005</v>
      </c>
      <c r="CL102" s="2">
        <v>1238.3199717134748</v>
      </c>
      <c r="CM102" s="2">
        <v>823.45588688874261</v>
      </c>
      <c r="CN102" s="2">
        <v>1015.8660476660762</v>
      </c>
      <c r="CO102" s="2">
        <v>1096.9244007553691</v>
      </c>
      <c r="CP102" s="2">
        <v>1369.3183161312973</v>
      </c>
      <c r="CQ102" s="2"/>
      <c r="CR102" s="2">
        <v>1164.1525975871859</v>
      </c>
      <c r="CT102" t="s">
        <v>13</v>
      </c>
      <c r="CU102" s="2">
        <v>1145.0891495474582</v>
      </c>
      <c r="CV102" s="2">
        <v>866.15352917679593</v>
      </c>
      <c r="CW102" s="2">
        <v>1503.8336015777068</v>
      </c>
      <c r="CX102" s="2">
        <v>844.87098784155796</v>
      </c>
      <c r="CY102" s="2">
        <v>1024.6813463517822</v>
      </c>
      <c r="CZ102" s="2">
        <v>1216.4145373189126</v>
      </c>
      <c r="DA102" s="2">
        <v>1441.3011827536409</v>
      </c>
      <c r="DB102" s="2">
        <v>2203.3945343176088</v>
      </c>
      <c r="DC102" s="2">
        <v>1292.5791270711156</v>
      </c>
      <c r="DE102" t="s">
        <v>13</v>
      </c>
      <c r="DF102" s="2">
        <v>869.75884373838915</v>
      </c>
      <c r="DG102" s="2">
        <v>798.64165725043802</v>
      </c>
      <c r="DH102" s="2">
        <v>1356.779885141405</v>
      </c>
      <c r="DI102" s="2">
        <v>886.02823193262691</v>
      </c>
      <c r="DJ102" s="2">
        <v>1028.9160042677711</v>
      </c>
      <c r="DK102" s="2">
        <v>1324.9971954558409</v>
      </c>
      <c r="DL102" s="2">
        <v>1545.5758119966436</v>
      </c>
      <c r="DM102" s="2">
        <v>1548.9108270525705</v>
      </c>
      <c r="DN102" s="2">
        <v>1324.6689927228588</v>
      </c>
      <c r="DP102" t="s">
        <v>13</v>
      </c>
      <c r="DQ102" s="2">
        <v>1010.1524348913454</v>
      </c>
      <c r="DR102" s="2">
        <v>720.14502909988084</v>
      </c>
      <c r="DS102" s="2">
        <v>1342.7218655002766</v>
      </c>
      <c r="DT102" s="2">
        <v>1018.5967115687694</v>
      </c>
      <c r="DU102" s="2">
        <v>1106.2194362433354</v>
      </c>
      <c r="DV102" s="2">
        <v>1457.5848382031272</v>
      </c>
      <c r="DW102" s="2">
        <v>1583.5931191746424</v>
      </c>
      <c r="DX102" s="2">
        <v>1659.1605112452696</v>
      </c>
      <c r="DY102" s="2">
        <v>1431.8014408754846</v>
      </c>
      <c r="EA102" t="s">
        <v>13</v>
      </c>
      <c r="EB102" s="2">
        <v>941.17463309940888</v>
      </c>
      <c r="EC102" s="2">
        <v>846.02818379901873</v>
      </c>
      <c r="ED102" s="2">
        <v>1052.9708919355828</v>
      </c>
      <c r="EE102" s="2">
        <v>1098.7497708500878</v>
      </c>
      <c r="EF102" s="2">
        <v>1085.2091037494552</v>
      </c>
      <c r="EG102" s="2">
        <v>1424.8377755424267</v>
      </c>
      <c r="EH102" s="2">
        <v>1605.4189859554624</v>
      </c>
      <c r="EI102" s="2">
        <v>1476.7184656164216</v>
      </c>
      <c r="EJ102" s="2">
        <v>1415.446206690109</v>
      </c>
      <c r="EL102" t="s">
        <v>13</v>
      </c>
      <c r="EM102" s="2">
        <v>1646.629368228414</v>
      </c>
      <c r="EN102" s="2">
        <v>833.72667704439527</v>
      </c>
      <c r="EO102" s="2">
        <v>1429.8145033495259</v>
      </c>
      <c r="EP102" s="2">
        <v>1444.4064575664647</v>
      </c>
      <c r="EQ102" s="2">
        <v>1179.4878291417103</v>
      </c>
      <c r="ER102" s="2">
        <v>1264.2251747968362</v>
      </c>
      <c r="ES102" s="2">
        <v>1791.1897069205934</v>
      </c>
      <c r="ET102" s="2">
        <v>1692.6236455450889</v>
      </c>
      <c r="EU102" s="2">
        <v>1525.5005413809502</v>
      </c>
      <c r="EX102" s="2"/>
      <c r="EY102" s="282"/>
      <c r="EZ102" s="280" t="s">
        <v>13</v>
      </c>
      <c r="FA102" s="282">
        <v>885.61319897327758</v>
      </c>
      <c r="FB102" s="282">
        <v>752.19157270439121</v>
      </c>
      <c r="FC102" s="282">
        <v>1415.2924016200934</v>
      </c>
      <c r="FD102" s="282">
        <v>1165.2447244352902</v>
      </c>
      <c r="FE102" s="282">
        <v>1138.8033898180543</v>
      </c>
      <c r="FF102" s="282">
        <v>1232.5615114231882</v>
      </c>
      <c r="FG102" s="282">
        <v>1631.8853273880279</v>
      </c>
      <c r="FH102" s="282">
        <v>1617.9571447374767</v>
      </c>
      <c r="FI102" s="418">
        <v>1397.6421542307544</v>
      </c>
      <c r="FJ102" s="282"/>
      <c r="FK102" s="282"/>
      <c r="FL102" s="282"/>
      <c r="FM102" s="282"/>
      <c r="FN102" s="341" t="s">
        <v>13</v>
      </c>
      <c r="FO102" s="344">
        <v>1646.629368228414</v>
      </c>
      <c r="FP102" s="344">
        <v>833.72667704439527</v>
      </c>
      <c r="FQ102" s="344">
        <v>1429.8145033495259</v>
      </c>
      <c r="FR102" s="344">
        <v>1444.4064575664647</v>
      </c>
      <c r="FS102" s="344">
        <v>1179.4878291417103</v>
      </c>
      <c r="FT102" s="344">
        <v>1264.2251747968362</v>
      </c>
      <c r="FU102" s="344">
        <v>1791.1897069205934</v>
      </c>
      <c r="FV102" s="344">
        <v>1692.6236455450889</v>
      </c>
      <c r="FW102" s="289">
        <f>[5]Calc_FlrSpace!CR126</f>
        <v>1548.7287893592209</v>
      </c>
      <c r="FX102" s="341"/>
      <c r="FY102" s="341"/>
      <c r="FZ102" s="282"/>
      <c r="GA102" s="282"/>
      <c r="GB102" s="282"/>
      <c r="GC102" s="2"/>
      <c r="GE102" t="s">
        <v>0</v>
      </c>
      <c r="GF102" t="s">
        <v>1</v>
      </c>
      <c r="GG102" t="s">
        <v>2</v>
      </c>
      <c r="GH102" t="s">
        <v>3</v>
      </c>
      <c r="GI102" t="s">
        <v>4</v>
      </c>
      <c r="GJ102" t="s">
        <v>5</v>
      </c>
      <c r="GK102" t="s">
        <v>6</v>
      </c>
      <c r="IO102" s="11">
        <v>2009</v>
      </c>
      <c r="IP102" s="2">
        <f t="shared" ref="IP102:IV102" si="159">EM110</f>
        <v>17.892884793699999</v>
      </c>
      <c r="IQ102" s="2">
        <f t="shared" si="159"/>
        <v>48.607400244200001</v>
      </c>
      <c r="IR102" s="2">
        <f t="shared" si="159"/>
        <v>36.867708727999997</v>
      </c>
      <c r="IS102" s="2">
        <f t="shared" si="159"/>
        <v>166.17744112716005</v>
      </c>
      <c r="IT102" s="2">
        <f t="shared" si="159"/>
        <v>683.79173947893446</v>
      </c>
      <c r="IU102" s="2">
        <f t="shared" si="159"/>
        <v>794.67002732494905</v>
      </c>
      <c r="IV102" s="2">
        <f t="shared" si="159"/>
        <v>1476.4192493939995</v>
      </c>
      <c r="IW102" s="2"/>
      <c r="IX102" s="11">
        <f t="shared" si="146"/>
        <v>2009</v>
      </c>
      <c r="IY102" s="2">
        <f t="shared" si="142"/>
        <v>1748.0072016969434</v>
      </c>
      <c r="IZ102">
        <f t="shared" si="147"/>
        <v>1752.4319340928469</v>
      </c>
      <c r="JA102">
        <f t="shared" si="143"/>
        <v>7.4662316761709198</v>
      </c>
      <c r="JB102">
        <v>12</v>
      </c>
      <c r="JC102">
        <f t="shared" si="144"/>
        <v>7.4662316761709198</v>
      </c>
      <c r="JD102">
        <f t="shared" si="148"/>
        <v>7.4687597788351336</v>
      </c>
      <c r="JI102" s="11">
        <f t="shared" si="149"/>
        <v>2009</v>
      </c>
      <c r="JJ102" s="2">
        <f t="shared" si="150"/>
        <v>3224.4264510909429</v>
      </c>
      <c r="JK102">
        <f t="shared" si="151"/>
        <v>3233.9255190922277</v>
      </c>
      <c r="JL102">
        <f t="shared" si="152"/>
        <v>8.0785103687906794</v>
      </c>
      <c r="JM102">
        <v>10</v>
      </c>
      <c r="JN102">
        <f t="shared" si="153"/>
        <v>8.0785103687906794</v>
      </c>
      <c r="JO102">
        <f t="shared" si="154"/>
        <v>8.0814520092881175</v>
      </c>
    </row>
    <row r="103" spans="75:278" x14ac:dyDescent="0.2">
      <c r="BW103" t="s">
        <v>14</v>
      </c>
      <c r="BX103" s="2">
        <v>1687.4418916839318</v>
      </c>
      <c r="BY103" s="2">
        <v>1453.5041794985407</v>
      </c>
      <c r="BZ103" s="2">
        <v>1563.6988704640796</v>
      </c>
      <c r="CA103" s="2">
        <v>1687.9508044813535</v>
      </c>
      <c r="CB103" s="2">
        <v>1722.68028903915</v>
      </c>
      <c r="CC103" s="2">
        <v>1809.1414557717637</v>
      </c>
      <c r="CD103" s="2">
        <v>1942.6642752908883</v>
      </c>
      <c r="CE103" s="2"/>
      <c r="CF103" s="2">
        <v>1722.1208700271573</v>
      </c>
      <c r="CG103" s="282"/>
      <c r="CI103" t="s">
        <v>14</v>
      </c>
      <c r="CJ103" s="2">
        <v>1825.9341418013194</v>
      </c>
      <c r="CK103" s="2">
        <v>1474.9573231597458</v>
      </c>
      <c r="CL103" s="2">
        <v>1610.3630600196327</v>
      </c>
      <c r="CM103" s="2">
        <v>1730.3335087870003</v>
      </c>
      <c r="CN103" s="2">
        <v>1712.8956586422762</v>
      </c>
      <c r="CO103" s="2">
        <v>1676.6358508057288</v>
      </c>
      <c r="CP103" s="2">
        <v>2112.362825900499</v>
      </c>
      <c r="CQ103" s="2"/>
      <c r="CR103" s="2">
        <v>1765.8700493209039</v>
      </c>
      <c r="CT103" t="s">
        <v>14</v>
      </c>
      <c r="CU103" s="2">
        <v>1822.4806110823652</v>
      </c>
      <c r="CV103" s="2">
        <v>1434.9076076228037</v>
      </c>
      <c r="CW103" s="2">
        <v>1577.6109985223677</v>
      </c>
      <c r="CX103" s="2">
        <v>1650.2176031571817</v>
      </c>
      <c r="CY103" s="2">
        <v>1662.2595051668097</v>
      </c>
      <c r="CZ103" s="2">
        <v>1652.71363264657</v>
      </c>
      <c r="DA103" s="2">
        <v>2034.8047387843028</v>
      </c>
      <c r="DB103" s="2">
        <v>2350.4212057127206</v>
      </c>
      <c r="DC103" s="2">
        <v>1740.2611675401226</v>
      </c>
      <c r="DE103" t="s">
        <v>14</v>
      </c>
      <c r="DF103" s="2">
        <v>1849.0702789337115</v>
      </c>
      <c r="DG103" s="2">
        <v>1427.5158703619186</v>
      </c>
      <c r="DH103" s="2">
        <v>1631.8889844916964</v>
      </c>
      <c r="DI103" s="2">
        <v>1677.0942577775597</v>
      </c>
      <c r="DJ103" s="2">
        <v>1690.0466792436289</v>
      </c>
      <c r="DK103" s="2">
        <v>1697.9225785945303</v>
      </c>
      <c r="DL103" s="2">
        <v>2110.3711991679488</v>
      </c>
      <c r="DM103" s="2">
        <v>2322.0756572232099</v>
      </c>
      <c r="DN103" s="2">
        <v>1795.4420292808793</v>
      </c>
      <c r="DP103" t="s">
        <v>14</v>
      </c>
      <c r="DQ103" s="2">
        <v>1886.6942655139089</v>
      </c>
      <c r="DR103" s="2">
        <v>1437.4223983779643</v>
      </c>
      <c r="DS103" s="2">
        <v>1633.3385368577226</v>
      </c>
      <c r="DT103" s="2">
        <v>1759.1838265694075</v>
      </c>
      <c r="DU103" s="2">
        <v>1727.7989742378782</v>
      </c>
      <c r="DV103" s="2">
        <v>1749.3577226569553</v>
      </c>
      <c r="DW103" s="2">
        <v>2180.8914891235727</v>
      </c>
      <c r="DX103" s="2">
        <v>2399.2677878823902</v>
      </c>
      <c r="DY103" s="2">
        <v>1866.6846266304408</v>
      </c>
      <c r="EA103" t="s">
        <v>14</v>
      </c>
      <c r="EB103" s="2">
        <v>1891.9669094806084</v>
      </c>
      <c r="EC103" s="2">
        <v>1449.0534971638053</v>
      </c>
      <c r="ED103" s="2">
        <v>1671.4192286772268</v>
      </c>
      <c r="EE103" s="2">
        <v>1783.3123059141226</v>
      </c>
      <c r="EF103" s="2">
        <v>1718.0962896004858</v>
      </c>
      <c r="EG103" s="2">
        <v>1763.8768279342978</v>
      </c>
      <c r="EH103" s="2">
        <v>2151.4730988138786</v>
      </c>
      <c r="EI103" s="2">
        <v>2407.3954162094651</v>
      </c>
      <c r="EJ103" s="2">
        <v>1888.011605941763</v>
      </c>
      <c r="EL103" t="s">
        <v>14</v>
      </c>
      <c r="EM103" s="2">
        <v>1893.9771751069354</v>
      </c>
      <c r="EN103" s="2">
        <v>1462.9673472095089</v>
      </c>
      <c r="EO103" s="2">
        <v>1622.6361099660817</v>
      </c>
      <c r="EP103" s="2">
        <v>1843.4757711010675</v>
      </c>
      <c r="EQ103" s="2">
        <v>1744.9998730315385</v>
      </c>
      <c r="ER103" s="2">
        <v>1739.0969831806317</v>
      </c>
      <c r="ES103" s="2">
        <v>2203.1646383072862</v>
      </c>
      <c r="ET103" s="2">
        <v>2360.9923451483842</v>
      </c>
      <c r="EU103" s="2">
        <v>1909.3957157353384</v>
      </c>
      <c r="EX103" s="2"/>
      <c r="EY103" s="282"/>
      <c r="EZ103" s="280" t="s">
        <v>14</v>
      </c>
      <c r="FA103" s="282">
        <v>1951.9784091378008</v>
      </c>
      <c r="FB103" s="282">
        <v>1501.9739501236388</v>
      </c>
      <c r="FC103" s="282">
        <v>1742.7726827188997</v>
      </c>
      <c r="FD103" s="282">
        <v>1768.0590689591927</v>
      </c>
      <c r="FE103" s="282">
        <v>1743.4772603895804</v>
      </c>
      <c r="FF103" s="282">
        <v>1729.7861121063181</v>
      </c>
      <c r="FG103" s="282">
        <v>2157.12726728501</v>
      </c>
      <c r="FH103" s="282">
        <v>2365.7171023476149</v>
      </c>
      <c r="FI103" s="418">
        <v>1919.1877061890898</v>
      </c>
      <c r="FJ103" s="282"/>
      <c r="FK103" s="282"/>
      <c r="FL103" s="282"/>
      <c r="FM103" s="282"/>
      <c r="FN103" s="341" t="s">
        <v>14</v>
      </c>
      <c r="FO103" s="344">
        <v>1893.9771751069354</v>
      </c>
      <c r="FP103" s="344">
        <v>1462.9673472095089</v>
      </c>
      <c r="FQ103" s="344">
        <v>1622.6361099660817</v>
      </c>
      <c r="FR103" s="344">
        <v>1843.4757711010675</v>
      </c>
      <c r="FS103" s="344">
        <v>1744.9998730315385</v>
      </c>
      <c r="FT103" s="344">
        <v>1739.0969831806317</v>
      </c>
      <c r="FU103" s="344">
        <v>2203.1646383072862</v>
      </c>
      <c r="FV103" s="344">
        <v>2360.9923451483842</v>
      </c>
      <c r="FW103" s="289">
        <f>[5]Calc_FlrSpace!CR127</f>
        <v>1904.1470830909868</v>
      </c>
      <c r="FX103" s="341"/>
      <c r="FY103" s="341"/>
      <c r="FZ103" s="282"/>
      <c r="GA103" s="282"/>
      <c r="GB103" s="282"/>
      <c r="GC103" s="2"/>
      <c r="GD103" s="11">
        <v>1997</v>
      </c>
      <c r="GE103" s="2">
        <f t="shared" ref="GE103:GK103" si="160">BX107+BX108</f>
        <v>3017.3098668594812</v>
      </c>
      <c r="GF103" s="2">
        <f t="shared" si="160"/>
        <v>2010.7858624488297</v>
      </c>
      <c r="GG103" s="2">
        <f t="shared" si="160"/>
        <v>3356.6002977465646</v>
      </c>
      <c r="GH103" s="2">
        <f t="shared" si="160"/>
        <v>3938.5725922285283</v>
      </c>
      <c r="GI103" s="2">
        <f t="shared" si="160"/>
        <v>5146.9849748113993</v>
      </c>
      <c r="GJ103" s="2">
        <f t="shared" si="160"/>
        <v>4046.1559557485216</v>
      </c>
      <c r="GK103" s="2">
        <f t="shared" si="160"/>
        <v>3153.9176729028545</v>
      </c>
      <c r="IO103" s="14" t="s">
        <v>39</v>
      </c>
      <c r="IP103" s="12">
        <f>IP102/IP97</f>
        <v>0.97947811542926211</v>
      </c>
      <c r="IQ103" s="12">
        <f t="shared" ref="IQ103:IV103" si="161">IQ102/IQ97</f>
        <v>4.4769805940831127</v>
      </c>
      <c r="IR103" s="12">
        <f t="shared" si="161"/>
        <v>0.9830969862645752</v>
      </c>
      <c r="IS103" s="12">
        <f t="shared" si="161"/>
        <v>0.70357105423318989</v>
      </c>
      <c r="IT103" s="12">
        <f t="shared" si="161"/>
        <v>0.65784988143458034</v>
      </c>
      <c r="IU103" s="12">
        <f t="shared" si="161"/>
        <v>0.89661086320019978</v>
      </c>
      <c r="IV103" s="12">
        <f t="shared" si="161"/>
        <v>0.9763599062109457</v>
      </c>
      <c r="IW103" s="12"/>
      <c r="IY103" s="2"/>
    </row>
    <row r="104" spans="75:278" x14ac:dyDescent="0.2">
      <c r="BX104" s="2"/>
      <c r="BY104" s="2"/>
      <c r="BZ104" s="2"/>
      <c r="CA104" s="2"/>
      <c r="CB104" s="2"/>
      <c r="CC104" s="2"/>
      <c r="CD104" s="2"/>
      <c r="CE104" s="2"/>
      <c r="CF104" s="2"/>
      <c r="CG104" s="282"/>
      <c r="CJ104" s="2"/>
      <c r="CK104" s="2"/>
      <c r="CL104" s="2"/>
      <c r="CM104" s="2"/>
      <c r="CN104" s="2"/>
      <c r="CO104" s="2"/>
      <c r="CP104" s="2"/>
      <c r="CQ104" s="2"/>
      <c r="CR104" s="2"/>
      <c r="CU104" s="2"/>
      <c r="CV104" s="2"/>
      <c r="CW104" s="2"/>
      <c r="CX104" s="2"/>
      <c r="CY104" s="2"/>
      <c r="CZ104" s="2"/>
      <c r="DA104" s="2"/>
      <c r="DB104" s="2"/>
      <c r="DC104" s="2"/>
      <c r="DF104" s="2"/>
      <c r="DG104" s="2"/>
      <c r="DH104" s="2"/>
      <c r="DI104" s="2"/>
      <c r="DJ104" s="2"/>
      <c r="DK104" s="2"/>
      <c r="DL104" s="2"/>
      <c r="DM104" s="2"/>
      <c r="DN104" s="2"/>
      <c r="DQ104" s="2"/>
      <c r="DR104" s="2"/>
      <c r="DS104" s="2"/>
      <c r="DT104" s="2"/>
      <c r="DU104" s="2"/>
      <c r="DV104" s="2"/>
      <c r="DW104" s="2"/>
      <c r="DX104" s="2"/>
      <c r="DY104" s="2"/>
      <c r="EB104" s="2"/>
      <c r="EC104" s="2"/>
      <c r="ED104" s="2"/>
      <c r="EE104" s="2"/>
      <c r="EF104" s="2"/>
      <c r="EG104" s="2"/>
      <c r="EH104" s="2"/>
      <c r="EI104" s="2"/>
      <c r="EJ104" s="2"/>
      <c r="EK104" s="1"/>
      <c r="EM104" s="2"/>
      <c r="EN104" s="2"/>
      <c r="EO104" s="2"/>
      <c r="EP104" s="2"/>
      <c r="EQ104" s="2"/>
      <c r="ER104" s="2"/>
      <c r="ES104" s="2"/>
      <c r="ET104" s="2"/>
      <c r="EU104" s="2"/>
      <c r="EX104" s="2"/>
      <c r="EY104" s="282"/>
      <c r="FA104" s="282"/>
      <c r="FB104" s="282"/>
      <c r="FC104" s="282"/>
      <c r="FD104" s="282"/>
      <c r="FE104" s="282"/>
      <c r="FF104" s="282"/>
      <c r="FG104" s="282"/>
      <c r="FH104" s="282"/>
      <c r="FI104" s="418"/>
      <c r="FJ104" s="282"/>
      <c r="FK104" s="282"/>
      <c r="FL104" s="282"/>
      <c r="FM104" s="282"/>
      <c r="FN104" s="341"/>
      <c r="FO104" s="344"/>
      <c r="FP104" s="344"/>
      <c r="FQ104" s="344"/>
      <c r="FR104" s="344"/>
      <c r="FS104" s="344"/>
      <c r="FT104" s="344"/>
      <c r="FU104" s="344"/>
      <c r="FV104" s="344"/>
      <c r="FW104" s="289"/>
      <c r="FX104" s="341"/>
      <c r="FY104" s="341"/>
      <c r="FZ104" s="282"/>
      <c r="GA104" s="282"/>
      <c r="GB104" s="282"/>
      <c r="GC104" s="2"/>
      <c r="GD104" s="11">
        <v>1999</v>
      </c>
      <c r="GE104" s="2">
        <f t="shared" ref="GE104:GK104" si="162">CJ107+CJ108</f>
        <v>2952.2853013844137</v>
      </c>
      <c r="GF104" s="2">
        <f t="shared" si="162"/>
        <v>2060.0591599119098</v>
      </c>
      <c r="GG104" s="2">
        <f t="shared" si="162"/>
        <v>3369.6601592328175</v>
      </c>
      <c r="GH104" s="2">
        <f t="shared" si="162"/>
        <v>3954.5185724001071</v>
      </c>
      <c r="GI104" s="2">
        <f t="shared" si="162"/>
        <v>5328.9616864243653</v>
      </c>
      <c r="GJ104" s="2">
        <f t="shared" si="162"/>
        <v>4023.8460381952027</v>
      </c>
      <c r="GK104" s="2">
        <f t="shared" si="162"/>
        <v>4122.4460716395233</v>
      </c>
    </row>
    <row r="105" spans="75:278" x14ac:dyDescent="0.2">
      <c r="BW105" s="1" t="s">
        <v>15</v>
      </c>
      <c r="BX105" s="2"/>
      <c r="BY105" s="2"/>
      <c r="BZ105" s="2"/>
      <c r="CA105" s="2"/>
      <c r="CB105" s="2"/>
      <c r="CC105" s="2"/>
      <c r="CD105" s="2"/>
      <c r="CE105" s="2"/>
      <c r="CF105" s="2"/>
      <c r="CG105" s="282"/>
      <c r="CI105" s="1" t="s">
        <v>15</v>
      </c>
      <c r="CJ105" s="2"/>
      <c r="CK105" s="2"/>
      <c r="CL105" s="2"/>
      <c r="CM105" s="2"/>
      <c r="CN105" s="2"/>
      <c r="CO105" s="2"/>
      <c r="CP105" s="2"/>
      <c r="CQ105" s="2"/>
      <c r="CR105" s="2"/>
      <c r="CT105" s="1" t="s">
        <v>15</v>
      </c>
      <c r="CU105" s="2"/>
      <c r="CV105" s="2"/>
      <c r="CW105" s="2"/>
      <c r="CX105" s="2"/>
      <c r="CY105" s="2"/>
      <c r="CZ105" s="2"/>
      <c r="DA105" s="2"/>
      <c r="DB105" s="2"/>
      <c r="DC105" s="2"/>
      <c r="DE105" s="1" t="s">
        <v>15</v>
      </c>
      <c r="DF105" s="2"/>
      <c r="DG105" s="2"/>
      <c r="DH105" s="2"/>
      <c r="DI105" s="2"/>
      <c r="DJ105" s="2"/>
      <c r="DK105" s="2"/>
      <c r="DL105" s="2"/>
      <c r="DM105" s="2"/>
      <c r="DN105" s="2"/>
      <c r="DP105" s="1" t="s">
        <v>15</v>
      </c>
      <c r="DQ105" s="2"/>
      <c r="DR105" s="2"/>
      <c r="DS105" s="2"/>
      <c r="DT105" s="2"/>
      <c r="DU105" s="2"/>
      <c r="DV105" s="2"/>
      <c r="DW105" s="2"/>
      <c r="DX105" s="2"/>
      <c r="DY105" s="2"/>
      <c r="EA105" s="1" t="s">
        <v>15</v>
      </c>
      <c r="EB105" s="2"/>
      <c r="EC105" s="2"/>
      <c r="ED105" s="2"/>
      <c r="EE105" s="2"/>
      <c r="EF105" s="2"/>
      <c r="EG105" s="2"/>
      <c r="EH105" s="2"/>
      <c r="EI105" s="2"/>
      <c r="EJ105" s="2"/>
      <c r="EL105" s="1" t="s">
        <v>15</v>
      </c>
      <c r="EM105" s="2"/>
      <c r="EN105" s="2"/>
      <c r="EO105" s="2"/>
      <c r="EP105" s="2"/>
      <c r="EQ105" s="2"/>
      <c r="ER105" s="2"/>
      <c r="ES105" s="2"/>
      <c r="ET105" s="2"/>
      <c r="EU105" s="2"/>
      <c r="EX105" s="2"/>
      <c r="EY105" s="282"/>
      <c r="EZ105" s="281" t="s">
        <v>15</v>
      </c>
      <c r="FA105" s="282"/>
      <c r="FB105" s="282"/>
      <c r="FC105" s="282"/>
      <c r="FD105" s="282"/>
      <c r="FE105" s="282"/>
      <c r="FF105" s="282"/>
      <c r="FG105" s="282"/>
      <c r="FH105" s="282"/>
      <c r="FI105" s="418"/>
      <c r="FJ105" s="282"/>
      <c r="FK105" s="282"/>
      <c r="FL105" s="282"/>
      <c r="FM105" s="282"/>
      <c r="FN105" s="342" t="s">
        <v>15</v>
      </c>
      <c r="FO105" s="344"/>
      <c r="FP105" s="344"/>
      <c r="FQ105" s="344"/>
      <c r="FR105" s="344"/>
      <c r="FS105" s="344"/>
      <c r="FT105" s="344"/>
      <c r="FU105" s="344"/>
      <c r="FV105" s="344"/>
      <c r="FW105" s="289"/>
      <c r="FX105" s="341"/>
      <c r="FY105" s="341"/>
      <c r="FZ105" s="282"/>
      <c r="GA105" s="282"/>
      <c r="GB105" s="282"/>
      <c r="GC105" s="2"/>
      <c r="GD105" s="11">
        <v>2001</v>
      </c>
      <c r="GE105" s="2">
        <f t="shared" ref="GE105:GK105" si="163">CU107+CU108</f>
        <v>3000.4376443645519</v>
      </c>
      <c r="GF105" s="2">
        <f t="shared" si="163"/>
        <v>1971.1586084102223</v>
      </c>
      <c r="GG105" s="2">
        <f t="shared" si="163"/>
        <v>3396.6412421275732</v>
      </c>
      <c r="GH105" s="2">
        <f t="shared" si="163"/>
        <v>3986.5682934368911</v>
      </c>
      <c r="GI105" s="2">
        <f t="shared" si="163"/>
        <v>5560.9518721598006</v>
      </c>
      <c r="GJ105" s="2">
        <f t="shared" si="163"/>
        <v>4094.1421093756953</v>
      </c>
      <c r="GK105" s="2">
        <f t="shared" si="163"/>
        <v>4288.977993948979</v>
      </c>
    </row>
    <row r="106" spans="75:278" x14ac:dyDescent="0.2">
      <c r="BW106" t="s">
        <v>9</v>
      </c>
      <c r="BX106" s="2">
        <v>2829.6308557394018</v>
      </c>
      <c r="BY106" s="2">
        <v>1904.8456549115299</v>
      </c>
      <c r="BZ106" s="2">
        <v>3290.6913801242449</v>
      </c>
      <c r="CA106" s="2">
        <v>4028.8297358257496</v>
      </c>
      <c r="CB106" s="2">
        <v>5848.4121850890842</v>
      </c>
      <c r="CC106" s="2">
        <v>4376.0906359274368</v>
      </c>
      <c r="CD106" s="2">
        <v>3915.8299617823768</v>
      </c>
      <c r="CE106" s="2"/>
      <c r="CF106" s="2">
        <v>26194.330409399634</v>
      </c>
      <c r="CG106" s="282"/>
      <c r="CI106" t="s">
        <v>9</v>
      </c>
      <c r="CJ106" s="2">
        <v>2722.3677041430738</v>
      </c>
      <c r="CK106" s="2">
        <v>1925.6829059864097</v>
      </c>
      <c r="CL106" s="2">
        <v>3295.1353557252787</v>
      </c>
      <c r="CM106" s="2">
        <v>3957.5417871546197</v>
      </c>
      <c r="CN106" s="2">
        <v>5802.9561082292021</v>
      </c>
      <c r="CO106" s="2">
        <v>4251.1816884719037</v>
      </c>
      <c r="CP106" s="2">
        <v>5216.8415328257697</v>
      </c>
      <c r="CQ106" s="2"/>
      <c r="CR106" s="2">
        <v>27171.707082536213</v>
      </c>
      <c r="CT106" t="s">
        <v>9</v>
      </c>
      <c r="CU106" s="2">
        <v>2785.6284443317531</v>
      </c>
      <c r="CV106" s="2">
        <v>1845.4416640327224</v>
      </c>
      <c r="CW106" s="2">
        <v>3278.3155982311127</v>
      </c>
      <c r="CX106" s="2">
        <v>4014.3397521812308</v>
      </c>
      <c r="CY106" s="2">
        <v>5958.3963157466997</v>
      </c>
      <c r="CZ106" s="2">
        <v>4296.9546914646426</v>
      </c>
      <c r="DA106" s="2">
        <v>5386.4492330597022</v>
      </c>
      <c r="DB106" s="2">
        <v>1012.6080728889607</v>
      </c>
      <c r="DC106" s="2">
        <v>28578.13377193674</v>
      </c>
      <c r="DE106" t="s">
        <v>9</v>
      </c>
      <c r="DF106" s="2">
        <v>2613.9549995929938</v>
      </c>
      <c r="DG106" s="2">
        <v>1834.3564250881186</v>
      </c>
      <c r="DH106" s="2">
        <v>3143.2607362816084</v>
      </c>
      <c r="DI106" s="2">
        <v>3859.7165662062753</v>
      </c>
      <c r="DJ106" s="2">
        <v>5757.4644192684118</v>
      </c>
      <c r="DK106" s="2">
        <v>4293.728280673643</v>
      </c>
      <c r="DL106" s="2">
        <v>5429.9975129667691</v>
      </c>
      <c r="DM106" s="2">
        <v>1931.6488194218994</v>
      </c>
      <c r="DN106" s="2">
        <v>28864.127759499443</v>
      </c>
      <c r="DP106" t="s">
        <v>9</v>
      </c>
      <c r="DQ106" s="2">
        <v>2504.0194491316988</v>
      </c>
      <c r="DR106" s="2">
        <v>1764.8835818915293</v>
      </c>
      <c r="DS106" s="2">
        <v>3041.4130215010077</v>
      </c>
      <c r="DT106" s="2">
        <v>3821.7937808721499</v>
      </c>
      <c r="DU106" s="2">
        <v>5933.6152154240999</v>
      </c>
      <c r="DV106" s="2">
        <v>4424.4129408764311</v>
      </c>
      <c r="DW106" s="2">
        <v>5475.437341352681</v>
      </c>
      <c r="DX106" s="2">
        <v>3209.5675032945005</v>
      </c>
      <c r="DY106" s="2">
        <v>30175.142834344166</v>
      </c>
      <c r="EA106" t="s">
        <v>9</v>
      </c>
      <c r="EB106" s="2">
        <v>2353.4527931558</v>
      </c>
      <c r="EC106" s="2">
        <v>1777.822293823554</v>
      </c>
      <c r="ED106" s="2">
        <v>3051.4219338410849</v>
      </c>
      <c r="EE106" s="2">
        <v>3749.1031170466003</v>
      </c>
      <c r="EF106" s="2">
        <v>5990.1532437952856</v>
      </c>
      <c r="EG106" s="2">
        <v>4401.8201624836938</v>
      </c>
      <c r="EH106" s="2">
        <v>5357.7783366272415</v>
      </c>
      <c r="EI106" s="2">
        <v>4419.5647479620429</v>
      </c>
      <c r="EJ106" s="2">
        <v>31101.116628735537</v>
      </c>
      <c r="EL106" t="s">
        <v>9</v>
      </c>
      <c r="EM106" s="2">
        <v>2298.0700814634015</v>
      </c>
      <c r="EN106" s="2">
        <v>1766.335311666249</v>
      </c>
      <c r="EO106" s="2">
        <v>3169.8537822624025</v>
      </c>
      <c r="EP106" s="2">
        <v>3804.14028109326</v>
      </c>
      <c r="EQ106" s="2">
        <v>6042.0504258808669</v>
      </c>
      <c r="ER106" s="2">
        <v>4285.6044497128514</v>
      </c>
      <c r="ES106" s="2">
        <v>5296.5356167961072</v>
      </c>
      <c r="ET106" s="2">
        <v>5318.3475045755713</v>
      </c>
      <c r="EU106" s="2">
        <v>31980.937453450919</v>
      </c>
      <c r="EW106">
        <v>31980.937453450708</v>
      </c>
      <c r="EX106" s="2"/>
      <c r="EY106" s="282"/>
      <c r="EZ106" s="280" t="s">
        <v>9</v>
      </c>
      <c r="FA106" s="282">
        <v>2327.5398893301294</v>
      </c>
      <c r="FB106" s="282">
        <v>1744.9087964326063</v>
      </c>
      <c r="FC106" s="282">
        <v>3136.1132867961451</v>
      </c>
      <c r="FD106" s="282">
        <v>3801.0027374804131</v>
      </c>
      <c r="FE106" s="282">
        <v>5820.0856110068207</v>
      </c>
      <c r="FF106" s="282">
        <v>4392.8501092859706</v>
      </c>
      <c r="FG106" s="282">
        <v>5286.4442427660224</v>
      </c>
      <c r="FH106" s="282">
        <v>5875.7479277723551</v>
      </c>
      <c r="FI106" s="418">
        <v>32322.73770149675</v>
      </c>
      <c r="FJ106" s="282"/>
      <c r="FK106" s="282"/>
      <c r="FL106" s="282"/>
      <c r="FM106" s="282"/>
      <c r="FN106" s="341" t="s">
        <v>9</v>
      </c>
      <c r="FO106" s="344">
        <v>2298.0700814634015</v>
      </c>
      <c r="FP106" s="344">
        <v>1766.335311666249</v>
      </c>
      <c r="FQ106" s="344">
        <v>3169.8537822624025</v>
      </c>
      <c r="FR106" s="344">
        <v>3804.14028109326</v>
      </c>
      <c r="FS106" s="344">
        <v>6042.0504258808669</v>
      </c>
      <c r="FT106" s="344">
        <v>4285.6044497128514</v>
      </c>
      <c r="FU106" s="344">
        <v>5296.5356167961072</v>
      </c>
      <c r="FV106" s="344">
        <v>5318.3475045755713</v>
      </c>
      <c r="FW106" s="289">
        <f>[5]Calc_FlrSpace!CR130</f>
        <v>32389.72545870765</v>
      </c>
      <c r="FX106" s="341"/>
      <c r="FY106" s="341">
        <v>31980.937453450708</v>
      </c>
      <c r="FZ106" s="282"/>
      <c r="GA106" s="282"/>
      <c r="GB106" s="282"/>
      <c r="GC106" s="2"/>
      <c r="GD106" s="11">
        <v>2003</v>
      </c>
      <c r="GE106" s="2">
        <f t="shared" ref="GE106:GK106" si="164">+DF107+DF108</f>
        <v>2793.9665788578941</v>
      </c>
      <c r="GF106" s="2">
        <f t="shared" si="164"/>
        <v>1924.3685217511186</v>
      </c>
      <c r="GG106" s="2">
        <f t="shared" si="164"/>
        <v>3221.8438521417484</v>
      </c>
      <c r="GH106" s="2">
        <f t="shared" si="164"/>
        <v>3808.2682122286051</v>
      </c>
      <c r="GI106" s="2">
        <f t="shared" si="164"/>
        <v>5277.1138726637064</v>
      </c>
      <c r="GJ106" s="2">
        <f t="shared" si="164"/>
        <v>4022.9912471712978</v>
      </c>
      <c r="GK106" s="2">
        <f t="shared" si="164"/>
        <v>4261.4176484202926</v>
      </c>
    </row>
    <row r="107" spans="75:278" x14ac:dyDescent="0.2">
      <c r="BW107" t="s">
        <v>10</v>
      </c>
      <c r="BX107" s="2">
        <v>2817.2708096739011</v>
      </c>
      <c r="BY107" s="2">
        <v>1895.3194406120297</v>
      </c>
      <c r="BZ107" s="2">
        <v>3256.8405411700946</v>
      </c>
      <c r="CA107" s="2">
        <v>3732.9525278500982</v>
      </c>
      <c r="CB107" s="2">
        <v>4689.2655658392996</v>
      </c>
      <c r="CC107" s="2">
        <v>3470.6496700091011</v>
      </c>
      <c r="CD107" s="2">
        <v>2864.1637478590546</v>
      </c>
      <c r="CE107" s="2"/>
      <c r="CF107" s="2">
        <v>22726.462303013475</v>
      </c>
      <c r="CG107" s="282"/>
      <c r="CI107" t="s">
        <v>10</v>
      </c>
      <c r="CJ107" s="2">
        <v>2704.0999302011737</v>
      </c>
      <c r="CK107" s="2">
        <v>1914.8257223952098</v>
      </c>
      <c r="CL107" s="2">
        <v>3257.6337569582174</v>
      </c>
      <c r="CM107" s="2">
        <v>3721.3503746067072</v>
      </c>
      <c r="CN107" s="2">
        <v>4763.5217953616648</v>
      </c>
      <c r="CO107" s="2">
        <v>3364.8774287972024</v>
      </c>
      <c r="CP107" s="2">
        <v>3704.6745132646229</v>
      </c>
      <c r="CQ107" s="2"/>
      <c r="CR107" s="2">
        <v>23430.983521584862</v>
      </c>
      <c r="CT107" t="s">
        <v>10</v>
      </c>
      <c r="CU107" s="2">
        <v>2755.5413742324522</v>
      </c>
      <c r="CV107" s="2">
        <v>1826.4420487786224</v>
      </c>
      <c r="CW107" s="2">
        <v>3248.0403146921731</v>
      </c>
      <c r="CX107" s="2">
        <v>3791.4045363833911</v>
      </c>
      <c r="CY107" s="2">
        <v>4942.4661847820007</v>
      </c>
      <c r="CZ107" s="2">
        <v>3396.0003863663001</v>
      </c>
      <c r="DA107" s="2">
        <v>3857.886283012419</v>
      </c>
      <c r="DB107" s="2">
        <v>758.23891015828065</v>
      </c>
      <c r="DC107" s="2">
        <v>24576.020038405619</v>
      </c>
      <c r="DE107" t="s">
        <v>10</v>
      </c>
      <c r="DF107" s="2">
        <v>2590.5037776042941</v>
      </c>
      <c r="DG107" s="2">
        <v>1817.7896389593186</v>
      </c>
      <c r="DH107" s="2">
        <v>3111.6535340598484</v>
      </c>
      <c r="DI107" s="2">
        <v>3660.029514914705</v>
      </c>
      <c r="DJ107" s="2">
        <v>4803.6889126054066</v>
      </c>
      <c r="DK107" s="2">
        <v>3465.7591630732982</v>
      </c>
      <c r="DL107" s="2">
        <v>3927.2136375766927</v>
      </c>
      <c r="DM107" s="2">
        <v>1626.7436041939593</v>
      </c>
      <c r="DN107" s="2">
        <v>25003.38178298733</v>
      </c>
      <c r="DP107" t="s">
        <v>10</v>
      </c>
      <c r="DQ107" s="2">
        <v>2480.2286768516988</v>
      </c>
      <c r="DR107" s="2">
        <v>1737.2161328582297</v>
      </c>
      <c r="DS107" s="2">
        <v>3025.5603860743076</v>
      </c>
      <c r="DT107" s="2">
        <v>3635.9001603151914</v>
      </c>
      <c r="DU107" s="2">
        <v>5149.915322933989</v>
      </c>
      <c r="DV107" s="2">
        <v>3532.5054185973549</v>
      </c>
      <c r="DW107" s="2">
        <v>3953.5115405121442</v>
      </c>
      <c r="DX107" s="2">
        <v>2721.5461373195999</v>
      </c>
      <c r="DY107" s="2">
        <v>26236.383775462589</v>
      </c>
      <c r="EA107" t="s">
        <v>10</v>
      </c>
      <c r="EB107" s="2">
        <v>2327.0959699905989</v>
      </c>
      <c r="EC107" s="2">
        <v>1742.4998151035541</v>
      </c>
      <c r="ED107" s="2">
        <v>3022.9136304073841</v>
      </c>
      <c r="EE107" s="2">
        <v>3605.6818274266011</v>
      </c>
      <c r="EF107" s="2">
        <v>5269.6476015198086</v>
      </c>
      <c r="EG107" s="2">
        <v>3499.080465160494</v>
      </c>
      <c r="EH107" s="2">
        <v>3878.9275093777464</v>
      </c>
      <c r="EI107" s="2">
        <v>3827.8610667214321</v>
      </c>
      <c r="EJ107" s="2">
        <v>27173.707885707834</v>
      </c>
      <c r="EL107" t="s">
        <v>10</v>
      </c>
      <c r="EM107" s="2">
        <v>2280.177196669702</v>
      </c>
      <c r="EN107" s="2">
        <v>1717.7279114220491</v>
      </c>
      <c r="EO107" s="2">
        <v>3132.9860735344041</v>
      </c>
      <c r="EP107" s="2">
        <v>3637.9628399661001</v>
      </c>
      <c r="EQ107" s="2">
        <v>5358.2586864019286</v>
      </c>
      <c r="ER107" s="2">
        <v>3490.9344223878993</v>
      </c>
      <c r="ES107" s="2">
        <v>3820.1163674021236</v>
      </c>
      <c r="ET107" s="2">
        <v>4625.2357706376724</v>
      </c>
      <c r="EU107" s="2">
        <v>28063.399268421985</v>
      </c>
      <c r="EW107">
        <v>28063.399268421876</v>
      </c>
      <c r="EX107" s="2"/>
      <c r="EY107" s="282"/>
      <c r="EZ107" s="280" t="s">
        <v>10</v>
      </c>
      <c r="FA107" s="282">
        <v>2306.4293566775004</v>
      </c>
      <c r="FB107" s="282">
        <v>1703.6184350528342</v>
      </c>
      <c r="FC107" s="282">
        <v>3097.9219919772063</v>
      </c>
      <c r="FD107" s="282">
        <v>3621.101985799367</v>
      </c>
      <c r="FE107" s="282">
        <v>5165.1111550559099</v>
      </c>
      <c r="FF107" s="282">
        <v>3528.5375569838288</v>
      </c>
      <c r="FG107" s="282">
        <v>3791.7923144053661</v>
      </c>
      <c r="FH107" s="282">
        <v>5116.1330032888127</v>
      </c>
      <c r="FI107" s="418">
        <v>28354.110212835356</v>
      </c>
      <c r="FJ107" s="282"/>
      <c r="FK107" s="282"/>
      <c r="FL107" s="282"/>
      <c r="FM107" s="282"/>
      <c r="FN107" s="341" t="s">
        <v>10</v>
      </c>
      <c r="FO107" s="344">
        <v>2280.177196669702</v>
      </c>
      <c r="FP107" s="344">
        <v>1717.7279114220491</v>
      </c>
      <c r="FQ107" s="344">
        <v>3132.9860735344041</v>
      </c>
      <c r="FR107" s="344">
        <v>3637.9628399661001</v>
      </c>
      <c r="FS107" s="344">
        <v>5358.2586864019286</v>
      </c>
      <c r="FT107" s="344">
        <v>3490.9344223878993</v>
      </c>
      <c r="FU107" s="344">
        <v>3820.1163674021236</v>
      </c>
      <c r="FV107" s="344">
        <v>4625.2357706376724</v>
      </c>
      <c r="FW107" s="289">
        <f>[5]Calc_FlrSpace!CR131</f>
        <v>28483.626225641838</v>
      </c>
      <c r="FX107" s="341"/>
      <c r="FY107" s="341">
        <v>28063.399268421876</v>
      </c>
      <c r="FZ107" s="282"/>
      <c r="GA107" s="282"/>
      <c r="GB107" s="282"/>
      <c r="GC107" s="2"/>
      <c r="GD107" s="11">
        <v>2005</v>
      </c>
      <c r="GE107" s="2">
        <f t="shared" ref="GE107:GK107" si="165">DQ107+DQ108</f>
        <v>2661.2851226273988</v>
      </c>
      <c r="GF107" s="2">
        <f t="shared" si="165"/>
        <v>1840.1507843438396</v>
      </c>
      <c r="GG107" s="2">
        <f t="shared" si="165"/>
        <v>3109.6767934511076</v>
      </c>
      <c r="GH107" s="2">
        <f t="shared" si="165"/>
        <v>3756.5140296501913</v>
      </c>
      <c r="GI107" s="2">
        <f t="shared" si="165"/>
        <v>5548.4336718703889</v>
      </c>
      <c r="GJ107" s="2">
        <f t="shared" si="165"/>
        <v>4075.5556682619854</v>
      </c>
      <c r="GK107" s="2">
        <f t="shared" si="165"/>
        <v>4268.0273759594638</v>
      </c>
    </row>
    <row r="108" spans="75:278" x14ac:dyDescent="0.2">
      <c r="BW108" t="s">
        <v>11</v>
      </c>
      <c r="BX108" s="2">
        <v>200.03905718557999</v>
      </c>
      <c r="BY108" s="2">
        <v>115.46642183680002</v>
      </c>
      <c r="BZ108" s="2">
        <v>99.759756576470025</v>
      </c>
      <c r="CA108" s="2">
        <v>205.62006437842993</v>
      </c>
      <c r="CB108" s="2">
        <v>457.71940897210004</v>
      </c>
      <c r="CC108" s="2">
        <v>575.50628573942026</v>
      </c>
      <c r="CD108" s="2">
        <v>289.75392504379994</v>
      </c>
      <c r="CE108" s="2"/>
      <c r="CF108" s="2">
        <v>1943.8649197326024</v>
      </c>
      <c r="CG108" s="282"/>
      <c r="CI108" t="s">
        <v>11</v>
      </c>
      <c r="CJ108" s="2">
        <v>248.18537118324002</v>
      </c>
      <c r="CK108" s="2">
        <v>145.23343751669998</v>
      </c>
      <c r="CL108" s="2">
        <v>112.0264022746</v>
      </c>
      <c r="CM108" s="2">
        <v>233.16819779339997</v>
      </c>
      <c r="CN108" s="2">
        <v>565.43989106270021</v>
      </c>
      <c r="CO108" s="2">
        <v>658.96860939800024</v>
      </c>
      <c r="CP108" s="2">
        <v>417.77155837490022</v>
      </c>
      <c r="CQ108" s="2"/>
      <c r="CR108" s="2">
        <v>2380.7934676035384</v>
      </c>
      <c r="CT108" t="s">
        <v>11</v>
      </c>
      <c r="CU108" s="2">
        <v>244.89627013209989</v>
      </c>
      <c r="CV108" s="2">
        <v>144.71655963160001</v>
      </c>
      <c r="CW108" s="2">
        <v>148.60092743539997</v>
      </c>
      <c r="CX108" s="2">
        <v>195.16375705349992</v>
      </c>
      <c r="CY108" s="2">
        <v>618.48568737779965</v>
      </c>
      <c r="CZ108" s="2">
        <v>698.14172300939549</v>
      </c>
      <c r="DA108" s="2">
        <v>431.09171093655965</v>
      </c>
      <c r="DB108" s="2">
        <v>101.47641958610002</v>
      </c>
      <c r="DC108" s="2">
        <v>2582.573055162457</v>
      </c>
      <c r="DE108" t="s">
        <v>11</v>
      </c>
      <c r="DF108" s="2">
        <v>203.46280125360002</v>
      </c>
      <c r="DG108" s="2">
        <v>106.57888279179998</v>
      </c>
      <c r="DH108" s="2">
        <v>110.1903180819</v>
      </c>
      <c r="DI108" s="2">
        <v>148.23869731389999</v>
      </c>
      <c r="DJ108" s="2">
        <v>473.42496005830003</v>
      </c>
      <c r="DK108" s="2">
        <v>557.23208409799986</v>
      </c>
      <c r="DL108" s="2">
        <v>334.20401084359997</v>
      </c>
      <c r="DM108" s="2">
        <v>177.91415763751002</v>
      </c>
      <c r="DN108" s="2">
        <v>2111.2459120786129</v>
      </c>
      <c r="DP108" t="s">
        <v>11</v>
      </c>
      <c r="DQ108" s="2">
        <v>181.05644577570001</v>
      </c>
      <c r="DR108" s="2">
        <v>102.93465148561002</v>
      </c>
      <c r="DS108" s="2">
        <v>84.116407376799998</v>
      </c>
      <c r="DT108" s="2">
        <v>120.61386933500003</v>
      </c>
      <c r="DU108" s="2">
        <v>398.5183489364</v>
      </c>
      <c r="DV108" s="2">
        <v>543.0502496646302</v>
      </c>
      <c r="DW108" s="2">
        <v>314.51583544732</v>
      </c>
      <c r="DX108" s="2">
        <v>289.44015606957993</v>
      </c>
      <c r="DY108" s="2">
        <v>2034.245964091039</v>
      </c>
      <c r="EA108" t="s">
        <v>11</v>
      </c>
      <c r="EB108" s="2">
        <v>174.83498054149999</v>
      </c>
      <c r="EC108" s="2">
        <v>98.358195807300007</v>
      </c>
      <c r="ED108" s="2">
        <v>91.201096015399997</v>
      </c>
      <c r="EE108" s="2">
        <v>93.457455251799985</v>
      </c>
      <c r="EF108" s="2">
        <v>360.76364912839983</v>
      </c>
      <c r="EG108" s="2">
        <v>506.88348362080018</v>
      </c>
      <c r="EH108" s="2">
        <v>264.75596995778994</v>
      </c>
      <c r="EI108" s="2">
        <v>373.25072298586991</v>
      </c>
      <c r="EJ108" s="2">
        <v>1963.5055533088616</v>
      </c>
      <c r="EL108" t="s">
        <v>11</v>
      </c>
      <c r="EM108" s="2">
        <v>139.59309990920005</v>
      </c>
      <c r="EN108" s="2">
        <v>88.463957367899994</v>
      </c>
      <c r="EO108" s="2">
        <v>101.79606449109997</v>
      </c>
      <c r="EP108" s="2">
        <v>119.4906546509</v>
      </c>
      <c r="EQ108" s="2">
        <v>317.53931316299997</v>
      </c>
      <c r="ER108" s="2">
        <v>474.13384147519997</v>
      </c>
      <c r="ES108" s="2">
        <v>252.99010108467016</v>
      </c>
      <c r="ET108" s="2">
        <v>441.38269349107014</v>
      </c>
      <c r="EU108" s="2">
        <v>1935.389725633042</v>
      </c>
      <c r="EW108">
        <v>1935.3897256330401</v>
      </c>
      <c r="EX108" s="2"/>
      <c r="EY108" s="282"/>
      <c r="EZ108" s="280" t="s">
        <v>11</v>
      </c>
      <c r="FA108" s="282">
        <v>182.05434627882897</v>
      </c>
      <c r="FB108" s="282">
        <v>99.81944668325842</v>
      </c>
      <c r="FC108" s="282">
        <v>136.57564582497992</v>
      </c>
      <c r="FD108" s="282">
        <v>144.00232481961604</v>
      </c>
      <c r="FE108" s="282">
        <v>414.22969073744974</v>
      </c>
      <c r="FF108" s="282">
        <v>502.76567662976419</v>
      </c>
      <c r="FG108" s="282">
        <v>283.98583562730767</v>
      </c>
      <c r="FH108" s="282">
        <v>522.11179880243355</v>
      </c>
      <c r="FI108" s="418">
        <v>2315.9031627236309</v>
      </c>
      <c r="FJ108" s="282"/>
      <c r="FK108" s="282"/>
      <c r="FL108" s="282"/>
      <c r="FM108" s="282"/>
      <c r="FN108" s="341" t="s">
        <v>11</v>
      </c>
      <c r="FO108" s="344">
        <v>139.59309990920005</v>
      </c>
      <c r="FP108" s="344">
        <v>88.463957367899994</v>
      </c>
      <c r="FQ108" s="344">
        <v>101.79606449109997</v>
      </c>
      <c r="FR108" s="344">
        <v>119.4906546509</v>
      </c>
      <c r="FS108" s="344">
        <v>317.53931316299997</v>
      </c>
      <c r="FT108" s="344">
        <v>474.13384147519997</v>
      </c>
      <c r="FU108" s="344">
        <v>252.99010108467016</v>
      </c>
      <c r="FV108" s="344">
        <v>441.38269349107014</v>
      </c>
      <c r="FW108" s="289">
        <f>[5]Calc_FlrSpace!CR132</f>
        <v>2206.4779689350758</v>
      </c>
      <c r="FX108" s="341"/>
      <c r="FY108" s="341">
        <v>1935.3897256330401</v>
      </c>
      <c r="FZ108" s="282"/>
      <c r="GA108" s="282"/>
      <c r="GB108" s="282"/>
      <c r="GC108" s="2"/>
      <c r="GD108" s="11">
        <v>2007</v>
      </c>
      <c r="GE108" s="2">
        <f t="shared" ref="GE108:GK108" si="166">EB107+EB108</f>
        <v>2501.9309505320989</v>
      </c>
      <c r="GF108" s="2">
        <f t="shared" si="166"/>
        <v>1840.8580109108541</v>
      </c>
      <c r="GG108" s="2">
        <f t="shared" si="166"/>
        <v>3114.1147264227839</v>
      </c>
      <c r="GH108" s="2">
        <f t="shared" si="166"/>
        <v>3699.1392826784013</v>
      </c>
      <c r="GI108" s="2">
        <f t="shared" si="166"/>
        <v>5630.4112506482088</v>
      </c>
      <c r="GJ108" s="2">
        <f t="shared" si="166"/>
        <v>4005.9639487812942</v>
      </c>
      <c r="GK108" s="2">
        <f t="shared" si="166"/>
        <v>4143.6834793355365</v>
      </c>
    </row>
    <row r="109" spans="75:278" x14ac:dyDescent="0.2">
      <c r="BW109" t="s">
        <v>12</v>
      </c>
      <c r="BX109" s="2">
        <v>513.75156593447991</v>
      </c>
      <c r="BY109" s="2">
        <v>324.64236218918012</v>
      </c>
      <c r="BZ109" s="2">
        <v>485.87824051294007</v>
      </c>
      <c r="CA109" s="2">
        <v>956.91560481059071</v>
      </c>
      <c r="CB109" s="2">
        <v>2050.3656417565089</v>
      </c>
      <c r="CC109" s="2">
        <v>1810.5136215740297</v>
      </c>
      <c r="CD109" s="2">
        <v>519.55537632170012</v>
      </c>
      <c r="CE109" s="2"/>
      <c r="CF109" s="2">
        <v>6661.6224130994206</v>
      </c>
      <c r="CG109" s="282"/>
      <c r="CI109" t="s">
        <v>12</v>
      </c>
      <c r="CJ109" s="2">
        <v>488.72239626309005</v>
      </c>
      <c r="CK109" s="2">
        <v>348.94178111349009</v>
      </c>
      <c r="CL109" s="2">
        <v>443.16932256534017</v>
      </c>
      <c r="CM109" s="2">
        <v>929.40318712636008</v>
      </c>
      <c r="CN109" s="2">
        <v>1977.6890034167104</v>
      </c>
      <c r="CO109" s="2">
        <v>1884.22523208435</v>
      </c>
      <c r="CP109" s="2">
        <v>760.22379416130002</v>
      </c>
      <c r="CQ109" s="2"/>
      <c r="CR109" s="2">
        <v>6832.3747167306265</v>
      </c>
      <c r="CT109" t="s">
        <v>12</v>
      </c>
      <c r="CU109" s="2">
        <v>426.75164288182015</v>
      </c>
      <c r="CV109" s="2">
        <v>326.42346120779996</v>
      </c>
      <c r="CW109" s="2">
        <v>428.53053981829993</v>
      </c>
      <c r="CX109" s="2">
        <v>894.45041912261968</v>
      </c>
      <c r="CY109" s="2">
        <v>1952.0472155357402</v>
      </c>
      <c r="CZ109" s="2">
        <v>1856.0011229623988</v>
      </c>
      <c r="DA109" s="2">
        <v>843.77855541700012</v>
      </c>
      <c r="DB109" s="2">
        <v>179.08975696249996</v>
      </c>
      <c r="DC109" s="2">
        <v>6907.0727139082037</v>
      </c>
      <c r="DE109" t="s">
        <v>12</v>
      </c>
      <c r="DF109" s="2">
        <v>431.57738630264998</v>
      </c>
      <c r="DG109" s="2">
        <v>329.53171889394025</v>
      </c>
      <c r="DH109" s="2">
        <v>421.28867669139993</v>
      </c>
      <c r="DI109" s="2">
        <v>907.92465122736985</v>
      </c>
      <c r="DJ109" s="2">
        <v>2067.8305475277089</v>
      </c>
      <c r="DK109" s="2">
        <v>1821.6804919668307</v>
      </c>
      <c r="DL109" s="2">
        <v>824.49685364069967</v>
      </c>
      <c r="DM109" s="2">
        <v>364.81397916008001</v>
      </c>
      <c r="DN109" s="2">
        <v>7169.1443054106767</v>
      </c>
      <c r="DP109" t="s">
        <v>12</v>
      </c>
      <c r="DQ109" s="2">
        <v>391.25133770700018</v>
      </c>
      <c r="DR109" s="2">
        <v>286.67585570503996</v>
      </c>
      <c r="DS109" s="2">
        <v>362.28112663790984</v>
      </c>
      <c r="DT109" s="2">
        <v>932.28960611507023</v>
      </c>
      <c r="DU109" s="2">
        <v>2364.8934044808998</v>
      </c>
      <c r="DV109" s="2">
        <v>1775.3793246661912</v>
      </c>
      <c r="DW109" s="2">
        <v>831.2170759078499</v>
      </c>
      <c r="DX109" s="2">
        <v>550.14335232988981</v>
      </c>
      <c r="DY109" s="2">
        <v>7494.1310835498571</v>
      </c>
      <c r="EA109" t="s">
        <v>12</v>
      </c>
      <c r="EB109" s="2">
        <v>388.46058810986005</v>
      </c>
      <c r="EC109" s="2">
        <v>294.90571987920009</v>
      </c>
      <c r="ED109" s="2">
        <v>308.9443018759502</v>
      </c>
      <c r="EE109" s="2">
        <v>929.29473502191013</v>
      </c>
      <c r="EF109" s="2">
        <v>2385.12920439765</v>
      </c>
      <c r="EG109" s="2">
        <v>1681.9341203193615</v>
      </c>
      <c r="EH109" s="2">
        <v>804.83166879314012</v>
      </c>
      <c r="EI109" s="2">
        <v>698.37116008643011</v>
      </c>
      <c r="EJ109" s="2">
        <v>7491.8714984834996</v>
      </c>
      <c r="EL109" t="s">
        <v>12</v>
      </c>
      <c r="EM109" s="2">
        <v>399.56295810981993</v>
      </c>
      <c r="EN109" s="2">
        <v>255.45688868399</v>
      </c>
      <c r="EO109" s="2">
        <v>319.11256019359996</v>
      </c>
      <c r="EP109" s="2">
        <v>908.39356894967023</v>
      </c>
      <c r="EQ109" s="2">
        <v>2401.9080853484511</v>
      </c>
      <c r="ER109" s="2">
        <v>1675.5679065223196</v>
      </c>
      <c r="ES109" s="2">
        <v>780.75696705398047</v>
      </c>
      <c r="ET109" s="2">
        <v>925.53930712676993</v>
      </c>
      <c r="EU109" s="2">
        <v>7666.2982419886021</v>
      </c>
      <c r="EW109">
        <v>7666.2982419886011</v>
      </c>
      <c r="EX109" s="2"/>
      <c r="EY109" s="282"/>
      <c r="EZ109" s="280" t="s">
        <v>12</v>
      </c>
      <c r="FA109" s="282">
        <v>376.79378065184136</v>
      </c>
      <c r="FB109" s="282">
        <v>247.30919624388835</v>
      </c>
      <c r="FC109" s="282">
        <v>333.80550291104799</v>
      </c>
      <c r="FD109" s="282">
        <v>946.97645053653389</v>
      </c>
      <c r="FE109" s="282">
        <v>2199.7389394102506</v>
      </c>
      <c r="FF109" s="282">
        <v>1778.8474923588815</v>
      </c>
      <c r="FG109" s="282">
        <v>820.87223532345706</v>
      </c>
      <c r="FH109" s="282">
        <v>1207.5542296803187</v>
      </c>
      <c r="FI109" s="418">
        <v>7965.0743396541338</v>
      </c>
      <c r="FJ109" s="282"/>
      <c r="FK109" s="282"/>
      <c r="FL109" s="282"/>
      <c r="FM109" s="282"/>
      <c r="FN109" s="341" t="s">
        <v>12</v>
      </c>
      <c r="FO109" s="344">
        <v>399.56295810981993</v>
      </c>
      <c r="FP109" s="344">
        <v>255.45688868399</v>
      </c>
      <c r="FQ109" s="344">
        <v>319.11256019359996</v>
      </c>
      <c r="FR109" s="344">
        <v>908.39356894967023</v>
      </c>
      <c r="FS109" s="344">
        <v>2401.9080853484511</v>
      </c>
      <c r="FT109" s="344">
        <v>1675.5679065223196</v>
      </c>
      <c r="FU109" s="344">
        <v>780.75696705398047</v>
      </c>
      <c r="FV109" s="344">
        <v>925.53930712676993</v>
      </c>
      <c r="FW109" s="289">
        <f>[5]Calc_FlrSpace!CR133</f>
        <v>8354.5403097775343</v>
      </c>
      <c r="FX109" s="341"/>
      <c r="FY109" s="341">
        <v>7666.2982419886011</v>
      </c>
      <c r="FZ109" s="282"/>
      <c r="GA109" s="282"/>
      <c r="GB109" s="282"/>
      <c r="GC109" s="2"/>
      <c r="GD109" s="11">
        <v>2009</v>
      </c>
      <c r="GE109" s="2">
        <f t="shared" ref="GE109:GK109" si="167">EM107+EM108</f>
        <v>2419.7702965789022</v>
      </c>
      <c r="GF109" s="2">
        <f t="shared" si="167"/>
        <v>1806.1918687899492</v>
      </c>
      <c r="GG109" s="2">
        <f t="shared" si="167"/>
        <v>3234.7821380255041</v>
      </c>
      <c r="GH109" s="2">
        <f t="shared" si="167"/>
        <v>3757.4534946170002</v>
      </c>
      <c r="GI109" s="2">
        <f t="shared" si="167"/>
        <v>5675.7979995649284</v>
      </c>
      <c r="GJ109" s="2">
        <f t="shared" si="167"/>
        <v>3965.0682638630992</v>
      </c>
      <c r="GK109" s="2">
        <f t="shared" si="167"/>
        <v>4073.1064684867938</v>
      </c>
    </row>
    <row r="110" spans="75:278" x14ac:dyDescent="0.2">
      <c r="BW110" t="s">
        <v>13</v>
      </c>
      <c r="BX110" s="2">
        <v>12.360046065499999</v>
      </c>
      <c r="BY110" s="2">
        <v>9.5262142994999994</v>
      </c>
      <c r="BZ110" s="2">
        <v>33.850838954149999</v>
      </c>
      <c r="CA110" s="2">
        <v>295.87720797565009</v>
      </c>
      <c r="CB110" s="2">
        <v>1159.1466192497826</v>
      </c>
      <c r="CC110" s="2">
        <v>905.44096591832886</v>
      </c>
      <c r="CD110" s="2">
        <v>1051.6662139233197</v>
      </c>
      <c r="CE110" s="2"/>
      <c r="CF110" s="2">
        <v>3467.8681063862405</v>
      </c>
      <c r="CG110" s="282"/>
      <c r="CI110" t="s">
        <v>13</v>
      </c>
      <c r="CJ110" s="2">
        <v>18.267773941900003</v>
      </c>
      <c r="CK110" s="2">
        <v>10.8571835912</v>
      </c>
      <c r="CL110" s="2">
        <v>37.501598767060003</v>
      </c>
      <c r="CM110" s="2">
        <v>236.19141254791106</v>
      </c>
      <c r="CN110" s="2">
        <v>1039.434312867523</v>
      </c>
      <c r="CO110" s="2">
        <v>886.30425967470251</v>
      </c>
      <c r="CP110" s="2">
        <v>1512.1670195611396</v>
      </c>
      <c r="CQ110" s="2"/>
      <c r="CR110" s="2">
        <v>3740.7235609514355</v>
      </c>
      <c r="CT110" t="s">
        <v>13</v>
      </c>
      <c r="CU110" s="2">
        <v>30.087070099300004</v>
      </c>
      <c r="CV110" s="2">
        <v>18.9996152541</v>
      </c>
      <c r="CW110" s="2">
        <v>30.275283538940002</v>
      </c>
      <c r="CX110" s="2">
        <v>222.93521579784198</v>
      </c>
      <c r="CY110" s="2">
        <v>1015.9301309646856</v>
      </c>
      <c r="CZ110" s="2">
        <v>900.95430509833693</v>
      </c>
      <c r="DA110" s="2">
        <v>1528.5629500472794</v>
      </c>
      <c r="DB110" s="2">
        <v>254.36916273067999</v>
      </c>
      <c r="DC110" s="2">
        <v>4002.1137335311628</v>
      </c>
      <c r="DE110" t="s">
        <v>13</v>
      </c>
      <c r="DF110" s="2">
        <v>23.451221988699999</v>
      </c>
      <c r="DG110" s="2">
        <v>16.566786128800004</v>
      </c>
      <c r="DH110" s="2">
        <v>31.607202221759998</v>
      </c>
      <c r="DI110" s="2">
        <v>199.68705129156996</v>
      </c>
      <c r="DJ110" s="2">
        <v>953.77550666301795</v>
      </c>
      <c r="DK110" s="2">
        <v>827.96911760034561</v>
      </c>
      <c r="DL110" s="2">
        <v>1502.7838753900601</v>
      </c>
      <c r="DM110" s="2">
        <v>304.90521522793989</v>
      </c>
      <c r="DN110" s="2">
        <v>3860.745976512193</v>
      </c>
      <c r="DP110" t="s">
        <v>13</v>
      </c>
      <c r="DQ110" s="2">
        <v>23.790772279999999</v>
      </c>
      <c r="DR110" s="2">
        <v>27.667449033299999</v>
      </c>
      <c r="DS110" s="2">
        <v>15.852635426700001</v>
      </c>
      <c r="DT110" s="2">
        <v>185.89362055696</v>
      </c>
      <c r="DU110" s="2">
        <v>783.69989249011132</v>
      </c>
      <c r="DV110" s="2">
        <v>891.90752227906785</v>
      </c>
      <c r="DW110" s="2">
        <v>1521.9258008405498</v>
      </c>
      <c r="DX110" s="2">
        <v>488.02136597489999</v>
      </c>
      <c r="DY110" s="2">
        <v>3938.7590588815838</v>
      </c>
      <c r="EA110" t="s">
        <v>13</v>
      </c>
      <c r="EB110" s="2">
        <v>26.356823165200005</v>
      </c>
      <c r="EC110" s="2">
        <v>35.322478719999999</v>
      </c>
      <c r="ED110" s="2">
        <v>28.5083034337</v>
      </c>
      <c r="EE110" s="2">
        <v>143.42128962000001</v>
      </c>
      <c r="EF110" s="2">
        <v>720.5056422754792</v>
      </c>
      <c r="EG110" s="2">
        <v>902.73969732320325</v>
      </c>
      <c r="EH110" s="2">
        <v>1478.8508272494898</v>
      </c>
      <c r="EI110" s="2">
        <v>591.7036812406003</v>
      </c>
      <c r="EJ110" s="2">
        <v>3927.4087430276709</v>
      </c>
      <c r="EL110" t="s">
        <v>13</v>
      </c>
      <c r="EM110" s="2">
        <v>17.892884793699999</v>
      </c>
      <c r="EN110" s="2">
        <v>48.607400244200001</v>
      </c>
      <c r="EO110" s="2">
        <v>36.867708727999997</v>
      </c>
      <c r="EP110" s="2">
        <v>166.17744112716005</v>
      </c>
      <c r="EQ110" s="2">
        <v>683.79173947893446</v>
      </c>
      <c r="ER110" s="2">
        <v>794.67002732494905</v>
      </c>
      <c r="ES110" s="2">
        <v>1476.4192493939995</v>
      </c>
      <c r="ET110" s="2">
        <v>693.11173393790034</v>
      </c>
      <c r="EU110" s="2">
        <v>3917.5381850288422</v>
      </c>
      <c r="EW110">
        <v>3917.5381850288431</v>
      </c>
      <c r="EX110" s="2"/>
      <c r="EY110" s="282"/>
      <c r="EZ110" s="280" t="s">
        <v>13</v>
      </c>
      <c r="FA110" s="282">
        <v>21.110532652628997</v>
      </c>
      <c r="FB110" s="282">
        <v>41.290361379772001</v>
      </c>
      <c r="FC110" s="282">
        <v>38.191294818937997</v>
      </c>
      <c r="FD110" s="282">
        <v>179.90075168104494</v>
      </c>
      <c r="FE110" s="282">
        <v>654.97445595091608</v>
      </c>
      <c r="FF110" s="282">
        <v>864.31255230213947</v>
      </c>
      <c r="FG110" s="282">
        <v>1494.6519283606403</v>
      </c>
      <c r="FH110" s="282">
        <v>759.6149244835558</v>
      </c>
      <c r="FI110" s="418">
        <v>3968.6274886613051</v>
      </c>
      <c r="FJ110" s="282"/>
      <c r="FK110" s="282"/>
      <c r="FL110" s="282"/>
      <c r="FM110" s="282"/>
      <c r="FN110" s="341" t="s">
        <v>13</v>
      </c>
      <c r="FO110" s="344">
        <v>17.892884793699999</v>
      </c>
      <c r="FP110" s="344">
        <v>48.607400244200001</v>
      </c>
      <c r="FQ110" s="344">
        <v>36.867708727999997</v>
      </c>
      <c r="FR110" s="344">
        <v>166.17744112716005</v>
      </c>
      <c r="FS110" s="344">
        <v>683.79173947893446</v>
      </c>
      <c r="FT110" s="344">
        <v>794.67002732494905</v>
      </c>
      <c r="FU110" s="344">
        <v>1476.4192493939995</v>
      </c>
      <c r="FV110" s="344">
        <v>693.11173393790034</v>
      </c>
      <c r="FW110" s="289">
        <f>[5]Calc_FlrSpace!CR134</f>
        <v>3906.0992330658237</v>
      </c>
      <c r="FX110" s="341"/>
      <c r="FY110" s="341">
        <v>3917.5381850288431</v>
      </c>
      <c r="FZ110" s="282"/>
      <c r="GA110" s="282"/>
      <c r="GB110" s="282"/>
      <c r="GC110" s="2"/>
      <c r="GD110" s="11">
        <v>2011</v>
      </c>
      <c r="GE110" s="282">
        <f t="shared" ref="GE110:GK110" si="168">FA107+FA108</f>
        <v>2488.4837029563296</v>
      </c>
      <c r="GF110" s="282">
        <f t="shared" si="168"/>
        <v>1803.4378817360925</v>
      </c>
      <c r="GG110" s="282">
        <f t="shared" si="168"/>
        <v>3234.4976378021861</v>
      </c>
      <c r="GH110" s="282">
        <f t="shared" si="168"/>
        <v>3765.1043106189832</v>
      </c>
      <c r="GI110" s="282">
        <f t="shared" si="168"/>
        <v>5579.3408457933592</v>
      </c>
      <c r="GJ110" s="282">
        <f t="shared" si="168"/>
        <v>4031.303233613593</v>
      </c>
      <c r="GK110" s="282">
        <f t="shared" si="168"/>
        <v>4075.7781500326737</v>
      </c>
    </row>
    <row r="111" spans="75:278" x14ac:dyDescent="0.2">
      <c r="BW111" t="s">
        <v>14</v>
      </c>
      <c r="BX111" s="2">
        <v>3543.4214788594609</v>
      </c>
      <c r="BY111" s="2">
        <v>2344.9544389375096</v>
      </c>
      <c r="BZ111" s="2">
        <v>3876.3293772136553</v>
      </c>
      <c r="CA111" s="2">
        <v>5191.3654050147688</v>
      </c>
      <c r="CB111" s="2">
        <v>8356.4972358176929</v>
      </c>
      <c r="CC111" s="2">
        <v>6762.1105432408785</v>
      </c>
      <c r="CD111" s="2">
        <v>4725.1392631478739</v>
      </c>
      <c r="CE111" s="2"/>
      <c r="CF111" s="2">
        <v>34799.817742231731</v>
      </c>
      <c r="CG111" s="282"/>
      <c r="CI111" t="s">
        <v>14</v>
      </c>
      <c r="CJ111" s="2">
        <v>3459.2754715894039</v>
      </c>
      <c r="CK111" s="2">
        <v>2419.8581246166</v>
      </c>
      <c r="CL111" s="2">
        <v>3850.3310805652177</v>
      </c>
      <c r="CM111" s="2">
        <v>5120.1131720743779</v>
      </c>
      <c r="CN111" s="2">
        <v>8346.0850027085999</v>
      </c>
      <c r="CO111" s="2">
        <v>6794.3755299542545</v>
      </c>
      <c r="CP111" s="2">
        <v>6394.8368853619631</v>
      </c>
      <c r="CQ111" s="2"/>
      <c r="CR111" s="2">
        <v>36384.875266870462</v>
      </c>
      <c r="CT111" t="s">
        <v>14</v>
      </c>
      <c r="CU111" s="2">
        <v>3457.2763573456718</v>
      </c>
      <c r="CV111" s="2">
        <v>2316.5816848721224</v>
      </c>
      <c r="CW111" s="2">
        <v>3855.4470654848128</v>
      </c>
      <c r="CX111" s="2">
        <v>5103.9539283573522</v>
      </c>
      <c r="CY111" s="2">
        <v>8528.929218660227</v>
      </c>
      <c r="CZ111" s="2">
        <v>6851.0975374364316</v>
      </c>
      <c r="DA111" s="2">
        <v>6661.3194994132582</v>
      </c>
      <c r="DB111" s="2">
        <v>1293.1742494375605</v>
      </c>
      <c r="DC111" s="2">
        <v>38067.779541007447</v>
      </c>
      <c r="DE111" t="s">
        <v>14</v>
      </c>
      <c r="DF111" s="2">
        <v>3248.995187149244</v>
      </c>
      <c r="DG111" s="2">
        <v>2270.4670267738588</v>
      </c>
      <c r="DH111" s="2">
        <v>3674.7397310549081</v>
      </c>
      <c r="DI111" s="2">
        <v>4915.8799147475447</v>
      </c>
      <c r="DJ111" s="2">
        <v>8298.7199268544337</v>
      </c>
      <c r="DK111" s="2">
        <v>6672.6408567384742</v>
      </c>
      <c r="DL111" s="2">
        <v>6588.6983774510527</v>
      </c>
      <c r="DM111" s="2">
        <v>2474.3769562194889</v>
      </c>
      <c r="DN111" s="2">
        <v>38144.517976988813</v>
      </c>
      <c r="DP111" t="s">
        <v>14</v>
      </c>
      <c r="DQ111" s="2">
        <v>3076.3272326143988</v>
      </c>
      <c r="DR111" s="2">
        <v>2154.4940890821795</v>
      </c>
      <c r="DS111" s="2">
        <v>3487.8105555157176</v>
      </c>
      <c r="DT111" s="2">
        <v>4874.6972563222216</v>
      </c>
      <c r="DU111" s="2">
        <v>8697.026968841401</v>
      </c>
      <c r="DV111" s="2">
        <v>6742.8425152072441</v>
      </c>
      <c r="DW111" s="2">
        <v>6621.1702527078633</v>
      </c>
      <c r="DX111" s="2">
        <v>4049.1510116939694</v>
      </c>
      <c r="DY111" s="2">
        <v>39703.51988198507</v>
      </c>
      <c r="EA111" t="s">
        <v>14</v>
      </c>
      <c r="EB111" s="2">
        <v>2916.7483618071592</v>
      </c>
      <c r="EC111" s="2">
        <v>2171.0862095100542</v>
      </c>
      <c r="ED111" s="2">
        <v>3451.5673317324345</v>
      </c>
      <c r="EE111" s="2">
        <v>4771.8553073203111</v>
      </c>
      <c r="EF111" s="2">
        <v>8736.0460973213376</v>
      </c>
      <c r="EG111" s="2">
        <v>6590.6377664238589</v>
      </c>
      <c r="EH111" s="2">
        <v>6427.3659753781658</v>
      </c>
      <c r="EI111" s="2">
        <v>5491.1866310343321</v>
      </c>
      <c r="EJ111" s="2">
        <v>40556.49368052787</v>
      </c>
      <c r="EL111" t="s">
        <v>14</v>
      </c>
      <c r="EM111" s="2">
        <v>2837.2261394824218</v>
      </c>
      <c r="EN111" s="2">
        <v>2110.2561577181391</v>
      </c>
      <c r="EO111" s="2">
        <v>3590.7624069471044</v>
      </c>
      <c r="EP111" s="2">
        <v>4832.0245046938307</v>
      </c>
      <c r="EQ111" s="2">
        <v>8761.497824392316</v>
      </c>
      <c r="ER111" s="2">
        <v>6435.306197710368</v>
      </c>
      <c r="ES111" s="2">
        <v>6330.2826849347739</v>
      </c>
      <c r="ET111" s="2">
        <v>6685.2695051934134</v>
      </c>
      <c r="EU111" s="2">
        <v>41582.625421072466</v>
      </c>
      <c r="EW111">
        <v>41582.625421072364</v>
      </c>
      <c r="EZ111" s="280" t="s">
        <v>14</v>
      </c>
      <c r="FA111" s="282">
        <v>2886.3880162608002</v>
      </c>
      <c r="FB111" s="282">
        <v>2092.0374393597531</v>
      </c>
      <c r="FC111" s="282">
        <v>3606.4944355321722</v>
      </c>
      <c r="FD111" s="282">
        <v>4891.9815128365617</v>
      </c>
      <c r="FE111" s="282">
        <v>8434.0542411545248</v>
      </c>
      <c r="FF111" s="282">
        <v>6674.4632782746139</v>
      </c>
      <c r="FG111" s="282">
        <v>6391.3023137167702</v>
      </c>
      <c r="FH111" s="282">
        <v>7605.4139562551209</v>
      </c>
      <c r="FI111" s="418">
        <v>42603.715203874424</v>
      </c>
      <c r="FN111" s="341" t="s">
        <v>14</v>
      </c>
      <c r="FO111" s="344">
        <v>2837.2261394824218</v>
      </c>
      <c r="FP111" s="344">
        <v>2110.2561577181391</v>
      </c>
      <c r="FQ111" s="344">
        <v>3590.7624069471044</v>
      </c>
      <c r="FR111" s="344">
        <v>4832.0245046938307</v>
      </c>
      <c r="FS111" s="344">
        <v>8761.497824392316</v>
      </c>
      <c r="FT111" s="344">
        <v>6435.306197710368</v>
      </c>
      <c r="FU111" s="344">
        <v>6330.2826849347739</v>
      </c>
      <c r="FV111" s="344">
        <v>6685.2695051934134</v>
      </c>
      <c r="FW111" s="289">
        <f>[5]Calc_FlrSpace!CR135</f>
        <v>42950.743737420271</v>
      </c>
      <c r="FX111" s="341"/>
      <c r="FY111" s="341">
        <v>41582.625421072364</v>
      </c>
      <c r="FZ111" s="282"/>
      <c r="GB111" s="282"/>
      <c r="GC111" s="2"/>
      <c r="GD111" s="14" t="s">
        <v>557</v>
      </c>
      <c r="GE111" s="12">
        <f>GE110/GE104</f>
        <v>0.84290082052347926</v>
      </c>
      <c r="GF111" s="12">
        <f t="shared" ref="GF111:GK111" si="169">GF110/GF104</f>
        <v>0.87543014143982611</v>
      </c>
      <c r="GG111" s="12">
        <f t="shared" si="169"/>
        <v>0.95988838190097947</v>
      </c>
      <c r="GH111" s="12">
        <f t="shared" si="169"/>
        <v>0.9521018150975169</v>
      </c>
      <c r="GI111" s="12">
        <f t="shared" si="169"/>
        <v>1.0469846049009583</v>
      </c>
      <c r="GJ111" s="12">
        <f t="shared" si="169"/>
        <v>1.0018532506829547</v>
      </c>
      <c r="GK111" s="12">
        <f t="shared" si="169"/>
        <v>0.9886795555852379</v>
      </c>
    </row>
    <row r="112" spans="75:278" x14ac:dyDescent="0.2">
      <c r="EK112" s="1"/>
      <c r="FI112" s="210"/>
      <c r="FN112" s="341"/>
      <c r="FO112" s="341"/>
      <c r="FP112" s="341"/>
      <c r="FQ112" s="341"/>
      <c r="FR112" s="341"/>
      <c r="FS112" s="341"/>
      <c r="FT112" s="341"/>
      <c r="FU112" s="341"/>
      <c r="FV112" s="341"/>
      <c r="FW112" s="404"/>
      <c r="FX112" s="341"/>
      <c r="FY112" s="341"/>
      <c r="GB112" s="282"/>
      <c r="GC112" s="2"/>
      <c r="GD112" s="14" t="s">
        <v>556</v>
      </c>
      <c r="GE112" s="12">
        <f t="shared" ref="GE112:GK112" si="170">GE109/GE104</f>
        <v>0.81962617076479716</v>
      </c>
      <c r="GF112" s="12">
        <f t="shared" si="170"/>
        <v>0.87676698996701818</v>
      </c>
      <c r="GG112" s="12">
        <f t="shared" si="170"/>
        <v>0.95997281184639649</v>
      </c>
      <c r="GH112" s="12">
        <f t="shared" si="170"/>
        <v>0.95016711284187938</v>
      </c>
      <c r="GI112" s="12">
        <f t="shared" si="170"/>
        <v>1.0650851579631611</v>
      </c>
      <c r="GJ112" s="12">
        <f t="shared" si="170"/>
        <v>0.9853926383429753</v>
      </c>
      <c r="GK112" s="12">
        <f t="shared" si="170"/>
        <v>0.98803147396101487</v>
      </c>
    </row>
    <row r="113" spans="75:267" x14ac:dyDescent="0.2">
      <c r="BW113" s="1" t="s">
        <v>16</v>
      </c>
      <c r="CI113" s="1" t="s">
        <v>16</v>
      </c>
      <c r="CT113" s="1" t="s">
        <v>16</v>
      </c>
      <c r="DE113" s="1" t="s">
        <v>16</v>
      </c>
      <c r="DP113" s="1" t="s">
        <v>16</v>
      </c>
      <c r="EA113" s="1" t="s">
        <v>16</v>
      </c>
      <c r="EL113" s="1" t="s">
        <v>16</v>
      </c>
      <c r="EX113" s="2"/>
      <c r="EY113" s="282"/>
      <c r="EZ113" s="281" t="s">
        <v>16</v>
      </c>
      <c r="FI113" s="210"/>
      <c r="FJ113" s="282"/>
      <c r="FK113" s="282"/>
      <c r="FL113" s="282"/>
      <c r="FM113" s="282"/>
      <c r="FN113" s="342" t="s">
        <v>16</v>
      </c>
      <c r="FO113" s="341"/>
      <c r="FP113" s="341"/>
      <c r="FQ113" s="341"/>
      <c r="FR113" s="341"/>
      <c r="FS113" s="341"/>
      <c r="FT113" s="341"/>
      <c r="FU113" s="341"/>
      <c r="FV113" s="341"/>
      <c r="FW113" s="404"/>
      <c r="FX113" s="341"/>
      <c r="FY113" s="341"/>
      <c r="GA113" s="282"/>
      <c r="GB113" s="282"/>
      <c r="GC113" s="2"/>
      <c r="GD113" s="2"/>
      <c r="GE113" s="2"/>
      <c r="GF113" s="2"/>
      <c r="GG113" s="2"/>
      <c r="GH113" s="2"/>
      <c r="GI113" s="2"/>
    </row>
    <row r="114" spans="75:267" x14ac:dyDescent="0.2">
      <c r="BW114" t="s">
        <v>9</v>
      </c>
      <c r="BX114" s="2">
        <v>1056</v>
      </c>
      <c r="BY114" s="2">
        <v>724</v>
      </c>
      <c r="BZ114" s="2">
        <v>1272</v>
      </c>
      <c r="CA114" s="2">
        <v>1529</v>
      </c>
      <c r="CB114" s="2">
        <v>2194</v>
      </c>
      <c r="CC114" s="2">
        <v>1552</v>
      </c>
      <c r="CD114" s="2">
        <v>1154</v>
      </c>
      <c r="CE114" s="2"/>
      <c r="CF114" s="2">
        <v>9481</v>
      </c>
      <c r="CG114" s="282"/>
      <c r="CI114" t="s">
        <v>9</v>
      </c>
      <c r="CJ114" s="2">
        <v>1065</v>
      </c>
      <c r="CK114" s="2">
        <v>759</v>
      </c>
      <c r="CL114" s="2">
        <v>1290</v>
      </c>
      <c r="CM114" s="2">
        <v>1560</v>
      </c>
      <c r="CN114" s="2">
        <v>2264</v>
      </c>
      <c r="CO114" s="2">
        <v>1676</v>
      </c>
      <c r="CP114" s="2">
        <v>1766</v>
      </c>
      <c r="CQ114" s="2"/>
      <c r="CR114" s="2">
        <v>10380</v>
      </c>
      <c r="CT114" t="s">
        <v>9</v>
      </c>
      <c r="CU114" s="2">
        <v>1045</v>
      </c>
      <c r="CV114" s="2">
        <v>699</v>
      </c>
      <c r="CW114" s="2">
        <v>1258</v>
      </c>
      <c r="CX114" s="2">
        <v>1521</v>
      </c>
      <c r="CY114" s="2">
        <v>2225</v>
      </c>
      <c r="CZ114" s="2">
        <v>1630</v>
      </c>
      <c r="DA114" s="2">
        <v>2006</v>
      </c>
      <c r="DB114" s="2">
        <v>294</v>
      </c>
      <c r="DC114" s="2">
        <v>10678</v>
      </c>
      <c r="DE114" t="s">
        <v>9</v>
      </c>
      <c r="DF114" s="2">
        <v>996</v>
      </c>
      <c r="DG114" s="2">
        <v>702</v>
      </c>
      <c r="DH114" s="2">
        <v>1210</v>
      </c>
      <c r="DI114" s="2">
        <v>1487</v>
      </c>
      <c r="DJ114" s="2">
        <v>2164</v>
      </c>
      <c r="DK114" s="2">
        <v>1591</v>
      </c>
      <c r="DL114" s="2">
        <v>2063</v>
      </c>
      <c r="DM114" s="2">
        <v>710</v>
      </c>
      <c r="DN114" s="2">
        <v>10923</v>
      </c>
      <c r="DP114" t="s">
        <v>9</v>
      </c>
      <c r="DQ114" s="2">
        <v>938</v>
      </c>
      <c r="DR114" s="2">
        <v>649</v>
      </c>
      <c r="DS114" s="2">
        <v>1135</v>
      </c>
      <c r="DT114" s="2">
        <v>1443</v>
      </c>
      <c r="DU114" s="2">
        <v>2182</v>
      </c>
      <c r="DV114" s="2">
        <v>1523</v>
      </c>
      <c r="DW114" s="2">
        <v>1858</v>
      </c>
      <c r="DX114" s="2">
        <v>1187</v>
      </c>
      <c r="DY114" s="2">
        <v>10915</v>
      </c>
      <c r="EA114" t="s">
        <v>9</v>
      </c>
      <c r="EB114" s="2">
        <v>761</v>
      </c>
      <c r="EC114" s="2">
        <v>581</v>
      </c>
      <c r="ED114" s="2">
        <v>999</v>
      </c>
      <c r="EE114" s="2">
        <v>1259</v>
      </c>
      <c r="EF114" s="2">
        <v>1984</v>
      </c>
      <c r="EG114" s="2">
        <v>1365</v>
      </c>
      <c r="EH114" s="2">
        <v>1678</v>
      </c>
      <c r="EI114" s="2">
        <v>1520</v>
      </c>
      <c r="EJ114" s="2">
        <v>10147</v>
      </c>
      <c r="EL114" t="s">
        <v>9</v>
      </c>
      <c r="EM114" s="2">
        <v>739</v>
      </c>
      <c r="EN114" s="2">
        <v>571</v>
      </c>
      <c r="EO114" s="2">
        <v>1013</v>
      </c>
      <c r="EP114" s="2">
        <v>1253</v>
      </c>
      <c r="EQ114" s="2">
        <v>1966</v>
      </c>
      <c r="ER114" s="2">
        <v>1387</v>
      </c>
      <c r="ES114" s="2">
        <v>1680</v>
      </c>
      <c r="ET114" s="2">
        <v>1897</v>
      </c>
      <c r="EU114" s="2">
        <v>10506</v>
      </c>
      <c r="EW114">
        <v>10506</v>
      </c>
      <c r="EX114" s="2"/>
      <c r="EY114" s="282"/>
      <c r="EZ114" s="280" t="s">
        <v>9</v>
      </c>
      <c r="FA114" s="282">
        <v>1692</v>
      </c>
      <c r="FB114" s="282">
        <v>1378</v>
      </c>
      <c r="FC114" s="282">
        <v>2628</v>
      </c>
      <c r="FD114" s="282">
        <v>3150</v>
      </c>
      <c r="FE114" s="282">
        <v>4268</v>
      </c>
      <c r="FF114" s="282">
        <v>3924</v>
      </c>
      <c r="FG114" s="282">
        <v>4766</v>
      </c>
      <c r="FH114" s="282">
        <v>5391</v>
      </c>
      <c r="FI114" s="418">
        <v>11385</v>
      </c>
      <c r="FJ114" s="282"/>
      <c r="FK114" s="282"/>
      <c r="FL114" s="282"/>
      <c r="FM114" s="282"/>
      <c r="FN114" s="341" t="s">
        <v>9</v>
      </c>
      <c r="FO114" s="344">
        <v>739</v>
      </c>
      <c r="FP114" s="344">
        <v>571</v>
      </c>
      <c r="FQ114" s="344">
        <v>1013</v>
      </c>
      <c r="FR114" s="344">
        <v>1253</v>
      </c>
      <c r="FS114" s="344">
        <v>1966</v>
      </c>
      <c r="FT114" s="344">
        <v>1387</v>
      </c>
      <c r="FU114" s="344">
        <v>1680</v>
      </c>
      <c r="FV114" s="344">
        <v>1897</v>
      </c>
      <c r="FW114" s="289">
        <f>[5]Calc_FlrSpace!CR138</f>
        <v>11606</v>
      </c>
      <c r="FX114" s="341"/>
      <c r="FY114" s="341">
        <v>10506</v>
      </c>
      <c r="FZ114" s="282"/>
      <c r="GA114" s="282"/>
    </row>
    <row r="115" spans="75:267" x14ac:dyDescent="0.2">
      <c r="BW115" t="s">
        <v>10</v>
      </c>
      <c r="BX115" s="2">
        <v>1052</v>
      </c>
      <c r="BY115" s="2">
        <v>720</v>
      </c>
      <c r="BZ115" s="2">
        <v>1258</v>
      </c>
      <c r="CA115" s="2">
        <v>1426</v>
      </c>
      <c r="CB115" s="2">
        <v>1785</v>
      </c>
      <c r="CC115" s="2">
        <v>1247</v>
      </c>
      <c r="CD115" s="2">
        <v>968</v>
      </c>
      <c r="CE115" s="2"/>
      <c r="CF115" s="2">
        <v>8456</v>
      </c>
      <c r="CG115" s="282"/>
      <c r="CI115" t="s">
        <v>10</v>
      </c>
      <c r="CJ115" s="2">
        <v>1058</v>
      </c>
      <c r="CK115" s="2">
        <v>754</v>
      </c>
      <c r="CL115" s="2">
        <v>1277</v>
      </c>
      <c r="CM115" s="2">
        <v>1476</v>
      </c>
      <c r="CN115" s="2">
        <v>1894</v>
      </c>
      <c r="CO115" s="2">
        <v>1358</v>
      </c>
      <c r="CP115" s="2">
        <v>1489</v>
      </c>
      <c r="CQ115" s="2"/>
      <c r="CR115" s="2">
        <v>9306</v>
      </c>
      <c r="CT115" t="s">
        <v>10</v>
      </c>
      <c r="CU115" s="2">
        <v>1034</v>
      </c>
      <c r="CV115" s="2">
        <v>691</v>
      </c>
      <c r="CW115" s="2">
        <v>1245</v>
      </c>
      <c r="CX115" s="2">
        <v>1440</v>
      </c>
      <c r="CY115" s="2">
        <v>1879</v>
      </c>
      <c r="CZ115" s="2">
        <v>1331</v>
      </c>
      <c r="DA115" s="2">
        <v>1696</v>
      </c>
      <c r="DB115" s="2">
        <v>261</v>
      </c>
      <c r="DC115" s="2">
        <v>9577</v>
      </c>
      <c r="DE115" t="s">
        <v>10</v>
      </c>
      <c r="DF115" s="2">
        <v>987</v>
      </c>
      <c r="DG115" s="2">
        <v>695</v>
      </c>
      <c r="DH115" s="2">
        <v>1196</v>
      </c>
      <c r="DI115" s="2">
        <v>1409</v>
      </c>
      <c r="DJ115" s="2">
        <v>1840</v>
      </c>
      <c r="DK115" s="2">
        <v>1325</v>
      </c>
      <c r="DL115" s="2">
        <v>1751</v>
      </c>
      <c r="DM115" s="2">
        <v>643</v>
      </c>
      <c r="DN115" s="2">
        <v>9846</v>
      </c>
      <c r="DP115" t="s">
        <v>10</v>
      </c>
      <c r="DQ115" s="2">
        <v>932</v>
      </c>
      <c r="DR115" s="2">
        <v>641</v>
      </c>
      <c r="DS115" s="2">
        <v>1129</v>
      </c>
      <c r="DT115" s="2">
        <v>1385</v>
      </c>
      <c r="DU115" s="2">
        <v>1943</v>
      </c>
      <c r="DV115" s="2">
        <v>1294</v>
      </c>
      <c r="DW115" s="2">
        <v>1590</v>
      </c>
      <c r="DX115" s="2">
        <v>1010</v>
      </c>
      <c r="DY115" s="2">
        <v>9924</v>
      </c>
      <c r="EA115" t="s">
        <v>10</v>
      </c>
      <c r="EB115" s="2">
        <v>754</v>
      </c>
      <c r="EC115" s="2">
        <v>575</v>
      </c>
      <c r="ED115" s="2">
        <v>991</v>
      </c>
      <c r="EE115" s="2">
        <v>1215</v>
      </c>
      <c r="EF115" s="2">
        <v>1768</v>
      </c>
      <c r="EG115" s="2">
        <v>1144</v>
      </c>
      <c r="EH115" s="2">
        <v>1405</v>
      </c>
      <c r="EI115" s="2">
        <v>1342</v>
      </c>
      <c r="EJ115" s="2">
        <v>9194</v>
      </c>
      <c r="EL115" t="s">
        <v>10</v>
      </c>
      <c r="EM115" s="2">
        <v>734</v>
      </c>
      <c r="EN115" s="2">
        <v>560</v>
      </c>
      <c r="EO115" s="2">
        <v>1002</v>
      </c>
      <c r="EP115" s="2">
        <v>1201</v>
      </c>
      <c r="EQ115" s="2">
        <v>1758</v>
      </c>
      <c r="ER115" s="2">
        <v>1172</v>
      </c>
      <c r="ES115" s="2">
        <v>1399</v>
      </c>
      <c r="ET115" s="2">
        <v>1699</v>
      </c>
      <c r="EU115" s="2">
        <v>9525</v>
      </c>
      <c r="EW115">
        <v>9525</v>
      </c>
      <c r="EX115" s="2"/>
      <c r="EY115" s="282"/>
      <c r="EZ115" s="280" t="s">
        <v>10</v>
      </c>
      <c r="FA115" s="282">
        <v>1678</v>
      </c>
      <c r="FB115" s="282">
        <v>1362</v>
      </c>
      <c r="FC115" s="282">
        <v>2606</v>
      </c>
      <c r="FD115" s="282">
        <v>3049</v>
      </c>
      <c r="FE115" s="282">
        <v>3931</v>
      </c>
      <c r="FF115" s="282">
        <v>3486</v>
      </c>
      <c r="FG115" s="282">
        <v>4196</v>
      </c>
      <c r="FH115" s="282">
        <v>5079</v>
      </c>
      <c r="FI115" s="418">
        <v>10342</v>
      </c>
      <c r="FJ115" s="282"/>
      <c r="FK115" s="282"/>
      <c r="FL115" s="282"/>
      <c r="FM115" s="282"/>
      <c r="FN115" s="341" t="s">
        <v>10</v>
      </c>
      <c r="FO115" s="344">
        <v>734</v>
      </c>
      <c r="FP115" s="344">
        <v>560</v>
      </c>
      <c r="FQ115" s="344">
        <v>1002</v>
      </c>
      <c r="FR115" s="344">
        <v>1201</v>
      </c>
      <c r="FS115" s="344">
        <v>1758</v>
      </c>
      <c r="FT115" s="344">
        <v>1172</v>
      </c>
      <c r="FU115" s="344">
        <v>1399</v>
      </c>
      <c r="FV115" s="344">
        <v>1699</v>
      </c>
      <c r="FW115" s="289">
        <f>[5]Calc_FlrSpace!CR139</f>
        <v>10554</v>
      </c>
      <c r="FX115" s="341"/>
      <c r="FY115" s="341">
        <v>9525</v>
      </c>
      <c r="FZ115" s="282"/>
      <c r="GA115" s="282"/>
    </row>
    <row r="116" spans="75:267" x14ac:dyDescent="0.2">
      <c r="BW116" t="s">
        <v>11</v>
      </c>
      <c r="BX116" s="2">
        <v>5</v>
      </c>
      <c r="BY116" s="2">
        <v>4</v>
      </c>
      <c r="BZ116" s="2">
        <v>1</v>
      </c>
      <c r="CA116" s="2">
        <v>5</v>
      </c>
      <c r="CB116" s="2">
        <v>14</v>
      </c>
      <c r="CC116" s="2">
        <v>15</v>
      </c>
      <c r="CD116" s="2">
        <v>37</v>
      </c>
      <c r="CE116" s="2"/>
      <c r="CF116" s="2">
        <v>81</v>
      </c>
      <c r="CG116" s="282"/>
      <c r="CI116" t="s">
        <v>11</v>
      </c>
      <c r="CJ116" s="2">
        <v>40</v>
      </c>
      <c r="CK116" s="2">
        <v>30</v>
      </c>
      <c r="CL116" s="2">
        <v>20</v>
      </c>
      <c r="CM116" s="2">
        <v>56</v>
      </c>
      <c r="CN116" s="2">
        <v>158</v>
      </c>
      <c r="CO116" s="2">
        <v>212</v>
      </c>
      <c r="CP116" s="2">
        <v>137</v>
      </c>
      <c r="CQ116" s="2"/>
      <c r="CR116" s="2">
        <v>653</v>
      </c>
      <c r="CT116" t="s">
        <v>11</v>
      </c>
      <c r="CU116" s="2">
        <v>65</v>
      </c>
      <c r="CV116" s="2">
        <v>40</v>
      </c>
      <c r="CW116" s="2">
        <v>45</v>
      </c>
      <c r="CX116" s="2">
        <v>51</v>
      </c>
      <c r="CY116" s="2">
        <v>198</v>
      </c>
      <c r="CZ116" s="2">
        <v>264</v>
      </c>
      <c r="DA116" s="2">
        <v>184</v>
      </c>
      <c r="DB116" s="2">
        <v>31</v>
      </c>
      <c r="DC116" s="2">
        <v>878</v>
      </c>
      <c r="DE116" t="s">
        <v>11</v>
      </c>
      <c r="DF116" s="2">
        <v>61</v>
      </c>
      <c r="DG116" s="2">
        <v>32</v>
      </c>
      <c r="DH116" s="2">
        <v>33</v>
      </c>
      <c r="DI116" s="2">
        <v>44</v>
      </c>
      <c r="DJ116" s="2">
        <v>154</v>
      </c>
      <c r="DK116" s="2">
        <v>204</v>
      </c>
      <c r="DL116" s="2">
        <v>138</v>
      </c>
      <c r="DM116" s="2">
        <v>66</v>
      </c>
      <c r="DN116" s="2">
        <v>732</v>
      </c>
      <c r="DP116" t="s">
        <v>11</v>
      </c>
      <c r="DQ116" s="2">
        <v>56</v>
      </c>
      <c r="DR116" s="2">
        <v>33</v>
      </c>
      <c r="DS116" s="2">
        <v>29</v>
      </c>
      <c r="DT116" s="2">
        <v>37</v>
      </c>
      <c r="DU116" s="2">
        <v>125</v>
      </c>
      <c r="DV116" s="2">
        <v>191</v>
      </c>
      <c r="DW116" s="2">
        <v>124</v>
      </c>
      <c r="DX116" s="2">
        <v>94</v>
      </c>
      <c r="DY116" s="2">
        <v>689</v>
      </c>
      <c r="EA116" t="s">
        <v>11</v>
      </c>
      <c r="EB116" s="2">
        <v>47</v>
      </c>
      <c r="EC116" s="2">
        <v>30</v>
      </c>
      <c r="ED116" s="2">
        <v>27</v>
      </c>
      <c r="EE116" s="2">
        <v>29</v>
      </c>
      <c r="EF116" s="2">
        <v>113</v>
      </c>
      <c r="EG116" s="2">
        <v>163</v>
      </c>
      <c r="EH116" s="2">
        <v>97</v>
      </c>
      <c r="EI116" s="2">
        <v>118</v>
      </c>
      <c r="EJ116" s="2">
        <v>624</v>
      </c>
      <c r="EL116" t="s">
        <v>11</v>
      </c>
      <c r="EM116" s="2">
        <v>40</v>
      </c>
      <c r="EN116" s="2">
        <v>28</v>
      </c>
      <c r="EO116" s="2">
        <v>25</v>
      </c>
      <c r="EP116" s="2">
        <v>33</v>
      </c>
      <c r="EQ116" s="2">
        <v>97</v>
      </c>
      <c r="ER116" s="2">
        <v>162</v>
      </c>
      <c r="ES116" s="2">
        <v>89</v>
      </c>
      <c r="ET116" s="2">
        <v>159</v>
      </c>
      <c r="EU116" s="2">
        <v>633</v>
      </c>
      <c r="EW116">
        <v>633</v>
      </c>
      <c r="EX116" s="2"/>
      <c r="EY116" s="282"/>
      <c r="EZ116" s="280" t="s">
        <v>11</v>
      </c>
      <c r="FA116" s="282">
        <v>104</v>
      </c>
      <c r="FB116" s="282">
        <v>55</v>
      </c>
      <c r="FC116" s="282">
        <v>91</v>
      </c>
      <c r="FD116" s="282">
        <v>124</v>
      </c>
      <c r="FE116" s="282">
        <v>382</v>
      </c>
      <c r="FF116" s="282">
        <v>525</v>
      </c>
      <c r="FG116" s="282">
        <v>284</v>
      </c>
      <c r="FH116" s="282">
        <v>520</v>
      </c>
      <c r="FI116" s="418">
        <v>894</v>
      </c>
      <c r="FJ116" s="282"/>
      <c r="FK116" s="282"/>
      <c r="FL116" s="282"/>
      <c r="FM116" s="282"/>
      <c r="FN116" s="341" t="s">
        <v>11</v>
      </c>
      <c r="FO116" s="344">
        <v>40</v>
      </c>
      <c r="FP116" s="344">
        <v>28</v>
      </c>
      <c r="FQ116" s="344">
        <v>25</v>
      </c>
      <c r="FR116" s="344">
        <v>33</v>
      </c>
      <c r="FS116" s="344">
        <v>97</v>
      </c>
      <c r="FT116" s="344">
        <v>162</v>
      </c>
      <c r="FU116" s="344">
        <v>89</v>
      </c>
      <c r="FV116" s="344">
        <v>159</v>
      </c>
      <c r="FW116" s="289">
        <f>[5]Calc_FlrSpace!CR140</f>
        <v>911</v>
      </c>
      <c r="FX116" s="341"/>
      <c r="FY116" s="341">
        <v>633</v>
      </c>
      <c r="FZ116" s="282"/>
      <c r="GA116" s="282"/>
      <c r="GB116" s="282"/>
      <c r="GC116" s="2"/>
      <c r="GD116" s="2"/>
      <c r="GE116" s="2"/>
      <c r="GF116" s="2"/>
      <c r="GG116" s="2"/>
      <c r="GH116" s="2"/>
      <c r="GI116" s="2"/>
    </row>
    <row r="117" spans="75:267" x14ac:dyDescent="0.2">
      <c r="BW117" t="s">
        <v>12</v>
      </c>
      <c r="BX117" s="2">
        <v>6</v>
      </c>
      <c r="BY117" s="2">
        <v>7</v>
      </c>
      <c r="BZ117" s="2">
        <v>10</v>
      </c>
      <c r="CA117" s="2">
        <v>12</v>
      </c>
      <c r="CB117" s="2">
        <v>38</v>
      </c>
      <c r="CC117" s="2">
        <v>28</v>
      </c>
      <c r="CD117" s="2">
        <v>49</v>
      </c>
      <c r="CE117" s="2"/>
      <c r="CF117" s="2">
        <v>150</v>
      </c>
      <c r="CG117" s="282"/>
      <c r="CI117" t="s">
        <v>12</v>
      </c>
      <c r="CJ117" s="2">
        <v>99</v>
      </c>
      <c r="CK117" s="2">
        <v>79</v>
      </c>
      <c r="CL117" s="2">
        <v>88</v>
      </c>
      <c r="CM117" s="2">
        <v>217</v>
      </c>
      <c r="CN117" s="2">
        <v>486</v>
      </c>
      <c r="CO117" s="2">
        <v>519</v>
      </c>
      <c r="CP117" s="2">
        <v>197</v>
      </c>
      <c r="CQ117" s="2"/>
      <c r="CR117" s="2">
        <v>1685</v>
      </c>
      <c r="CT117" t="s">
        <v>12</v>
      </c>
      <c r="CU117" s="2">
        <v>138</v>
      </c>
      <c r="CV117" s="2">
        <v>96</v>
      </c>
      <c r="CW117" s="2">
        <v>103</v>
      </c>
      <c r="CX117" s="2">
        <v>264</v>
      </c>
      <c r="CY117" s="2">
        <v>616</v>
      </c>
      <c r="CZ117" s="2">
        <v>568</v>
      </c>
      <c r="DA117" s="2">
        <v>245</v>
      </c>
      <c r="DB117" s="2">
        <v>26</v>
      </c>
      <c r="DC117" s="2">
        <v>2056</v>
      </c>
      <c r="DE117" t="s">
        <v>12</v>
      </c>
      <c r="DF117" s="2">
        <v>132</v>
      </c>
      <c r="DG117" s="2">
        <v>102</v>
      </c>
      <c r="DH117" s="2">
        <v>117</v>
      </c>
      <c r="DI117" s="2">
        <v>292</v>
      </c>
      <c r="DJ117" s="2">
        <v>684</v>
      </c>
      <c r="DK117" s="2">
        <v>659</v>
      </c>
      <c r="DL117" s="2">
        <v>330</v>
      </c>
      <c r="DM117" s="2">
        <v>123</v>
      </c>
      <c r="DN117" s="2">
        <v>2439</v>
      </c>
      <c r="DP117" t="s">
        <v>12</v>
      </c>
      <c r="DQ117" s="2">
        <v>125</v>
      </c>
      <c r="DR117" s="2">
        <v>95</v>
      </c>
      <c r="DS117" s="2">
        <v>114</v>
      </c>
      <c r="DT117" s="2">
        <v>292</v>
      </c>
      <c r="DU117" s="2">
        <v>802</v>
      </c>
      <c r="DV117" s="2">
        <v>700</v>
      </c>
      <c r="DW117" s="2">
        <v>346</v>
      </c>
      <c r="DX117" s="2">
        <v>174</v>
      </c>
      <c r="DY117" s="2">
        <v>2648</v>
      </c>
      <c r="EA117" t="s">
        <v>12</v>
      </c>
      <c r="EB117" s="2">
        <v>115</v>
      </c>
      <c r="EC117" s="2">
        <v>86</v>
      </c>
      <c r="ED117" s="2">
        <v>86</v>
      </c>
      <c r="EE117" s="2">
        <v>282</v>
      </c>
      <c r="EF117" s="2">
        <v>727</v>
      </c>
      <c r="EG117" s="2">
        <v>634</v>
      </c>
      <c r="EH117" s="2">
        <v>336</v>
      </c>
      <c r="EI117" s="2">
        <v>252</v>
      </c>
      <c r="EJ117" s="2">
        <v>2518</v>
      </c>
      <c r="EL117" t="s">
        <v>12</v>
      </c>
      <c r="EM117" s="2">
        <v>122</v>
      </c>
      <c r="EN117" s="2">
        <v>77</v>
      </c>
      <c r="EO117" s="2">
        <v>92</v>
      </c>
      <c r="EP117" s="2">
        <v>296</v>
      </c>
      <c r="EQ117" s="2">
        <v>760</v>
      </c>
      <c r="ER117" s="2">
        <v>659</v>
      </c>
      <c r="ES117" s="2">
        <v>337</v>
      </c>
      <c r="ET117" s="2">
        <v>332</v>
      </c>
      <c r="EU117" s="2">
        <v>2675</v>
      </c>
      <c r="EW117">
        <v>2675</v>
      </c>
      <c r="EX117" s="2"/>
      <c r="EY117" s="282"/>
      <c r="EZ117" s="280" t="s">
        <v>12</v>
      </c>
      <c r="FA117" s="282">
        <v>420</v>
      </c>
      <c r="FB117" s="282">
        <v>223</v>
      </c>
      <c r="FC117" s="282">
        <v>381</v>
      </c>
      <c r="FD117" s="282">
        <v>943</v>
      </c>
      <c r="FE117" s="282">
        <v>1921</v>
      </c>
      <c r="FF117" s="282">
        <v>1953</v>
      </c>
      <c r="FG117" s="282">
        <v>1021</v>
      </c>
      <c r="FH117" s="282">
        <v>953</v>
      </c>
      <c r="FI117" s="418">
        <v>3508</v>
      </c>
      <c r="FJ117" s="282"/>
      <c r="FK117" s="282"/>
      <c r="FL117" s="282"/>
      <c r="FM117" s="282"/>
      <c r="FN117" s="341" t="s">
        <v>12</v>
      </c>
      <c r="FO117" s="344">
        <v>122</v>
      </c>
      <c r="FP117" s="344">
        <v>77</v>
      </c>
      <c r="FQ117" s="344">
        <v>92</v>
      </c>
      <c r="FR117" s="344">
        <v>296</v>
      </c>
      <c r="FS117" s="344">
        <v>760</v>
      </c>
      <c r="FT117" s="344">
        <v>659</v>
      </c>
      <c r="FU117" s="344">
        <v>337</v>
      </c>
      <c r="FV117" s="344">
        <v>332</v>
      </c>
      <c r="FW117" s="289">
        <f>[5]Calc_FlrSpace!CR141</f>
        <v>3904</v>
      </c>
      <c r="FX117" s="341"/>
      <c r="FY117" s="341">
        <v>2675</v>
      </c>
      <c r="FZ117" s="282"/>
      <c r="GA117" s="282"/>
      <c r="GB117" s="282"/>
      <c r="GC117" s="2"/>
      <c r="GD117" s="2"/>
      <c r="GE117" s="2"/>
      <c r="GF117" s="2"/>
      <c r="GG117" s="2"/>
      <c r="GH117" s="2"/>
      <c r="GI117" s="2"/>
    </row>
    <row r="118" spans="75:267" x14ac:dyDescent="0.2">
      <c r="BW118" t="s">
        <v>13</v>
      </c>
      <c r="BX118" s="2">
        <v>4</v>
      </c>
      <c r="BY118" s="2">
        <v>4</v>
      </c>
      <c r="BZ118" s="2">
        <v>14</v>
      </c>
      <c r="CA118" s="2">
        <v>103</v>
      </c>
      <c r="CB118" s="2">
        <v>409</v>
      </c>
      <c r="CC118" s="2">
        <v>305</v>
      </c>
      <c r="CD118" s="2">
        <v>186</v>
      </c>
      <c r="CE118" s="2"/>
      <c r="CF118" s="2">
        <v>1025</v>
      </c>
      <c r="CG118" s="282"/>
      <c r="CI118" t="s">
        <v>13</v>
      </c>
      <c r="CJ118" s="2">
        <v>7</v>
      </c>
      <c r="CK118" s="2">
        <v>5</v>
      </c>
      <c r="CL118" s="2">
        <v>13</v>
      </c>
      <c r="CM118" s="2">
        <v>84</v>
      </c>
      <c r="CN118" s="2">
        <v>370</v>
      </c>
      <c r="CO118" s="2">
        <v>318</v>
      </c>
      <c r="CP118" s="2">
        <v>277</v>
      </c>
      <c r="CQ118" s="2"/>
      <c r="CR118" s="2">
        <v>1074</v>
      </c>
      <c r="CT118" t="s">
        <v>13</v>
      </c>
      <c r="CU118" s="2">
        <v>11</v>
      </c>
      <c r="CV118" s="2">
        <v>8</v>
      </c>
      <c r="CW118" s="2">
        <v>13</v>
      </c>
      <c r="CX118" s="2">
        <v>81</v>
      </c>
      <c r="CY118" s="2">
        <v>346</v>
      </c>
      <c r="CZ118" s="2">
        <v>299</v>
      </c>
      <c r="DA118" s="2">
        <v>310</v>
      </c>
      <c r="DB118" s="2">
        <v>33</v>
      </c>
      <c r="DC118" s="2">
        <v>1101</v>
      </c>
      <c r="DE118" t="s">
        <v>13</v>
      </c>
      <c r="DF118" s="2">
        <v>9</v>
      </c>
      <c r="DG118" s="2">
        <v>7</v>
      </c>
      <c r="DH118" s="2">
        <v>14</v>
      </c>
      <c r="DI118" s="2">
        <v>78</v>
      </c>
      <c r="DJ118" s="2">
        <v>324</v>
      </c>
      <c r="DK118" s="2">
        <v>266</v>
      </c>
      <c r="DL118" s="2">
        <v>312</v>
      </c>
      <c r="DM118" s="2">
        <v>67</v>
      </c>
      <c r="DN118" s="2">
        <v>1077</v>
      </c>
      <c r="DP118" t="s">
        <v>13</v>
      </c>
      <c r="DQ118" s="2">
        <v>6</v>
      </c>
      <c r="DR118" s="2">
        <v>8</v>
      </c>
      <c r="DS118" s="2">
        <v>6</v>
      </c>
      <c r="DT118" s="2">
        <v>58</v>
      </c>
      <c r="DU118" s="2">
        <v>239</v>
      </c>
      <c r="DV118" s="2">
        <v>229</v>
      </c>
      <c r="DW118" s="2">
        <v>268</v>
      </c>
      <c r="DX118" s="2">
        <v>177</v>
      </c>
      <c r="DY118" s="2">
        <v>991</v>
      </c>
      <c r="EA118" t="s">
        <v>13</v>
      </c>
      <c r="EB118" s="2">
        <v>7</v>
      </c>
      <c r="EC118" s="2">
        <v>6</v>
      </c>
      <c r="ED118" s="2">
        <v>8</v>
      </c>
      <c r="EE118" s="2">
        <v>44</v>
      </c>
      <c r="EF118" s="2">
        <v>216</v>
      </c>
      <c r="EG118" s="2">
        <v>221</v>
      </c>
      <c r="EH118" s="2">
        <v>273</v>
      </c>
      <c r="EI118" s="2">
        <v>178</v>
      </c>
      <c r="EJ118" s="2">
        <v>953</v>
      </c>
      <c r="EL118" t="s">
        <v>13</v>
      </c>
      <c r="EM118" s="2">
        <v>5</v>
      </c>
      <c r="EN118" s="2">
        <v>11</v>
      </c>
      <c r="EO118" s="2">
        <v>11</v>
      </c>
      <c r="EP118" s="2">
        <v>52</v>
      </c>
      <c r="EQ118" s="2">
        <v>208</v>
      </c>
      <c r="ER118" s="2">
        <v>215</v>
      </c>
      <c r="ES118" s="2">
        <v>281</v>
      </c>
      <c r="ET118" s="2">
        <v>198</v>
      </c>
      <c r="EU118" s="2">
        <v>981</v>
      </c>
      <c r="EW118">
        <v>981</v>
      </c>
      <c r="EX118" s="2"/>
      <c r="EY118" s="282"/>
      <c r="EZ118" s="280" t="s">
        <v>13</v>
      </c>
      <c r="FA118" s="282">
        <v>14</v>
      </c>
      <c r="FB118" s="282">
        <v>16</v>
      </c>
      <c r="FC118" s="282">
        <v>22</v>
      </c>
      <c r="FD118" s="282">
        <v>101</v>
      </c>
      <c r="FE118" s="282">
        <v>337</v>
      </c>
      <c r="FF118" s="282">
        <v>438</v>
      </c>
      <c r="FG118" s="282">
        <v>570</v>
      </c>
      <c r="FH118" s="282">
        <v>312</v>
      </c>
      <c r="FI118" s="418">
        <v>1043</v>
      </c>
      <c r="FJ118" s="282"/>
      <c r="FK118" s="282"/>
      <c r="FL118" s="282"/>
      <c r="FM118" s="282"/>
      <c r="FN118" s="341" t="s">
        <v>13</v>
      </c>
      <c r="FO118" s="344">
        <v>5</v>
      </c>
      <c r="FP118" s="344">
        <v>11</v>
      </c>
      <c r="FQ118" s="344">
        <v>11</v>
      </c>
      <c r="FR118" s="344">
        <v>52</v>
      </c>
      <c r="FS118" s="344">
        <v>208</v>
      </c>
      <c r="FT118" s="344">
        <v>215</v>
      </c>
      <c r="FU118" s="344">
        <v>281</v>
      </c>
      <c r="FV118" s="344">
        <v>198</v>
      </c>
      <c r="FW118" s="289">
        <f>[5]Calc_FlrSpace!CR142</f>
        <v>1052</v>
      </c>
      <c r="FX118" s="341"/>
      <c r="FY118" s="341">
        <v>981</v>
      </c>
      <c r="FZ118" s="282"/>
      <c r="GA118" s="282"/>
      <c r="GB118" s="282"/>
      <c r="GC118" s="2"/>
      <c r="GD118" s="2"/>
      <c r="GE118" s="2"/>
      <c r="GF118" s="2"/>
      <c r="GG118" s="2"/>
      <c r="GH118" s="2"/>
      <c r="GI118" s="2"/>
    </row>
    <row r="119" spans="75:267" x14ac:dyDescent="0.2">
      <c r="BW119" t="s">
        <v>14</v>
      </c>
      <c r="BX119" s="2">
        <v>1067</v>
      </c>
      <c r="BY119" s="2">
        <v>735</v>
      </c>
      <c r="BZ119" s="2">
        <v>1283</v>
      </c>
      <c r="CA119" s="2">
        <v>1546</v>
      </c>
      <c r="CB119" s="2">
        <v>2246</v>
      </c>
      <c r="CC119" s="2">
        <v>1595</v>
      </c>
      <c r="CD119" s="2">
        <v>1240</v>
      </c>
      <c r="CE119" s="2"/>
      <c r="CF119" s="2">
        <v>9712</v>
      </c>
      <c r="CG119" s="282"/>
      <c r="CI119" t="s">
        <v>14</v>
      </c>
      <c r="CJ119" s="2">
        <v>1204</v>
      </c>
      <c r="CK119" s="2">
        <v>868</v>
      </c>
      <c r="CL119" s="2">
        <v>1399</v>
      </c>
      <c r="CM119" s="2">
        <v>1833</v>
      </c>
      <c r="CN119" s="2">
        <v>2909</v>
      </c>
      <c r="CO119" s="2">
        <v>2407</v>
      </c>
      <c r="CP119" s="2">
        <v>2100</v>
      </c>
      <c r="CQ119" s="2"/>
      <c r="CR119" s="2">
        <v>12720</v>
      </c>
      <c r="CT119" t="s">
        <v>14</v>
      </c>
      <c r="CU119" s="2">
        <v>1248</v>
      </c>
      <c r="CV119" s="2">
        <v>835</v>
      </c>
      <c r="CW119" s="2">
        <v>1406</v>
      </c>
      <c r="CX119" s="2">
        <v>1836</v>
      </c>
      <c r="CY119" s="2">
        <v>3039</v>
      </c>
      <c r="CZ119" s="2">
        <v>2462</v>
      </c>
      <c r="DA119" s="2">
        <v>2435</v>
      </c>
      <c r="DB119" s="2">
        <v>351</v>
      </c>
      <c r="DC119" s="2">
        <v>13612</v>
      </c>
      <c r="DE119" t="s">
        <v>14</v>
      </c>
      <c r="DF119" s="2">
        <v>1189</v>
      </c>
      <c r="DG119" s="2">
        <v>836</v>
      </c>
      <c r="DH119" s="2">
        <v>1360</v>
      </c>
      <c r="DI119" s="2">
        <v>1823</v>
      </c>
      <c r="DJ119" s="2">
        <v>3002</v>
      </c>
      <c r="DK119" s="2">
        <v>2454</v>
      </c>
      <c r="DL119" s="2">
        <v>2531</v>
      </c>
      <c r="DM119" s="2">
        <v>899</v>
      </c>
      <c r="DN119" s="2">
        <v>14094</v>
      </c>
      <c r="DP119" t="s">
        <v>14</v>
      </c>
      <c r="DQ119" s="2">
        <v>1119</v>
      </c>
      <c r="DR119" s="2">
        <v>777</v>
      </c>
      <c r="DS119" s="2">
        <v>1278</v>
      </c>
      <c r="DT119" s="2">
        <v>1772</v>
      </c>
      <c r="DU119" s="2">
        <v>3109</v>
      </c>
      <c r="DV119" s="2">
        <v>2414</v>
      </c>
      <c r="DW119" s="2">
        <v>2328</v>
      </c>
      <c r="DX119" s="2">
        <v>1455</v>
      </c>
      <c r="DY119" s="2">
        <v>14252</v>
      </c>
      <c r="EA119" t="s">
        <v>14</v>
      </c>
      <c r="EB119" s="2">
        <v>923</v>
      </c>
      <c r="EC119" s="2">
        <v>697</v>
      </c>
      <c r="ED119" s="2">
        <v>1112</v>
      </c>
      <c r="EE119" s="2">
        <v>1570</v>
      </c>
      <c r="EF119" s="2">
        <v>2824</v>
      </c>
      <c r="EG119" s="2">
        <v>2162</v>
      </c>
      <c r="EH119" s="2">
        <v>2111</v>
      </c>
      <c r="EI119" s="2">
        <v>1890</v>
      </c>
      <c r="EJ119" s="2">
        <v>13289</v>
      </c>
      <c r="EL119" t="s">
        <v>14</v>
      </c>
      <c r="EM119" s="2">
        <v>901</v>
      </c>
      <c r="EN119" s="2">
        <v>676</v>
      </c>
      <c r="EO119" s="2">
        <v>1130</v>
      </c>
      <c r="EP119" s="2">
        <v>1582</v>
      </c>
      <c r="EQ119" s="2">
        <v>2823</v>
      </c>
      <c r="ER119" s="2">
        <v>2208</v>
      </c>
      <c r="ES119" s="2">
        <v>2106</v>
      </c>
      <c r="ET119" s="2">
        <v>2388</v>
      </c>
      <c r="EU119" s="2">
        <v>13814</v>
      </c>
      <c r="EW119">
        <v>13814</v>
      </c>
      <c r="EZ119" s="280" t="s">
        <v>14</v>
      </c>
      <c r="FA119" s="282">
        <v>2216</v>
      </c>
      <c r="FB119" s="282">
        <v>1656</v>
      </c>
      <c r="FC119" s="282">
        <v>3100</v>
      </c>
      <c r="FD119" s="282">
        <v>4217</v>
      </c>
      <c r="FE119" s="282">
        <v>6571</v>
      </c>
      <c r="FF119" s="282">
        <v>6402</v>
      </c>
      <c r="FG119" s="282">
        <v>6071</v>
      </c>
      <c r="FH119" s="282">
        <v>6864</v>
      </c>
      <c r="FI119" s="418">
        <v>15787</v>
      </c>
      <c r="FN119" s="341" t="s">
        <v>14</v>
      </c>
      <c r="FO119" s="344">
        <v>901</v>
      </c>
      <c r="FP119" s="344">
        <v>676</v>
      </c>
      <c r="FQ119" s="344">
        <v>1130</v>
      </c>
      <c r="FR119" s="344">
        <v>1582</v>
      </c>
      <c r="FS119" s="344">
        <v>2823</v>
      </c>
      <c r="FT119" s="344">
        <v>2208</v>
      </c>
      <c r="FU119" s="344">
        <v>2106</v>
      </c>
      <c r="FV119" s="344">
        <v>2388</v>
      </c>
      <c r="FW119" s="289">
        <f>[5]Calc_FlrSpace!CR143</f>
        <v>16421</v>
      </c>
      <c r="FX119" s="341"/>
      <c r="FY119" s="341">
        <v>13814</v>
      </c>
      <c r="FZ119" s="282"/>
      <c r="GB119" s="282"/>
      <c r="GC119" s="2"/>
      <c r="GD119" s="2"/>
      <c r="GE119" s="2"/>
      <c r="GF119" s="2"/>
      <c r="GG119" s="2"/>
      <c r="GH119" s="2"/>
      <c r="GI119" s="2"/>
    </row>
    <row r="120" spans="75:267" x14ac:dyDescent="0.2">
      <c r="DQ120" t="s">
        <v>26</v>
      </c>
      <c r="DR120" t="s">
        <v>26</v>
      </c>
      <c r="DS120" t="s">
        <v>26</v>
      </c>
      <c r="DT120" t="s">
        <v>26</v>
      </c>
      <c r="DU120" t="s">
        <v>26</v>
      </c>
      <c r="EB120" t="s">
        <v>26</v>
      </c>
      <c r="EC120" t="s">
        <v>26</v>
      </c>
      <c r="ED120" t="s">
        <v>26</v>
      </c>
      <c r="EE120" t="s">
        <v>26</v>
      </c>
      <c r="EF120" t="s">
        <v>26</v>
      </c>
      <c r="EX120" s="3"/>
      <c r="EY120" s="294"/>
      <c r="FJ120" s="294"/>
      <c r="FK120" s="294"/>
      <c r="FL120" s="294"/>
      <c r="FM120" s="294"/>
      <c r="FN120" s="341"/>
      <c r="FO120" s="341"/>
      <c r="FP120" s="341"/>
      <c r="FQ120" s="341"/>
      <c r="FR120" s="341"/>
      <c r="FS120" s="341"/>
      <c r="FT120" s="341"/>
      <c r="FU120" s="341"/>
      <c r="FV120" s="341"/>
      <c r="FW120" s="341"/>
      <c r="FX120" s="341"/>
      <c r="FY120" s="341"/>
      <c r="GA120" s="294"/>
      <c r="GB120" s="282"/>
      <c r="GC120" s="2"/>
      <c r="GD120" s="2"/>
      <c r="GE120" s="2"/>
      <c r="GF120" s="2"/>
      <c r="GG120" s="2"/>
      <c r="GH120" s="2"/>
      <c r="GI120" s="2"/>
    </row>
    <row r="121" spans="75:267" x14ac:dyDescent="0.2">
      <c r="BW121" t="s">
        <v>17</v>
      </c>
      <c r="BY121" s="3">
        <v>53.023622567422322</v>
      </c>
      <c r="CI121" t="s">
        <v>17</v>
      </c>
      <c r="CK121" s="3">
        <v>61.950933174456132</v>
      </c>
      <c r="CT121" t="s">
        <v>17</v>
      </c>
      <c r="CV121" s="3">
        <v>65.226625003967769</v>
      </c>
      <c r="DE121" t="s">
        <v>17</v>
      </c>
      <c r="DG121" s="3">
        <v>67.823632357713961</v>
      </c>
      <c r="DP121" t="s">
        <v>17</v>
      </c>
      <c r="DR121" s="3">
        <v>73.22900228893765</v>
      </c>
      <c r="DS121" t="s">
        <v>26</v>
      </c>
      <c r="DT121" t="s">
        <v>26</v>
      </c>
      <c r="DU121" t="s">
        <v>26</v>
      </c>
      <c r="EA121" t="s">
        <v>17</v>
      </c>
      <c r="EC121" s="3">
        <v>73.22900228893765</v>
      </c>
      <c r="ED121" t="s">
        <v>26</v>
      </c>
      <c r="EE121" t="s">
        <v>26</v>
      </c>
      <c r="EF121" t="s">
        <v>26</v>
      </c>
      <c r="EL121" t="s">
        <v>17</v>
      </c>
      <c r="EN121" s="3">
        <v>79.061506131712989</v>
      </c>
      <c r="EZ121" s="280" t="s">
        <v>17</v>
      </c>
      <c r="FB121" s="284">
        <v>81.339000450983733</v>
      </c>
      <c r="FN121" s="341" t="s">
        <v>17</v>
      </c>
      <c r="FO121" s="341"/>
      <c r="FP121" s="346">
        <v>79.061506131712989</v>
      </c>
      <c r="FQ121" s="341"/>
      <c r="FR121" s="341"/>
      <c r="FS121" s="341"/>
      <c r="FT121" s="341"/>
      <c r="FU121" s="341"/>
      <c r="FV121" s="341"/>
      <c r="FW121" s="341"/>
      <c r="FX121" s="341"/>
      <c r="FY121" s="341"/>
      <c r="FZ121" s="294"/>
      <c r="GB121" s="282"/>
      <c r="GC121" s="2"/>
      <c r="GD121" s="2"/>
      <c r="GE121" s="2"/>
      <c r="GF121" s="2"/>
      <c r="GG121" s="2"/>
      <c r="GH121" s="2"/>
      <c r="GI121" s="2"/>
    </row>
    <row r="122" spans="75:267" ht="15.75" x14ac:dyDescent="0.25">
      <c r="DQ122" t="s">
        <v>26</v>
      </c>
      <c r="DR122" t="s">
        <v>26</v>
      </c>
      <c r="DS122" t="s">
        <v>26</v>
      </c>
      <c r="DT122" t="s">
        <v>26</v>
      </c>
      <c r="DU122" t="s">
        <v>26</v>
      </c>
      <c r="EB122">
        <v>1400</v>
      </c>
      <c r="EC122">
        <v>1400</v>
      </c>
      <c r="ED122" t="s">
        <v>26</v>
      </c>
      <c r="EE122" t="s">
        <v>26</v>
      </c>
      <c r="EF122" t="s">
        <v>26</v>
      </c>
      <c r="EK122" s="6"/>
      <c r="FN122" s="341"/>
      <c r="FO122" s="341"/>
      <c r="FP122" s="341"/>
      <c r="FQ122" s="341"/>
      <c r="FR122" s="341"/>
      <c r="FS122" s="341"/>
      <c r="FT122" s="341"/>
      <c r="FU122" s="341"/>
      <c r="FV122" s="341"/>
      <c r="FW122" s="341"/>
      <c r="FX122" s="341"/>
      <c r="FY122" s="341"/>
    </row>
    <row r="123" spans="75:267" ht="15.75" x14ac:dyDescent="0.25">
      <c r="BW123" s="6" t="s">
        <v>23</v>
      </c>
      <c r="CI123" s="6" t="s">
        <v>23</v>
      </c>
      <c r="CT123" s="6" t="s">
        <v>23</v>
      </c>
      <c r="DE123" s="6" t="s">
        <v>23</v>
      </c>
      <c r="DP123" s="6" t="s">
        <v>23</v>
      </c>
      <c r="EA123" s="6" t="s">
        <v>23</v>
      </c>
      <c r="EL123" s="6" t="s">
        <v>23</v>
      </c>
      <c r="EZ123" s="6" t="s">
        <v>23</v>
      </c>
      <c r="FN123" s="347" t="s">
        <v>23</v>
      </c>
      <c r="FO123" s="341"/>
      <c r="FP123" s="341"/>
      <c r="FQ123" s="341"/>
      <c r="FR123" s="341"/>
      <c r="FS123" s="341"/>
      <c r="FT123" s="341"/>
      <c r="FU123" s="341"/>
      <c r="FV123" s="341"/>
      <c r="FW123" s="341"/>
      <c r="FX123" s="341"/>
      <c r="FY123" s="341"/>
      <c r="GB123" s="294"/>
      <c r="IO123" t="s">
        <v>33</v>
      </c>
      <c r="IQ123" t="s">
        <v>23</v>
      </c>
      <c r="IY123" t="s">
        <v>28</v>
      </c>
    </row>
    <row r="124" spans="75:267" x14ac:dyDescent="0.2">
      <c r="BX124" t="s">
        <v>0</v>
      </c>
      <c r="BY124" t="s">
        <v>1</v>
      </c>
      <c r="BZ124" t="s">
        <v>2</v>
      </c>
      <c r="CA124" t="s">
        <v>3</v>
      </c>
      <c r="CB124" t="s">
        <v>4</v>
      </c>
      <c r="CC124" t="s">
        <v>5</v>
      </c>
      <c r="CD124" t="s">
        <v>6</v>
      </c>
      <c r="CE124" t="s">
        <v>7</v>
      </c>
      <c r="CJ124" t="s">
        <v>0</v>
      </c>
      <c r="CK124" t="s">
        <v>1</v>
      </c>
      <c r="CL124" t="s">
        <v>2</v>
      </c>
      <c r="CM124" t="s">
        <v>3</v>
      </c>
      <c r="CN124" t="s">
        <v>4</v>
      </c>
      <c r="CO124" t="s">
        <v>5</v>
      </c>
      <c r="CP124" t="s">
        <v>6</v>
      </c>
      <c r="CQ124" t="s">
        <v>7</v>
      </c>
      <c r="CU124" t="s">
        <v>0</v>
      </c>
      <c r="CV124" t="s">
        <v>1</v>
      </c>
      <c r="CW124" t="s">
        <v>2</v>
      </c>
      <c r="CX124" t="s">
        <v>3</v>
      </c>
      <c r="CY124" t="s">
        <v>4</v>
      </c>
      <c r="CZ124" t="s">
        <v>5</v>
      </c>
      <c r="DA124" t="s">
        <v>6</v>
      </c>
      <c r="DB124" t="s">
        <v>7</v>
      </c>
      <c r="DF124" t="s">
        <v>0</v>
      </c>
      <c r="DG124" t="s">
        <v>1</v>
      </c>
      <c r="DH124" t="s">
        <v>2</v>
      </c>
      <c r="DI124" t="s">
        <v>3</v>
      </c>
      <c r="DJ124" t="s">
        <v>4</v>
      </c>
      <c r="DK124" t="s">
        <v>5</v>
      </c>
      <c r="DL124" t="s">
        <v>6</v>
      </c>
      <c r="DM124" t="s">
        <v>7</v>
      </c>
      <c r="DQ124" t="s">
        <v>0</v>
      </c>
      <c r="DR124" t="s">
        <v>1</v>
      </c>
      <c r="DS124" t="s">
        <v>2</v>
      </c>
      <c r="DT124" t="s">
        <v>3</v>
      </c>
      <c r="DU124" t="s">
        <v>4</v>
      </c>
      <c r="DV124" t="s">
        <v>5</v>
      </c>
      <c r="DW124" t="s">
        <v>6</v>
      </c>
      <c r="DX124" t="s">
        <v>7</v>
      </c>
      <c r="EB124" t="s">
        <v>0</v>
      </c>
      <c r="EC124" t="s">
        <v>1</v>
      </c>
      <c r="ED124" t="s">
        <v>2</v>
      </c>
      <c r="EE124" t="s">
        <v>3</v>
      </c>
      <c r="EF124" t="s">
        <v>4</v>
      </c>
      <c r="EG124" t="s">
        <v>5</v>
      </c>
      <c r="EH124" t="s">
        <v>6</v>
      </c>
      <c r="EI124" t="s">
        <v>7</v>
      </c>
      <c r="EM124" t="s">
        <v>0</v>
      </c>
      <c r="EN124" t="s">
        <v>1</v>
      </c>
      <c r="EO124" t="s">
        <v>2</v>
      </c>
      <c r="EP124" t="s">
        <v>3</v>
      </c>
      <c r="EQ124" t="s">
        <v>4</v>
      </c>
      <c r="ER124" t="s">
        <v>5</v>
      </c>
      <c r="ES124" t="s">
        <v>6</v>
      </c>
      <c r="ET124" t="s">
        <v>7</v>
      </c>
      <c r="FA124" s="280" t="s">
        <v>0</v>
      </c>
      <c r="FB124" s="280" t="s">
        <v>1</v>
      </c>
      <c r="FC124" s="280" t="s">
        <v>2</v>
      </c>
      <c r="FD124" s="280" t="s">
        <v>3</v>
      </c>
      <c r="FE124" s="280" t="s">
        <v>4</v>
      </c>
      <c r="FF124" s="280" t="s">
        <v>5</v>
      </c>
      <c r="FG124" s="280" t="s">
        <v>6</v>
      </c>
      <c r="FH124" s="280" t="s">
        <v>7</v>
      </c>
      <c r="FN124" s="341"/>
      <c r="FO124" s="341" t="s">
        <v>0</v>
      </c>
      <c r="FP124" s="341" t="s">
        <v>1</v>
      </c>
      <c r="FQ124" s="341" t="s">
        <v>2</v>
      </c>
      <c r="FR124" s="341" t="s">
        <v>3</v>
      </c>
      <c r="FS124" s="341" t="s">
        <v>4</v>
      </c>
      <c r="FT124" s="341" t="s">
        <v>5</v>
      </c>
      <c r="FU124" s="341" t="s">
        <v>6</v>
      </c>
      <c r="FV124" s="341" t="s">
        <v>7</v>
      </c>
      <c r="FW124" s="341"/>
      <c r="FX124" s="341"/>
      <c r="FY124" s="341"/>
      <c r="IP124" t="s">
        <v>0</v>
      </c>
      <c r="IQ124" t="s">
        <v>1</v>
      </c>
      <c r="IR124" t="s">
        <v>2</v>
      </c>
      <c r="IS124" t="s">
        <v>3</v>
      </c>
      <c r="IT124" t="s">
        <v>4</v>
      </c>
      <c r="IU124" t="s">
        <v>5</v>
      </c>
      <c r="IV124" t="s">
        <v>6</v>
      </c>
      <c r="IY124" t="s">
        <v>29</v>
      </c>
      <c r="IZ124" t="s">
        <v>30</v>
      </c>
      <c r="JF124" t="s">
        <v>35</v>
      </c>
    </row>
    <row r="125" spans="75:267" x14ac:dyDescent="0.2">
      <c r="DQ125" t="s">
        <v>26</v>
      </c>
      <c r="DR125" t="s">
        <v>26</v>
      </c>
      <c r="DS125" t="s">
        <v>26</v>
      </c>
      <c r="DT125" t="s">
        <v>26</v>
      </c>
      <c r="DU125" t="s">
        <v>26</v>
      </c>
      <c r="EB125" t="s">
        <v>26</v>
      </c>
      <c r="EC125" t="s">
        <v>26</v>
      </c>
      <c r="ED125" t="s">
        <v>26</v>
      </c>
      <c r="EE125" t="s">
        <v>26</v>
      </c>
      <c r="EF125" t="s">
        <v>26</v>
      </c>
      <c r="EK125" s="1"/>
      <c r="FN125" s="341"/>
      <c r="FO125" s="341"/>
      <c r="FP125" s="341"/>
      <c r="FQ125" s="341"/>
      <c r="FR125" s="341"/>
      <c r="FS125" s="341"/>
      <c r="FT125" s="341"/>
      <c r="FU125" s="341"/>
      <c r="FV125" s="341"/>
      <c r="FW125" s="341"/>
      <c r="FX125" s="341"/>
      <c r="FY125" s="341"/>
      <c r="IO125" s="11">
        <v>1997</v>
      </c>
      <c r="IP125" s="2">
        <f t="shared" ref="IP125:IV125" si="171">BX139</f>
        <v>5.4826488400999995</v>
      </c>
      <c r="IQ125" s="2">
        <f t="shared" si="171"/>
        <v>3.9680808770000002</v>
      </c>
      <c r="IR125" s="2">
        <f t="shared" si="171"/>
        <v>41.870140186290008</v>
      </c>
      <c r="IS125" s="2">
        <f t="shared" si="171"/>
        <v>186.37284569259492</v>
      </c>
      <c r="IT125" s="2">
        <f t="shared" si="171"/>
        <v>591.63411812528898</v>
      </c>
      <c r="IU125" s="2">
        <f t="shared" si="171"/>
        <v>226.30031970936506</v>
      </c>
      <c r="IV125" s="2">
        <f t="shared" si="171"/>
        <v>261.2253009726731</v>
      </c>
      <c r="IW125" s="2"/>
      <c r="IX125" s="11">
        <f>IO125</f>
        <v>1997</v>
      </c>
      <c r="IY125" s="2">
        <f t="shared" ref="IY125:IY131" si="172">SUM(IP125:IU125)</f>
        <v>1055.628153430639</v>
      </c>
      <c r="IZ125">
        <f>EXP(JD125)</f>
        <v>1069.8336299024279</v>
      </c>
      <c r="JA125">
        <f t="shared" ref="JA125:JA131" si="173">LN(IY125)</f>
        <v>6.9618912748216779</v>
      </c>
      <c r="JB125">
        <v>0</v>
      </c>
      <c r="JC125">
        <f t="shared" ref="JC125:JC131" si="174">JA125</f>
        <v>6.9618912748216779</v>
      </c>
      <c r="JD125">
        <f>$JG$125+JB125*$JF$125</f>
        <v>6.9752584292942421</v>
      </c>
      <c r="JF125" s="13">
        <f t="array" ref="JF125:JG130">LINEST(JC125:JC131,JB125:JB131,TRUE,TRUE)</f>
        <v>-3.1019711930245299E-2</v>
      </c>
      <c r="JG125">
        <v>6.9752584292942421</v>
      </c>
    </row>
    <row r="126" spans="75:267" x14ac:dyDescent="0.2">
      <c r="BW126" s="1" t="s">
        <v>8</v>
      </c>
      <c r="CF126" s="2"/>
      <c r="CG126" s="282"/>
      <c r="CI126" s="1" t="s">
        <v>8</v>
      </c>
      <c r="CR126" s="2"/>
      <c r="CT126" s="1" t="s">
        <v>8</v>
      </c>
      <c r="DC126" s="2"/>
      <c r="DE126" s="1" t="s">
        <v>8</v>
      </c>
      <c r="DN126" s="2"/>
      <c r="DP126" s="1" t="s">
        <v>8</v>
      </c>
      <c r="DQ126" t="s">
        <v>26</v>
      </c>
      <c r="DR126" t="s">
        <v>26</v>
      </c>
      <c r="DS126" t="s">
        <v>26</v>
      </c>
      <c r="DT126" t="s">
        <v>26</v>
      </c>
      <c r="DU126" t="s">
        <v>26</v>
      </c>
      <c r="EA126" s="1" t="s">
        <v>8</v>
      </c>
      <c r="EB126">
        <v>1524</v>
      </c>
      <c r="EC126">
        <v>1524</v>
      </c>
      <c r="ED126" t="s">
        <v>26</v>
      </c>
      <c r="EE126" t="s">
        <v>26</v>
      </c>
      <c r="EF126" t="s">
        <v>26</v>
      </c>
      <c r="EL126" s="1" t="s">
        <v>8</v>
      </c>
      <c r="EU126" s="2"/>
      <c r="EX126" s="2"/>
      <c r="EY126" s="282"/>
      <c r="EZ126" s="281" t="s">
        <v>8</v>
      </c>
      <c r="FI126" s="282"/>
      <c r="FJ126" s="282"/>
      <c r="FK126" s="282"/>
      <c r="FL126" s="282"/>
      <c r="FM126" s="282"/>
      <c r="FN126" s="342" t="s">
        <v>8</v>
      </c>
      <c r="FO126" s="341"/>
      <c r="FP126" s="341"/>
      <c r="FQ126" s="341"/>
      <c r="FR126" s="341"/>
      <c r="FS126" s="341"/>
      <c r="FT126" s="341"/>
      <c r="FU126" s="341"/>
      <c r="FV126" s="341"/>
      <c r="FW126" s="344"/>
      <c r="FX126" s="341"/>
      <c r="FY126" s="341"/>
      <c r="GA126" s="282"/>
      <c r="IO126" s="11">
        <v>1999</v>
      </c>
      <c r="IP126" s="2">
        <f t="shared" ref="IP126:IV126" si="175">CJ139</f>
        <v>7.6592740427000008</v>
      </c>
      <c r="IQ126" s="2">
        <f t="shared" si="175"/>
        <v>1.4381958457000001</v>
      </c>
      <c r="IR126" s="2">
        <f t="shared" si="175"/>
        <v>28.845178162410004</v>
      </c>
      <c r="IS126" s="2">
        <f t="shared" si="175"/>
        <v>156.66868599409196</v>
      </c>
      <c r="IT126" s="2">
        <f t="shared" si="175"/>
        <v>543.10717008153006</v>
      </c>
      <c r="IU126" s="2">
        <f t="shared" si="175"/>
        <v>231.54581576198993</v>
      </c>
      <c r="IV126" s="2">
        <f t="shared" si="175"/>
        <v>328.30682507364912</v>
      </c>
      <c r="IW126" s="2"/>
      <c r="IX126" s="11">
        <f t="shared" ref="IX126:IX131" si="176">IO126</f>
        <v>1999</v>
      </c>
      <c r="IY126" s="2">
        <f t="shared" si="172"/>
        <v>969.26431988842194</v>
      </c>
      <c r="IZ126">
        <f t="shared" ref="IZ126:IZ131" si="177">EXP(JD126)</f>
        <v>1005.4786798262958</v>
      </c>
      <c r="JA126">
        <f t="shared" si="173"/>
        <v>6.8765373506368164</v>
      </c>
      <c r="JB126">
        <v>2</v>
      </c>
      <c r="JC126">
        <f t="shared" si="174"/>
        <v>6.8765373506368164</v>
      </c>
      <c r="JD126">
        <f t="shared" ref="JD126:JD131" si="178">$JG$125+JB126*$JF$125</f>
        <v>6.9132190054337519</v>
      </c>
      <c r="JF126">
        <v>3.3126330451801302E-3</v>
      </c>
      <c r="JG126">
        <v>2.3887736602386751E-2</v>
      </c>
    </row>
    <row r="127" spans="75:267" x14ac:dyDescent="0.2">
      <c r="BW127" t="s">
        <v>9</v>
      </c>
      <c r="BX127" s="2">
        <v>1647.7921686099962</v>
      </c>
      <c r="BY127" s="2">
        <v>1504.5738545138593</v>
      </c>
      <c r="BZ127" s="2">
        <v>1624.4194059499068</v>
      </c>
      <c r="CA127" s="2">
        <v>1776.9034160987087</v>
      </c>
      <c r="CB127" s="2">
        <v>1825.3609112792385</v>
      </c>
      <c r="CC127" s="2">
        <v>1917.7718532583401</v>
      </c>
      <c r="CD127" s="2">
        <v>2077.1832191735998</v>
      </c>
      <c r="CE127" s="2"/>
      <c r="CF127" s="2">
        <v>1787.523660525258</v>
      </c>
      <c r="CG127" s="282"/>
      <c r="CI127" t="s">
        <v>9</v>
      </c>
      <c r="CJ127" s="2">
        <v>1677.3607271834239</v>
      </c>
      <c r="CK127" s="2">
        <v>1519.8298620266046</v>
      </c>
      <c r="CL127" s="2">
        <v>1683.9488016559205</v>
      </c>
      <c r="CM127" s="2">
        <v>1826.8224401953721</v>
      </c>
      <c r="CN127" s="2">
        <v>1914.0094097734532</v>
      </c>
      <c r="CO127" s="2">
        <v>2072.5110426578285</v>
      </c>
      <c r="CP127" s="2">
        <v>2252.5487433513731</v>
      </c>
      <c r="CQ127" s="2"/>
      <c r="CR127" s="2">
        <v>1887.3045127536745</v>
      </c>
      <c r="CT127" t="s">
        <v>9</v>
      </c>
      <c r="CU127" s="2">
        <v>1753.2569781285802</v>
      </c>
      <c r="CV127" s="2">
        <v>1584.7513021408386</v>
      </c>
      <c r="CW127" s="2">
        <v>1655.685840487112</v>
      </c>
      <c r="CX127" s="2">
        <v>1814.1742442726152</v>
      </c>
      <c r="CY127" s="2">
        <v>1902.5319962407432</v>
      </c>
      <c r="CZ127" s="2">
        <v>2012.5411188321266</v>
      </c>
      <c r="DA127" s="2">
        <v>2201.6163470049319</v>
      </c>
      <c r="DB127" s="2">
        <v>2442.0208182499173</v>
      </c>
      <c r="DC127" s="2">
        <v>1890.7382503310591</v>
      </c>
      <c r="DE127" t="s">
        <v>9</v>
      </c>
      <c r="DF127" s="2">
        <v>1728.1670384790216</v>
      </c>
      <c r="DG127" s="2">
        <v>1568.4318970663669</v>
      </c>
      <c r="DH127" s="2">
        <v>1695.556465045519</v>
      </c>
      <c r="DI127" s="2">
        <v>1862.5545218340351</v>
      </c>
      <c r="DJ127" s="2">
        <v>1904.7482475117035</v>
      </c>
      <c r="DK127" s="2">
        <v>2057.0730692646007</v>
      </c>
      <c r="DL127" s="2">
        <v>2284.1767917363118</v>
      </c>
      <c r="DM127" s="2">
        <v>2622.6305787508923</v>
      </c>
      <c r="DN127" s="2">
        <v>1951.6898099162429</v>
      </c>
      <c r="DP127" t="s">
        <v>9</v>
      </c>
      <c r="DQ127" s="2">
        <v>1772.7868648294652</v>
      </c>
      <c r="DR127" s="2">
        <v>1658.3073557793641</v>
      </c>
      <c r="DS127" s="2">
        <v>1741.7668503003154</v>
      </c>
      <c r="DT127" s="2">
        <v>1857.8606653453494</v>
      </c>
      <c r="DU127" s="2">
        <v>2020.7080738980605</v>
      </c>
      <c r="DV127" s="2">
        <v>2170.1189172007416</v>
      </c>
      <c r="DW127" s="2">
        <v>2270.3653847708306</v>
      </c>
      <c r="DX127" s="2">
        <v>2554.6122226421226</v>
      </c>
      <c r="DY127" s="2">
        <v>2030.5517253544463</v>
      </c>
      <c r="EA127" t="s">
        <v>9</v>
      </c>
      <c r="EB127" s="2">
        <v>1818.1882241263115</v>
      </c>
      <c r="EC127" s="2">
        <v>1635.7517804080971</v>
      </c>
      <c r="ED127" s="2">
        <v>1783.8615358596981</v>
      </c>
      <c r="EE127" s="2">
        <v>1941.9623741445055</v>
      </c>
      <c r="EF127" s="2">
        <v>1972.3011581860558</v>
      </c>
      <c r="EG127" s="2">
        <v>2178.8164760420545</v>
      </c>
      <c r="EH127" s="2">
        <v>2244.8802451608294</v>
      </c>
      <c r="EI127" s="2">
        <v>2627.9670414061106</v>
      </c>
      <c r="EJ127" s="2">
        <v>2062.5478249736198</v>
      </c>
      <c r="EL127" t="s">
        <v>9</v>
      </c>
      <c r="EM127" s="2">
        <v>2117.2119051938957</v>
      </c>
      <c r="EN127" s="2">
        <v>1654.9600913145919</v>
      </c>
      <c r="EO127" s="2">
        <v>1768.1813725574646</v>
      </c>
      <c r="EP127" s="2">
        <v>1957.2388861406071</v>
      </c>
      <c r="EQ127" s="2">
        <v>2001.9390161022354</v>
      </c>
      <c r="ER127" s="2">
        <v>2183.7770376873646</v>
      </c>
      <c r="ES127" s="2">
        <v>2167.54038383441</v>
      </c>
      <c r="ET127" s="2">
        <v>2600.685288614723</v>
      </c>
      <c r="EU127" s="2">
        <v>2096.0915550658128</v>
      </c>
      <c r="EX127" s="2"/>
      <c r="EY127" s="282"/>
      <c r="EZ127" s="280" t="s">
        <v>9</v>
      </c>
      <c r="FA127" s="282">
        <v>1833.2655229164181</v>
      </c>
      <c r="FB127" s="282">
        <v>1632.3752907910566</v>
      </c>
      <c r="FC127" s="282">
        <v>1757.8457726280958</v>
      </c>
      <c r="FD127" s="282">
        <v>1873.3141033202062</v>
      </c>
      <c r="FE127" s="282">
        <v>1987.6883787067711</v>
      </c>
      <c r="FF127" s="282">
        <v>2130.6831620982557</v>
      </c>
      <c r="FG127" s="282">
        <v>2307.5142891731757</v>
      </c>
      <c r="FH127" s="282">
        <v>2711.5495122441785</v>
      </c>
      <c r="FI127" s="418">
        <v>2088.3433283977174</v>
      </c>
      <c r="FJ127" s="282"/>
      <c r="FK127" s="282"/>
      <c r="FL127" s="282"/>
      <c r="FM127" s="282"/>
      <c r="FN127" s="341" t="s">
        <v>9</v>
      </c>
      <c r="FO127" s="344">
        <v>2117.2119051938957</v>
      </c>
      <c r="FP127" s="344">
        <v>1654.9600913145919</v>
      </c>
      <c r="FQ127" s="344">
        <v>1768.1813725574646</v>
      </c>
      <c r="FR127" s="344">
        <v>1957.2388861406071</v>
      </c>
      <c r="FS127" s="344">
        <v>2001.9390161022354</v>
      </c>
      <c r="FT127" s="344">
        <v>2183.7770376873646</v>
      </c>
      <c r="FU127" s="344">
        <v>2167.54038383441</v>
      </c>
      <c r="FV127" s="344">
        <v>2600.685288614723</v>
      </c>
      <c r="FW127" s="289">
        <v>2108.5974714481122</v>
      </c>
      <c r="FX127" s="341"/>
      <c r="FY127" s="341"/>
      <c r="FZ127" s="282"/>
      <c r="GA127" s="282"/>
      <c r="IO127" s="11">
        <v>2001</v>
      </c>
      <c r="IP127" s="2">
        <f t="shared" ref="IP127:IV127" si="179">CU139</f>
        <v>11.711237828599998</v>
      </c>
      <c r="IQ127" s="2">
        <f t="shared" si="179"/>
        <v>2.6854210042000002</v>
      </c>
      <c r="IR127" s="2">
        <f t="shared" si="179"/>
        <v>27.567324988099998</v>
      </c>
      <c r="IS127" s="2">
        <f t="shared" si="179"/>
        <v>177.33455964609999</v>
      </c>
      <c r="IT127" s="2">
        <f t="shared" si="179"/>
        <v>543.66827596411122</v>
      </c>
      <c r="IU127" s="2">
        <f t="shared" si="179"/>
        <v>243.70840624841702</v>
      </c>
      <c r="IV127" s="2">
        <f t="shared" si="179"/>
        <v>357.24716496043192</v>
      </c>
      <c r="IW127" s="2"/>
      <c r="IX127" s="11">
        <f t="shared" si="176"/>
        <v>2001</v>
      </c>
      <c r="IY127" s="2">
        <f t="shared" si="172"/>
        <v>1006.6752256795282</v>
      </c>
      <c r="IZ127">
        <f t="shared" si="177"/>
        <v>944.99494811864804</v>
      </c>
      <c r="JA127">
        <f t="shared" si="173"/>
        <v>6.9144083239953185</v>
      </c>
      <c r="JB127">
        <v>4</v>
      </c>
      <c r="JC127">
        <f t="shared" si="174"/>
        <v>6.9144083239953185</v>
      </c>
      <c r="JD127">
        <f t="shared" si="178"/>
        <v>6.8511795815732608</v>
      </c>
      <c r="JF127">
        <v>0.94605425599475268</v>
      </c>
      <c r="JG127">
        <v>3.5057612889444874E-2</v>
      </c>
    </row>
    <row r="128" spans="75:267" x14ac:dyDescent="0.2">
      <c r="BW128" t="s">
        <v>10</v>
      </c>
      <c r="BX128" s="2">
        <v>1652.9517276430356</v>
      </c>
      <c r="BY128" s="2">
        <v>1504.883115847399</v>
      </c>
      <c r="BZ128" s="2">
        <v>1637.3497935929961</v>
      </c>
      <c r="CA128" s="2">
        <v>1855.7139493502784</v>
      </c>
      <c r="CB128" s="2">
        <v>1970.298525338774</v>
      </c>
      <c r="CC128" s="2">
        <v>2019.6619714998064</v>
      </c>
      <c r="CD128" s="2">
        <v>2198.6663187250156</v>
      </c>
      <c r="CE128" s="2"/>
      <c r="CF128" s="2">
        <v>1853.476882350923</v>
      </c>
      <c r="CG128" s="282"/>
      <c r="CI128" t="s">
        <v>10</v>
      </c>
      <c r="CJ128" s="2">
        <v>1681.6447497834365</v>
      </c>
      <c r="CK128" s="2">
        <v>1519.4888092555682</v>
      </c>
      <c r="CL128" s="2">
        <v>1696.1842824252294</v>
      </c>
      <c r="CM128" s="2">
        <v>1890.9344291748225</v>
      </c>
      <c r="CN128" s="2">
        <v>2066.045333275345</v>
      </c>
      <c r="CO128" s="2">
        <v>2190.7979086380519</v>
      </c>
      <c r="CP128" s="2">
        <v>2394.8382332625342</v>
      </c>
      <c r="CQ128" s="2"/>
      <c r="CR128" s="2">
        <v>1955.1050501119541</v>
      </c>
      <c r="CT128" t="s">
        <v>10</v>
      </c>
      <c r="CU128" s="2">
        <v>1761.1570195915233</v>
      </c>
      <c r="CV128" s="2">
        <v>1583.9392224322557</v>
      </c>
      <c r="CW128" s="2">
        <v>1666.3192182901655</v>
      </c>
      <c r="CX128" s="2">
        <v>1887.7987591568335</v>
      </c>
      <c r="CY128" s="2">
        <v>2038.9340792873313</v>
      </c>
      <c r="CZ128" s="2">
        <v>2128.1099209873519</v>
      </c>
      <c r="DA128" s="2">
        <v>2335.4779622130145</v>
      </c>
      <c r="DB128" s="2">
        <v>2607.9233536417787</v>
      </c>
      <c r="DC128" s="2">
        <v>1958.8201546243865</v>
      </c>
      <c r="DE128" t="s">
        <v>10</v>
      </c>
      <c r="DF128" s="2">
        <v>1733.7767721352795</v>
      </c>
      <c r="DG128" s="2">
        <v>1568.4318970663669</v>
      </c>
      <c r="DH128" s="2">
        <v>1707.0764290974942</v>
      </c>
      <c r="DI128" s="2">
        <v>1927.7038833431666</v>
      </c>
      <c r="DJ128" s="2">
        <v>2027.6448053399706</v>
      </c>
      <c r="DK128" s="2">
        <v>2178.4696440708608</v>
      </c>
      <c r="DL128" s="2">
        <v>2392.3323837283319</v>
      </c>
      <c r="DM128" s="2">
        <v>2718.5992938361369</v>
      </c>
      <c r="DN128" s="2">
        <v>2014.4612166829249</v>
      </c>
      <c r="DP128" t="s">
        <v>10</v>
      </c>
      <c r="DQ128" s="2">
        <v>1775.9981247548449</v>
      </c>
      <c r="DR128" s="2">
        <v>1658.3073557793641</v>
      </c>
      <c r="DS128" s="2">
        <v>1748.8836291982002</v>
      </c>
      <c r="DT128" s="2">
        <v>1925.1704481548741</v>
      </c>
      <c r="DU128" s="2">
        <v>2115.3023995202707</v>
      </c>
      <c r="DV128" s="2">
        <v>2288.1697278836914</v>
      </c>
      <c r="DW128" s="2">
        <v>2418.866262047135</v>
      </c>
      <c r="DX128" s="2">
        <v>2657.2526563087067</v>
      </c>
      <c r="DY128" s="2">
        <v>2094.8125921377132</v>
      </c>
      <c r="EA128" t="s">
        <v>10</v>
      </c>
      <c r="EB128" s="2">
        <v>1820.1214238585869</v>
      </c>
      <c r="EC128" s="2">
        <v>1635.7517804080971</v>
      </c>
      <c r="ED128" s="2">
        <v>1785.8486598588277</v>
      </c>
      <c r="EE128" s="2">
        <v>2009.9841537284858</v>
      </c>
      <c r="EF128" s="2">
        <v>2081.8752531732603</v>
      </c>
      <c r="EG128" s="2">
        <v>2290.6896009162815</v>
      </c>
      <c r="EH128" s="2">
        <v>2360.6559209254847</v>
      </c>
      <c r="EI128" s="2">
        <v>2697.2728476175971</v>
      </c>
      <c r="EJ128" s="2">
        <v>2121.7805742561782</v>
      </c>
      <c r="EL128" t="s">
        <v>10</v>
      </c>
      <c r="EM128" s="2">
        <v>2122.3955906697361</v>
      </c>
      <c r="EN128" s="2">
        <v>1654.9600913145919</v>
      </c>
      <c r="EO128" s="2">
        <v>1772.8555878325246</v>
      </c>
      <c r="EP128" s="2">
        <v>2013.2700063338791</v>
      </c>
      <c r="EQ128" s="2">
        <v>2096.7129820032833</v>
      </c>
      <c r="ER128" s="2">
        <v>2259.4863924211836</v>
      </c>
      <c r="ES128" s="2">
        <v>2288.1736137055063</v>
      </c>
      <c r="ET128" s="2">
        <v>2635.8125035986977</v>
      </c>
      <c r="EU128" s="2">
        <v>2145.1740006809132</v>
      </c>
      <c r="EX128" s="2"/>
      <c r="EY128" s="282"/>
      <c r="EZ128" s="280" t="s">
        <v>10</v>
      </c>
      <c r="FA128" s="282">
        <v>1834.43003550806</v>
      </c>
      <c r="FB128" s="282">
        <v>1633.307995743316</v>
      </c>
      <c r="FC128" s="282">
        <v>1764.0770580947571</v>
      </c>
      <c r="FD128" s="282">
        <v>1928.9675966698464</v>
      </c>
      <c r="FE128" s="282">
        <v>2111.0518914870336</v>
      </c>
      <c r="FF128" s="282">
        <v>2242.1223684605284</v>
      </c>
      <c r="FG128" s="282">
        <v>2450.3606654411101</v>
      </c>
      <c r="FH128" s="282">
        <v>2790.6565690041293</v>
      </c>
      <c r="FI128" s="418">
        <v>2151.7368716842584</v>
      </c>
      <c r="FJ128" s="282"/>
      <c r="FK128" s="282"/>
      <c r="FL128" s="282"/>
      <c r="FM128" s="282"/>
      <c r="FN128" s="341" t="s">
        <v>10</v>
      </c>
      <c r="FO128" s="344">
        <v>2122.3955906697361</v>
      </c>
      <c r="FP128" s="344">
        <v>1654.9600913145919</v>
      </c>
      <c r="FQ128" s="344">
        <v>1772.8555878325246</v>
      </c>
      <c r="FR128" s="344">
        <v>2013.2700063338791</v>
      </c>
      <c r="FS128" s="344">
        <v>2096.7129820032833</v>
      </c>
      <c r="FT128" s="344">
        <v>2259.4863924211836</v>
      </c>
      <c r="FU128" s="344">
        <v>2288.1736137055063</v>
      </c>
      <c r="FV128" s="344">
        <v>2635.8125035986977</v>
      </c>
      <c r="FW128" s="289">
        <v>2165.585004909773</v>
      </c>
      <c r="FX128" s="341"/>
      <c r="FY128" s="341"/>
      <c r="FZ128" s="282"/>
      <c r="GA128" s="282"/>
      <c r="IO128" s="11">
        <v>2003</v>
      </c>
      <c r="IP128" s="2">
        <f t="shared" ref="IP128:IV128" si="180">DF139</f>
        <v>7.4755319579000004</v>
      </c>
      <c r="IQ128" s="2">
        <f t="shared" si="180"/>
        <v>0</v>
      </c>
      <c r="IR128" s="2">
        <f t="shared" si="180"/>
        <v>23.499953301929999</v>
      </c>
      <c r="IS128" s="2">
        <f t="shared" si="180"/>
        <v>139.43316878896195</v>
      </c>
      <c r="IT128" s="2">
        <f t="shared" si="180"/>
        <v>467.9069658429417</v>
      </c>
      <c r="IU128" s="2">
        <f t="shared" si="180"/>
        <v>262.27577199633009</v>
      </c>
      <c r="IV128" s="2">
        <f t="shared" si="180"/>
        <v>311.33569539666411</v>
      </c>
      <c r="IW128" s="2"/>
      <c r="IX128" s="11">
        <f t="shared" si="176"/>
        <v>2003</v>
      </c>
      <c r="IY128" s="2">
        <f t="shared" si="172"/>
        <v>900.59139188806375</v>
      </c>
      <c r="IZ128">
        <f t="shared" si="177"/>
        <v>888.14956486600227</v>
      </c>
      <c r="JA128">
        <f t="shared" si="173"/>
        <v>6.8030516496251048</v>
      </c>
      <c r="JB128">
        <v>6</v>
      </c>
      <c r="JC128">
        <f t="shared" si="174"/>
        <v>6.8030516496251048</v>
      </c>
      <c r="JD128">
        <f t="shared" si="178"/>
        <v>6.7891401577127706</v>
      </c>
      <c r="JF128">
        <v>87.685717700244311</v>
      </c>
      <c r="JG128">
        <v>5</v>
      </c>
    </row>
    <row r="129" spans="75:267" x14ac:dyDescent="0.2">
      <c r="BW129" t="s">
        <v>11</v>
      </c>
      <c r="BX129" s="2">
        <v>551.55445002511976</v>
      </c>
      <c r="BY129" s="9">
        <v>800</v>
      </c>
      <c r="BZ129" s="2">
        <v>908.10901172435649</v>
      </c>
      <c r="CA129" s="2">
        <v>1284.5270173283482</v>
      </c>
      <c r="CB129" s="2">
        <v>938.44184837072271</v>
      </c>
      <c r="CC129" s="2">
        <v>1253.0627417274554</v>
      </c>
      <c r="CD129" s="2">
        <v>1276.7526539569765</v>
      </c>
      <c r="CE129" s="2"/>
      <c r="CF129" s="2">
        <v>1076.9606570559508</v>
      </c>
      <c r="CG129" s="282"/>
      <c r="CI129" t="s">
        <v>11</v>
      </c>
      <c r="CJ129" s="2">
        <v>1021.479731692398</v>
      </c>
      <c r="CK129" s="9">
        <v>900.33785340890188</v>
      </c>
      <c r="CL129" s="2">
        <v>1120.269784398469</v>
      </c>
      <c r="CM129" s="2">
        <v>1136.0456094230851</v>
      </c>
      <c r="CN129" s="2">
        <v>1342.4670521477003</v>
      </c>
      <c r="CO129" s="2">
        <v>1353.5095024762688</v>
      </c>
      <c r="CP129" s="2">
        <v>1480.0681082325475</v>
      </c>
      <c r="CQ129" s="2"/>
      <c r="CR129" s="2">
        <v>1304.5823502108021</v>
      </c>
      <c r="CT129" t="s">
        <v>11</v>
      </c>
      <c r="CU129" s="2">
        <v>1135.8784693437062</v>
      </c>
      <c r="CV129" s="9">
        <v>1086.2976330852605</v>
      </c>
      <c r="CW129" s="2">
        <v>1193.3154974451936</v>
      </c>
      <c r="CX129" s="2">
        <v>1177.1635521810674</v>
      </c>
      <c r="CY129" s="2">
        <v>1285.4243289162878</v>
      </c>
      <c r="CZ129" s="2">
        <v>1297.7394506393396</v>
      </c>
      <c r="DA129" s="2">
        <v>1571.6249698866568</v>
      </c>
      <c r="DB129" s="2">
        <v>1681.012964520324</v>
      </c>
      <c r="DC129" s="2">
        <v>1318.293306890698</v>
      </c>
      <c r="DE129" t="s">
        <v>11</v>
      </c>
      <c r="DF129" s="2">
        <v>1036.9645815048536</v>
      </c>
      <c r="DG129" s="9">
        <v>946.99803160049964</v>
      </c>
      <c r="DH129" s="2">
        <v>1165.700366554245</v>
      </c>
      <c r="DI129" s="2">
        <v>1394.285827170693</v>
      </c>
      <c r="DJ129" s="2">
        <v>1296.0348367882123</v>
      </c>
      <c r="DK129" s="2">
        <v>1426.0385592538228</v>
      </c>
      <c r="DL129" s="2">
        <v>1889.9494746281393</v>
      </c>
      <c r="DM129" s="2">
        <v>1643.7004688455611</v>
      </c>
      <c r="DN129" s="2">
        <v>1412.937993770038</v>
      </c>
      <c r="DP129" t="s">
        <v>11</v>
      </c>
      <c r="DQ129" s="2">
        <v>1126.3645730016103</v>
      </c>
      <c r="DR129" s="2">
        <v>925.42128266708676</v>
      </c>
      <c r="DS129" s="2">
        <v>1324.4183463324155</v>
      </c>
      <c r="DT129" s="2">
        <v>1638.8160941736246</v>
      </c>
      <c r="DU129" s="2">
        <v>1413.9397319626153</v>
      </c>
      <c r="DV129" s="2">
        <v>1471.5589648739931</v>
      </c>
      <c r="DW129" s="2">
        <v>1784.8255926101849</v>
      </c>
      <c r="DX129" s="2">
        <v>1574.721755942398</v>
      </c>
      <c r="DY129" s="2">
        <v>1471.1271426247038</v>
      </c>
      <c r="EA129" t="s">
        <v>11</v>
      </c>
      <c r="EB129" s="2">
        <v>1012.2756578288569</v>
      </c>
      <c r="EC129" s="2">
        <v>796.89371696121543</v>
      </c>
      <c r="ED129" s="2">
        <v>1455.6504585356411</v>
      </c>
      <c r="EE129" s="2">
        <v>1691.4312633561478</v>
      </c>
      <c r="EF129" s="2">
        <v>1445.9080744803689</v>
      </c>
      <c r="EG129" s="2">
        <v>1462.6060647160959</v>
      </c>
      <c r="EH129" s="2">
        <v>1892.2135230383906</v>
      </c>
      <c r="EI129" s="2">
        <v>1725.0591563498976</v>
      </c>
      <c r="EJ129" s="2">
        <v>1523.177947989358</v>
      </c>
      <c r="EL129" t="s">
        <v>11</v>
      </c>
      <c r="EM129" s="2">
        <v>1138.3566434119584</v>
      </c>
      <c r="EN129" s="9">
        <v>1049.9938861924236</v>
      </c>
      <c r="EO129" s="2">
        <v>2210.9090644351518</v>
      </c>
      <c r="EP129" s="2">
        <v>2194.3270042794957</v>
      </c>
      <c r="EQ129" s="2">
        <v>1380.7378590749593</v>
      </c>
      <c r="ER129" s="2">
        <v>1525.9591488429592</v>
      </c>
      <c r="ES129" s="2">
        <v>1933.4020389394761</v>
      </c>
      <c r="ET129" s="2">
        <v>1713.3439520048055</v>
      </c>
      <c r="EU129" s="2">
        <v>1647.2826777270425</v>
      </c>
      <c r="EX129" s="2"/>
      <c r="EY129" s="282"/>
      <c r="EZ129" s="280" t="s">
        <v>11</v>
      </c>
      <c r="FA129" s="282">
        <v>1281.8186389433813</v>
      </c>
      <c r="FB129" s="9">
        <v>1149.7429849571986</v>
      </c>
      <c r="FC129" s="282">
        <v>1276.7236527923851</v>
      </c>
      <c r="FD129" s="282">
        <v>1464.5380578801471</v>
      </c>
      <c r="FE129" s="282">
        <v>1457.8307603632809</v>
      </c>
      <c r="FF129" s="282">
        <v>1346.1893747059437</v>
      </c>
      <c r="FG129" s="282">
        <v>1736.7831587005455</v>
      </c>
      <c r="FH129" s="282">
        <v>1624.2586501858545</v>
      </c>
      <c r="FI129" s="418">
        <v>1537.7913796422574</v>
      </c>
      <c r="FJ129" s="282"/>
      <c r="FK129" s="282"/>
      <c r="FL129" s="282"/>
      <c r="FM129" s="282"/>
      <c r="FN129" s="341" t="s">
        <v>11</v>
      </c>
      <c r="FO129" s="344">
        <v>1138.3566434119584</v>
      </c>
      <c r="FP129" s="352">
        <v>1049.9938861924236</v>
      </c>
      <c r="FQ129" s="344">
        <v>2210.9090644351518</v>
      </c>
      <c r="FR129" s="344">
        <v>2194.3270042794957</v>
      </c>
      <c r="FS129" s="344">
        <v>1380.7378590749593</v>
      </c>
      <c r="FT129" s="344">
        <v>1525.9591488429592</v>
      </c>
      <c r="FU129" s="344">
        <v>1933.4020389394761</v>
      </c>
      <c r="FV129" s="344">
        <v>1713.3439520048055</v>
      </c>
      <c r="FW129" s="289">
        <v>1611.0903742407024</v>
      </c>
      <c r="FX129" s="341"/>
      <c r="FY129" s="341"/>
      <c r="FZ129" s="282"/>
      <c r="GA129" s="282"/>
      <c r="GB129" s="282"/>
      <c r="GC129" s="2"/>
      <c r="IO129" s="11">
        <v>2005</v>
      </c>
      <c r="IP129" s="2">
        <f t="shared" ref="IP129:IV129" si="181">DQ139</f>
        <v>9.4282847485999994</v>
      </c>
      <c r="IQ129" s="2">
        <f t="shared" si="181"/>
        <v>0</v>
      </c>
      <c r="IR129" s="2">
        <f t="shared" si="181"/>
        <v>12.528676089299999</v>
      </c>
      <c r="IS129" s="2">
        <f t="shared" si="181"/>
        <v>134.38371401779997</v>
      </c>
      <c r="IT129" s="2">
        <f t="shared" si="181"/>
        <v>432.43949334902516</v>
      </c>
      <c r="IU129" s="2">
        <f t="shared" si="181"/>
        <v>232.33524922263501</v>
      </c>
      <c r="IV129" s="2">
        <f t="shared" si="181"/>
        <v>372.69370684366896</v>
      </c>
      <c r="IW129" s="2"/>
      <c r="IX129" s="11">
        <f t="shared" si="176"/>
        <v>2005</v>
      </c>
      <c r="IY129" s="2">
        <f t="shared" si="172"/>
        <v>821.11541742736017</v>
      </c>
      <c r="IZ129">
        <f t="shared" si="177"/>
        <v>834.72366825037273</v>
      </c>
      <c r="JA129">
        <f t="shared" si="173"/>
        <v>6.7106636810910905</v>
      </c>
      <c r="JB129">
        <v>8</v>
      </c>
      <c r="JC129">
        <f t="shared" si="174"/>
        <v>6.7106636810910905</v>
      </c>
      <c r="JD129">
        <f t="shared" si="178"/>
        <v>6.7271007338522795</v>
      </c>
      <c r="JF129">
        <v>0.10776892316236507</v>
      </c>
      <c r="JG129">
        <v>6.1451811075308562E-3</v>
      </c>
    </row>
    <row r="130" spans="75:267" x14ac:dyDescent="0.2">
      <c r="BW130" t="s">
        <v>12</v>
      </c>
      <c r="BX130" s="2">
        <v>655.30627876136077</v>
      </c>
      <c r="BY130" s="2">
        <v>322.11510100533826</v>
      </c>
      <c r="BZ130" s="2">
        <v>616.69823713340895</v>
      </c>
      <c r="CA130" s="2">
        <v>1066.2553148316931</v>
      </c>
      <c r="CB130" s="2">
        <v>691.23955317788432</v>
      </c>
      <c r="CC130" s="2">
        <v>898.08592318928936</v>
      </c>
      <c r="CD130" s="2">
        <v>954.62943618744271</v>
      </c>
      <c r="CE130" s="2"/>
      <c r="CF130" s="2">
        <v>817.7225078042037</v>
      </c>
      <c r="CG130" s="282"/>
      <c r="CI130" t="s">
        <v>12</v>
      </c>
      <c r="CJ130" s="2">
        <v>715.18056460821697</v>
      </c>
      <c r="CK130" s="2">
        <v>795.79422432328522</v>
      </c>
      <c r="CL130" s="2">
        <v>790.68667327715866</v>
      </c>
      <c r="CM130" s="2">
        <v>845.24461022276353</v>
      </c>
      <c r="CN130" s="2">
        <v>900.96511325183747</v>
      </c>
      <c r="CO130" s="2">
        <v>904.83171063798522</v>
      </c>
      <c r="CP130" s="2">
        <v>976.79988116175502</v>
      </c>
      <c r="CQ130" s="2"/>
      <c r="CR130" s="2">
        <v>870.44213322917881</v>
      </c>
      <c r="CT130" t="s">
        <v>12</v>
      </c>
      <c r="CU130" s="2">
        <v>743.10145740379221</v>
      </c>
      <c r="CV130" s="2">
        <v>827.48644742130296</v>
      </c>
      <c r="CW130" s="2">
        <v>828.3085968207605</v>
      </c>
      <c r="CX130" s="2">
        <v>839.00439796328806</v>
      </c>
      <c r="CY130" s="2">
        <v>922.83194167953752</v>
      </c>
      <c r="CZ130" s="2">
        <v>939.64575410658904</v>
      </c>
      <c r="DA130" s="2">
        <v>967.83232646524721</v>
      </c>
      <c r="DB130" s="2">
        <v>1071.0783770796272</v>
      </c>
      <c r="DC130" s="2">
        <v>892.34887921470943</v>
      </c>
      <c r="DE130" t="s">
        <v>12</v>
      </c>
      <c r="DF130" s="2">
        <v>765.66594014985787</v>
      </c>
      <c r="DG130" s="2">
        <v>876.03621666686502</v>
      </c>
      <c r="DH130" s="2">
        <v>795.4216825701651</v>
      </c>
      <c r="DI130" s="2">
        <v>831.05785339039005</v>
      </c>
      <c r="DJ130" s="2">
        <v>918.52696186328467</v>
      </c>
      <c r="DK130" s="2">
        <v>901.4417581313711</v>
      </c>
      <c r="DL130" s="2">
        <v>995.47929395594667</v>
      </c>
      <c r="DM130" s="2">
        <v>1085.366474172258</v>
      </c>
      <c r="DN130" s="2">
        <v>889.27058423323808</v>
      </c>
      <c r="DP130" t="s">
        <v>12</v>
      </c>
      <c r="DQ130" s="2">
        <v>819.40986257057079</v>
      </c>
      <c r="DR130" s="2">
        <v>855.33917075920317</v>
      </c>
      <c r="DS130" s="2">
        <v>795.52601006500265</v>
      </c>
      <c r="DT130" s="2">
        <v>854.99154308367565</v>
      </c>
      <c r="DU130" s="2">
        <v>924.63591089039426</v>
      </c>
      <c r="DV130" s="2">
        <v>892.41919461656641</v>
      </c>
      <c r="DW130" s="2">
        <v>1016.5994176576733</v>
      </c>
      <c r="DX130" s="2">
        <v>1128.6129705660096</v>
      </c>
      <c r="DY130" s="2">
        <v>907.33635107899397</v>
      </c>
      <c r="EA130" t="s">
        <v>12</v>
      </c>
      <c r="EB130" s="2">
        <v>803.44280775561162</v>
      </c>
      <c r="EC130" s="2">
        <v>903.45894217511398</v>
      </c>
      <c r="ED130" s="2">
        <v>806.86589820171218</v>
      </c>
      <c r="EE130" s="2">
        <v>853.20503300772566</v>
      </c>
      <c r="EF130" s="2">
        <v>900.81108762540725</v>
      </c>
      <c r="EG130" s="2">
        <v>942.02726179279045</v>
      </c>
      <c r="EH130" s="2">
        <v>949.86804881902583</v>
      </c>
      <c r="EI130" s="2">
        <v>985.79850635337266</v>
      </c>
      <c r="EJ130" s="2">
        <v>897.52389733545226</v>
      </c>
      <c r="EL130" t="s">
        <v>12</v>
      </c>
      <c r="EM130" s="2">
        <v>904.01360089489697</v>
      </c>
      <c r="EN130" s="2">
        <v>1713.6421058475239</v>
      </c>
      <c r="EO130" s="2">
        <v>813.15865531938039</v>
      </c>
      <c r="EP130" s="2">
        <v>854.90420330564689</v>
      </c>
      <c r="EQ130" s="2">
        <v>926.36782114870482</v>
      </c>
      <c r="ER130" s="2">
        <v>939.86697073787093</v>
      </c>
      <c r="ES130" s="2">
        <v>984.399687446852</v>
      </c>
      <c r="ET130" s="2">
        <v>1010.4664738429933</v>
      </c>
      <c r="EU130" s="2">
        <v>955.33157623578654</v>
      </c>
      <c r="EX130" s="2"/>
      <c r="EY130" s="282"/>
      <c r="EZ130" s="280" t="s">
        <v>12</v>
      </c>
      <c r="FA130" s="282">
        <v>757.5028755472365</v>
      </c>
      <c r="FB130" s="282">
        <v>1319.6101192965355</v>
      </c>
      <c r="FC130" s="282">
        <v>817.25219403964854</v>
      </c>
      <c r="FD130" s="282">
        <v>864.7275922281284</v>
      </c>
      <c r="FE130" s="282">
        <v>877.72411153129701</v>
      </c>
      <c r="FF130" s="282">
        <v>945.55774061160707</v>
      </c>
      <c r="FG130" s="282">
        <v>975.53288222522815</v>
      </c>
      <c r="FH130" s="282">
        <v>986.6068071541489</v>
      </c>
      <c r="FI130" s="418">
        <v>918.05093892865841</v>
      </c>
      <c r="FJ130" s="282"/>
      <c r="FK130" s="282"/>
      <c r="FL130" s="282"/>
      <c r="FM130" s="282"/>
      <c r="FN130" s="341" t="s">
        <v>12</v>
      </c>
      <c r="FO130" s="344">
        <v>904.01360089489697</v>
      </c>
      <c r="FP130" s="344">
        <v>1713.6421058475239</v>
      </c>
      <c r="FQ130" s="344">
        <v>813.15865531938039</v>
      </c>
      <c r="FR130" s="344">
        <v>854.90420330564689</v>
      </c>
      <c r="FS130" s="344">
        <v>926.36782114870482</v>
      </c>
      <c r="FT130" s="344">
        <v>939.86697073787093</v>
      </c>
      <c r="FU130" s="344">
        <v>984.399687446852</v>
      </c>
      <c r="FV130" s="344">
        <v>1010.4664738429933</v>
      </c>
      <c r="FW130" s="289">
        <v>908.93724070896565</v>
      </c>
      <c r="FX130" s="341"/>
      <c r="FY130" s="341"/>
      <c r="FZ130" s="282"/>
      <c r="GA130" s="282"/>
      <c r="GB130" s="282"/>
      <c r="GC130" s="2"/>
      <c r="IO130" s="11">
        <v>2007</v>
      </c>
      <c r="IP130" s="2">
        <f t="shared" ref="IP130:IV130" si="182">EB139</f>
        <v>10.277405050699999</v>
      </c>
      <c r="IQ130" s="2">
        <f t="shared" si="182"/>
        <v>0</v>
      </c>
      <c r="IR130" s="2">
        <f t="shared" si="182"/>
        <v>2.9504566856000003</v>
      </c>
      <c r="IS130" s="2">
        <f t="shared" si="182"/>
        <v>112.25040240120001</v>
      </c>
      <c r="IT130" s="2">
        <f t="shared" si="182"/>
        <v>440.68812587786778</v>
      </c>
      <c r="IU130" s="2">
        <f t="shared" si="182"/>
        <v>219.78674886672303</v>
      </c>
      <c r="IV130" s="2">
        <f t="shared" si="182"/>
        <v>318.51360230280505</v>
      </c>
      <c r="IW130" s="2"/>
      <c r="IX130" s="11">
        <f t="shared" si="176"/>
        <v>2007</v>
      </c>
      <c r="IY130" s="2">
        <f t="shared" si="172"/>
        <v>785.9531388820908</v>
      </c>
      <c r="IZ130">
        <f t="shared" si="177"/>
        <v>784.51156190397012</v>
      </c>
      <c r="JA130">
        <f t="shared" si="173"/>
        <v>6.6668971709089924</v>
      </c>
      <c r="JB130">
        <v>10</v>
      </c>
      <c r="JC130">
        <f t="shared" si="174"/>
        <v>6.6668971709089924</v>
      </c>
      <c r="JD130">
        <f t="shared" si="178"/>
        <v>6.6650613099917893</v>
      </c>
      <c r="JF130" t="e">
        <v>#N/A</v>
      </c>
      <c r="JG130" t="e">
        <v>#N/A</v>
      </c>
    </row>
    <row r="131" spans="75:267" x14ac:dyDescent="0.2">
      <c r="BW131" t="s">
        <v>13</v>
      </c>
      <c r="BX131" s="2">
        <v>330.09747397285258</v>
      </c>
      <c r="BY131" s="2">
        <v>1280</v>
      </c>
      <c r="BZ131" s="2">
        <v>952.74753014194823</v>
      </c>
      <c r="CA131" s="2">
        <v>927.93832104125158</v>
      </c>
      <c r="CB131" s="2">
        <v>1144.8956130543172</v>
      </c>
      <c r="CC131" s="2">
        <v>1101.2159788700149</v>
      </c>
      <c r="CD131" s="2">
        <v>1260.9688241362876</v>
      </c>
      <c r="CE131" s="2"/>
      <c r="CF131" s="2">
        <v>1117.1495995567545</v>
      </c>
      <c r="CG131" s="282"/>
      <c r="CI131" t="s">
        <v>13</v>
      </c>
      <c r="CJ131" s="2">
        <v>795.11373437177508</v>
      </c>
      <c r="CK131" s="2">
        <v>1780.0000000000002</v>
      </c>
      <c r="CL131" s="2">
        <v>868.93631994855889</v>
      </c>
      <c r="CM131" s="2">
        <v>967.2303347086405</v>
      </c>
      <c r="CN131" s="2">
        <v>1142.7699375437974</v>
      </c>
      <c r="CO131" s="2">
        <v>1199.7072941589099</v>
      </c>
      <c r="CP131" s="2">
        <v>1382.3264406649162</v>
      </c>
      <c r="CQ131" s="2"/>
      <c r="CR131" s="2">
        <v>1186.5065997288418</v>
      </c>
      <c r="CT131" t="s">
        <v>13</v>
      </c>
      <c r="CU131" s="2">
        <v>643.33923155206514</v>
      </c>
      <c r="CV131" s="2">
        <v>1935.7598660000831</v>
      </c>
      <c r="CW131" s="2">
        <v>874.32652776702446</v>
      </c>
      <c r="CX131" s="2">
        <v>970.14422223467511</v>
      </c>
      <c r="CY131" s="2">
        <v>1173.0096347561303</v>
      </c>
      <c r="CZ131" s="2">
        <v>1145.5012246390972</v>
      </c>
      <c r="DA131" s="2">
        <v>1401.3476150960946</v>
      </c>
      <c r="DB131" s="2">
        <v>1426.8372107656126</v>
      </c>
      <c r="DC131" s="2">
        <v>1201.9696299367945</v>
      </c>
      <c r="DE131" t="s">
        <v>13</v>
      </c>
      <c r="DF131" s="2">
        <v>486.25161238573952</v>
      </c>
      <c r="DG131" s="2">
        <v>0</v>
      </c>
      <c r="DH131" s="2">
        <v>771.54671044048223</v>
      </c>
      <c r="DI131" s="2">
        <v>944.39624473113133</v>
      </c>
      <c r="DJ131" s="2">
        <v>1203.3036382793871</v>
      </c>
      <c r="DK131" s="2">
        <v>1187.1644357442797</v>
      </c>
      <c r="DL131" s="2">
        <v>1519.3954669969191</v>
      </c>
      <c r="DM131" s="2">
        <v>1457.4640968851106</v>
      </c>
      <c r="DN131" s="2">
        <v>1250.0542602604087</v>
      </c>
      <c r="DP131" t="s">
        <v>13</v>
      </c>
      <c r="DQ131" s="2">
        <v>1255.8883105619232</v>
      </c>
      <c r="DR131" s="2">
        <v>0</v>
      </c>
      <c r="DS131" s="2">
        <v>679.19903697306302</v>
      </c>
      <c r="DT131" s="2">
        <v>842.53343427722632</v>
      </c>
      <c r="DU131" s="2">
        <v>1354.3434462188786</v>
      </c>
      <c r="DV131" s="2">
        <v>1171.1605439723173</v>
      </c>
      <c r="DW131" s="2">
        <v>1319.206264490841</v>
      </c>
      <c r="DX131" s="2">
        <v>1486.5922620258664</v>
      </c>
      <c r="DY131" s="2">
        <v>1269.9313629989558</v>
      </c>
      <c r="EA131" t="s">
        <v>13</v>
      </c>
      <c r="EB131" s="2">
        <v>1535.4646344103346</v>
      </c>
      <c r="EC131" s="2">
        <v>0</v>
      </c>
      <c r="ED131" s="2">
        <v>500</v>
      </c>
      <c r="EE131" s="2">
        <v>813.55219362875471</v>
      </c>
      <c r="EF131" s="2">
        <v>1198.2977527197386</v>
      </c>
      <c r="EG131" s="2">
        <v>1254.8513219988358</v>
      </c>
      <c r="EH131" s="2">
        <v>1443.395556782606</v>
      </c>
      <c r="EI131" s="2">
        <v>1769.2138856916995</v>
      </c>
      <c r="EJ131" s="2">
        <v>1314.5844718875494</v>
      </c>
      <c r="EL131" t="s">
        <v>13</v>
      </c>
      <c r="EM131" s="2">
        <v>1302.135545066908</v>
      </c>
      <c r="EN131" s="2">
        <v>0</v>
      </c>
      <c r="EO131" s="2">
        <v>691.09881003399641</v>
      </c>
      <c r="EP131" s="2">
        <v>817.1342525648264</v>
      </c>
      <c r="EQ131" s="2">
        <v>1338.0104761517675</v>
      </c>
      <c r="ER131" s="2">
        <v>1541.9126331530729</v>
      </c>
      <c r="ES131" s="2">
        <v>1375.5193864143271</v>
      </c>
      <c r="ET131" s="2">
        <v>2140.9032374830867</v>
      </c>
      <c r="EU131" s="2">
        <v>1462.4070323055216</v>
      </c>
      <c r="EX131" s="2"/>
      <c r="EY131" s="282"/>
      <c r="EZ131" s="280" t="s">
        <v>13</v>
      </c>
      <c r="FA131" s="282">
        <v>1666.4239705357406</v>
      </c>
      <c r="FB131" s="282">
        <v>1300</v>
      </c>
      <c r="FC131" s="282">
        <v>531.81662862904545</v>
      </c>
      <c r="FD131" s="282">
        <v>1018.6780457242199</v>
      </c>
      <c r="FE131" s="282">
        <v>1232.5892364892256</v>
      </c>
      <c r="FF131" s="282">
        <v>1304.7285285914395</v>
      </c>
      <c r="FG131" s="282">
        <v>1404.6720541195098</v>
      </c>
      <c r="FH131" s="282">
        <v>1720.958458332429</v>
      </c>
      <c r="FI131" s="418">
        <v>1345.2563030991528</v>
      </c>
      <c r="FJ131" s="282"/>
      <c r="FK131" s="282"/>
      <c r="FL131" s="282"/>
      <c r="FM131" s="282"/>
      <c r="FN131" s="341" t="s">
        <v>13</v>
      </c>
      <c r="FO131" s="344">
        <v>1302.135545066908</v>
      </c>
      <c r="FP131" s="344">
        <v>0</v>
      </c>
      <c r="FQ131" s="344">
        <v>691.09881003399641</v>
      </c>
      <c r="FR131" s="344">
        <v>817.1342525648264</v>
      </c>
      <c r="FS131" s="344">
        <v>1338.0104761517675</v>
      </c>
      <c r="FT131" s="344">
        <v>1541.9126331530729</v>
      </c>
      <c r="FU131" s="344">
        <v>1375.5193864143271</v>
      </c>
      <c r="FV131" s="344">
        <v>2140.9032374830867</v>
      </c>
      <c r="FW131" s="289">
        <v>1432.8365885578842</v>
      </c>
      <c r="FX131" s="341"/>
      <c r="FY131" s="341"/>
      <c r="FZ131" s="282"/>
      <c r="GA131" s="282"/>
      <c r="GB131" s="282"/>
      <c r="GC131" s="2"/>
      <c r="IO131" s="11">
        <v>2009</v>
      </c>
      <c r="IP131" s="2">
        <f t="shared" ref="IP131:IV131" si="183">EM139</f>
        <v>9.7686574820000001</v>
      </c>
      <c r="IQ131" s="2">
        <f t="shared" si="183"/>
        <v>0</v>
      </c>
      <c r="IR131" s="2">
        <f t="shared" si="183"/>
        <v>8.4662218083000003</v>
      </c>
      <c r="IS131" s="2">
        <f t="shared" si="183"/>
        <v>99.670624621200005</v>
      </c>
      <c r="IT131" s="2">
        <f t="shared" si="183"/>
        <v>391.65149993534089</v>
      </c>
      <c r="IU131" s="2">
        <f t="shared" si="183"/>
        <v>218.61089574321105</v>
      </c>
      <c r="IV131" s="2">
        <f t="shared" si="183"/>
        <v>325.00498109608407</v>
      </c>
      <c r="IW131" s="2"/>
      <c r="IX131" s="11">
        <f t="shared" si="176"/>
        <v>2009</v>
      </c>
      <c r="IY131" s="2">
        <f t="shared" si="172"/>
        <v>728.16789959005189</v>
      </c>
      <c r="IZ131">
        <f t="shared" si="177"/>
        <v>737.31992295251587</v>
      </c>
      <c r="JA131">
        <f t="shared" si="173"/>
        <v>6.590531652910391</v>
      </c>
      <c r="JB131">
        <v>12</v>
      </c>
      <c r="JC131">
        <f t="shared" si="174"/>
        <v>6.590531652910391</v>
      </c>
      <c r="JD131">
        <f t="shared" si="178"/>
        <v>6.6030218861312981</v>
      </c>
    </row>
    <row r="132" spans="75:267" x14ac:dyDescent="0.2">
      <c r="BW132" t="s">
        <v>14</v>
      </c>
      <c r="BX132" s="2">
        <v>1600.1024396466003</v>
      </c>
      <c r="BY132" s="2">
        <v>1476.5342840187468</v>
      </c>
      <c r="BZ132" s="2">
        <v>1612.8576423343875</v>
      </c>
      <c r="CA132" s="2">
        <v>1754.5828148519422</v>
      </c>
      <c r="CB132" s="2">
        <v>1773.4911075280954</v>
      </c>
      <c r="CC132" s="2">
        <v>1873.9925504593971</v>
      </c>
      <c r="CD132" s="2">
        <v>1966.9620690173322</v>
      </c>
      <c r="CE132" s="2"/>
      <c r="CF132" s="2">
        <v>1745.354141378672</v>
      </c>
      <c r="CG132" s="282"/>
      <c r="CI132" t="s">
        <v>14</v>
      </c>
      <c r="CJ132" s="2">
        <v>1470.7268604008877</v>
      </c>
      <c r="CK132" s="2">
        <v>1399.9035603343243</v>
      </c>
      <c r="CL132" s="2">
        <v>1547.6387376057278</v>
      </c>
      <c r="CM132" s="2">
        <v>1581.197044824049</v>
      </c>
      <c r="CN132" s="2">
        <v>1640.1858866578643</v>
      </c>
      <c r="CO132" s="2">
        <v>1644.994785429941</v>
      </c>
      <c r="CP132" s="2">
        <v>1983.4923138079484</v>
      </c>
      <c r="CQ132" s="2"/>
      <c r="CR132" s="2">
        <v>1639.9220028892603</v>
      </c>
      <c r="CT132" t="s">
        <v>14</v>
      </c>
      <c r="CU132" s="2">
        <v>1509.3856541330954</v>
      </c>
      <c r="CV132" s="2">
        <v>1439.941550659242</v>
      </c>
      <c r="CW132" s="2">
        <v>1506.5437511866726</v>
      </c>
      <c r="CX132" s="2">
        <v>1527.2597344566514</v>
      </c>
      <c r="CY132" s="2">
        <v>1592.7677138614081</v>
      </c>
      <c r="CZ132" s="2">
        <v>1573.8514982212587</v>
      </c>
      <c r="DA132" s="2">
        <v>1924.2238108980146</v>
      </c>
      <c r="DB132" s="2">
        <v>2137.3149153826716</v>
      </c>
      <c r="DC132" s="2">
        <v>1614.7001344374751</v>
      </c>
      <c r="DE132" t="s">
        <v>14</v>
      </c>
      <c r="DF132" s="2">
        <v>1485.4505981650245</v>
      </c>
      <c r="DG132" s="2">
        <v>1422.3984974213008</v>
      </c>
      <c r="DH132" s="2">
        <v>1518.7855938433729</v>
      </c>
      <c r="DI132" s="2">
        <v>1547.786178300734</v>
      </c>
      <c r="DJ132" s="2">
        <v>1584.9421755918631</v>
      </c>
      <c r="DK132" s="2">
        <v>1609.7342450816295</v>
      </c>
      <c r="DL132" s="2">
        <v>2017.9556531093224</v>
      </c>
      <c r="DM132" s="2">
        <v>2304.097533810977</v>
      </c>
      <c r="DN132" s="2">
        <v>1657.7529391133928</v>
      </c>
      <c r="DP132" t="s">
        <v>14</v>
      </c>
      <c r="DQ132" s="2">
        <v>1547.7316746201441</v>
      </c>
      <c r="DR132" s="2">
        <v>1479.9845971244922</v>
      </c>
      <c r="DS132" s="2">
        <v>1547.9544817460871</v>
      </c>
      <c r="DT132" s="2">
        <v>1558.0532579256253</v>
      </c>
      <c r="DU132" s="2">
        <v>1644.2738667011802</v>
      </c>
      <c r="DV132" s="2">
        <v>1664.2794650531869</v>
      </c>
      <c r="DW132" s="2">
        <v>2003.2138821950491</v>
      </c>
      <c r="DX132" s="2">
        <v>2287.0218663080655</v>
      </c>
      <c r="DY132" s="2">
        <v>1716.8832877268226</v>
      </c>
      <c r="EA132" t="s">
        <v>14</v>
      </c>
      <c r="EB132" s="2">
        <v>1563.7428341052332</v>
      </c>
      <c r="EC132" s="2">
        <v>1478.39675166798</v>
      </c>
      <c r="ED132" s="2">
        <v>1588.7316996812797</v>
      </c>
      <c r="EE132" s="2">
        <v>1592.5417840689802</v>
      </c>
      <c r="EF132" s="2">
        <v>1591.2930799836217</v>
      </c>
      <c r="EG132" s="2">
        <v>1690.1827309332616</v>
      </c>
      <c r="EH132" s="2">
        <v>1975.2781548797509</v>
      </c>
      <c r="EI132" s="2">
        <v>2339.0497764007268</v>
      </c>
      <c r="EJ132" s="2">
        <v>1736.588841904789</v>
      </c>
      <c r="EL132" t="s">
        <v>14</v>
      </c>
      <c r="EM132" s="2">
        <v>1810.8737910314458</v>
      </c>
      <c r="EN132" s="2">
        <v>1646.5973436685485</v>
      </c>
      <c r="EO132" s="2">
        <v>1607.1809838933111</v>
      </c>
      <c r="EP132" s="2">
        <v>1633.4959907659625</v>
      </c>
      <c r="EQ132" s="2">
        <v>1618.3691263842195</v>
      </c>
      <c r="ER132" s="2">
        <v>1689.669355052127</v>
      </c>
      <c r="ES132" s="2">
        <v>1925.2952828319021</v>
      </c>
      <c r="ET132" s="2">
        <v>2279.3016717673627</v>
      </c>
      <c r="EU132" s="2">
        <v>1783.3322889482238</v>
      </c>
      <c r="EX132" s="2"/>
      <c r="EY132" s="282"/>
      <c r="EZ132" s="280" t="s">
        <v>14</v>
      </c>
      <c r="FA132" s="282">
        <v>1565.8755808613262</v>
      </c>
      <c r="FB132" s="282">
        <v>1555.5526664531501</v>
      </c>
      <c r="FC132" s="282">
        <v>1594.2577797316981</v>
      </c>
      <c r="FD132" s="282">
        <v>1568.9731605925599</v>
      </c>
      <c r="FE132" s="282">
        <v>1612.2813277259852</v>
      </c>
      <c r="FF132" s="282">
        <v>1649.8242123578352</v>
      </c>
      <c r="FG132" s="282">
        <v>2024.9291507359451</v>
      </c>
      <c r="FH132" s="282">
        <v>2330.7592929242051</v>
      </c>
      <c r="FI132" s="418">
        <v>1765.7863757507375</v>
      </c>
      <c r="FJ132" s="282"/>
      <c r="FK132" s="282"/>
      <c r="FL132" s="282"/>
      <c r="FM132" s="282"/>
      <c r="FN132" s="341" t="s">
        <v>14</v>
      </c>
      <c r="FO132" s="344">
        <v>1810.8737910314458</v>
      </c>
      <c r="FP132" s="344">
        <v>1646.5973436685485</v>
      </c>
      <c r="FQ132" s="344">
        <v>1607.1809838933111</v>
      </c>
      <c r="FR132" s="344">
        <v>1633.4959907659625</v>
      </c>
      <c r="FS132" s="344">
        <v>1618.3691263842195</v>
      </c>
      <c r="FT132" s="344">
        <v>1689.669355052127</v>
      </c>
      <c r="FU132" s="344">
        <v>1925.2952828319021</v>
      </c>
      <c r="FV132" s="344">
        <v>2279.3016717673627</v>
      </c>
      <c r="FW132" s="289">
        <v>1765.0482452911235</v>
      </c>
      <c r="FX132" s="341"/>
      <c r="FY132" s="341"/>
      <c r="FZ132" s="282"/>
      <c r="GA132" s="282"/>
      <c r="GB132" s="282"/>
      <c r="GC132" s="2"/>
      <c r="IO132" s="14" t="s">
        <v>39</v>
      </c>
      <c r="IP132" s="12">
        <f>IP131/IP126</f>
        <v>1.2754025286914021</v>
      </c>
      <c r="IQ132" s="12">
        <f t="shared" ref="IQ132:IV132" si="184">IQ131/IQ126</f>
        <v>0</v>
      </c>
      <c r="IR132" s="12">
        <f t="shared" si="184"/>
        <v>0.2935056168012467</v>
      </c>
      <c r="IS132" s="12">
        <f t="shared" si="184"/>
        <v>0.63618727628160887</v>
      </c>
      <c r="IT132" s="12">
        <f t="shared" si="184"/>
        <v>0.72113115331647537</v>
      </c>
      <c r="IU132" s="12">
        <f t="shared" si="184"/>
        <v>0.94413667128377343</v>
      </c>
      <c r="IV132" s="12">
        <f t="shared" si="184"/>
        <v>0.98994281042794541</v>
      </c>
      <c r="IW132" s="12"/>
      <c r="IY132" s="2"/>
    </row>
    <row r="133" spans="75:267" x14ac:dyDescent="0.2">
      <c r="BX133" s="2"/>
      <c r="BY133" s="2"/>
      <c r="BZ133" s="2"/>
      <c r="CA133" s="2"/>
      <c r="CB133" s="2"/>
      <c r="CC133" s="2"/>
      <c r="CD133" s="2"/>
      <c r="CE133" s="2"/>
      <c r="CF133" s="2"/>
      <c r="CG133" s="282"/>
      <c r="CJ133" s="2"/>
      <c r="CK133" s="2"/>
      <c r="CL133" s="2"/>
      <c r="CM133" s="2"/>
      <c r="CN133" s="2"/>
      <c r="CO133" s="2"/>
      <c r="CP133" s="2"/>
      <c r="CQ133" s="2"/>
      <c r="CR133" s="2"/>
      <c r="CU133" s="2"/>
      <c r="CV133" s="2"/>
      <c r="CW133" s="2"/>
      <c r="CX133" s="2"/>
      <c r="CY133" s="2"/>
      <c r="CZ133" s="2"/>
      <c r="DA133" s="2"/>
      <c r="DB133" s="2"/>
      <c r="DC133" s="2"/>
      <c r="DF133" s="2"/>
      <c r="DG133" s="2"/>
      <c r="DH133" s="2"/>
      <c r="DI133" s="2"/>
      <c r="DJ133" s="2"/>
      <c r="DK133" s="2"/>
      <c r="DL133" s="2"/>
      <c r="DM133" s="2"/>
      <c r="DN133" s="2"/>
      <c r="DQ133" s="2"/>
      <c r="DR133" s="2"/>
      <c r="DS133" s="2"/>
      <c r="DT133" s="2"/>
      <c r="DU133" s="2"/>
      <c r="DV133" s="2"/>
      <c r="DW133" s="2"/>
      <c r="DX133" s="2"/>
      <c r="DY133" s="2"/>
      <c r="EB133" s="2"/>
      <c r="EC133" s="2"/>
      <c r="ED133" s="2"/>
      <c r="EE133" s="2"/>
      <c r="EF133" s="2"/>
      <c r="EG133" s="2"/>
      <c r="EH133" s="2"/>
      <c r="EI133" s="2"/>
      <c r="EJ133" s="2"/>
      <c r="EK133" s="1"/>
      <c r="EM133" s="2"/>
      <c r="EN133" s="2"/>
      <c r="EO133" s="2"/>
      <c r="EP133" s="2"/>
      <c r="EQ133" s="2"/>
      <c r="ER133" s="2"/>
      <c r="ES133" s="2"/>
      <c r="ET133" s="2"/>
      <c r="EU133" s="2"/>
      <c r="EX133" s="2"/>
      <c r="EY133" s="282"/>
      <c r="FA133" s="282"/>
      <c r="FB133" s="282"/>
      <c r="FC133" s="282"/>
      <c r="FD133" s="282"/>
      <c r="FE133" s="282"/>
      <c r="FF133" s="282"/>
      <c r="FG133" s="282"/>
      <c r="FH133" s="282"/>
      <c r="FI133" s="418"/>
      <c r="FJ133" s="282"/>
      <c r="FK133" s="282"/>
      <c r="FL133" s="282"/>
      <c r="FM133" s="282"/>
      <c r="FN133" s="341"/>
      <c r="FO133" s="344"/>
      <c r="FP133" s="344"/>
      <c r="FQ133" s="344"/>
      <c r="FR133" s="344"/>
      <c r="FS133" s="344"/>
      <c r="FT133" s="344"/>
      <c r="FU133" s="344"/>
      <c r="FV133" s="344"/>
      <c r="FW133" s="289"/>
      <c r="FX133" s="341"/>
      <c r="FY133" s="341"/>
      <c r="FZ133" s="282"/>
      <c r="GA133" s="282"/>
      <c r="GB133" s="282"/>
      <c r="GC133" s="2"/>
      <c r="GD133" t="s">
        <v>27</v>
      </c>
      <c r="GF133" t="s">
        <v>23</v>
      </c>
    </row>
    <row r="134" spans="75:267" x14ac:dyDescent="0.2">
      <c r="BW134" s="1" t="s">
        <v>15</v>
      </c>
      <c r="BX134" s="2"/>
      <c r="BY134" s="2"/>
      <c r="BZ134" s="2"/>
      <c r="CA134" s="2"/>
      <c r="CB134" s="2"/>
      <c r="CC134" s="2"/>
      <c r="CD134" s="2"/>
      <c r="CE134" s="2"/>
      <c r="CF134" s="2"/>
      <c r="CG134" s="282"/>
      <c r="CI134" s="1" t="s">
        <v>15</v>
      </c>
      <c r="CJ134" s="2"/>
      <c r="CK134" s="2"/>
      <c r="CL134" s="2"/>
      <c r="CM134" s="2"/>
      <c r="CN134" s="2"/>
      <c r="CO134" s="2"/>
      <c r="CP134" s="2"/>
      <c r="CQ134" s="2"/>
      <c r="CR134" s="2"/>
      <c r="CT134" s="1" t="s">
        <v>15</v>
      </c>
      <c r="CU134" s="2"/>
      <c r="CV134" s="2"/>
      <c r="CW134" s="2"/>
      <c r="CX134" s="2"/>
      <c r="CY134" s="2"/>
      <c r="CZ134" s="2"/>
      <c r="DA134" s="2"/>
      <c r="DB134" s="2"/>
      <c r="DC134" s="2"/>
      <c r="DE134" s="1" t="s">
        <v>15</v>
      </c>
      <c r="DF134" s="2"/>
      <c r="DG134" s="2"/>
      <c r="DH134" s="2"/>
      <c r="DI134" s="2"/>
      <c r="DJ134" s="2"/>
      <c r="DK134" s="2"/>
      <c r="DL134" s="2"/>
      <c r="DM134" s="2"/>
      <c r="DN134" s="2"/>
      <c r="DP134" s="1" t="s">
        <v>15</v>
      </c>
      <c r="DQ134" s="2"/>
      <c r="DR134" s="2"/>
      <c r="DS134" s="2"/>
      <c r="DT134" s="2"/>
      <c r="DU134" s="2"/>
      <c r="DV134" s="2"/>
      <c r="DW134" s="2"/>
      <c r="DX134" s="2"/>
      <c r="DY134" s="2"/>
      <c r="EA134" s="1" t="s">
        <v>15</v>
      </c>
      <c r="EB134" s="2"/>
      <c r="EC134" s="2"/>
      <c r="ED134" s="2"/>
      <c r="EE134" s="2"/>
      <c r="EF134" s="2"/>
      <c r="EG134" s="2"/>
      <c r="EH134" s="2"/>
      <c r="EI134" s="2"/>
      <c r="EJ134" s="2"/>
      <c r="EL134" s="1" t="s">
        <v>15</v>
      </c>
      <c r="EM134" s="2"/>
      <c r="EN134" s="2"/>
      <c r="EO134" s="2"/>
      <c r="EP134" s="2"/>
      <c r="EQ134" s="2"/>
      <c r="ER134" s="2"/>
      <c r="ES134" s="2"/>
      <c r="ET134" s="2"/>
      <c r="EU134" s="2"/>
      <c r="EX134" s="2"/>
      <c r="EY134" s="282"/>
      <c r="EZ134" s="281" t="s">
        <v>15</v>
      </c>
      <c r="FA134" s="282"/>
      <c r="FB134" s="282"/>
      <c r="FC134" s="282"/>
      <c r="FD134" s="282"/>
      <c r="FE134" s="282"/>
      <c r="FF134" s="282"/>
      <c r="FG134" s="282"/>
      <c r="FH134" s="282"/>
      <c r="FI134" s="418"/>
      <c r="FJ134" s="282"/>
      <c r="FK134" s="282"/>
      <c r="FL134" s="282"/>
      <c r="FM134" s="282"/>
      <c r="FN134" s="342" t="s">
        <v>15</v>
      </c>
      <c r="FO134" s="344"/>
      <c r="FP134" s="344"/>
      <c r="FQ134" s="344"/>
      <c r="FR134" s="344"/>
      <c r="FS134" s="344"/>
      <c r="FT134" s="344"/>
      <c r="FU134" s="344"/>
      <c r="FV134" s="344"/>
      <c r="FW134" s="289"/>
      <c r="FX134" s="341"/>
      <c r="FY134" s="341"/>
      <c r="FZ134" s="282"/>
      <c r="GA134" s="282"/>
      <c r="GB134" s="282"/>
      <c r="GC134" s="2"/>
      <c r="GE134" t="s">
        <v>0</v>
      </c>
      <c r="GF134" t="s">
        <v>1</v>
      </c>
      <c r="GG134" t="s">
        <v>2</v>
      </c>
      <c r="GH134" t="s">
        <v>3</v>
      </c>
      <c r="GI134" t="s">
        <v>4</v>
      </c>
      <c r="GJ134" t="s">
        <v>5</v>
      </c>
      <c r="GK134" t="s">
        <v>6</v>
      </c>
    </row>
    <row r="135" spans="75:267" x14ac:dyDescent="0.2">
      <c r="BW135" t="s">
        <v>9</v>
      </c>
      <c r="BX135" s="2">
        <v>1613.4150821072005</v>
      </c>
      <c r="BY135" s="2">
        <v>1157.9800232039015</v>
      </c>
      <c r="BZ135" s="2">
        <v>2098.5465149002016</v>
      </c>
      <c r="CA135" s="2">
        <v>2199.6984166122929</v>
      </c>
      <c r="CB135" s="2">
        <v>3153.5402291106525</v>
      </c>
      <c r="CC135" s="2">
        <v>1956.7508263750135</v>
      </c>
      <c r="CD135" s="2">
        <v>1868.0843277993938</v>
      </c>
      <c r="CE135" s="2"/>
      <c r="CF135" s="2">
        <v>14048.015420108815</v>
      </c>
      <c r="CG135" s="282"/>
      <c r="CI135" t="s">
        <v>9</v>
      </c>
      <c r="CJ135" s="2">
        <v>1745.1571535343796</v>
      </c>
      <c r="CK135" s="2">
        <v>1191.4113247691503</v>
      </c>
      <c r="CL135" s="2">
        <v>2090.0353800233829</v>
      </c>
      <c r="CM135" s="2">
        <v>2235.4732272251081</v>
      </c>
      <c r="CN135" s="2">
        <v>3209.118888564105</v>
      </c>
      <c r="CO135" s="2">
        <v>1946.0739633218789</v>
      </c>
      <c r="CP135" s="2">
        <v>2355.0252335245732</v>
      </c>
      <c r="CQ135" s="2"/>
      <c r="CR135" s="2">
        <v>14772.296171157932</v>
      </c>
      <c r="CT135" t="s">
        <v>9</v>
      </c>
      <c r="CU135" s="2">
        <v>1751.7903937982001</v>
      </c>
      <c r="CV135" s="2">
        <v>1219.4871753305997</v>
      </c>
      <c r="CW135" s="2">
        <v>2155.3714659308971</v>
      </c>
      <c r="CX135" s="2">
        <v>2241.3405930384961</v>
      </c>
      <c r="CY135" s="2">
        <v>3332.6520053382128</v>
      </c>
      <c r="CZ135" s="2">
        <v>1961.4409339789211</v>
      </c>
      <c r="DA135" s="2">
        <v>2494.7584042678909</v>
      </c>
      <c r="DB135" s="2">
        <v>383.86608392275019</v>
      </c>
      <c r="DC135" s="2">
        <v>15540.707055605944</v>
      </c>
      <c r="DE135" t="s">
        <v>9</v>
      </c>
      <c r="DF135" s="2">
        <v>1743.3663904531925</v>
      </c>
      <c r="DG135" s="2">
        <v>1175.6490251170208</v>
      </c>
      <c r="DH135" s="2">
        <v>2006.020872438002</v>
      </c>
      <c r="DI135" s="2">
        <v>2073.195877129489</v>
      </c>
      <c r="DJ135" s="2">
        <v>3216.5615328369063</v>
      </c>
      <c r="DK135" s="2">
        <v>2087.1045380758892</v>
      </c>
      <c r="DL135" s="2">
        <v>2504.9340494178005</v>
      </c>
      <c r="DM135" s="2">
        <v>904.44761761280972</v>
      </c>
      <c r="DN135" s="2">
        <v>15711.279903081042</v>
      </c>
      <c r="DP135" t="s">
        <v>9</v>
      </c>
      <c r="DQ135" s="2">
        <v>1596.4354916590019</v>
      </c>
      <c r="DR135" s="2">
        <v>1154.0408034146005</v>
      </c>
      <c r="DS135" s="2">
        <v>1932.1127592925993</v>
      </c>
      <c r="DT135" s="2">
        <v>2057.121288557873</v>
      </c>
      <c r="DU135" s="2">
        <v>3326.1748719608281</v>
      </c>
      <c r="DV135" s="2">
        <v>2008.7244311640334</v>
      </c>
      <c r="DW135" s="2">
        <v>2582.9794076181006</v>
      </c>
      <c r="DX135" s="2">
        <v>1684.0483116748283</v>
      </c>
      <c r="DY135" s="2">
        <v>16341.637365341912</v>
      </c>
      <c r="EA135" t="s">
        <v>9</v>
      </c>
      <c r="EB135" s="2">
        <v>1561.4209199184991</v>
      </c>
      <c r="EC135" s="2">
        <v>1196.1877814470008</v>
      </c>
      <c r="ED135" s="2">
        <v>1996.7575189806</v>
      </c>
      <c r="EE135" s="2">
        <v>2038.8741860541784</v>
      </c>
      <c r="EF135" s="2">
        <v>3264.3817008050701</v>
      </c>
      <c r="EG135" s="2">
        <v>1970.8326855898233</v>
      </c>
      <c r="EH135" s="2">
        <v>2454.1738857655614</v>
      </c>
      <c r="EI135" s="2">
        <v>2263.5534875777462</v>
      </c>
      <c r="EJ135" s="2">
        <v>16746.1821661385</v>
      </c>
      <c r="EL135" t="s">
        <v>9</v>
      </c>
      <c r="EM135" s="2">
        <v>1618.1765384996013</v>
      </c>
      <c r="EN135" s="2">
        <v>1156.5502345758002</v>
      </c>
      <c r="EO135" s="2">
        <v>2034.7571264633975</v>
      </c>
      <c r="EP135" s="2">
        <v>2032.3738305620016</v>
      </c>
      <c r="EQ135" s="2">
        <v>3031.4117686404397</v>
      </c>
      <c r="ER135" s="2">
        <v>1963.8888852858133</v>
      </c>
      <c r="ES135" s="2">
        <v>2424.9225963546014</v>
      </c>
      <c r="ET135" s="2">
        <v>2615.496483173265</v>
      </c>
      <c r="EU135" s="2">
        <v>16877.577463554961</v>
      </c>
      <c r="EW135">
        <v>16877.577463554917</v>
      </c>
      <c r="EX135" s="2"/>
      <c r="EY135" s="282"/>
      <c r="EZ135" s="280" t="s">
        <v>9</v>
      </c>
      <c r="FA135" s="282">
        <v>1579.1540077848074</v>
      </c>
      <c r="FB135" s="282">
        <v>1063.1037374765788</v>
      </c>
      <c r="FC135" s="282">
        <v>2074.4418215806181</v>
      </c>
      <c r="FD135" s="282">
        <v>2065.988049622059</v>
      </c>
      <c r="FE135" s="282">
        <v>3278.1870839013486</v>
      </c>
      <c r="FF135" s="282">
        <v>1978.0515567913187</v>
      </c>
      <c r="FG135" s="282">
        <v>2511.7049812550763</v>
      </c>
      <c r="FH135" s="282">
        <v>2826.4803110186849</v>
      </c>
      <c r="FI135" s="418">
        <v>17375.925369458819</v>
      </c>
      <c r="FJ135" s="282"/>
      <c r="FK135" s="282"/>
      <c r="FL135" s="282"/>
      <c r="FM135" s="282"/>
      <c r="FN135" s="341" t="s">
        <v>9</v>
      </c>
      <c r="FO135" s="344">
        <v>1618.1765384996013</v>
      </c>
      <c r="FP135" s="344">
        <v>1156.5502345758002</v>
      </c>
      <c r="FQ135" s="344">
        <v>2034.7571264633975</v>
      </c>
      <c r="FR135" s="344">
        <v>2032.3738305620016</v>
      </c>
      <c r="FS135" s="344">
        <v>3031.4117686404397</v>
      </c>
      <c r="FT135" s="344">
        <v>1963.8888852858133</v>
      </c>
      <c r="FU135" s="344">
        <v>2424.9225963546014</v>
      </c>
      <c r="FV135" s="344">
        <v>2615.496483173265</v>
      </c>
      <c r="FW135" s="289">
        <v>17484.010943020483</v>
      </c>
      <c r="FX135" s="341"/>
      <c r="FY135" s="341">
        <v>16877.577463554917</v>
      </c>
      <c r="FZ135" s="282"/>
      <c r="GA135" s="282"/>
      <c r="GB135" s="282"/>
      <c r="GC135" s="2"/>
      <c r="GD135" s="11">
        <v>1997</v>
      </c>
      <c r="GE135" s="2">
        <f t="shared" ref="GE135:GK135" si="185">BX136+BX137</f>
        <v>1687.5682620709003</v>
      </c>
      <c r="GF135" s="2">
        <f t="shared" si="185"/>
        <v>1214.6070109991012</v>
      </c>
      <c r="GG135" s="2">
        <f t="shared" si="185"/>
        <v>2146.664375702012</v>
      </c>
      <c r="GH135" s="2">
        <f t="shared" si="185"/>
        <v>2190.0069693014989</v>
      </c>
      <c r="GI135" s="2">
        <f t="shared" si="185"/>
        <v>2939.3517809745695</v>
      </c>
      <c r="GJ135" s="2">
        <f t="shared" si="185"/>
        <v>2039.6609926667684</v>
      </c>
      <c r="GK135" s="2">
        <f t="shared" si="185"/>
        <v>1762.0982516156187</v>
      </c>
    </row>
    <row r="136" spans="75:267" x14ac:dyDescent="0.2">
      <c r="BW136" t="s">
        <v>10</v>
      </c>
      <c r="BX136" s="2">
        <v>1607.9324332671004</v>
      </c>
      <c r="BY136" s="2">
        <v>1154.0119423269011</v>
      </c>
      <c r="BZ136" s="2">
        <v>2056.6763747139121</v>
      </c>
      <c r="CA136" s="2">
        <v>2013.325570919699</v>
      </c>
      <c r="CB136" s="2">
        <v>2561.9061109853692</v>
      </c>
      <c r="CC136" s="2">
        <v>1730.4505066656484</v>
      </c>
      <c r="CD136" s="2">
        <v>1606.8590268267187</v>
      </c>
      <c r="CE136" s="2"/>
      <c r="CF136" s="2">
        <v>12731.161965705478</v>
      </c>
      <c r="CG136" s="282"/>
      <c r="CI136" t="s">
        <v>10</v>
      </c>
      <c r="CJ136" s="2">
        <v>1737.4978794916794</v>
      </c>
      <c r="CK136" s="2">
        <v>1189.9731289234501</v>
      </c>
      <c r="CL136" s="2">
        <v>2061.190201860973</v>
      </c>
      <c r="CM136" s="2">
        <v>2078.8045412310175</v>
      </c>
      <c r="CN136" s="2">
        <v>2666.0117184825735</v>
      </c>
      <c r="CO136" s="2">
        <v>1714.5281475598906</v>
      </c>
      <c r="CP136" s="2">
        <v>2026.7184084509292</v>
      </c>
      <c r="CQ136" s="2"/>
      <c r="CR136" s="2">
        <v>13474.724026000482</v>
      </c>
      <c r="CT136" t="s">
        <v>10</v>
      </c>
      <c r="CU136" s="2">
        <v>1740.0791559696002</v>
      </c>
      <c r="CV136" s="2">
        <v>1216.8017543263998</v>
      </c>
      <c r="CW136" s="2">
        <v>2127.8041409427983</v>
      </c>
      <c r="CX136" s="2">
        <v>2064.0060333923971</v>
      </c>
      <c r="CY136" s="2">
        <v>2788.9837293741016</v>
      </c>
      <c r="CZ136" s="2">
        <v>1717.7325277305024</v>
      </c>
      <c r="DA136" s="2">
        <v>2137.5112393074569</v>
      </c>
      <c r="DB136" s="2">
        <v>331.99410035164993</v>
      </c>
      <c r="DC136" s="2">
        <v>14124.912681394875</v>
      </c>
      <c r="DE136" t="s">
        <v>10</v>
      </c>
      <c r="DF136" s="2">
        <v>1735.8908584952926</v>
      </c>
      <c r="DG136" s="2">
        <v>1175.6490251170208</v>
      </c>
      <c r="DH136" s="2">
        <v>1982.5209191360714</v>
      </c>
      <c r="DI136" s="2">
        <v>1933.7627083405278</v>
      </c>
      <c r="DJ136" s="2">
        <v>2748.6545669939628</v>
      </c>
      <c r="DK136" s="2">
        <v>1824.8287660795588</v>
      </c>
      <c r="DL136" s="2">
        <v>2193.5983540211332</v>
      </c>
      <c r="DM136" s="2">
        <v>830.86186575680995</v>
      </c>
      <c r="DN136" s="2">
        <v>14425.76706394032</v>
      </c>
      <c r="DP136" t="s">
        <v>10</v>
      </c>
      <c r="DQ136" s="2">
        <v>1587.0072069104019</v>
      </c>
      <c r="DR136" s="2">
        <v>1154.0408034146005</v>
      </c>
      <c r="DS136" s="2">
        <v>1919.5840832032993</v>
      </c>
      <c r="DT136" s="2">
        <v>1922.737574540073</v>
      </c>
      <c r="DU136" s="2">
        <v>2893.7353786118056</v>
      </c>
      <c r="DV136" s="2">
        <v>1776.3891819413989</v>
      </c>
      <c r="DW136" s="2">
        <v>2210.2857007744319</v>
      </c>
      <c r="DX136" s="2">
        <v>1539.5231000466292</v>
      </c>
      <c r="DY136" s="2">
        <v>15003.303029442694</v>
      </c>
      <c r="EA136" t="s">
        <v>10</v>
      </c>
      <c r="EB136" s="2">
        <v>1551.1435148677992</v>
      </c>
      <c r="EC136" s="2">
        <v>1196.1877814470008</v>
      </c>
      <c r="ED136" s="2">
        <v>1993.8070622950002</v>
      </c>
      <c r="EE136" s="2">
        <v>1926.6237836529785</v>
      </c>
      <c r="EF136" s="2">
        <v>2823.6935749272006</v>
      </c>
      <c r="EG136" s="2">
        <v>1751.0459367230994</v>
      </c>
      <c r="EH136" s="2">
        <v>2135.6602834627552</v>
      </c>
      <c r="EI136" s="2">
        <v>2096.8690681943467</v>
      </c>
      <c r="EJ136" s="2">
        <v>15475.031005570223</v>
      </c>
      <c r="EL136" t="s">
        <v>10</v>
      </c>
      <c r="EM136" s="2">
        <v>1608.4078810176011</v>
      </c>
      <c r="EN136" s="2">
        <v>1156.5502345758002</v>
      </c>
      <c r="EO136" s="2">
        <v>2026.2909046550976</v>
      </c>
      <c r="EP136" s="2">
        <v>1932.7032059408009</v>
      </c>
      <c r="EQ136" s="2">
        <v>2639.760268705099</v>
      </c>
      <c r="ER136" s="2">
        <v>1745.277989542602</v>
      </c>
      <c r="ES136" s="2">
        <v>2099.9176152585214</v>
      </c>
      <c r="ET136" s="2">
        <v>2432.6178490970647</v>
      </c>
      <c r="EU136" s="2">
        <v>15641.525948792647</v>
      </c>
      <c r="EW136">
        <v>15641.525948792585</v>
      </c>
      <c r="EX136" s="2"/>
      <c r="EY136" s="282"/>
      <c r="EZ136" s="280" t="s">
        <v>10</v>
      </c>
      <c r="FA136" s="282">
        <v>1568.8435314574276</v>
      </c>
      <c r="FB136" s="282">
        <v>1060.3696942056788</v>
      </c>
      <c r="FC136" s="282">
        <v>2058.5030028674732</v>
      </c>
      <c r="FD136" s="282">
        <v>1930.7958493624271</v>
      </c>
      <c r="FE136" s="282">
        <v>2814.312889451191</v>
      </c>
      <c r="FF136" s="282">
        <v>1733.690787801469</v>
      </c>
      <c r="FG136" s="282">
        <v>2155.2159116912335</v>
      </c>
      <c r="FH136" s="282">
        <v>2606.0119867950702</v>
      </c>
      <c r="FI136" s="418">
        <v>15977.360657195812</v>
      </c>
      <c r="FJ136" s="282"/>
      <c r="FK136" s="282"/>
      <c r="FL136" s="282"/>
      <c r="FM136" s="282"/>
      <c r="FN136" s="341" t="s">
        <v>10</v>
      </c>
      <c r="FO136" s="344">
        <v>1608.4078810176011</v>
      </c>
      <c r="FP136" s="344">
        <v>1156.5502345758002</v>
      </c>
      <c r="FQ136" s="344">
        <v>2026.2909046550976</v>
      </c>
      <c r="FR136" s="344">
        <v>1932.7032059408009</v>
      </c>
      <c r="FS136" s="344">
        <v>2639.760268705099</v>
      </c>
      <c r="FT136" s="344">
        <v>1745.277989542602</v>
      </c>
      <c r="FU136" s="344">
        <v>2099.9176152585214</v>
      </c>
      <c r="FV136" s="344">
        <v>2432.6178490970647</v>
      </c>
      <c r="FW136" s="289">
        <v>16109.987199463254</v>
      </c>
      <c r="FX136" s="341"/>
      <c r="FY136" s="341">
        <v>15641.525948792585</v>
      </c>
      <c r="FZ136" s="282"/>
      <c r="GA136" s="282"/>
      <c r="GB136" s="282"/>
      <c r="GC136" s="2"/>
      <c r="GD136" s="11">
        <v>1999</v>
      </c>
      <c r="GE136" s="2">
        <f t="shared" ref="GE136:GK136" si="186">CJ136+CJ137</f>
        <v>1850.1185466956454</v>
      </c>
      <c r="GF136" s="2">
        <f t="shared" si="186"/>
        <v>1276.9007083107801</v>
      </c>
      <c r="GG136" s="2">
        <f t="shared" si="186"/>
        <v>2153.7049892218929</v>
      </c>
      <c r="GH136" s="2">
        <f t="shared" si="186"/>
        <v>2313.3144375386837</v>
      </c>
      <c r="GI136" s="2">
        <f t="shared" si="186"/>
        <v>3098.0594606452132</v>
      </c>
      <c r="GJ136" s="2">
        <f t="shared" si="186"/>
        <v>2022.0437936649976</v>
      </c>
      <c r="GK136" s="2">
        <f t="shared" si="186"/>
        <v>2290.4087583835094</v>
      </c>
    </row>
    <row r="137" spans="75:267" x14ac:dyDescent="0.2">
      <c r="BW137" t="s">
        <v>11</v>
      </c>
      <c r="BX137" s="2">
        <v>79.635828803800038</v>
      </c>
      <c r="BY137" s="2">
        <v>60.595068672200007</v>
      </c>
      <c r="BZ137" s="2">
        <v>89.988000988099998</v>
      </c>
      <c r="CA137" s="2">
        <v>176.68139838180008</v>
      </c>
      <c r="CB137" s="2">
        <v>377.44566998920033</v>
      </c>
      <c r="CC137" s="2">
        <v>309.21048600111993</v>
      </c>
      <c r="CD137" s="2">
        <v>155.23922478889992</v>
      </c>
      <c r="CE137" s="2"/>
      <c r="CF137" s="2">
        <v>1248.7956776251201</v>
      </c>
      <c r="CG137" s="282"/>
      <c r="CI137" t="s">
        <v>11</v>
      </c>
      <c r="CJ137" s="2">
        <v>112.62066720396599</v>
      </c>
      <c r="CK137" s="2">
        <v>86.927579387330027</v>
      </c>
      <c r="CL137" s="2">
        <v>92.514787360919996</v>
      </c>
      <c r="CM137" s="2">
        <v>234.50989630766597</v>
      </c>
      <c r="CN137" s="2">
        <v>432.04774216263979</v>
      </c>
      <c r="CO137" s="2">
        <v>307.51564610510695</v>
      </c>
      <c r="CP137" s="2">
        <v>263.69034993257998</v>
      </c>
      <c r="CQ137" s="2"/>
      <c r="CR137" s="2">
        <v>1529.8266684602077</v>
      </c>
      <c r="CT137" t="s">
        <v>11</v>
      </c>
      <c r="CU137" s="2">
        <v>126.111038423</v>
      </c>
      <c r="CV137" s="2">
        <v>74.505237874799974</v>
      </c>
      <c r="CW137" s="2">
        <v>116.30855433500003</v>
      </c>
      <c r="CX137" s="2">
        <v>217.37039192626997</v>
      </c>
      <c r="CY137" s="2">
        <v>427.00268265859984</v>
      </c>
      <c r="CZ137" s="2">
        <v>328.6418092499099</v>
      </c>
      <c r="DA137" s="2">
        <v>291.48104837860001</v>
      </c>
      <c r="DB137" s="2">
        <v>55.617790342099994</v>
      </c>
      <c r="DC137" s="2">
        <v>1637.0385531882789</v>
      </c>
      <c r="DE137" t="s">
        <v>11</v>
      </c>
      <c r="DF137" s="2">
        <v>108.33051951964006</v>
      </c>
      <c r="DG137" s="2">
        <v>62.246867013790009</v>
      </c>
      <c r="DH137" s="2">
        <v>84.527315596679983</v>
      </c>
      <c r="DI137" s="2">
        <v>150.98260080761</v>
      </c>
      <c r="DJ137" s="2">
        <v>344.27457398649</v>
      </c>
      <c r="DK137" s="2">
        <v>273.55092364142786</v>
      </c>
      <c r="DL137" s="2">
        <v>213.45827041914001</v>
      </c>
      <c r="DM137" s="2">
        <v>75.507732150460001</v>
      </c>
      <c r="DN137" s="2">
        <v>1312.8788031352369</v>
      </c>
      <c r="DP137" t="s">
        <v>11</v>
      </c>
      <c r="DQ137" s="2">
        <v>78.727152179000001</v>
      </c>
      <c r="DR137" s="2">
        <v>66.359446324999993</v>
      </c>
      <c r="DS137" s="2">
        <v>80.454724222899998</v>
      </c>
      <c r="DT137" s="2">
        <v>137.85551201430002</v>
      </c>
      <c r="DU137" s="2">
        <v>332.41213493890012</v>
      </c>
      <c r="DV137" s="2">
        <v>270.3184325360001</v>
      </c>
      <c r="DW137" s="2">
        <v>184.54806824564997</v>
      </c>
      <c r="DX137" s="2">
        <v>108.36939938261001</v>
      </c>
      <c r="DY137" s="2">
        <v>1259.0448698443586</v>
      </c>
      <c r="EA137" t="s">
        <v>11</v>
      </c>
      <c r="EB137" s="2">
        <v>63.724293161700011</v>
      </c>
      <c r="EC137" s="2">
        <v>55.793513653600002</v>
      </c>
      <c r="ED137" s="2">
        <v>81.018314131000011</v>
      </c>
      <c r="EE137" s="2">
        <v>113.3406587102</v>
      </c>
      <c r="EF137" s="2">
        <v>335.50612954482</v>
      </c>
      <c r="EG137" s="2">
        <v>234.08189054820008</v>
      </c>
      <c r="EH137" s="2">
        <v>176.16594394734997</v>
      </c>
      <c r="EI137" s="2">
        <v>144.90623476351001</v>
      </c>
      <c r="EJ137" s="2">
        <v>1204.5369784603788</v>
      </c>
      <c r="EL137" t="s">
        <v>11</v>
      </c>
      <c r="EM137" s="2">
        <v>53.912012547800003</v>
      </c>
      <c r="EN137" s="2">
        <v>52.337108331099998</v>
      </c>
      <c r="EO137" s="2">
        <v>60.146430010699994</v>
      </c>
      <c r="EP137" s="2">
        <v>116.71548193010001</v>
      </c>
      <c r="EQ137" s="2">
        <v>295.30920919892992</v>
      </c>
      <c r="ER137" s="2">
        <v>209.71061897178006</v>
      </c>
      <c r="ES137" s="2">
        <v>175.27126246589995</v>
      </c>
      <c r="ET137" s="2">
        <v>209.07468658250005</v>
      </c>
      <c r="EU137" s="2">
        <v>1172.4768100388105</v>
      </c>
      <c r="EW137">
        <v>1172.4768100388101</v>
      </c>
      <c r="EX137" s="2"/>
      <c r="EY137" s="282"/>
      <c r="EZ137" s="280" t="s">
        <v>11</v>
      </c>
      <c r="FA137" s="282">
        <v>78.173595827393783</v>
      </c>
      <c r="FB137" s="282">
        <v>61.859885726351585</v>
      </c>
      <c r="FC137" s="282">
        <v>89.734421449516176</v>
      </c>
      <c r="FD137" s="282">
        <v>140.76896835589392</v>
      </c>
      <c r="FE137" s="282">
        <v>382.59935002516102</v>
      </c>
      <c r="FF137" s="282">
        <v>291.12504114403902</v>
      </c>
      <c r="FG137" s="282">
        <v>209.83272472120686</v>
      </c>
      <c r="FH137" s="282">
        <v>291.12136079334391</v>
      </c>
      <c r="FI137" s="418">
        <v>1453.5170982189031</v>
      </c>
      <c r="FJ137" s="282"/>
      <c r="FK137" s="282"/>
      <c r="FL137" s="282"/>
      <c r="FM137" s="282"/>
      <c r="FN137" s="341" t="s">
        <v>11</v>
      </c>
      <c r="FO137" s="344">
        <v>53.912012547800003</v>
      </c>
      <c r="FP137" s="344">
        <v>52.337108331099998</v>
      </c>
      <c r="FQ137" s="344">
        <v>60.146430010699994</v>
      </c>
      <c r="FR137" s="344">
        <v>116.71548193010001</v>
      </c>
      <c r="FS137" s="344">
        <v>295.30920919892992</v>
      </c>
      <c r="FT137" s="344">
        <v>209.71061897178006</v>
      </c>
      <c r="FU137" s="344">
        <v>175.27126246589995</v>
      </c>
      <c r="FV137" s="344">
        <v>209.07468658250005</v>
      </c>
      <c r="FW137" s="289">
        <v>1381.2705863272386</v>
      </c>
      <c r="FX137" s="341"/>
      <c r="FY137" s="341">
        <v>1172.4768100388101</v>
      </c>
      <c r="FZ137" s="282"/>
      <c r="GA137" s="282"/>
      <c r="GB137" s="282"/>
      <c r="GC137" s="2"/>
      <c r="GD137" s="11">
        <v>2001</v>
      </c>
      <c r="GE137" s="2">
        <f t="shared" ref="GE137:GK137" si="187">CU136+CU137</f>
        <v>1866.1901943926002</v>
      </c>
      <c r="GF137" s="2">
        <f t="shared" si="187"/>
        <v>1291.3069922011998</v>
      </c>
      <c r="GG137" s="2">
        <f t="shared" si="187"/>
        <v>2244.1126952777981</v>
      </c>
      <c r="GH137" s="2">
        <f t="shared" si="187"/>
        <v>2281.3764253186669</v>
      </c>
      <c r="GI137" s="2">
        <f t="shared" si="187"/>
        <v>3215.9864120327015</v>
      </c>
      <c r="GJ137" s="2">
        <f t="shared" si="187"/>
        <v>2046.3743369804124</v>
      </c>
      <c r="GK137" s="2">
        <f t="shared" si="187"/>
        <v>2428.9922876860569</v>
      </c>
    </row>
    <row r="138" spans="75:267" x14ac:dyDescent="0.2">
      <c r="BW138" t="s">
        <v>12</v>
      </c>
      <c r="BX138" s="2">
        <v>608.87663735938975</v>
      </c>
      <c r="BY138" s="2">
        <v>332.51203989960021</v>
      </c>
      <c r="BZ138" s="2">
        <v>514.97251850269993</v>
      </c>
      <c r="CA138" s="2">
        <v>1006.621707910571</v>
      </c>
      <c r="CB138" s="2">
        <v>1613.287344330017</v>
      </c>
      <c r="CC138" s="2">
        <v>1345.5404334784753</v>
      </c>
      <c r="CD138" s="2">
        <v>521.03351776550005</v>
      </c>
      <c r="CE138" s="2"/>
      <c r="CF138" s="2">
        <v>5942.8441992462631</v>
      </c>
      <c r="CG138" s="282"/>
      <c r="CI138" t="s">
        <v>12</v>
      </c>
      <c r="CJ138" s="2">
        <v>591.59561847058308</v>
      </c>
      <c r="CK138" s="2">
        <v>285.16779982229991</v>
      </c>
      <c r="CL138" s="2">
        <v>466.04067657661989</v>
      </c>
      <c r="CM138" s="2">
        <v>943.74088220384442</v>
      </c>
      <c r="CN138" s="2">
        <v>1515.8647078882814</v>
      </c>
      <c r="CO138" s="2">
        <v>1358.8668155462901</v>
      </c>
      <c r="CP138" s="2">
        <v>629.43868004407022</v>
      </c>
      <c r="CQ138" s="2"/>
      <c r="CR138" s="2">
        <v>5790.7151805519934</v>
      </c>
      <c r="CT138" t="s">
        <v>12</v>
      </c>
      <c r="CU138" s="2">
        <v>567.06172437665975</v>
      </c>
      <c r="CV138" s="2">
        <v>280.09217673727005</v>
      </c>
      <c r="CW138" s="2">
        <v>499.74378537260026</v>
      </c>
      <c r="CX138" s="2">
        <v>959.52181686286985</v>
      </c>
      <c r="CY138" s="2">
        <v>1500.5624196650595</v>
      </c>
      <c r="CZ138" s="2">
        <v>1361.1521700308242</v>
      </c>
      <c r="DA138" s="2">
        <v>663.49509910278016</v>
      </c>
      <c r="DB138" s="2">
        <v>101.70320924829998</v>
      </c>
      <c r="DC138" s="2">
        <v>5933.3324013963775</v>
      </c>
      <c r="DE138" t="s">
        <v>12</v>
      </c>
      <c r="DF138" s="2">
        <v>579.5569208199779</v>
      </c>
      <c r="DG138" s="2">
        <v>293.55785320060011</v>
      </c>
      <c r="DH138" s="2">
        <v>496.89438988176903</v>
      </c>
      <c r="DI138" s="2">
        <v>972.55151534478978</v>
      </c>
      <c r="DJ138" s="2">
        <v>1514.8223021710728</v>
      </c>
      <c r="DK138" s="2">
        <v>1313.5293838217297</v>
      </c>
      <c r="DL138" s="2">
        <v>665.84359605524014</v>
      </c>
      <c r="DM138" s="2">
        <v>213.14815570091</v>
      </c>
      <c r="DN138" s="2">
        <v>6049.9041169960892</v>
      </c>
      <c r="DP138" t="s">
        <v>12</v>
      </c>
      <c r="DQ138" s="2">
        <v>466.21277845760989</v>
      </c>
      <c r="DR138" s="2">
        <v>293.44432143419999</v>
      </c>
      <c r="DS138" s="2">
        <v>501.01442787729985</v>
      </c>
      <c r="DT138" s="2">
        <v>942.24144389458002</v>
      </c>
      <c r="DU138" s="2">
        <v>1738.2145993325109</v>
      </c>
      <c r="DV138" s="2">
        <v>1289.6931124212399</v>
      </c>
      <c r="DW138" s="2">
        <v>681.14261395828987</v>
      </c>
      <c r="DX138" s="2">
        <v>351.41591844125008</v>
      </c>
      <c r="DY138" s="2">
        <v>6263.3792158169781</v>
      </c>
      <c r="EA138" t="s">
        <v>12</v>
      </c>
      <c r="EB138" s="2">
        <v>502.18006909209026</v>
      </c>
      <c r="EC138" s="2">
        <v>283.89420881190011</v>
      </c>
      <c r="ED138" s="2">
        <v>514.26831758917001</v>
      </c>
      <c r="EE138" s="2">
        <v>1007.8678842592403</v>
      </c>
      <c r="EF138" s="2">
        <v>1779.7341217872206</v>
      </c>
      <c r="EG138" s="2">
        <v>1254.060733139519</v>
      </c>
      <c r="EH138" s="2">
        <v>658.33867844890005</v>
      </c>
      <c r="EI138" s="2">
        <v>455.94369426323027</v>
      </c>
      <c r="EJ138" s="2">
        <v>6456.2877073912568</v>
      </c>
      <c r="EL138" t="s">
        <v>12</v>
      </c>
      <c r="EM138" s="2">
        <v>523.52730523311004</v>
      </c>
      <c r="EN138" s="2">
        <v>278.6648097220999</v>
      </c>
      <c r="EO138" s="2">
        <v>474.31482310395995</v>
      </c>
      <c r="EP138" s="2">
        <v>936.88957065148998</v>
      </c>
      <c r="EQ138" s="2">
        <v>1614.0129090840201</v>
      </c>
      <c r="ER138" s="2">
        <v>1276.9875985083022</v>
      </c>
      <c r="ES138" s="2">
        <v>651.07025945591965</v>
      </c>
      <c r="ET138" s="2">
        <v>595.01294763739918</v>
      </c>
      <c r="EU138" s="2">
        <v>6350.4802233962982</v>
      </c>
      <c r="EW138">
        <v>6350.4802233963019</v>
      </c>
      <c r="EX138" s="2"/>
      <c r="EY138" s="282"/>
      <c r="EZ138" s="280" t="s">
        <v>12</v>
      </c>
      <c r="FA138" s="282">
        <v>554.87586744540602</v>
      </c>
      <c r="FB138" s="282">
        <v>307.68912152114029</v>
      </c>
      <c r="FC138" s="282">
        <v>461.38663378927288</v>
      </c>
      <c r="FD138" s="282">
        <v>947.22181486039597</v>
      </c>
      <c r="FE138" s="282">
        <v>1678.2084651121322</v>
      </c>
      <c r="FF138" s="282">
        <v>1287.5123695954539</v>
      </c>
      <c r="FG138" s="282">
        <v>694.50341284253921</v>
      </c>
      <c r="FH138" s="282">
        <v>721.76113740054063</v>
      </c>
      <c r="FI138" s="418">
        <v>6689.1787373989309</v>
      </c>
      <c r="FJ138" s="282"/>
      <c r="FK138" s="282"/>
      <c r="FL138" s="282"/>
      <c r="FM138" s="282"/>
      <c r="FN138" s="341" t="s">
        <v>12</v>
      </c>
      <c r="FO138" s="344">
        <v>523.52730523311004</v>
      </c>
      <c r="FP138" s="344">
        <v>278.6648097220999</v>
      </c>
      <c r="FQ138" s="344">
        <v>474.31482310395995</v>
      </c>
      <c r="FR138" s="344">
        <v>936.88957065148998</v>
      </c>
      <c r="FS138" s="344">
        <v>1614.0129090840201</v>
      </c>
      <c r="FT138" s="344">
        <v>1276.9875985083022</v>
      </c>
      <c r="FU138" s="344">
        <v>651.07025945591965</v>
      </c>
      <c r="FV138" s="344">
        <v>595.01294763739918</v>
      </c>
      <c r="FW138" s="289">
        <v>7013.5148726815887</v>
      </c>
      <c r="FX138" s="341"/>
      <c r="FY138" s="341">
        <v>6350.4802233963019</v>
      </c>
      <c r="FZ138" s="282"/>
      <c r="GA138" s="282"/>
      <c r="GB138" s="282"/>
      <c r="GC138" s="2"/>
      <c r="GD138" s="11">
        <v>2003</v>
      </c>
      <c r="GE138" s="2">
        <f t="shared" ref="GE138:GK138" si="188">+DF136+DF137</f>
        <v>1844.2213780149327</v>
      </c>
      <c r="GF138" s="2">
        <f t="shared" si="188"/>
        <v>1237.8958921308108</v>
      </c>
      <c r="GG138" s="2">
        <f t="shared" si="188"/>
        <v>2067.0482347327516</v>
      </c>
      <c r="GH138" s="2">
        <f t="shared" si="188"/>
        <v>2084.7453091481379</v>
      </c>
      <c r="GI138" s="2">
        <f t="shared" si="188"/>
        <v>3092.9291409804528</v>
      </c>
      <c r="GJ138" s="2">
        <f t="shared" si="188"/>
        <v>2098.3796897209868</v>
      </c>
      <c r="GK138" s="2">
        <f t="shared" si="188"/>
        <v>2407.056624440273</v>
      </c>
    </row>
    <row r="139" spans="75:267" x14ac:dyDescent="0.2">
      <c r="BW139" t="s">
        <v>13</v>
      </c>
      <c r="BX139" s="2">
        <v>5.4826488400999995</v>
      </c>
      <c r="BY139" s="2">
        <v>3.9680808770000002</v>
      </c>
      <c r="BZ139" s="2">
        <v>41.870140186290008</v>
      </c>
      <c r="CA139" s="2">
        <v>186.37284569259492</v>
      </c>
      <c r="CB139" s="2">
        <v>591.63411812528898</v>
      </c>
      <c r="CC139" s="2">
        <v>226.30031970936506</v>
      </c>
      <c r="CD139" s="2">
        <v>261.2253009726731</v>
      </c>
      <c r="CE139" s="2"/>
      <c r="CF139" s="2">
        <v>1316.8534544033125</v>
      </c>
      <c r="CG139" s="282"/>
      <c r="CI139" t="s">
        <v>13</v>
      </c>
      <c r="CJ139" s="2">
        <v>7.6592740427000008</v>
      </c>
      <c r="CK139" s="2">
        <v>1.4381958457000001</v>
      </c>
      <c r="CL139" s="2">
        <v>28.845178162410004</v>
      </c>
      <c r="CM139" s="2">
        <v>156.66868599409196</v>
      </c>
      <c r="CN139" s="2">
        <v>543.10717008153006</v>
      </c>
      <c r="CO139" s="2">
        <v>231.54581576198993</v>
      </c>
      <c r="CP139" s="2">
        <v>328.30682507364912</v>
      </c>
      <c r="CQ139" s="2"/>
      <c r="CR139" s="2">
        <v>1297.5721451574573</v>
      </c>
      <c r="CT139" t="s">
        <v>13</v>
      </c>
      <c r="CU139" s="2">
        <v>11.711237828599998</v>
      </c>
      <c r="CV139" s="2">
        <v>2.6854210042000002</v>
      </c>
      <c r="CW139" s="2">
        <v>27.567324988099998</v>
      </c>
      <c r="CX139" s="2">
        <v>177.33455964609999</v>
      </c>
      <c r="CY139" s="2">
        <v>543.66827596411122</v>
      </c>
      <c r="CZ139" s="2">
        <v>243.70840624841702</v>
      </c>
      <c r="DA139" s="2">
        <v>357.24716496043192</v>
      </c>
      <c r="DB139" s="2">
        <v>51.871983571099996</v>
      </c>
      <c r="DC139" s="2">
        <v>1415.7943742110597</v>
      </c>
      <c r="DE139" t="s">
        <v>13</v>
      </c>
      <c r="DF139" s="2">
        <v>7.4755319579000004</v>
      </c>
      <c r="DG139" s="2">
        <v>0</v>
      </c>
      <c r="DH139" s="2">
        <v>23.499953301929999</v>
      </c>
      <c r="DI139" s="2">
        <v>139.43316878896195</v>
      </c>
      <c r="DJ139" s="2">
        <v>467.9069658429417</v>
      </c>
      <c r="DK139" s="2">
        <v>262.27577199633009</v>
      </c>
      <c r="DL139" s="2">
        <v>311.33569539666411</v>
      </c>
      <c r="DM139" s="2">
        <v>73.585751856000002</v>
      </c>
      <c r="DN139" s="2">
        <v>1285.5128391407288</v>
      </c>
      <c r="DP139" t="s">
        <v>13</v>
      </c>
      <c r="DQ139" s="2">
        <v>9.4282847485999994</v>
      </c>
      <c r="DR139" s="2">
        <v>0</v>
      </c>
      <c r="DS139" s="2">
        <v>12.528676089299999</v>
      </c>
      <c r="DT139" s="2">
        <v>134.38371401779997</v>
      </c>
      <c r="DU139" s="2">
        <v>432.43949334902516</v>
      </c>
      <c r="DV139" s="2">
        <v>232.33524922263501</v>
      </c>
      <c r="DW139" s="2">
        <v>372.69370684366896</v>
      </c>
      <c r="DX139" s="2">
        <v>144.52521162820003</v>
      </c>
      <c r="DY139" s="2">
        <v>1338.3343358992288</v>
      </c>
      <c r="EA139" t="s">
        <v>13</v>
      </c>
      <c r="EB139" s="2">
        <v>10.277405050699999</v>
      </c>
      <c r="EC139" s="2">
        <v>0</v>
      </c>
      <c r="ED139" s="2">
        <v>2.9504566856000003</v>
      </c>
      <c r="EE139" s="2">
        <v>112.25040240120001</v>
      </c>
      <c r="EF139" s="2">
        <v>440.68812587786778</v>
      </c>
      <c r="EG139" s="2">
        <v>219.78674886672303</v>
      </c>
      <c r="EH139" s="2">
        <v>318.51360230280505</v>
      </c>
      <c r="EI139" s="2">
        <v>166.68441938340007</v>
      </c>
      <c r="EJ139" s="2">
        <v>1271.1511605682961</v>
      </c>
      <c r="EL139" t="s">
        <v>13</v>
      </c>
      <c r="EM139" s="2">
        <v>9.7686574820000001</v>
      </c>
      <c r="EN139" s="2">
        <v>0</v>
      </c>
      <c r="EO139" s="2">
        <v>8.4662218083000003</v>
      </c>
      <c r="EP139" s="2">
        <v>99.670624621200005</v>
      </c>
      <c r="EQ139" s="2">
        <v>391.65149993534089</v>
      </c>
      <c r="ER139" s="2">
        <v>218.61089574321105</v>
      </c>
      <c r="ES139" s="2">
        <v>325.00498109608407</v>
      </c>
      <c r="ET139" s="2">
        <v>182.8786340762</v>
      </c>
      <c r="EU139" s="2">
        <v>1236.0515147623366</v>
      </c>
      <c r="EW139">
        <v>1236.051514762336</v>
      </c>
      <c r="EX139" s="2"/>
      <c r="EY139" s="282"/>
      <c r="EZ139" s="280" t="s">
        <v>13</v>
      </c>
      <c r="FA139" s="282">
        <v>10.31047632738</v>
      </c>
      <c r="FB139" s="282">
        <v>2.7340432709</v>
      </c>
      <c r="FC139" s="282">
        <v>15.938818713141996</v>
      </c>
      <c r="FD139" s="282">
        <v>135.19220025962892</v>
      </c>
      <c r="FE139" s="282">
        <v>463.87419445014734</v>
      </c>
      <c r="FF139" s="282">
        <v>244.36076898984902</v>
      </c>
      <c r="FG139" s="282">
        <v>356.48906956382712</v>
      </c>
      <c r="FH139" s="282">
        <v>220.46832422361001</v>
      </c>
      <c r="FI139" s="418">
        <v>1398.5647122630435</v>
      </c>
      <c r="FJ139" s="282"/>
      <c r="FK139" s="282"/>
      <c r="FL139" s="282"/>
      <c r="FM139" s="282"/>
      <c r="FN139" s="341" t="s">
        <v>13</v>
      </c>
      <c r="FO139" s="344">
        <v>9.7686574820000001</v>
      </c>
      <c r="FP139" s="344">
        <v>0</v>
      </c>
      <c r="FQ139" s="344">
        <v>8.4662218083000003</v>
      </c>
      <c r="FR139" s="344">
        <v>99.670624621200005</v>
      </c>
      <c r="FS139" s="344">
        <v>391.65149993534089</v>
      </c>
      <c r="FT139" s="344">
        <v>218.61089574321105</v>
      </c>
      <c r="FU139" s="344">
        <v>325.00498109608407</v>
      </c>
      <c r="FV139" s="344">
        <v>182.8786340762</v>
      </c>
      <c r="FW139" s="289">
        <v>1374.0237435572374</v>
      </c>
      <c r="FX139" s="341"/>
      <c r="FY139" s="341">
        <v>1236.051514762336</v>
      </c>
      <c r="FZ139" s="282"/>
      <c r="GA139" s="282"/>
      <c r="GB139" s="282"/>
      <c r="GC139" s="2"/>
      <c r="GD139" s="11">
        <v>2005</v>
      </c>
      <c r="GE139" s="2">
        <f t="shared" ref="GE139:GK139" si="189">DQ136+DQ137</f>
        <v>1665.734359089402</v>
      </c>
      <c r="GF139" s="2">
        <f t="shared" si="189"/>
        <v>1220.4002497396004</v>
      </c>
      <c r="GG139" s="2">
        <f t="shared" si="189"/>
        <v>2000.0388074261994</v>
      </c>
      <c r="GH139" s="2">
        <f t="shared" si="189"/>
        <v>2060.5930865543728</v>
      </c>
      <c r="GI139" s="2">
        <f t="shared" si="189"/>
        <v>3226.1475135507058</v>
      </c>
      <c r="GJ139" s="2">
        <f t="shared" si="189"/>
        <v>2046.7076144773989</v>
      </c>
      <c r="GK139" s="2">
        <f t="shared" si="189"/>
        <v>2394.8337690200819</v>
      </c>
    </row>
    <row r="140" spans="75:267" x14ac:dyDescent="0.2">
      <c r="BW140" t="s">
        <v>14</v>
      </c>
      <c r="BX140" s="2">
        <v>2301.9275482703902</v>
      </c>
      <c r="BY140" s="2">
        <v>1551.0871317757012</v>
      </c>
      <c r="BZ140" s="2">
        <v>2703.5070343910015</v>
      </c>
      <c r="CA140" s="2">
        <v>3383.0015229046649</v>
      </c>
      <c r="CB140" s="2">
        <v>5144.273243429875</v>
      </c>
      <c r="CC140" s="2">
        <v>3611.501745854609</v>
      </c>
      <c r="CD140" s="2">
        <v>2544.3570703537916</v>
      </c>
      <c r="CE140" s="2"/>
      <c r="CF140" s="2">
        <v>21239.655296980174</v>
      </c>
      <c r="CG140" s="282"/>
      <c r="CI140" t="s">
        <v>14</v>
      </c>
      <c r="CJ140" s="2">
        <v>2449.3734392089286</v>
      </c>
      <c r="CK140" s="2">
        <v>1563.5067039787803</v>
      </c>
      <c r="CL140" s="2">
        <v>2648.5908439609229</v>
      </c>
      <c r="CM140" s="2">
        <v>3413.7240057366198</v>
      </c>
      <c r="CN140" s="2">
        <v>5157.0313386150247</v>
      </c>
      <c r="CO140" s="2">
        <v>3612.4564249732775</v>
      </c>
      <c r="CP140" s="2">
        <v>3248.1542635012288</v>
      </c>
      <c r="CQ140" s="2"/>
      <c r="CR140" s="2">
        <v>22092.838020170137</v>
      </c>
      <c r="CT140" t="s">
        <v>14</v>
      </c>
      <c r="CU140" s="2">
        <v>2444.9631565978602</v>
      </c>
      <c r="CV140" s="2">
        <v>1574.0845899426695</v>
      </c>
      <c r="CW140" s="2">
        <v>2771.4238056384993</v>
      </c>
      <c r="CX140" s="2">
        <v>3418.2328018276366</v>
      </c>
      <c r="CY140" s="2">
        <v>5260.2171076618715</v>
      </c>
      <c r="CZ140" s="2">
        <v>3651.2349132596537</v>
      </c>
      <c r="DA140" s="2">
        <v>3449.7345517492686</v>
      </c>
      <c r="DB140" s="2">
        <v>541.1870835131499</v>
      </c>
      <c r="DC140" s="2">
        <v>23111.078010190591</v>
      </c>
      <c r="DE140" t="s">
        <v>14</v>
      </c>
      <c r="DF140" s="2">
        <v>2431.2538307928107</v>
      </c>
      <c r="DG140" s="2">
        <v>1531.4537453314108</v>
      </c>
      <c r="DH140" s="2">
        <v>2587.4425779164503</v>
      </c>
      <c r="DI140" s="2">
        <v>3196.7299932818896</v>
      </c>
      <c r="DJ140" s="2">
        <v>5075.6584089944672</v>
      </c>
      <c r="DK140" s="2">
        <v>3674.1848455390459</v>
      </c>
      <c r="DL140" s="2">
        <v>3384.2359158921777</v>
      </c>
      <c r="DM140" s="2">
        <v>1193.10350546418</v>
      </c>
      <c r="DN140" s="2">
        <v>23074.062823212374</v>
      </c>
      <c r="DP140" t="s">
        <v>14</v>
      </c>
      <c r="DQ140" s="2">
        <v>2141.3754222956113</v>
      </c>
      <c r="DR140" s="2">
        <v>1513.8445711738004</v>
      </c>
      <c r="DS140" s="2">
        <v>2513.5819113927992</v>
      </c>
      <c r="DT140" s="2">
        <v>3137.2182444667528</v>
      </c>
      <c r="DU140" s="2">
        <v>5396.8016062322413</v>
      </c>
      <c r="DV140" s="2">
        <v>3568.7359761212738</v>
      </c>
      <c r="DW140" s="2">
        <v>3448.6700898220406</v>
      </c>
      <c r="DX140" s="2">
        <v>2143.8336294986893</v>
      </c>
      <c r="DY140" s="2">
        <v>23864.061451003261</v>
      </c>
      <c r="EA140" t="s">
        <v>14</v>
      </c>
      <c r="EB140" s="2">
        <v>2127.3252821722895</v>
      </c>
      <c r="EC140" s="2">
        <v>1535.8755039125008</v>
      </c>
      <c r="ED140" s="2">
        <v>2592.0441507007699</v>
      </c>
      <c r="EE140" s="2">
        <v>3160.0827290236193</v>
      </c>
      <c r="EF140" s="2">
        <v>5379.6219521371086</v>
      </c>
      <c r="EG140" s="2">
        <v>3458.9753092775409</v>
      </c>
      <c r="EH140" s="2">
        <v>3288.6785081618104</v>
      </c>
      <c r="EI140" s="2">
        <v>2864.4034166044867</v>
      </c>
      <c r="EJ140" s="2">
        <v>24407.006851990158</v>
      </c>
      <c r="EL140" t="s">
        <v>14</v>
      </c>
      <c r="EM140" s="2">
        <v>2195.6158562805113</v>
      </c>
      <c r="EN140" s="2">
        <v>1487.5521526290001</v>
      </c>
      <c r="EO140" s="2">
        <v>2569.2183795780575</v>
      </c>
      <c r="EP140" s="2">
        <v>3085.9788831435912</v>
      </c>
      <c r="EQ140" s="2">
        <v>4940.7338869233899</v>
      </c>
      <c r="ER140" s="2">
        <v>3450.5871027658955</v>
      </c>
      <c r="ES140" s="2">
        <v>3251.2641182764251</v>
      </c>
      <c r="ET140" s="2">
        <v>3419.584117393164</v>
      </c>
      <c r="EU140" s="2">
        <v>24400.534496990094</v>
      </c>
      <c r="EW140">
        <v>24400.534496990032</v>
      </c>
      <c r="EZ140" s="280" t="s">
        <v>14</v>
      </c>
      <c r="FA140" s="282">
        <v>2212.2034710576077</v>
      </c>
      <c r="FB140" s="282">
        <v>1432.6527447240705</v>
      </c>
      <c r="FC140" s="282">
        <v>2625.5628768194042</v>
      </c>
      <c r="FD140" s="282">
        <v>3153.9788328383456</v>
      </c>
      <c r="FE140" s="282">
        <v>5338.994899038632</v>
      </c>
      <c r="FF140" s="282">
        <v>3556.6889675308107</v>
      </c>
      <c r="FG140" s="282">
        <v>3416.0411188188064</v>
      </c>
      <c r="FH140" s="282">
        <v>3839.3628092125646</v>
      </c>
      <c r="FI140" s="418">
        <v>25518.621205076692</v>
      </c>
      <c r="FN140" s="341" t="s">
        <v>14</v>
      </c>
      <c r="FO140" s="344">
        <v>2195.6158562805113</v>
      </c>
      <c r="FP140" s="344">
        <v>1487.5521526290001</v>
      </c>
      <c r="FQ140" s="344">
        <v>2569.2183795780575</v>
      </c>
      <c r="FR140" s="344">
        <v>3085.9788831435912</v>
      </c>
      <c r="FS140" s="344">
        <v>4940.7338869233899</v>
      </c>
      <c r="FT140" s="344">
        <v>3450.5871027658955</v>
      </c>
      <c r="FU140" s="344">
        <v>3251.2641182764251</v>
      </c>
      <c r="FV140" s="344">
        <v>3419.584117393164</v>
      </c>
      <c r="FW140" s="289">
        <v>25878.796402029318</v>
      </c>
      <c r="FX140" s="341"/>
      <c r="FY140" s="341">
        <v>24400.534496990032</v>
      </c>
      <c r="FZ140" s="282"/>
      <c r="GB140" s="282"/>
      <c r="GC140" s="2"/>
      <c r="GD140" s="11">
        <v>2007</v>
      </c>
      <c r="GE140" s="2">
        <f t="shared" ref="GE140:GK140" si="190">EB136+EB137</f>
        <v>1614.8678080294992</v>
      </c>
      <c r="GF140" s="2">
        <f t="shared" si="190"/>
        <v>1251.9812951006008</v>
      </c>
      <c r="GG140" s="2">
        <f t="shared" si="190"/>
        <v>2074.8253764260003</v>
      </c>
      <c r="GH140" s="2">
        <f t="shared" si="190"/>
        <v>2039.9644423631785</v>
      </c>
      <c r="GI140" s="2">
        <f t="shared" si="190"/>
        <v>3159.1997044720206</v>
      </c>
      <c r="GJ140" s="2">
        <f t="shared" si="190"/>
        <v>1985.1278272712996</v>
      </c>
      <c r="GK140" s="2">
        <f t="shared" si="190"/>
        <v>2311.8262274101053</v>
      </c>
    </row>
    <row r="141" spans="75:267" x14ac:dyDescent="0.2">
      <c r="EK141" s="1"/>
      <c r="FI141" s="210"/>
      <c r="FN141" s="341"/>
      <c r="FO141" s="341"/>
      <c r="FP141" s="341"/>
      <c r="FQ141" s="341"/>
      <c r="FR141" s="341"/>
      <c r="FS141" s="341"/>
      <c r="FT141" s="341"/>
      <c r="FU141" s="341"/>
      <c r="FV141" s="341"/>
      <c r="FW141" s="404"/>
      <c r="FX141" s="341"/>
      <c r="FY141" s="341"/>
      <c r="GB141" s="282"/>
      <c r="GC141" s="2"/>
      <c r="GD141" s="11">
        <v>2009</v>
      </c>
      <c r="GE141" s="2">
        <f t="shared" ref="GE141:GK141" si="191">EM136+EM137</f>
        <v>1662.3198935654011</v>
      </c>
      <c r="GF141" s="2">
        <f t="shared" si="191"/>
        <v>1208.8873429069001</v>
      </c>
      <c r="GG141" s="2">
        <f t="shared" si="191"/>
        <v>2086.4373346657976</v>
      </c>
      <c r="GH141" s="2">
        <f t="shared" si="191"/>
        <v>2049.4186878709011</v>
      </c>
      <c r="GI141" s="2">
        <f t="shared" si="191"/>
        <v>2935.0694779040286</v>
      </c>
      <c r="GJ141" s="2">
        <f t="shared" si="191"/>
        <v>1954.9886085143821</v>
      </c>
      <c r="GK141" s="2">
        <f t="shared" si="191"/>
        <v>2275.1888777244212</v>
      </c>
    </row>
    <row r="142" spans="75:267" x14ac:dyDescent="0.2">
      <c r="BW142" s="1" t="s">
        <v>16</v>
      </c>
      <c r="CI142" s="1" t="s">
        <v>16</v>
      </c>
      <c r="CT142" s="1" t="s">
        <v>16</v>
      </c>
      <c r="DE142" s="1" t="s">
        <v>16</v>
      </c>
      <c r="DP142" s="1" t="s">
        <v>16</v>
      </c>
      <c r="EA142" s="1" t="s">
        <v>16</v>
      </c>
      <c r="EL142" s="1" t="s">
        <v>16</v>
      </c>
      <c r="EX142" s="2"/>
      <c r="EY142" s="282"/>
      <c r="EZ142" s="281" t="s">
        <v>16</v>
      </c>
      <c r="FI142" s="210"/>
      <c r="FJ142" s="282"/>
      <c r="FK142" s="282"/>
      <c r="FL142" s="282"/>
      <c r="FM142" s="282"/>
      <c r="FN142" s="342" t="s">
        <v>16</v>
      </c>
      <c r="FO142" s="341"/>
      <c r="FP142" s="341"/>
      <c r="FQ142" s="341"/>
      <c r="FR142" s="341"/>
      <c r="FS142" s="341"/>
      <c r="FT142" s="341"/>
      <c r="FU142" s="341"/>
      <c r="FV142" s="341"/>
      <c r="FW142" s="404"/>
      <c r="FX142" s="341"/>
      <c r="FY142" s="341"/>
      <c r="GA142" s="282"/>
      <c r="GB142" s="282"/>
      <c r="GC142" s="2"/>
      <c r="GD142" s="11">
        <v>2011</v>
      </c>
      <c r="GE142" s="282">
        <f t="shared" ref="GE142:GK142" si="192">FA136+FA137</f>
        <v>1647.0171272848213</v>
      </c>
      <c r="GF142" s="282">
        <f t="shared" si="192"/>
        <v>1122.2295799320304</v>
      </c>
      <c r="GG142" s="282">
        <f t="shared" si="192"/>
        <v>2148.2374243169893</v>
      </c>
      <c r="GH142" s="282">
        <f t="shared" si="192"/>
        <v>2071.5648177183211</v>
      </c>
      <c r="GI142" s="282">
        <f t="shared" si="192"/>
        <v>3196.9122394763522</v>
      </c>
      <c r="GJ142" s="282">
        <f t="shared" si="192"/>
        <v>2024.815828945508</v>
      </c>
      <c r="GK142" s="282">
        <f t="shared" si="192"/>
        <v>2365.0486364124404</v>
      </c>
    </row>
    <row r="143" spans="75:267" x14ac:dyDescent="0.2">
      <c r="BW143" t="s">
        <v>9</v>
      </c>
      <c r="BX143" s="2">
        <v>559</v>
      </c>
      <c r="BY143" s="2">
        <v>434</v>
      </c>
      <c r="BZ143" s="2">
        <v>776</v>
      </c>
      <c r="CA143" s="2">
        <v>810</v>
      </c>
      <c r="CB143" s="2">
        <v>1174</v>
      </c>
      <c r="CC143" s="2">
        <v>704</v>
      </c>
      <c r="CD143" s="2">
        <v>632</v>
      </c>
      <c r="CE143" s="2"/>
      <c r="CF143" s="2">
        <v>5089</v>
      </c>
      <c r="CG143" s="282"/>
      <c r="CI143" t="s">
        <v>9</v>
      </c>
      <c r="CJ143" s="2">
        <v>724</v>
      </c>
      <c r="CK143" s="2">
        <v>539</v>
      </c>
      <c r="CL143" s="2">
        <v>991</v>
      </c>
      <c r="CM143" s="2">
        <v>946</v>
      </c>
      <c r="CN143" s="2">
        <v>1265</v>
      </c>
      <c r="CO143" s="2">
        <v>797</v>
      </c>
      <c r="CP143" s="2">
        <v>962</v>
      </c>
      <c r="CQ143" s="2"/>
      <c r="CR143" s="2">
        <v>6226</v>
      </c>
      <c r="CT143" t="s">
        <v>9</v>
      </c>
      <c r="CU143" s="2">
        <v>625</v>
      </c>
      <c r="CV143" s="2">
        <v>448</v>
      </c>
      <c r="CW143" s="2">
        <v>785</v>
      </c>
      <c r="CX143" s="2">
        <v>832</v>
      </c>
      <c r="CY143" s="2">
        <v>1192</v>
      </c>
      <c r="CZ143" s="2">
        <v>768</v>
      </c>
      <c r="DA143" s="2">
        <v>1038</v>
      </c>
      <c r="DB143" s="2">
        <v>142</v>
      </c>
      <c r="DC143" s="2">
        <v>5830</v>
      </c>
      <c r="DE143" t="s">
        <v>9</v>
      </c>
      <c r="DF143" s="2">
        <v>761</v>
      </c>
      <c r="DG143" s="2">
        <v>542</v>
      </c>
      <c r="DH143" s="2">
        <v>969</v>
      </c>
      <c r="DI143" s="2">
        <v>900</v>
      </c>
      <c r="DJ143" s="2">
        <v>1270</v>
      </c>
      <c r="DK143" s="2">
        <v>834</v>
      </c>
      <c r="DL143" s="2">
        <v>1173</v>
      </c>
      <c r="DM143" s="2">
        <v>383</v>
      </c>
      <c r="DN143" s="2">
        <v>6832</v>
      </c>
      <c r="DP143" t="s">
        <v>9</v>
      </c>
      <c r="DQ143" s="2">
        <v>591</v>
      </c>
      <c r="DR143" s="2">
        <v>432</v>
      </c>
      <c r="DS143" s="2">
        <v>730</v>
      </c>
      <c r="DT143" s="2">
        <v>763</v>
      </c>
      <c r="DU143" s="2">
        <v>1215</v>
      </c>
      <c r="DV143" s="2">
        <v>748</v>
      </c>
      <c r="DW143" s="2">
        <v>991</v>
      </c>
      <c r="DX143" s="2">
        <v>591</v>
      </c>
      <c r="DY143" s="2">
        <v>6061</v>
      </c>
      <c r="EA143" t="s">
        <v>9</v>
      </c>
      <c r="EB143" s="2">
        <v>502</v>
      </c>
      <c r="EC143" s="2">
        <v>373</v>
      </c>
      <c r="ED143" s="2">
        <v>633</v>
      </c>
      <c r="EE143" s="2">
        <v>657</v>
      </c>
      <c r="EF143" s="2">
        <v>1033</v>
      </c>
      <c r="EG143" s="2">
        <v>653</v>
      </c>
      <c r="EH143" s="2">
        <v>849</v>
      </c>
      <c r="EI143" s="2">
        <v>721</v>
      </c>
      <c r="EJ143" s="2">
        <v>5421</v>
      </c>
      <c r="EL143" t="s">
        <v>9</v>
      </c>
      <c r="EM143" s="2">
        <v>527</v>
      </c>
      <c r="EN143" s="2">
        <v>371</v>
      </c>
      <c r="EO143" s="2">
        <v>660</v>
      </c>
      <c r="EP143" s="2">
        <v>663</v>
      </c>
      <c r="EQ143" s="2">
        <v>997</v>
      </c>
      <c r="ER143" s="2">
        <v>682</v>
      </c>
      <c r="ES143" s="2">
        <v>881</v>
      </c>
      <c r="ET143" s="2">
        <v>907</v>
      </c>
      <c r="EU143" s="2">
        <v>5688</v>
      </c>
      <c r="EW143">
        <v>5688</v>
      </c>
      <c r="EX143" s="2"/>
      <c r="EY143" s="282"/>
      <c r="EZ143" s="280" t="s">
        <v>9</v>
      </c>
      <c r="FA143" s="282">
        <v>2008</v>
      </c>
      <c r="FB143" s="282">
        <v>1528</v>
      </c>
      <c r="FC143" s="282">
        <v>3232</v>
      </c>
      <c r="FD143" s="282">
        <v>3322</v>
      </c>
      <c r="FE143" s="282">
        <v>4324</v>
      </c>
      <c r="FF143" s="282">
        <v>3083</v>
      </c>
      <c r="FG143" s="282">
        <v>3549</v>
      </c>
      <c r="FH143" s="282">
        <v>3680</v>
      </c>
      <c r="FI143" s="418">
        <v>7216</v>
      </c>
      <c r="FJ143" s="282"/>
      <c r="FK143" s="282"/>
      <c r="FL143" s="282"/>
      <c r="FM143" s="282"/>
      <c r="FN143" s="341" t="s">
        <v>9</v>
      </c>
      <c r="FO143" s="344">
        <v>527</v>
      </c>
      <c r="FP143" s="344">
        <v>371</v>
      </c>
      <c r="FQ143" s="344">
        <v>660</v>
      </c>
      <c r="FR143" s="344">
        <v>663</v>
      </c>
      <c r="FS143" s="344">
        <v>997</v>
      </c>
      <c r="FT143" s="344">
        <v>682</v>
      </c>
      <c r="FU143" s="344">
        <v>881</v>
      </c>
      <c r="FV143" s="344">
        <v>907</v>
      </c>
      <c r="FW143" s="289">
        <v>6431</v>
      </c>
      <c r="FX143" s="341"/>
      <c r="FY143" s="341">
        <v>5688</v>
      </c>
      <c r="FZ143" s="282"/>
      <c r="GA143" s="282"/>
      <c r="GD143" s="14" t="s">
        <v>557</v>
      </c>
      <c r="GE143" s="12">
        <f>GE142/GE136</f>
        <v>0.89022248343298438</v>
      </c>
      <c r="GF143" s="12">
        <f t="shared" ref="GF143:GK143" si="193">GF142/GF136</f>
        <v>0.87886988598873506</v>
      </c>
      <c r="GG143" s="12">
        <f t="shared" si="193"/>
        <v>0.99746132133589982</v>
      </c>
      <c r="GH143" s="12">
        <f t="shared" si="193"/>
        <v>0.89549642889118919</v>
      </c>
      <c r="GI143" s="12">
        <f t="shared" si="193"/>
        <v>1.0319079669344213</v>
      </c>
      <c r="GJ143" s="12">
        <f t="shared" si="193"/>
        <v>1.0013709076377055</v>
      </c>
      <c r="GK143" s="12">
        <f t="shared" si="193"/>
        <v>1.0325880163336474</v>
      </c>
    </row>
    <row r="144" spans="75:267" x14ac:dyDescent="0.2">
      <c r="BW144" t="s">
        <v>10</v>
      </c>
      <c r="BX144" s="2">
        <v>557</v>
      </c>
      <c r="BY144" s="2">
        <v>433</v>
      </c>
      <c r="BZ144" s="2">
        <v>762</v>
      </c>
      <c r="CA144" s="2">
        <v>737</v>
      </c>
      <c r="CB144" s="2">
        <v>954</v>
      </c>
      <c r="CC144" s="2">
        <v>631</v>
      </c>
      <c r="CD144" s="2">
        <v>586</v>
      </c>
      <c r="CE144" s="2"/>
      <c r="CF144" s="2">
        <v>4660</v>
      </c>
      <c r="CG144" s="282"/>
      <c r="CI144" t="s">
        <v>10</v>
      </c>
      <c r="CJ144" s="2">
        <v>721</v>
      </c>
      <c r="CK144" s="2">
        <v>538</v>
      </c>
      <c r="CL144" s="2">
        <v>978</v>
      </c>
      <c r="CM144" s="2">
        <v>880</v>
      </c>
      <c r="CN144" s="2">
        <v>1048</v>
      </c>
      <c r="CO144" s="2">
        <v>723</v>
      </c>
      <c r="CP144" s="2">
        <v>899</v>
      </c>
      <c r="CQ144" s="2"/>
      <c r="CR144" s="2">
        <v>5787</v>
      </c>
      <c r="CT144" t="s">
        <v>10</v>
      </c>
      <c r="CU144" s="2">
        <v>621</v>
      </c>
      <c r="CV144" s="2">
        <v>446</v>
      </c>
      <c r="CW144" s="2">
        <v>774</v>
      </c>
      <c r="CX144" s="2">
        <v>760</v>
      </c>
      <c r="CY144" s="2">
        <v>988</v>
      </c>
      <c r="CZ144" s="2">
        <v>694</v>
      </c>
      <c r="DA144" s="2">
        <v>962</v>
      </c>
      <c r="DB144" s="2">
        <v>135</v>
      </c>
      <c r="DC144" s="2">
        <v>5380</v>
      </c>
      <c r="DE144" t="s">
        <v>10</v>
      </c>
      <c r="DF144" s="2">
        <v>758</v>
      </c>
      <c r="DG144" s="2">
        <v>542</v>
      </c>
      <c r="DH144" s="2">
        <v>957</v>
      </c>
      <c r="DI144" s="2">
        <v>839</v>
      </c>
      <c r="DJ144" s="2">
        <v>1071</v>
      </c>
      <c r="DK144" s="2">
        <v>750</v>
      </c>
      <c r="DL144" s="2">
        <v>1099</v>
      </c>
      <c r="DM144" s="2">
        <v>364</v>
      </c>
      <c r="DN144" s="2">
        <v>6380</v>
      </c>
      <c r="DP144" t="s">
        <v>10</v>
      </c>
      <c r="DQ144" s="2">
        <v>587</v>
      </c>
      <c r="DR144" s="2">
        <v>432</v>
      </c>
      <c r="DS144" s="2">
        <v>725</v>
      </c>
      <c r="DT144" s="2">
        <v>722</v>
      </c>
      <c r="DU144" s="2">
        <v>1061</v>
      </c>
      <c r="DV144" s="2">
        <v>662</v>
      </c>
      <c r="DW144" s="2">
        <v>898</v>
      </c>
      <c r="DX144" s="2">
        <v>537</v>
      </c>
      <c r="DY144" s="2">
        <v>5624</v>
      </c>
      <c r="EA144" t="s">
        <v>10</v>
      </c>
      <c r="EB144" s="2">
        <v>498</v>
      </c>
      <c r="EC144" s="2">
        <v>373</v>
      </c>
      <c r="ED144" s="2">
        <v>632</v>
      </c>
      <c r="EE144" s="2">
        <v>624</v>
      </c>
      <c r="EF144" s="2">
        <v>906</v>
      </c>
      <c r="EG144" s="2">
        <v>572</v>
      </c>
      <c r="EH144" s="2">
        <v>762</v>
      </c>
      <c r="EI144" s="2">
        <v>680</v>
      </c>
      <c r="EJ144" s="2">
        <v>5047</v>
      </c>
      <c r="EL144" t="s">
        <v>10</v>
      </c>
      <c r="EM144" s="2">
        <v>523</v>
      </c>
      <c r="EN144" s="2">
        <v>371</v>
      </c>
      <c r="EO144" s="2">
        <v>657</v>
      </c>
      <c r="EP144" s="2">
        <v>635</v>
      </c>
      <c r="EQ144" s="2">
        <v>878</v>
      </c>
      <c r="ER144" s="2">
        <v>601</v>
      </c>
      <c r="ES144" s="2">
        <v>797</v>
      </c>
      <c r="ET144" s="2">
        <v>863</v>
      </c>
      <c r="EU144" s="2">
        <v>5325</v>
      </c>
      <c r="EW144">
        <v>5325</v>
      </c>
      <c r="EX144" s="2"/>
      <c r="EY144" s="282"/>
      <c r="EZ144" s="280" t="s">
        <v>10</v>
      </c>
      <c r="FA144" s="282">
        <v>2002</v>
      </c>
      <c r="FB144" s="282">
        <v>1527</v>
      </c>
      <c r="FC144" s="282">
        <v>3213</v>
      </c>
      <c r="FD144" s="282">
        <v>3170</v>
      </c>
      <c r="FE144" s="282">
        <v>3777</v>
      </c>
      <c r="FF144" s="282">
        <v>2859</v>
      </c>
      <c r="FG144" s="282">
        <v>3341</v>
      </c>
      <c r="FH144" s="282">
        <v>3564</v>
      </c>
      <c r="FI144" s="418">
        <v>6736</v>
      </c>
      <c r="FJ144" s="282"/>
      <c r="FK144" s="282"/>
      <c r="FL144" s="282"/>
      <c r="FM144" s="282"/>
      <c r="FN144" s="341" t="s">
        <v>10</v>
      </c>
      <c r="FO144" s="344">
        <v>523</v>
      </c>
      <c r="FP144" s="344">
        <v>371</v>
      </c>
      <c r="FQ144" s="344">
        <v>657</v>
      </c>
      <c r="FR144" s="344">
        <v>635</v>
      </c>
      <c r="FS144" s="344">
        <v>878</v>
      </c>
      <c r="FT144" s="344">
        <v>601</v>
      </c>
      <c r="FU144" s="344">
        <v>797</v>
      </c>
      <c r="FV144" s="344">
        <v>863</v>
      </c>
      <c r="FW144" s="289">
        <v>5986</v>
      </c>
      <c r="FX144" s="341"/>
      <c r="FY144" s="341">
        <v>5325</v>
      </c>
      <c r="FZ144" s="282"/>
      <c r="GA144" s="282"/>
      <c r="GD144" s="14" t="s">
        <v>556</v>
      </c>
      <c r="GE144" s="12">
        <f t="shared" ref="GE144:GK144" si="194">GE141/GE136</f>
        <v>0.89849371897511265</v>
      </c>
      <c r="GF144" s="12">
        <f t="shared" si="194"/>
        <v>0.94673558800522928</v>
      </c>
      <c r="GG144" s="12">
        <f t="shared" si="194"/>
        <v>0.96876654189281597</v>
      </c>
      <c r="GH144" s="12">
        <f t="shared" si="194"/>
        <v>0.88592309571691341</v>
      </c>
      <c r="GI144" s="12">
        <f t="shared" si="194"/>
        <v>0.94738965316461687</v>
      </c>
      <c r="GJ144" s="12">
        <f t="shared" si="194"/>
        <v>0.96683791648791317</v>
      </c>
      <c r="GK144" s="12">
        <f t="shared" si="194"/>
        <v>0.99335495002654906</v>
      </c>
    </row>
    <row r="145" spans="75:218" x14ac:dyDescent="0.2">
      <c r="BW145" t="s">
        <v>11</v>
      </c>
      <c r="BX145" s="2">
        <v>8</v>
      </c>
      <c r="BY145" s="2">
        <v>0</v>
      </c>
      <c r="BZ145" s="2">
        <v>4</v>
      </c>
      <c r="CA145" s="2">
        <v>5</v>
      </c>
      <c r="CB145" s="2">
        <v>9</v>
      </c>
      <c r="CC145" s="2">
        <v>8</v>
      </c>
      <c r="CD145" s="2">
        <v>18</v>
      </c>
      <c r="CE145" s="2"/>
      <c r="CF145" s="2">
        <v>52</v>
      </c>
      <c r="CG145" s="282"/>
      <c r="CI145" t="s">
        <v>11</v>
      </c>
      <c r="CJ145" s="2">
        <v>34</v>
      </c>
      <c r="CK145" s="2">
        <v>26</v>
      </c>
      <c r="CL145" s="2">
        <v>31</v>
      </c>
      <c r="CM145" s="2">
        <v>67</v>
      </c>
      <c r="CN145" s="2">
        <v>146</v>
      </c>
      <c r="CO145" s="2">
        <v>121</v>
      </c>
      <c r="CP145" s="2">
        <v>109</v>
      </c>
      <c r="CQ145" s="2"/>
      <c r="CR145" s="2">
        <v>534</v>
      </c>
      <c r="CT145" t="s">
        <v>11</v>
      </c>
      <c r="CU145" s="2">
        <v>38</v>
      </c>
      <c r="CV145" s="2">
        <v>24</v>
      </c>
      <c r="CW145" s="2">
        <v>34</v>
      </c>
      <c r="CX145" s="2">
        <v>74</v>
      </c>
      <c r="CY145" s="2">
        <v>151</v>
      </c>
      <c r="CZ145" s="2">
        <v>133</v>
      </c>
      <c r="DA145" s="2">
        <v>127</v>
      </c>
      <c r="DB145" s="2">
        <v>20</v>
      </c>
      <c r="DC145" s="2">
        <v>601</v>
      </c>
      <c r="DE145" t="s">
        <v>11</v>
      </c>
      <c r="DF145" s="2">
        <v>48</v>
      </c>
      <c r="DG145" s="2">
        <v>29</v>
      </c>
      <c r="DH145" s="2">
        <v>37</v>
      </c>
      <c r="DI145" s="2">
        <v>66</v>
      </c>
      <c r="DJ145" s="2">
        <v>154</v>
      </c>
      <c r="DK145" s="2">
        <v>130</v>
      </c>
      <c r="DL145" s="2">
        <v>108</v>
      </c>
      <c r="DM145" s="2">
        <v>32</v>
      </c>
      <c r="DN145" s="2">
        <v>604</v>
      </c>
      <c r="DP145" t="s">
        <v>11</v>
      </c>
      <c r="DQ145" s="2">
        <v>31</v>
      </c>
      <c r="DR145" s="2">
        <v>26</v>
      </c>
      <c r="DS145" s="2">
        <v>28</v>
      </c>
      <c r="DT145" s="2">
        <v>50</v>
      </c>
      <c r="DU145" s="2">
        <v>122</v>
      </c>
      <c r="DV145" s="2">
        <v>103</v>
      </c>
      <c r="DW145" s="2">
        <v>72</v>
      </c>
      <c r="DX145" s="2">
        <v>38</v>
      </c>
      <c r="DY145" s="2">
        <v>470</v>
      </c>
      <c r="EA145" t="s">
        <v>11</v>
      </c>
      <c r="EB145" s="2">
        <v>18</v>
      </c>
      <c r="EC145" s="2">
        <v>17</v>
      </c>
      <c r="ED145" s="2">
        <v>24</v>
      </c>
      <c r="EE145" s="2">
        <v>35</v>
      </c>
      <c r="EF145" s="2">
        <v>105</v>
      </c>
      <c r="EG145" s="2">
        <v>78</v>
      </c>
      <c r="EH145" s="2">
        <v>61</v>
      </c>
      <c r="EI145" s="2">
        <v>45</v>
      </c>
      <c r="EJ145" s="2">
        <v>383</v>
      </c>
      <c r="EL145" t="s">
        <v>11</v>
      </c>
      <c r="EM145" s="2">
        <v>18</v>
      </c>
      <c r="EN145" s="2">
        <v>16</v>
      </c>
      <c r="EO145" s="2">
        <v>19</v>
      </c>
      <c r="EP145" s="2">
        <v>36</v>
      </c>
      <c r="EQ145" s="2">
        <v>100</v>
      </c>
      <c r="ER145" s="2">
        <v>73</v>
      </c>
      <c r="ES145" s="2">
        <v>63</v>
      </c>
      <c r="ET145" s="2">
        <v>74</v>
      </c>
      <c r="EU145" s="2">
        <v>399</v>
      </c>
      <c r="EW145">
        <v>399</v>
      </c>
      <c r="EX145" s="2"/>
      <c r="EY145" s="282"/>
      <c r="EZ145" s="280" t="s">
        <v>11</v>
      </c>
      <c r="FA145" s="282">
        <v>124</v>
      </c>
      <c r="FB145" s="282">
        <v>111</v>
      </c>
      <c r="FC145" s="282">
        <v>151</v>
      </c>
      <c r="FD145" s="282">
        <v>325</v>
      </c>
      <c r="FE145" s="282">
        <v>770</v>
      </c>
      <c r="FF145" s="282">
        <v>713</v>
      </c>
      <c r="FG145" s="282">
        <v>359</v>
      </c>
      <c r="FH145" s="282">
        <v>446</v>
      </c>
      <c r="FI145" s="418">
        <v>643</v>
      </c>
      <c r="FJ145" s="282"/>
      <c r="FK145" s="282"/>
      <c r="FL145" s="282"/>
      <c r="FM145" s="282"/>
      <c r="FN145" s="341" t="s">
        <v>11</v>
      </c>
      <c r="FO145" s="344">
        <v>18</v>
      </c>
      <c r="FP145" s="344">
        <v>16</v>
      </c>
      <c r="FQ145" s="344">
        <v>19</v>
      </c>
      <c r="FR145" s="344">
        <v>36</v>
      </c>
      <c r="FS145" s="344">
        <v>100</v>
      </c>
      <c r="FT145" s="344">
        <v>73</v>
      </c>
      <c r="FU145" s="344">
        <v>63</v>
      </c>
      <c r="FV145" s="344">
        <v>74</v>
      </c>
      <c r="FW145" s="289">
        <v>537</v>
      </c>
      <c r="FX145" s="341"/>
      <c r="FY145" s="341">
        <v>399</v>
      </c>
      <c r="FZ145" s="282"/>
      <c r="GA145" s="282"/>
      <c r="GB145" s="282"/>
      <c r="GC145" s="2"/>
      <c r="GD145" s="2"/>
      <c r="GE145" s="2"/>
      <c r="GF145" s="2"/>
      <c r="GG145" s="2"/>
      <c r="GH145" s="2"/>
      <c r="GI145" s="2"/>
    </row>
    <row r="146" spans="75:218" x14ac:dyDescent="0.2">
      <c r="BW146" t="s">
        <v>12</v>
      </c>
      <c r="BX146" s="2">
        <v>18</v>
      </c>
      <c r="BY146" s="2">
        <v>7</v>
      </c>
      <c r="BZ146" s="2">
        <v>6</v>
      </c>
      <c r="CA146" s="2">
        <v>21</v>
      </c>
      <c r="CB146" s="2">
        <v>40</v>
      </c>
      <c r="CC146" s="2">
        <v>23</v>
      </c>
      <c r="CD146" s="2">
        <v>37</v>
      </c>
      <c r="CE146" s="2"/>
      <c r="CF146" s="2">
        <v>152</v>
      </c>
      <c r="CG146" s="282"/>
      <c r="CI146" t="s">
        <v>12</v>
      </c>
      <c r="CJ146" s="2">
        <v>219</v>
      </c>
      <c r="CK146" s="2">
        <v>97</v>
      </c>
      <c r="CL146" s="2">
        <v>181</v>
      </c>
      <c r="CM146" s="2">
        <v>330</v>
      </c>
      <c r="CN146" s="2">
        <v>472</v>
      </c>
      <c r="CO146" s="2">
        <v>419</v>
      </c>
      <c r="CP146" s="2">
        <v>146</v>
      </c>
      <c r="CQ146" s="2"/>
      <c r="CR146" s="2">
        <v>1864</v>
      </c>
      <c r="CT146" t="s">
        <v>12</v>
      </c>
      <c r="CU146" s="2">
        <v>190</v>
      </c>
      <c r="CV146" s="2">
        <v>95</v>
      </c>
      <c r="CW146" s="2">
        <v>166</v>
      </c>
      <c r="CX146" s="2">
        <v>336</v>
      </c>
      <c r="CY146" s="2">
        <v>512</v>
      </c>
      <c r="CZ146" s="2">
        <v>431</v>
      </c>
      <c r="DA146" s="2">
        <v>168</v>
      </c>
      <c r="DB146" s="2">
        <v>19</v>
      </c>
      <c r="DC146" s="2">
        <v>1917</v>
      </c>
      <c r="DE146" t="s">
        <v>12</v>
      </c>
      <c r="DF146" s="2">
        <v>275</v>
      </c>
      <c r="DG146" s="2">
        <v>142</v>
      </c>
      <c r="DH146" s="2">
        <v>257</v>
      </c>
      <c r="DI146" s="2">
        <v>450</v>
      </c>
      <c r="DJ146" s="2">
        <v>642</v>
      </c>
      <c r="DK146" s="2">
        <v>529</v>
      </c>
      <c r="DL146" s="2">
        <v>287</v>
      </c>
      <c r="DM146" s="2">
        <v>93</v>
      </c>
      <c r="DN146" s="2">
        <v>2675</v>
      </c>
      <c r="DP146" t="s">
        <v>12</v>
      </c>
      <c r="DQ146" s="2">
        <v>177</v>
      </c>
      <c r="DR146" s="2">
        <v>98</v>
      </c>
      <c r="DS146" s="2">
        <v>183</v>
      </c>
      <c r="DT146" s="2">
        <v>348</v>
      </c>
      <c r="DU146" s="2">
        <v>623</v>
      </c>
      <c r="DV146" s="2">
        <v>441</v>
      </c>
      <c r="DW146" s="2">
        <v>237</v>
      </c>
      <c r="DX146" s="2">
        <v>149</v>
      </c>
      <c r="DY146" s="2">
        <v>2256</v>
      </c>
      <c r="EA146" t="s">
        <v>12</v>
      </c>
      <c r="EB146" s="2">
        <v>153</v>
      </c>
      <c r="EC146" s="2">
        <v>80</v>
      </c>
      <c r="ED146" s="2">
        <v>158</v>
      </c>
      <c r="EE146" s="2">
        <v>321</v>
      </c>
      <c r="EF146" s="2">
        <v>554</v>
      </c>
      <c r="EG146" s="2">
        <v>402</v>
      </c>
      <c r="EH146" s="2">
        <v>222</v>
      </c>
      <c r="EI146" s="2">
        <v>164</v>
      </c>
      <c r="EJ146" s="2">
        <v>2054</v>
      </c>
      <c r="EL146" t="s">
        <v>12</v>
      </c>
      <c r="EM146" s="2">
        <v>183</v>
      </c>
      <c r="EN146" s="2">
        <v>89</v>
      </c>
      <c r="EO146" s="2">
        <v>166</v>
      </c>
      <c r="EP146" s="2">
        <v>327</v>
      </c>
      <c r="EQ146" s="2">
        <v>559</v>
      </c>
      <c r="ER146" s="2">
        <v>459</v>
      </c>
      <c r="ES146" s="2">
        <v>228</v>
      </c>
      <c r="ET146" s="2">
        <v>227</v>
      </c>
      <c r="EU146" s="2">
        <v>2238</v>
      </c>
      <c r="EW146">
        <v>2238</v>
      </c>
      <c r="EX146" s="2"/>
      <c r="EY146" s="282"/>
      <c r="EZ146" s="280" t="s">
        <v>12</v>
      </c>
      <c r="FA146" s="282">
        <v>1130</v>
      </c>
      <c r="FB146" s="282">
        <v>508</v>
      </c>
      <c r="FC146" s="282">
        <v>827</v>
      </c>
      <c r="FD146" s="282">
        <v>1700</v>
      </c>
      <c r="FE146" s="282">
        <v>2716</v>
      </c>
      <c r="FF146" s="282">
        <v>2146</v>
      </c>
      <c r="FG146" s="282">
        <v>1182</v>
      </c>
      <c r="FH146" s="282">
        <v>1111</v>
      </c>
      <c r="FI146" s="418">
        <v>3285</v>
      </c>
      <c r="FJ146" s="282"/>
      <c r="FK146" s="282"/>
      <c r="FL146" s="282"/>
      <c r="FM146" s="282"/>
      <c r="FN146" s="341" t="s">
        <v>12</v>
      </c>
      <c r="FO146" s="344">
        <v>183</v>
      </c>
      <c r="FP146" s="344">
        <v>89</v>
      </c>
      <c r="FQ146" s="344">
        <v>166</v>
      </c>
      <c r="FR146" s="344">
        <v>327</v>
      </c>
      <c r="FS146" s="344">
        <v>559</v>
      </c>
      <c r="FT146" s="344">
        <v>459</v>
      </c>
      <c r="FU146" s="344">
        <v>228</v>
      </c>
      <c r="FV146" s="344">
        <v>227</v>
      </c>
      <c r="FW146" s="289">
        <v>3062</v>
      </c>
      <c r="FX146" s="341"/>
      <c r="FY146" s="341">
        <v>2238</v>
      </c>
      <c r="FZ146" s="282"/>
      <c r="GA146" s="282"/>
      <c r="GB146" s="282"/>
      <c r="GC146" s="2"/>
    </row>
    <row r="147" spans="75:218" x14ac:dyDescent="0.2">
      <c r="BW147" t="s">
        <v>13</v>
      </c>
      <c r="BX147" s="2">
        <v>2</v>
      </c>
      <c r="BY147" s="2">
        <v>1</v>
      </c>
      <c r="BZ147" s="2">
        <v>14</v>
      </c>
      <c r="CA147" s="2">
        <v>73</v>
      </c>
      <c r="CB147" s="2">
        <v>220</v>
      </c>
      <c r="CC147" s="2">
        <v>73</v>
      </c>
      <c r="CD147" s="2">
        <v>46</v>
      </c>
      <c r="CE147" s="2"/>
      <c r="CF147" s="2">
        <v>429</v>
      </c>
      <c r="CG147" s="282"/>
      <c r="CI147" t="s">
        <v>13</v>
      </c>
      <c r="CJ147" s="2">
        <v>3</v>
      </c>
      <c r="CK147" s="2">
        <v>1</v>
      </c>
      <c r="CL147" s="2">
        <v>13</v>
      </c>
      <c r="CM147" s="2">
        <v>66</v>
      </c>
      <c r="CN147" s="2">
        <v>217</v>
      </c>
      <c r="CO147" s="2">
        <v>74</v>
      </c>
      <c r="CP147" s="2">
        <v>63</v>
      </c>
      <c r="CQ147" s="2"/>
      <c r="CR147" s="2">
        <v>439</v>
      </c>
      <c r="CT147" t="s">
        <v>13</v>
      </c>
      <c r="CU147" s="2">
        <v>4</v>
      </c>
      <c r="CV147" s="2">
        <v>2</v>
      </c>
      <c r="CW147" s="2">
        <v>11</v>
      </c>
      <c r="CX147" s="2">
        <v>72</v>
      </c>
      <c r="CY147" s="2">
        <v>204</v>
      </c>
      <c r="CZ147" s="2">
        <v>74</v>
      </c>
      <c r="DA147" s="2">
        <v>76</v>
      </c>
      <c r="DB147" s="2">
        <v>7</v>
      </c>
      <c r="DC147" s="2">
        <v>450</v>
      </c>
      <c r="DE147" t="s">
        <v>13</v>
      </c>
      <c r="DF147" s="2">
        <v>3</v>
      </c>
      <c r="DG147" s="2">
        <v>0</v>
      </c>
      <c r="DH147" s="2">
        <v>12</v>
      </c>
      <c r="DI147" s="2">
        <v>61</v>
      </c>
      <c r="DJ147" s="2">
        <v>199</v>
      </c>
      <c r="DK147" s="2">
        <v>84</v>
      </c>
      <c r="DL147" s="2">
        <v>74</v>
      </c>
      <c r="DM147" s="2">
        <v>19</v>
      </c>
      <c r="DN147" s="2">
        <v>452</v>
      </c>
      <c r="DP147" t="s">
        <v>13</v>
      </c>
      <c r="DQ147" s="2">
        <v>4</v>
      </c>
      <c r="DR147" s="2">
        <v>0</v>
      </c>
      <c r="DS147" s="2">
        <v>5</v>
      </c>
      <c r="DT147" s="2">
        <v>41</v>
      </c>
      <c r="DU147" s="2">
        <v>154</v>
      </c>
      <c r="DV147" s="2">
        <v>86</v>
      </c>
      <c r="DW147" s="2">
        <v>93</v>
      </c>
      <c r="DX147" s="2">
        <v>54</v>
      </c>
      <c r="DY147" s="2">
        <v>437</v>
      </c>
      <c r="EA147" t="s">
        <v>13</v>
      </c>
      <c r="EB147" s="2">
        <v>4</v>
      </c>
      <c r="EC147" s="2">
        <v>0</v>
      </c>
      <c r="ED147" s="2">
        <v>1</v>
      </c>
      <c r="EE147" s="2">
        <v>33</v>
      </c>
      <c r="EF147" s="2">
        <v>127</v>
      </c>
      <c r="EG147" s="2">
        <v>81</v>
      </c>
      <c r="EH147" s="2">
        <v>87</v>
      </c>
      <c r="EI147" s="2">
        <v>41</v>
      </c>
      <c r="EJ147" s="2">
        <v>374</v>
      </c>
      <c r="EL147" t="s">
        <v>13</v>
      </c>
      <c r="EM147" s="2">
        <v>4</v>
      </c>
      <c r="EN147" s="2">
        <v>0</v>
      </c>
      <c r="EO147" s="2">
        <v>3</v>
      </c>
      <c r="EP147" s="2">
        <v>28</v>
      </c>
      <c r="EQ147" s="2">
        <v>119</v>
      </c>
      <c r="ER147" s="2">
        <v>81</v>
      </c>
      <c r="ES147" s="2">
        <v>84</v>
      </c>
      <c r="ET147" s="2">
        <v>44</v>
      </c>
      <c r="EU147" s="2">
        <v>363</v>
      </c>
      <c r="EW147">
        <v>363</v>
      </c>
      <c r="EX147" s="2"/>
      <c r="EY147" s="282"/>
      <c r="EZ147" s="280" t="s">
        <v>13</v>
      </c>
      <c r="FA147" s="282">
        <v>6</v>
      </c>
      <c r="FB147" s="282">
        <v>1</v>
      </c>
      <c r="FC147" s="282">
        <v>19</v>
      </c>
      <c r="FD147" s="282">
        <v>152</v>
      </c>
      <c r="FE147" s="282">
        <v>547</v>
      </c>
      <c r="FF147" s="282">
        <v>224</v>
      </c>
      <c r="FG147" s="282">
        <v>208</v>
      </c>
      <c r="FH147" s="282">
        <v>116</v>
      </c>
      <c r="FI147" s="418">
        <v>480</v>
      </c>
      <c r="FJ147" s="282"/>
      <c r="FK147" s="282"/>
      <c r="FL147" s="282"/>
      <c r="FM147" s="282"/>
      <c r="FN147" s="341" t="s">
        <v>13</v>
      </c>
      <c r="FO147" s="344">
        <v>4</v>
      </c>
      <c r="FP147" s="344">
        <v>0</v>
      </c>
      <c r="FQ147" s="344">
        <v>3</v>
      </c>
      <c r="FR147" s="344">
        <v>28</v>
      </c>
      <c r="FS147" s="344">
        <v>119</v>
      </c>
      <c r="FT147" s="344">
        <v>81</v>
      </c>
      <c r="FU147" s="344">
        <v>84</v>
      </c>
      <c r="FV147" s="344">
        <v>44</v>
      </c>
      <c r="FW147" s="289">
        <v>445</v>
      </c>
      <c r="FX147" s="341"/>
      <c r="FY147" s="341">
        <v>363</v>
      </c>
      <c r="FZ147" s="282"/>
      <c r="GA147" s="282"/>
      <c r="GB147" s="282"/>
      <c r="GC147" s="2"/>
    </row>
    <row r="148" spans="75:218" x14ac:dyDescent="0.2">
      <c r="BW148" t="s">
        <v>14</v>
      </c>
      <c r="BX148" s="2">
        <v>585</v>
      </c>
      <c r="BY148" s="2">
        <v>441</v>
      </c>
      <c r="BZ148" s="2">
        <v>786</v>
      </c>
      <c r="CA148" s="2">
        <v>837</v>
      </c>
      <c r="CB148" s="2">
        <v>1223</v>
      </c>
      <c r="CC148" s="2">
        <v>735</v>
      </c>
      <c r="CD148" s="2">
        <v>687</v>
      </c>
      <c r="CE148" s="2"/>
      <c r="CF148" s="2">
        <v>5294</v>
      </c>
      <c r="CG148" s="282"/>
      <c r="CI148" t="s">
        <v>14</v>
      </c>
      <c r="CJ148" s="2">
        <v>977</v>
      </c>
      <c r="CK148" s="2">
        <v>662</v>
      </c>
      <c r="CL148" s="2">
        <v>1203</v>
      </c>
      <c r="CM148" s="2">
        <v>1343</v>
      </c>
      <c r="CN148" s="2">
        <v>1883</v>
      </c>
      <c r="CO148" s="2">
        <v>1337</v>
      </c>
      <c r="CP148" s="2">
        <v>1217</v>
      </c>
      <c r="CQ148" s="2"/>
      <c r="CR148" s="2">
        <v>8624</v>
      </c>
      <c r="CT148" t="s">
        <v>14</v>
      </c>
      <c r="CU148" s="2">
        <v>853</v>
      </c>
      <c r="CV148" s="2">
        <v>567</v>
      </c>
      <c r="CW148" s="2">
        <v>985</v>
      </c>
      <c r="CX148" s="2">
        <v>1242</v>
      </c>
      <c r="CY148" s="2">
        <v>1855</v>
      </c>
      <c r="CZ148" s="2">
        <v>1332</v>
      </c>
      <c r="DA148" s="2">
        <v>1333</v>
      </c>
      <c r="DB148" s="2">
        <v>181</v>
      </c>
      <c r="DC148" s="2">
        <v>8348</v>
      </c>
      <c r="DE148" t="s">
        <v>14</v>
      </c>
      <c r="DF148" s="2">
        <v>1084</v>
      </c>
      <c r="DG148" s="2">
        <v>713</v>
      </c>
      <c r="DH148" s="2">
        <v>1263</v>
      </c>
      <c r="DI148" s="2">
        <v>1416</v>
      </c>
      <c r="DJ148" s="2">
        <v>2066</v>
      </c>
      <c r="DK148" s="2">
        <v>1493</v>
      </c>
      <c r="DL148" s="2">
        <v>1568</v>
      </c>
      <c r="DM148" s="2">
        <v>508</v>
      </c>
      <c r="DN148" s="2">
        <v>10111</v>
      </c>
      <c r="DP148" t="s">
        <v>14</v>
      </c>
      <c r="DQ148" s="2">
        <v>799</v>
      </c>
      <c r="DR148" s="2">
        <v>556</v>
      </c>
      <c r="DS148" s="2">
        <v>941</v>
      </c>
      <c r="DT148" s="2">
        <v>1161</v>
      </c>
      <c r="DU148" s="2">
        <v>1960</v>
      </c>
      <c r="DV148" s="2">
        <v>1292</v>
      </c>
      <c r="DW148" s="2">
        <v>1300</v>
      </c>
      <c r="DX148" s="2">
        <v>778</v>
      </c>
      <c r="DY148" s="2">
        <v>8787</v>
      </c>
      <c r="EA148" t="s">
        <v>14</v>
      </c>
      <c r="EB148" s="2">
        <v>673</v>
      </c>
      <c r="EC148" s="2">
        <v>470</v>
      </c>
      <c r="ED148" s="2">
        <v>815</v>
      </c>
      <c r="EE148" s="2">
        <v>1013</v>
      </c>
      <c r="EF148" s="2">
        <v>1692</v>
      </c>
      <c r="EG148" s="2">
        <v>1133</v>
      </c>
      <c r="EH148" s="2">
        <v>1132</v>
      </c>
      <c r="EI148" s="2">
        <v>930</v>
      </c>
      <c r="EJ148" s="2">
        <v>7858</v>
      </c>
      <c r="EL148" t="s">
        <v>14</v>
      </c>
      <c r="EM148" s="2">
        <v>728</v>
      </c>
      <c r="EN148" s="2">
        <v>476</v>
      </c>
      <c r="EO148" s="2">
        <v>845</v>
      </c>
      <c r="EP148" s="2">
        <v>1026</v>
      </c>
      <c r="EQ148" s="2">
        <v>1656</v>
      </c>
      <c r="ER148" s="2">
        <v>1214</v>
      </c>
      <c r="ES148" s="2">
        <v>1172</v>
      </c>
      <c r="ET148" s="2">
        <v>1208</v>
      </c>
      <c r="EU148" s="2">
        <v>8325</v>
      </c>
      <c r="EW148">
        <v>8325</v>
      </c>
      <c r="EZ148" s="280" t="s">
        <v>14</v>
      </c>
      <c r="FA148" s="282">
        <v>3262</v>
      </c>
      <c r="FB148" s="282">
        <v>2147</v>
      </c>
      <c r="FC148" s="282">
        <v>4210</v>
      </c>
      <c r="FD148" s="282">
        <v>5347</v>
      </c>
      <c r="FE148" s="282">
        <v>7810</v>
      </c>
      <c r="FF148" s="282">
        <v>5942</v>
      </c>
      <c r="FG148" s="282">
        <v>5090</v>
      </c>
      <c r="FH148" s="282">
        <v>5237</v>
      </c>
      <c r="FI148" s="418">
        <v>11144</v>
      </c>
      <c r="FN148" s="341" t="s">
        <v>14</v>
      </c>
      <c r="FO148" s="344">
        <v>728</v>
      </c>
      <c r="FP148" s="344">
        <v>476</v>
      </c>
      <c r="FQ148" s="344">
        <v>845</v>
      </c>
      <c r="FR148" s="344">
        <v>1026</v>
      </c>
      <c r="FS148" s="344">
        <v>1656</v>
      </c>
      <c r="FT148" s="344">
        <v>1214</v>
      </c>
      <c r="FU148" s="344">
        <v>1172</v>
      </c>
      <c r="FV148" s="344">
        <v>1208</v>
      </c>
      <c r="FW148" s="289">
        <v>10030</v>
      </c>
      <c r="FX148" s="341"/>
      <c r="FY148" s="341">
        <v>8325</v>
      </c>
      <c r="FZ148" s="282"/>
      <c r="GB148" s="282"/>
      <c r="GC148" s="2"/>
      <c r="GD148" s="2"/>
      <c r="GE148" s="2"/>
      <c r="GF148" s="2"/>
      <c r="GG148" s="2"/>
      <c r="GH148" s="2"/>
      <c r="GI148" s="2"/>
    </row>
    <row r="149" spans="75:218" x14ac:dyDescent="0.2">
      <c r="DQ149" t="s">
        <v>26</v>
      </c>
      <c r="DR149" t="s">
        <v>26</v>
      </c>
      <c r="DS149" t="s">
        <v>26</v>
      </c>
      <c r="DT149" t="s">
        <v>26</v>
      </c>
      <c r="DU149" t="s">
        <v>26</v>
      </c>
      <c r="EB149" t="s">
        <v>26</v>
      </c>
      <c r="EC149" t="s">
        <v>26</v>
      </c>
      <c r="ED149" t="s">
        <v>26</v>
      </c>
      <c r="EE149" t="s">
        <v>26</v>
      </c>
      <c r="EF149" t="s">
        <v>26</v>
      </c>
      <c r="EX149" s="3"/>
      <c r="EY149" s="284"/>
      <c r="FJ149" s="294"/>
      <c r="FK149" s="294"/>
      <c r="FL149" s="294"/>
      <c r="FM149" s="294"/>
      <c r="FN149" s="341"/>
      <c r="FO149" s="341"/>
      <c r="FP149" s="341"/>
      <c r="FQ149" s="341"/>
      <c r="FR149" s="341"/>
      <c r="FS149" s="341"/>
      <c r="FT149" s="341"/>
      <c r="FU149" s="341"/>
      <c r="FV149" s="341"/>
      <c r="FW149" s="341"/>
      <c r="FX149" s="341"/>
      <c r="FY149" s="341"/>
      <c r="FZ149" s="15"/>
      <c r="GA149" s="294"/>
      <c r="GB149" s="352"/>
      <c r="GC149" s="2"/>
      <c r="GD149" s="2"/>
      <c r="GE149" s="2"/>
      <c r="GF149" s="2"/>
      <c r="GG149" s="2"/>
      <c r="GH149" s="2"/>
      <c r="GI149" s="2"/>
    </row>
    <row r="150" spans="75:218" x14ac:dyDescent="0.2">
      <c r="BW150" t="s">
        <v>17</v>
      </c>
      <c r="BY150" s="3">
        <v>31.108342066829152</v>
      </c>
      <c r="CI150" t="s">
        <v>17</v>
      </c>
      <c r="CK150" s="3">
        <v>34.788718808178864</v>
      </c>
      <c r="CT150" t="s">
        <v>17</v>
      </c>
      <c r="CV150" s="3">
        <v>36.767150139604453</v>
      </c>
      <c r="DE150" t="s">
        <v>17</v>
      </c>
      <c r="DG150" s="3">
        <v>37.84717773647882</v>
      </c>
      <c r="DP150" t="s">
        <v>17</v>
      </c>
      <c r="DR150" s="3">
        <v>40.646768115959183</v>
      </c>
      <c r="DS150" t="s">
        <v>26</v>
      </c>
      <c r="DT150" t="s">
        <v>26</v>
      </c>
      <c r="DU150" t="s">
        <v>26</v>
      </c>
      <c r="EA150" t="s">
        <v>17</v>
      </c>
      <c r="EC150" s="3">
        <v>40.646768115959183</v>
      </c>
      <c r="ED150" t="s">
        <v>26</v>
      </c>
      <c r="EE150" t="s">
        <v>26</v>
      </c>
      <c r="EF150" t="s">
        <v>26</v>
      </c>
      <c r="EL150" t="s">
        <v>17</v>
      </c>
      <c r="EN150" s="3">
        <v>43.311182902224772</v>
      </c>
      <c r="EZ150" s="280" t="s">
        <v>17</v>
      </c>
      <c r="FB150" s="284">
        <v>44.666734649237362</v>
      </c>
      <c r="FN150" s="341" t="s">
        <v>17</v>
      </c>
      <c r="FO150" s="341"/>
      <c r="FP150" s="346">
        <v>43.311182902224772</v>
      </c>
      <c r="FQ150" s="341"/>
      <c r="FR150" s="341"/>
      <c r="FS150" s="341"/>
      <c r="FT150" s="341"/>
      <c r="FU150" s="341"/>
      <c r="FV150" s="341"/>
      <c r="FW150" s="341"/>
      <c r="FX150" s="341"/>
      <c r="FY150" s="341"/>
      <c r="FZ150" s="294"/>
      <c r="GA150" s="15"/>
      <c r="GB150" s="352"/>
      <c r="GC150" s="2"/>
      <c r="GD150" s="2"/>
      <c r="GE150" s="2"/>
      <c r="GF150" s="2"/>
      <c r="GG150" s="2"/>
      <c r="GH150" s="2"/>
      <c r="GI150" s="2"/>
    </row>
    <row r="151" spans="75:218" s="341" customFormat="1" x14ac:dyDescent="0.2">
      <c r="BY151" s="294"/>
      <c r="CK151" s="294"/>
      <c r="CU151" s="15"/>
      <c r="CV151" s="294"/>
      <c r="CW151" s="15"/>
      <c r="CX151" s="15"/>
      <c r="CY151" s="15"/>
      <c r="CZ151" s="15"/>
      <c r="DA151" s="15"/>
      <c r="DB151" s="15"/>
      <c r="DC151" s="15"/>
      <c r="DD151" s="15"/>
      <c r="DE151" s="15"/>
      <c r="DF151" s="15"/>
      <c r="DG151" s="294"/>
      <c r="DH151" s="15"/>
      <c r="DR151" s="294"/>
      <c r="DS151" s="15"/>
      <c r="DT151" s="15"/>
      <c r="DU151" s="15"/>
      <c r="DV151" s="15"/>
      <c r="DW151" s="15"/>
      <c r="DX151" s="15"/>
      <c r="DY151" s="15"/>
      <c r="DZ151" s="15"/>
      <c r="EA151" s="15"/>
      <c r="EB151" s="15"/>
      <c r="EC151" s="294"/>
      <c r="ED151" s="15"/>
      <c r="EE151" s="15"/>
      <c r="EF151" s="15"/>
      <c r="EG151" s="15"/>
      <c r="EH151" s="15"/>
      <c r="EI151" s="15"/>
      <c r="EJ151" s="15"/>
      <c r="EK151" s="15"/>
      <c r="EL151" s="15"/>
      <c r="EM151" s="15"/>
      <c r="EN151" s="294"/>
      <c r="EO151" s="15"/>
      <c r="EP151" s="15"/>
      <c r="EQ151" s="15"/>
      <c r="ER151" s="15"/>
      <c r="ES151" s="15"/>
      <c r="ET151" s="15"/>
      <c r="EU151" s="15"/>
      <c r="EV151" s="15"/>
      <c r="EW151" s="15"/>
      <c r="EX151" s="15"/>
      <c r="EY151" s="15"/>
      <c r="EZ151" s="15"/>
      <c r="FA151" s="15"/>
      <c r="FB151" s="294"/>
      <c r="FC151" s="15"/>
      <c r="FD151" s="15"/>
      <c r="FE151" s="15"/>
      <c r="FF151" s="15"/>
      <c r="FG151" s="15"/>
      <c r="FH151" s="15"/>
      <c r="FI151" s="15"/>
      <c r="FJ151" s="15"/>
      <c r="FK151" s="15"/>
      <c r="FL151" s="15"/>
      <c r="FM151" s="15"/>
      <c r="FN151" s="15"/>
      <c r="FO151" s="15"/>
      <c r="FP151" s="294"/>
      <c r="FQ151" s="15"/>
      <c r="FR151" s="15"/>
      <c r="FS151" s="15"/>
      <c r="FT151" s="15"/>
      <c r="FU151" s="15"/>
      <c r="FV151" s="15"/>
      <c r="FW151" s="15"/>
      <c r="FX151" s="15"/>
      <c r="FY151" s="15"/>
      <c r="FZ151" s="294"/>
      <c r="GA151" s="15"/>
      <c r="GB151" s="352"/>
      <c r="GC151" s="344"/>
      <c r="GD151" s="344"/>
      <c r="GE151" s="344"/>
      <c r="GF151" s="344"/>
      <c r="GG151" s="344"/>
      <c r="GH151" s="344"/>
      <c r="GI151" s="344"/>
    </row>
    <row r="152" spans="75:218" s="341" customFormat="1" ht="23.25" x14ac:dyDescent="0.35">
      <c r="BW152" s="266" t="s">
        <v>749</v>
      </c>
      <c r="BX152" s="266"/>
      <c r="BY152" s="429"/>
      <c r="BZ152" s="266"/>
      <c r="CA152" s="266"/>
      <c r="CB152" s="266"/>
      <c r="CC152" s="266"/>
      <c r="CD152" s="266"/>
      <c r="CE152" s="266"/>
      <c r="CF152" s="266"/>
      <c r="CG152" s="266"/>
      <c r="CH152" s="427"/>
      <c r="CI152" s="427"/>
      <c r="CK152" s="294"/>
      <c r="CU152" s="15"/>
      <c r="CV152" s="294"/>
      <c r="CW152" s="15"/>
      <c r="CX152" s="15"/>
      <c r="CY152" s="15"/>
      <c r="CZ152" s="15"/>
      <c r="DA152" s="15"/>
      <c r="DB152" s="15"/>
      <c r="DC152" s="15"/>
      <c r="DD152" s="15"/>
      <c r="DE152" s="15"/>
      <c r="DF152" s="15"/>
      <c r="DG152" s="294"/>
      <c r="DH152" s="15"/>
      <c r="DR152" s="294"/>
      <c r="EC152" s="294"/>
      <c r="EN152" s="294"/>
      <c r="FB152" s="294"/>
      <c r="FP152" s="294"/>
      <c r="FZ152" s="294"/>
      <c r="GA152" s="15"/>
      <c r="GB152" s="352"/>
      <c r="GC152" s="344"/>
      <c r="GD152" s="344"/>
      <c r="GE152" s="344"/>
      <c r="GF152" s="344"/>
      <c r="GG152" s="344"/>
      <c r="GH152" s="344"/>
      <c r="GI152" s="344"/>
    </row>
    <row r="153" spans="75:218" ht="15.75" x14ac:dyDescent="0.25">
      <c r="CK153" s="15"/>
      <c r="CU153" s="15"/>
      <c r="CV153" s="15"/>
      <c r="CW153" s="15"/>
      <c r="CX153" s="15"/>
      <c r="CY153" s="15"/>
      <c r="CZ153" s="15"/>
      <c r="DA153" s="15"/>
      <c r="DB153" s="15"/>
      <c r="DC153" s="15"/>
      <c r="DD153" s="15"/>
      <c r="DE153" s="15"/>
      <c r="DF153" s="15"/>
      <c r="DG153" s="15"/>
      <c r="DH153" s="15"/>
      <c r="EC153" s="15"/>
      <c r="EK153" s="6"/>
      <c r="EN153" s="15"/>
      <c r="EV153" s="6"/>
      <c r="FB153" s="15"/>
      <c r="FN153" s="294"/>
      <c r="FO153" s="294"/>
      <c r="FP153" s="294"/>
      <c r="FQ153" s="294"/>
      <c r="FR153" s="294"/>
      <c r="FS153" s="294"/>
      <c r="FT153" s="294"/>
      <c r="FU153" s="294"/>
      <c r="FV153" s="294"/>
      <c r="FW153" s="294"/>
      <c r="FX153" s="294"/>
      <c r="FY153" s="294"/>
      <c r="FZ153" s="15"/>
      <c r="GA153" s="15"/>
      <c r="GB153" s="15"/>
      <c r="GD153" s="2"/>
      <c r="GE153" s="2"/>
      <c r="GF153" s="2"/>
      <c r="GG153" s="2"/>
      <c r="GH153" s="2"/>
      <c r="GI153" s="2"/>
    </row>
    <row r="154" spans="75:218" ht="18" x14ac:dyDescent="0.25">
      <c r="BW154" s="209" t="s">
        <v>27</v>
      </c>
      <c r="FZ154" s="15"/>
      <c r="GA154" s="15"/>
      <c r="GB154" s="294"/>
    </row>
    <row r="155" spans="75:218" x14ac:dyDescent="0.2">
      <c r="BW155" s="1"/>
    </row>
    <row r="156" spans="75:218" x14ac:dyDescent="0.2">
      <c r="BW156" t="s">
        <v>751</v>
      </c>
      <c r="FA156" s="280" t="s">
        <v>725</v>
      </c>
      <c r="FV156" s="280" t="s">
        <v>727</v>
      </c>
      <c r="GD156" s="2"/>
      <c r="GE156" s="2"/>
      <c r="GF156" s="2"/>
      <c r="GG156" s="2"/>
      <c r="GH156" s="2"/>
      <c r="GI156" s="2"/>
    </row>
    <row r="157" spans="75:218" x14ac:dyDescent="0.2">
      <c r="BW157" t="s">
        <v>110</v>
      </c>
      <c r="BX157">
        <f>(BX10*BX18+BX11*BX19)/(BX18+BX19)</f>
        <v>1880.3754445314091</v>
      </c>
      <c r="BY157">
        <f t="shared" ref="BY157:CF157" si="195">(BY10*BY18+BY11*BY19)/(BY18+BY19)</f>
        <v>1625.3881157141834</v>
      </c>
      <c r="BZ157">
        <f t="shared" si="195"/>
        <v>1756.7961835684494</v>
      </c>
      <c r="CA157">
        <f t="shared" si="195"/>
        <v>1895.7950343709902</v>
      </c>
      <c r="CB157">
        <f t="shared" si="195"/>
        <v>1928.7599983469402</v>
      </c>
      <c r="CC157">
        <f t="shared" si="195"/>
        <v>1982.614753683918</v>
      </c>
      <c r="CD157">
        <f t="shared" si="195"/>
        <v>2238.8369176295168</v>
      </c>
      <c r="CE157" t="e">
        <f t="shared" si="195"/>
        <v>#DIV/0!</v>
      </c>
      <c r="CF157">
        <f t="shared" si="195"/>
        <v>1921.3143841971068</v>
      </c>
      <c r="CJ157">
        <f>(CJ10*CJ18+CJ11*CJ19)/(CJ18+CJ19)</f>
        <v>2033.1425241367758</v>
      </c>
      <c r="CK157">
        <f t="shared" ref="CK157:CR157" si="196">(CK10*CK18+CK11*CK19)/(CK18+CK19)</f>
        <v>1672.9471131297132</v>
      </c>
      <c r="CL157">
        <f t="shared" si="196"/>
        <v>1794.0724732801948</v>
      </c>
      <c r="CM157">
        <f t="shared" si="196"/>
        <v>1925.3030240223129</v>
      </c>
      <c r="CN157">
        <f t="shared" si="196"/>
        <v>2038.1796486704277</v>
      </c>
      <c r="CO157">
        <f t="shared" si="196"/>
        <v>2152.3396437674737</v>
      </c>
      <c r="CP157">
        <f t="shared" si="196"/>
        <v>2518.9739192370384</v>
      </c>
      <c r="CQ157" t="e">
        <f t="shared" si="196"/>
        <v>#DIV/0!</v>
      </c>
      <c r="CR157">
        <f t="shared" si="196"/>
        <v>2035.1812359418229</v>
      </c>
      <c r="CU157">
        <f>(CU10*CU18+CU11*CU19)/(CU18+CU19)</f>
        <v>2072.1795284722434</v>
      </c>
      <c r="CV157">
        <f t="shared" ref="CV157:DC157" si="197">(CV10*CV18+CV11*CV19)/(CV18+CV19)</f>
        <v>1650.1978655051478</v>
      </c>
      <c r="CW157">
        <f t="shared" si="197"/>
        <v>1764.999063907344</v>
      </c>
      <c r="CX157">
        <f t="shared" si="197"/>
        <v>1898.7030998449729</v>
      </c>
      <c r="CY157">
        <f t="shared" si="197"/>
        <v>2006.4174002165362</v>
      </c>
      <c r="CZ157">
        <f t="shared" si="197"/>
        <v>2124.7515816789164</v>
      </c>
      <c r="DA157">
        <f t="shared" si="197"/>
        <v>2438.0076219015336</v>
      </c>
      <c r="DB157">
        <f t="shared" si="197"/>
        <v>2587.0176370566924</v>
      </c>
      <c r="DC157">
        <f t="shared" si="197"/>
        <v>2027.4533925593496</v>
      </c>
      <c r="DF157">
        <f>(DF10*DF18+DF11*DF19)/(DF18+DF19)</f>
        <v>2098.7409744167612</v>
      </c>
      <c r="DG157">
        <f t="shared" ref="DG157:DN157" si="198">(DG10*DG18+DG11*DG19)/(DG18+DG19)</f>
        <v>1712.9499904805841</v>
      </c>
      <c r="DH157">
        <f t="shared" si="198"/>
        <v>1828.0870340664749</v>
      </c>
      <c r="DI157">
        <f t="shared" si="198"/>
        <v>1959.7356309745762</v>
      </c>
      <c r="DJ157">
        <f t="shared" si="198"/>
        <v>2043.0375299199727</v>
      </c>
      <c r="DK157">
        <f t="shared" si="198"/>
        <v>2183.9598772136374</v>
      </c>
      <c r="DL157">
        <f t="shared" si="198"/>
        <v>2510.4856356233931</v>
      </c>
      <c r="DM157">
        <f t="shared" si="198"/>
        <v>2677.2596677327629</v>
      </c>
      <c r="DN157">
        <f t="shared" si="198"/>
        <v>2100.7245703310732</v>
      </c>
      <c r="DQ157">
        <f>(DQ10*DQ18+DQ11*DQ19)/(DQ18+DQ19)</f>
        <v>2124.9659644429012</v>
      </c>
      <c r="DR157">
        <f t="shared" ref="DR157:DY157" si="199">(DR10*DR18+DR11*DR19)/(DR18+DR19)</f>
        <v>1742.7734632072475</v>
      </c>
      <c r="DS157">
        <f t="shared" si="199"/>
        <v>1831.5139071942631</v>
      </c>
      <c r="DT157">
        <f t="shared" si="199"/>
        <v>1991.2081860378221</v>
      </c>
      <c r="DU157">
        <f t="shared" si="199"/>
        <v>2095.8646332333501</v>
      </c>
      <c r="DV157">
        <f t="shared" si="199"/>
        <v>2240.5030464569936</v>
      </c>
      <c r="DW157">
        <f t="shared" si="199"/>
        <v>2573.8924484783306</v>
      </c>
      <c r="DX157">
        <f t="shared" si="199"/>
        <v>2736.3108011468116</v>
      </c>
      <c r="DY157">
        <f t="shared" si="199"/>
        <v>2164.1037414509847</v>
      </c>
      <c r="EB157">
        <f>(EB10*EB18+EB11*EB19)/(EB18+EB19)</f>
        <v>2140.5322432431994</v>
      </c>
      <c r="EC157">
        <f t="shared" ref="EC157:EJ157" si="200">(EC10*EC18+EC11*EC19)/(EC18+EC19)</f>
        <v>1711.6427756076814</v>
      </c>
      <c r="ED157">
        <f t="shared" si="200"/>
        <v>1828.3931890116153</v>
      </c>
      <c r="EE157">
        <f t="shared" si="200"/>
        <v>2016.2546751627694</v>
      </c>
      <c r="EF157">
        <f t="shared" si="200"/>
        <v>2088.8834399832917</v>
      </c>
      <c r="EG157">
        <f t="shared" si="200"/>
        <v>2237.0658485750646</v>
      </c>
      <c r="EH157">
        <f t="shared" si="200"/>
        <v>2559.6258516733224</v>
      </c>
      <c r="EI157">
        <f t="shared" si="200"/>
        <v>2730.0406107922627</v>
      </c>
      <c r="EJ157">
        <f t="shared" si="200"/>
        <v>2180.0622521425626</v>
      </c>
      <c r="EK157" s="1"/>
      <c r="EL157" t="s">
        <v>38</v>
      </c>
      <c r="EM157">
        <f>(EM10*EM18+EM11*EM19)/(EM18+EM19)</f>
        <v>2135.1904200355757</v>
      </c>
      <c r="EN157">
        <f t="shared" ref="EN157:EU157" si="201">(EN10*EN18+EN11*EN19)/(EN18+EN19)</f>
        <v>1764.6747041481833</v>
      </c>
      <c r="EO157">
        <f t="shared" si="201"/>
        <v>1804.062637888715</v>
      </c>
      <c r="EP157">
        <f t="shared" si="201"/>
        <v>2056.6127138243946</v>
      </c>
      <c r="EQ157">
        <f t="shared" si="201"/>
        <v>2130.0887370851538</v>
      </c>
      <c r="ER157">
        <f t="shared" si="201"/>
        <v>2243.2558692401344</v>
      </c>
      <c r="ES157">
        <f t="shared" si="201"/>
        <v>2542.6317729226989</v>
      </c>
      <c r="ET157">
        <f t="shared" si="201"/>
        <v>2655.9278896320316</v>
      </c>
      <c r="EU157">
        <f t="shared" si="201"/>
        <v>2192.3844424420886</v>
      </c>
      <c r="EV157" s="1"/>
      <c r="FA157" s="280">
        <f>(FA10*FA18+FA11*FA19)/(FA18+FA19)</f>
        <v>2104.0891554529458</v>
      </c>
      <c r="FB157" s="280">
        <f t="shared" ref="FB157:FI157" si="202">(FB10*FB18+FB11*FB19)/(FB18+FB19)</f>
        <v>1748.4340306846304</v>
      </c>
      <c r="FC157" s="280">
        <f t="shared" si="202"/>
        <v>1834.4149671629586</v>
      </c>
      <c r="FD157" s="280">
        <f t="shared" si="202"/>
        <v>1993.511497340965</v>
      </c>
      <c r="FE157" s="280">
        <f t="shared" si="202"/>
        <v>2105.2352205107964</v>
      </c>
      <c r="FF157" s="280">
        <f t="shared" si="202"/>
        <v>2198.3252795958961</v>
      </c>
      <c r="FG157" s="280">
        <f t="shared" si="202"/>
        <v>2572.4376127519681</v>
      </c>
      <c r="FH157" s="280">
        <f t="shared" si="202"/>
        <v>2755.7548481708959</v>
      </c>
      <c r="FI157" s="280">
        <f t="shared" si="202"/>
        <v>2201.2684808712961</v>
      </c>
      <c r="FV157" s="280" t="s">
        <v>728</v>
      </c>
      <c r="FW157" s="341">
        <f t="shared" ref="FW157" si="203">(FW10*FW18+FW11*FW19)/(FW18+FW19)</f>
        <v>2180.9286441258305</v>
      </c>
      <c r="FY157" s="341"/>
      <c r="GD157" s="2"/>
      <c r="GE157" s="2"/>
      <c r="GF157" s="2"/>
      <c r="GG157" s="2"/>
      <c r="GH157" s="2"/>
      <c r="GI157" s="2"/>
      <c r="GN157" t="s">
        <v>31</v>
      </c>
      <c r="HI157">
        <f>HI5</f>
        <v>0</v>
      </c>
    </row>
    <row r="158" spans="75:218" x14ac:dyDescent="0.2">
      <c r="BX158">
        <f>(BX41*BX49+BX42*BX50)/(BX49+BX50)</f>
        <v>2045.0777989425449</v>
      </c>
      <c r="BY158">
        <f t="shared" ref="BY158:CF158" si="204">(BY41*BY49+BY42*BY50)/(BY49+BY50)</f>
        <v>2001.271161636148</v>
      </c>
      <c r="BZ158">
        <f t="shared" si="204"/>
        <v>2162.4331703536009</v>
      </c>
      <c r="CA158">
        <f t="shared" si="204"/>
        <v>2212.5343663210397</v>
      </c>
      <c r="CB158">
        <f t="shared" si="204"/>
        <v>2190.4297966946979</v>
      </c>
      <c r="CC158">
        <f t="shared" si="204"/>
        <v>2121.5185825322678</v>
      </c>
      <c r="CD158">
        <f t="shared" si="204"/>
        <v>2439.8206559241858</v>
      </c>
      <c r="CE158" t="e">
        <f t="shared" si="204"/>
        <v>#DIV/0!</v>
      </c>
      <c r="CF158">
        <f t="shared" si="204"/>
        <v>2191.6458138233929</v>
      </c>
      <c r="CJ158">
        <f>(CJ41*CJ49+CJ42*CJ50)/(CJ49+CJ50)</f>
        <v>2332.6164494391392</v>
      </c>
      <c r="CK158">
        <f t="shared" ref="CK158:CR158" si="205">(CK41*CK49+CK42*CK50)/(CK49+CK50)</f>
        <v>2115.1658875017119</v>
      </c>
      <c r="CL158">
        <f t="shared" si="205"/>
        <v>2258.0166703449654</v>
      </c>
      <c r="CM158">
        <f t="shared" si="205"/>
        <v>2252.287493552582</v>
      </c>
      <c r="CN158">
        <f t="shared" si="205"/>
        <v>2157.8149327321735</v>
      </c>
      <c r="CO158">
        <f t="shared" si="205"/>
        <v>2483.0949763439703</v>
      </c>
      <c r="CP158">
        <f t="shared" si="205"/>
        <v>2663.5720145303276</v>
      </c>
      <c r="CQ158" t="e">
        <f t="shared" si="205"/>
        <v>#DIV/0!</v>
      </c>
      <c r="CR158">
        <f t="shared" si="205"/>
        <v>2312.7277919937474</v>
      </c>
      <c r="CU158">
        <f>(CU41*CU49+CU42*CU50)/(CU49+CU50)</f>
        <v>2407.8817057968931</v>
      </c>
      <c r="CV158">
        <f t="shared" ref="CV158:DC158" si="206">(CV41*CV49+CV42*CV50)/(CV49+CV50)</f>
        <v>2053.3202712114012</v>
      </c>
      <c r="CW158">
        <f t="shared" si="206"/>
        <v>2208.3980415482965</v>
      </c>
      <c r="CX158">
        <f t="shared" si="206"/>
        <v>2259.3812738412012</v>
      </c>
      <c r="CY158">
        <f t="shared" si="206"/>
        <v>2239.0865306358596</v>
      </c>
      <c r="CZ158">
        <f t="shared" si="206"/>
        <v>2421.9014330887326</v>
      </c>
      <c r="DA158">
        <f t="shared" si="206"/>
        <v>2559.2360094370547</v>
      </c>
      <c r="DB158">
        <f t="shared" si="206"/>
        <v>2707.2438359146222</v>
      </c>
      <c r="DC158">
        <f t="shared" si="206"/>
        <v>2321.9906909772999</v>
      </c>
      <c r="DF158">
        <f>(DF41*DF49+DF42*DF50)/(DF49+DF50)</f>
        <v>2474.4985021358921</v>
      </c>
      <c r="DG158">
        <f t="shared" ref="DG158:DN158" si="207">(DG41*DG49+DG42*DG50)/(DG49+DG50)</f>
        <v>2219.7905262692484</v>
      </c>
      <c r="DH158">
        <f t="shared" si="207"/>
        <v>2250.9553733462822</v>
      </c>
      <c r="DI158">
        <f t="shared" si="207"/>
        <v>2318.1400049237104</v>
      </c>
      <c r="DJ158">
        <f t="shared" si="207"/>
        <v>2247.9717639918922</v>
      </c>
      <c r="DK158">
        <f t="shared" si="207"/>
        <v>2409.7139590599154</v>
      </c>
      <c r="DL158">
        <f t="shared" si="207"/>
        <v>2629.3719117379833</v>
      </c>
      <c r="DM158">
        <f t="shared" si="207"/>
        <v>2863.0294563772131</v>
      </c>
      <c r="DN158">
        <f t="shared" si="207"/>
        <v>2384.9744815883832</v>
      </c>
      <c r="DQ158">
        <f>(DQ41*DQ49+DQ42*DQ50)/(DQ49+DQ50)</f>
        <v>2485.2693106241936</v>
      </c>
      <c r="DR158">
        <f t="shared" ref="DR158:DY158" si="208">(DR41*DR49+DR42*DR50)/(DR49+DR50)</f>
        <v>2247.4299244792401</v>
      </c>
      <c r="DS158">
        <f t="shared" si="208"/>
        <v>2197.1124812880298</v>
      </c>
      <c r="DT158">
        <f t="shared" si="208"/>
        <v>2314.154216990406</v>
      </c>
      <c r="DU158">
        <f t="shared" si="208"/>
        <v>2324.87856370284</v>
      </c>
      <c r="DV158">
        <f t="shared" si="208"/>
        <v>2487.4073451771455</v>
      </c>
      <c r="DW158">
        <f t="shared" si="208"/>
        <v>2700.7220452799811</v>
      </c>
      <c r="DX158">
        <f t="shared" si="208"/>
        <v>3105.0383408966673</v>
      </c>
      <c r="DY158">
        <f t="shared" si="208"/>
        <v>2427.0474232266415</v>
      </c>
      <c r="EB158">
        <f>(EB41*EB49+EB42*EB50)/(EB49+EB50)</f>
        <v>2432.2518082870888</v>
      </c>
      <c r="EC158">
        <f t="shared" ref="EC158:EJ158" si="209">(EC41*EC49+EC42*EC50)/(EC49+EC50)</f>
        <v>2165.6285632737759</v>
      </c>
      <c r="ED158">
        <f t="shared" si="209"/>
        <v>2151.1395480761912</v>
      </c>
      <c r="EE158">
        <f t="shared" si="209"/>
        <v>2249.0534838121921</v>
      </c>
      <c r="EF158">
        <f t="shared" si="209"/>
        <v>2384.0285721983273</v>
      </c>
      <c r="EG158">
        <f t="shared" si="209"/>
        <v>2436.8025211420595</v>
      </c>
      <c r="EH158">
        <f t="shared" si="209"/>
        <v>2676.8023018915164</v>
      </c>
      <c r="EI158">
        <f t="shared" si="209"/>
        <v>2792.1359926661798</v>
      </c>
      <c r="EJ158">
        <f t="shared" si="209"/>
        <v>2381.2447491254743</v>
      </c>
      <c r="EL158" s="2" t="s">
        <v>328</v>
      </c>
      <c r="EM158">
        <f>(EM41*EM49+EM42*EM50)/(EM49+EM50)</f>
        <v>2313.463370319073</v>
      </c>
      <c r="EN158">
        <f t="shared" ref="EN158:EU158" si="210">(EN41*EN49+EN42*EN50)/(EN49+EN50)</f>
        <v>2281.1265223575328</v>
      </c>
      <c r="EO158">
        <f t="shared" si="210"/>
        <v>2053.194083485685</v>
      </c>
      <c r="EP158">
        <f t="shared" si="210"/>
        <v>2273.8267740625029</v>
      </c>
      <c r="EQ158">
        <f t="shared" si="210"/>
        <v>2380.3714141868163</v>
      </c>
      <c r="ER158">
        <f t="shared" si="210"/>
        <v>2603.7334410467256</v>
      </c>
      <c r="ES158">
        <f t="shared" si="210"/>
        <v>2806.888433985247</v>
      </c>
      <c r="ET158">
        <f t="shared" si="210"/>
        <v>2739.7266919332355</v>
      </c>
      <c r="EU158">
        <f t="shared" si="210"/>
        <v>2373.8043441884515</v>
      </c>
      <c r="EW158" s="2"/>
      <c r="EX158" s="2"/>
      <c r="EY158" s="282"/>
      <c r="EZ158" s="282"/>
      <c r="FA158" s="280">
        <f>(FA41*FA49+FA42*FA50)/(FA49+FA50)</f>
        <v>2366.7826055264554</v>
      </c>
      <c r="FB158" s="280">
        <f t="shared" ref="FB158:FI158" si="211">(FB41*FB49+FB42*FB50)/(FB49+FB50)</f>
        <v>2136.1345169634533</v>
      </c>
      <c r="FC158" s="280">
        <f t="shared" si="211"/>
        <v>2051.2782739612671</v>
      </c>
      <c r="FD158" s="280">
        <f t="shared" si="211"/>
        <v>2254.9214785081881</v>
      </c>
      <c r="FE158" s="280">
        <f t="shared" si="211"/>
        <v>2290.5992756268415</v>
      </c>
      <c r="FF158" s="280">
        <f t="shared" si="211"/>
        <v>2383.0655961007619</v>
      </c>
      <c r="FG158" s="280">
        <f t="shared" si="211"/>
        <v>2705.9580189942944</v>
      </c>
      <c r="FH158" s="280">
        <f t="shared" si="211"/>
        <v>3053.0092359066612</v>
      </c>
      <c r="FI158" s="280">
        <f t="shared" si="211"/>
        <v>2367.9080443747275</v>
      </c>
      <c r="FJ158" s="282"/>
      <c r="FK158" s="282"/>
      <c r="FL158" s="282"/>
      <c r="FM158" s="282"/>
      <c r="FV158" s="280" t="s">
        <v>328</v>
      </c>
      <c r="FW158" s="341">
        <f t="shared" ref="FW158" si="212">(FW41*FW49+FW42*FW50)/(FW49+FW50)</f>
        <v>2337.1946198758324</v>
      </c>
      <c r="FY158" s="341"/>
      <c r="FZ158" s="282"/>
      <c r="GA158" s="282"/>
      <c r="GD158" s="2"/>
      <c r="GE158" s="2"/>
      <c r="GF158" s="2"/>
      <c r="GG158" s="2"/>
      <c r="GH158" s="2"/>
      <c r="GI158" s="2"/>
      <c r="GN158" t="str">
        <f>GN6</f>
        <v>Actual</v>
      </c>
      <c r="GO158" t="str">
        <f>GO6</f>
        <v>Predicted</v>
      </c>
      <c r="HI158">
        <f>HI6</f>
        <v>0</v>
      </c>
      <c r="HJ158">
        <f>HJ6</f>
        <v>0</v>
      </c>
    </row>
    <row r="159" spans="75:218" x14ac:dyDescent="0.2">
      <c r="BX159">
        <f>(BX70*BX78+BX71*BX79)/(BX78+BX79)</f>
        <v>2038.2465843831044</v>
      </c>
      <c r="BY159">
        <f t="shared" ref="BY159:CF159" si="213">(BY70*BY78+BY71*BY79)/(BY78+BY79)</f>
        <v>1803.7348675733244</v>
      </c>
      <c r="BZ159">
        <f t="shared" si="213"/>
        <v>1826.6053389154774</v>
      </c>
      <c r="CA159">
        <f t="shared" si="213"/>
        <v>2042.3603407026462</v>
      </c>
      <c r="CB159">
        <f t="shared" si="213"/>
        <v>2083.0011342134162</v>
      </c>
      <c r="CC159">
        <f t="shared" si="213"/>
        <v>2174.1629927953127</v>
      </c>
      <c r="CD159">
        <f t="shared" si="213"/>
        <v>2384.3688610684408</v>
      </c>
      <c r="CE159" t="e">
        <f t="shared" si="213"/>
        <v>#DIV/0!</v>
      </c>
      <c r="CF159">
        <f t="shared" si="213"/>
        <v>2050.3242106097509</v>
      </c>
      <c r="CJ159">
        <f>(CJ70*CJ78+CJ71*CJ79)/(CJ78+CJ79)</f>
        <v>2035.6976290483567</v>
      </c>
      <c r="CK159">
        <f t="shared" ref="CK159:CR159" si="214">(CK70*CK78+CK71*CK79)/(CK78+CK79)</f>
        <v>1721.656025754153</v>
      </c>
      <c r="CL159">
        <f t="shared" si="214"/>
        <v>1737.200763055004</v>
      </c>
      <c r="CM159">
        <f t="shared" si="214"/>
        <v>1883.0271599332164</v>
      </c>
      <c r="CN159">
        <f t="shared" si="214"/>
        <v>2123.214674618117</v>
      </c>
      <c r="CO159">
        <f t="shared" si="214"/>
        <v>2336.0936850200874</v>
      </c>
      <c r="CP159">
        <f t="shared" si="214"/>
        <v>2736.5407788046055</v>
      </c>
      <c r="CQ159" t="e">
        <f t="shared" si="214"/>
        <v>#DIV/0!</v>
      </c>
      <c r="CR159">
        <f t="shared" si="214"/>
        <v>2067.2817202593865</v>
      </c>
      <c r="CU159">
        <f>(CU70*CU78+CU71*CU79)/(CU78+CU79)</f>
        <v>2032.6621040109751</v>
      </c>
      <c r="CV159">
        <f t="shared" ref="CV159:DC159" si="215">(CV70*CV78+CV71*CV79)/(CV78+CV79)</f>
        <v>1666.535827137096</v>
      </c>
      <c r="CW159">
        <f t="shared" si="215"/>
        <v>1723.1556323308407</v>
      </c>
      <c r="CX159">
        <f t="shared" si="215"/>
        <v>1894.8224446418692</v>
      </c>
      <c r="CY159">
        <f t="shared" si="215"/>
        <v>2060.4732950986036</v>
      </c>
      <c r="CZ159">
        <f t="shared" si="215"/>
        <v>2317.0129708968411</v>
      </c>
      <c r="DA159">
        <f t="shared" si="215"/>
        <v>2659.273850457882</v>
      </c>
      <c r="DB159">
        <f t="shared" si="215"/>
        <v>2709.8252665570312</v>
      </c>
      <c r="DC159">
        <f t="shared" si="215"/>
        <v>2056.6870762075769</v>
      </c>
      <c r="DF159">
        <f>(DF70*DF78+DF71*DF79)/(DF78+DF79)</f>
        <v>2049.7510792175094</v>
      </c>
      <c r="DG159">
        <f t="shared" ref="DG159:DN159" si="216">(DG70*DG78+DG71*DG79)/(DG78+DG79)</f>
        <v>1798.4580381561257</v>
      </c>
      <c r="DH159">
        <f t="shared" si="216"/>
        <v>1778.6483168058828</v>
      </c>
      <c r="DI159">
        <f t="shared" si="216"/>
        <v>1977.9720961824894</v>
      </c>
      <c r="DJ159">
        <f t="shared" si="216"/>
        <v>2083.0315457563802</v>
      </c>
      <c r="DK159">
        <f t="shared" si="216"/>
        <v>2427.2925128337261</v>
      </c>
      <c r="DL159">
        <f t="shared" si="216"/>
        <v>2717.5163841633589</v>
      </c>
      <c r="DM159">
        <f t="shared" si="216"/>
        <v>2759.2615037604819</v>
      </c>
      <c r="DN159">
        <f t="shared" si="216"/>
        <v>2129.692899315367</v>
      </c>
      <c r="DQ159">
        <f>(DQ70*DQ78+DQ71*DQ79)/(DQ78+DQ79)</f>
        <v>2062.0211392479364</v>
      </c>
      <c r="DR159">
        <f t="shared" ref="DR159:DY159" si="217">(DR70*DR78+DR71*DR79)/(DR78+DR79)</f>
        <v>1750.6939816377903</v>
      </c>
      <c r="DS159">
        <f t="shared" si="217"/>
        <v>1792.7141122017576</v>
      </c>
      <c r="DT159">
        <f t="shared" si="217"/>
        <v>1957.730567455699</v>
      </c>
      <c r="DU159">
        <f t="shared" si="217"/>
        <v>2108.2682123469554</v>
      </c>
      <c r="DV159">
        <f t="shared" si="217"/>
        <v>2411.1350321701048</v>
      </c>
      <c r="DW159">
        <f t="shared" si="217"/>
        <v>2804.0701010569255</v>
      </c>
      <c r="DX159">
        <f t="shared" si="217"/>
        <v>2887.4768241171705</v>
      </c>
      <c r="DY159">
        <f t="shared" si="217"/>
        <v>2171.9225899298117</v>
      </c>
      <c r="EB159">
        <f>(EB70*EB78+EB71*EB79)/(EB78+EB79)</f>
        <v>2098.4479487818789</v>
      </c>
      <c r="EC159">
        <f t="shared" ref="EC159:EJ159" si="218">(EC70*EC78+EC71*EC79)/(EC78+EC79)</f>
        <v>1731.5687871446621</v>
      </c>
      <c r="ED159">
        <f t="shared" si="218"/>
        <v>1734.4645799318366</v>
      </c>
      <c r="EE159">
        <f t="shared" si="218"/>
        <v>1961.2472670817669</v>
      </c>
      <c r="EF159">
        <f t="shared" si="218"/>
        <v>2064.7299826945232</v>
      </c>
      <c r="EG159">
        <f t="shared" si="218"/>
        <v>2336.6189991529022</v>
      </c>
      <c r="EH159">
        <f t="shared" si="218"/>
        <v>2824.7183647734855</v>
      </c>
      <c r="EI159">
        <f t="shared" si="218"/>
        <v>2906.9864088476265</v>
      </c>
      <c r="EJ159">
        <f t="shared" si="218"/>
        <v>2183.9306578553751</v>
      </c>
      <c r="EL159" s="2" t="s">
        <v>329</v>
      </c>
      <c r="EM159">
        <f>(EM70*EM78+EM71*EM79)/(EM78+EM79)</f>
        <v>2061.2746977517295</v>
      </c>
      <c r="EN159">
        <f t="shared" ref="EN159:EU159" si="219">(EN70*EN78+EN71*EN79)/(EN78+EN79)</f>
        <v>1769.2708552053971</v>
      </c>
      <c r="EO159">
        <f t="shared" si="219"/>
        <v>1777.1959191655069</v>
      </c>
      <c r="EP159">
        <f t="shared" si="219"/>
        <v>1951.4912695806277</v>
      </c>
      <c r="EQ159">
        <f t="shared" si="219"/>
        <v>2158.0994433329697</v>
      </c>
      <c r="ER159">
        <f t="shared" si="219"/>
        <v>2286.3395157373166</v>
      </c>
      <c r="ES159">
        <f t="shared" si="219"/>
        <v>2747.6862139362934</v>
      </c>
      <c r="ET159">
        <f t="shared" si="219"/>
        <v>2780.2416179031188</v>
      </c>
      <c r="EU159">
        <f t="shared" si="219"/>
        <v>2180.7223638388036</v>
      </c>
      <c r="EW159" s="2"/>
      <c r="EX159" s="2"/>
      <c r="EY159" s="282"/>
      <c r="EZ159" s="282"/>
      <c r="FA159" s="280">
        <f>(FA70*FA78+FA71*FA79)/(FA78+FA79)</f>
        <v>2016.0095011749727</v>
      </c>
      <c r="FB159" s="280">
        <f t="shared" ref="FB159:FI159" si="220">(FB70*FB78+FB71*FB79)/(FB78+FB79)</f>
        <v>1730.8051500461434</v>
      </c>
      <c r="FC159" s="280">
        <f t="shared" si="220"/>
        <v>1752.5309251614722</v>
      </c>
      <c r="FD159" s="280">
        <f t="shared" si="220"/>
        <v>1963.7431677806953</v>
      </c>
      <c r="FE159" s="280">
        <f t="shared" si="220"/>
        <v>2156.9795113468213</v>
      </c>
      <c r="FF159" s="280">
        <f t="shared" si="220"/>
        <v>2357.1245771928207</v>
      </c>
      <c r="FG159" s="280">
        <f t="shared" si="220"/>
        <v>2760.0342104951987</v>
      </c>
      <c r="FH159" s="280">
        <f t="shared" si="220"/>
        <v>2916.8459985034597</v>
      </c>
      <c r="FI159" s="280">
        <f t="shared" si="220"/>
        <v>2197.4004360181602</v>
      </c>
      <c r="FJ159" s="282"/>
      <c r="FK159" s="282"/>
      <c r="FL159" s="282"/>
      <c r="FM159" s="282"/>
      <c r="FN159" s="282"/>
      <c r="FO159" s="282"/>
      <c r="FP159" s="282"/>
      <c r="FQ159" s="282"/>
      <c r="FR159" s="282"/>
      <c r="FS159" s="282"/>
      <c r="FT159" s="282"/>
      <c r="FU159" s="282"/>
      <c r="FV159" s="282" t="s">
        <v>329</v>
      </c>
      <c r="FW159" s="341">
        <f t="shared" ref="FW159" si="221">(FW70*FW78+FW71*FW79)/(FW78+FW79)</f>
        <v>2140.2811177830326</v>
      </c>
      <c r="FX159" s="282"/>
      <c r="FY159" s="341"/>
      <c r="FZ159" s="282"/>
      <c r="GA159" s="282"/>
      <c r="GD159" s="2"/>
      <c r="GE159" s="2"/>
      <c r="GF159" s="2"/>
      <c r="GG159" s="2"/>
      <c r="GH159" s="2"/>
      <c r="GI159" s="2"/>
      <c r="GM159">
        <f>GD44</f>
        <v>2009</v>
      </c>
    </row>
    <row r="160" spans="75:218" x14ac:dyDescent="0.2">
      <c r="BX160">
        <f>(BX99*BX107+BX100*BX108)/(BX107+BX108)</f>
        <v>1615.5509934448551</v>
      </c>
      <c r="BY160">
        <f t="shared" ref="BY160:CF160" si="222">(BY99*BY107+BY100*BY108)/(BY107+BY108)</f>
        <v>1419.1991808237656</v>
      </c>
      <c r="BZ160">
        <f t="shared" si="222"/>
        <v>1562.1546498520104</v>
      </c>
      <c r="CA160">
        <f t="shared" si="222"/>
        <v>1748.1853454694885</v>
      </c>
      <c r="CB160">
        <f t="shared" si="222"/>
        <v>1827.3366132060717</v>
      </c>
      <c r="CC160">
        <f t="shared" si="222"/>
        <v>1901.5733814386376</v>
      </c>
      <c r="CD160">
        <f t="shared" si="222"/>
        <v>2181.6563694095044</v>
      </c>
      <c r="CE160" t="e">
        <f t="shared" si="222"/>
        <v>#DIV/0!</v>
      </c>
      <c r="CF160">
        <f t="shared" si="222"/>
        <v>1789.0980882296997</v>
      </c>
      <c r="CJ160">
        <f>(CJ99*CJ107+CJ100*CJ108)/(CJ107+CJ108)</f>
        <v>1900.525362697816</v>
      </c>
      <c r="CK160">
        <f t="shared" ref="CK160:CR160" si="223">(CK99*CK107+CK100*CK108)/(CK107+CK108)</f>
        <v>1545.1572232222218</v>
      </c>
      <c r="CL160">
        <f t="shared" si="223"/>
        <v>1653.7270022404603</v>
      </c>
      <c r="CM160">
        <f t="shared" si="223"/>
        <v>1890.3061867910669</v>
      </c>
      <c r="CN160">
        <f t="shared" si="223"/>
        <v>2002.3813383167933</v>
      </c>
      <c r="CO160">
        <f t="shared" si="223"/>
        <v>2040.7859086465683</v>
      </c>
      <c r="CP160">
        <f t="shared" si="223"/>
        <v>2506.5840527304863</v>
      </c>
      <c r="CQ160" t="e">
        <f t="shared" si="223"/>
        <v>#DIV/0!</v>
      </c>
      <c r="CR160">
        <f t="shared" si="223"/>
        <v>1979.1172835019152</v>
      </c>
      <c r="CU160">
        <f>(CU99*CU107+CU100*CU108)/(CU107+CU108)</f>
        <v>1935.5931222706622</v>
      </c>
      <c r="CV160">
        <f t="shared" ref="CV160:DC160" si="224">(CV99*CV107+CV100*CV108)/(CV107+CV108)</f>
        <v>1497.1221453223916</v>
      </c>
      <c r="CW160">
        <f t="shared" si="224"/>
        <v>1631.7685674023405</v>
      </c>
      <c r="CX160">
        <f t="shared" si="224"/>
        <v>1808.2742935056656</v>
      </c>
      <c r="CY160">
        <f t="shared" si="224"/>
        <v>1955.2524863253464</v>
      </c>
      <c r="CZ160">
        <f t="shared" si="224"/>
        <v>2036.735710253497</v>
      </c>
      <c r="DA160">
        <f t="shared" si="224"/>
        <v>2417.7721817230868</v>
      </c>
      <c r="DB160">
        <f t="shared" si="224"/>
        <v>2559.8909748307055</v>
      </c>
      <c r="DC160">
        <f t="shared" si="224"/>
        <v>1962.0239732861548</v>
      </c>
      <c r="DF160">
        <f>(DF99*DF107+DF100*DF108)/(DF107+DF108)</f>
        <v>1965.1713720324801</v>
      </c>
      <c r="DG160">
        <f t="shared" ref="DG160:DN160" si="225">(DG99*DG107+DG100*DG108)/(DG107+DG108)</f>
        <v>1513.8426635798162</v>
      </c>
      <c r="DH160">
        <f t="shared" si="225"/>
        <v>1709.6503040927732</v>
      </c>
      <c r="DI160">
        <f t="shared" si="225"/>
        <v>1849.1910435708703</v>
      </c>
      <c r="DJ160">
        <f t="shared" si="225"/>
        <v>2019.9719671274909</v>
      </c>
      <c r="DK160">
        <f t="shared" si="225"/>
        <v>2086.4432534874691</v>
      </c>
      <c r="DL160">
        <f t="shared" si="225"/>
        <v>2478.6408563899499</v>
      </c>
      <c r="DM160">
        <f t="shared" si="225"/>
        <v>2630.9895697723264</v>
      </c>
      <c r="DN160">
        <f t="shared" si="225"/>
        <v>2040.1740437202918</v>
      </c>
      <c r="DQ160">
        <f>(DQ99*DQ107+DQ100*DQ108)/(DQ107+DQ108)</f>
        <v>1978.3343878338251</v>
      </c>
      <c r="DR160">
        <f t="shared" ref="DR160:DY160" si="226">(DR99*DR107+DR100*DR108)/(DR107+DR108)</f>
        <v>1550.1257068839755</v>
      </c>
      <c r="DS160">
        <f t="shared" si="226"/>
        <v>1704.4475497990854</v>
      </c>
      <c r="DT160">
        <f t="shared" si="226"/>
        <v>1931.8733756384418</v>
      </c>
      <c r="DU160">
        <f t="shared" si="226"/>
        <v>2059.4710146181969</v>
      </c>
      <c r="DV160">
        <f t="shared" si="226"/>
        <v>2136.7584053661012</v>
      </c>
      <c r="DW160">
        <f t="shared" si="226"/>
        <v>2545.2445538027164</v>
      </c>
      <c r="DX160">
        <f t="shared" si="226"/>
        <v>2686.4660188196813</v>
      </c>
      <c r="DY160">
        <f t="shared" si="226"/>
        <v>2117.3426997204892</v>
      </c>
      <c r="EB160">
        <f>(EB99*EB107+EB100*EB108)/(EB107+EB108)</f>
        <v>2018.8829922146292</v>
      </c>
      <c r="EC160">
        <f t="shared" ref="EC160:EJ160" si="227">(EC99*EC107+EC100*EC108)/(EC107+EC108)</f>
        <v>1543.7386424237134</v>
      </c>
      <c r="ED160">
        <f t="shared" si="227"/>
        <v>1746.9179929976694</v>
      </c>
      <c r="EE160">
        <f t="shared" si="227"/>
        <v>1968.9242618598576</v>
      </c>
      <c r="EF160">
        <f t="shared" si="227"/>
        <v>2065.2705625548338</v>
      </c>
      <c r="EG160">
        <f t="shared" si="227"/>
        <v>2163.3428653901183</v>
      </c>
      <c r="EH160">
        <f t="shared" si="227"/>
        <v>2527.2384826873504</v>
      </c>
      <c r="EI160">
        <f t="shared" si="227"/>
        <v>2697.4316708142496</v>
      </c>
      <c r="EJ160">
        <f t="shared" si="227"/>
        <v>2153.8531189459713</v>
      </c>
      <c r="EL160" s="2" t="s">
        <v>330</v>
      </c>
      <c r="EM160">
        <f>(EM99*EM107+EM100*EM108)/(EM107+EM108)</f>
        <v>2037.1123514826238</v>
      </c>
      <c r="EN160">
        <f t="shared" ref="EN160:EU160" si="228">(EN99*EN107+EN100*EN108)/(EN107+EN108)</f>
        <v>1573.6241695883357</v>
      </c>
      <c r="EO160">
        <f t="shared" si="228"/>
        <v>1699.5639048767953</v>
      </c>
      <c r="EP160">
        <f t="shared" si="228"/>
        <v>2047.6315705308784</v>
      </c>
      <c r="EQ160">
        <f t="shared" si="228"/>
        <v>2107.5321191602211</v>
      </c>
      <c r="ER160">
        <f t="shared" si="228"/>
        <v>2153.4483018890082</v>
      </c>
      <c r="ES160">
        <f t="shared" si="228"/>
        <v>2533.9698529472957</v>
      </c>
      <c r="ET160">
        <f t="shared" si="228"/>
        <v>2642.8027777322013</v>
      </c>
      <c r="EU160">
        <f t="shared" si="228"/>
        <v>2174.6378103623292</v>
      </c>
      <c r="EW160" s="2"/>
      <c r="EX160" s="2"/>
      <c r="EY160" s="282"/>
      <c r="EZ160" s="282"/>
      <c r="FA160" s="280">
        <f>(FA99*FA107+FA100*FA108)/(FA107+FA108)</f>
        <v>2080.3336161134416</v>
      </c>
      <c r="FB160" s="280">
        <f t="shared" ref="FB160:FI160" si="229">(FB99*FB107+FB100*FB108)/(FB107+FB108)</f>
        <v>1617.420989983453</v>
      </c>
      <c r="FC160" s="280">
        <f t="shared" si="229"/>
        <v>1836.3223707040008</v>
      </c>
      <c r="FD160" s="280">
        <f t="shared" si="229"/>
        <v>1955.530183369139</v>
      </c>
      <c r="FE160" s="280">
        <f t="shared" si="229"/>
        <v>2068.6873325696047</v>
      </c>
      <c r="FF160" s="280">
        <f t="shared" si="229"/>
        <v>2128.818290468806</v>
      </c>
      <c r="FG160" s="280">
        <f t="shared" si="229"/>
        <v>2549.9635218796129</v>
      </c>
      <c r="FH160" s="280">
        <f t="shared" si="229"/>
        <v>2681.8578015493822</v>
      </c>
      <c r="FI160" s="280">
        <f t="shared" si="229"/>
        <v>2193.364395540375</v>
      </c>
      <c r="FJ160" s="282"/>
      <c r="FK160" s="282"/>
      <c r="FL160" s="282"/>
      <c r="FM160" s="282"/>
      <c r="FN160" s="282"/>
      <c r="FO160" s="282"/>
      <c r="FP160" s="282"/>
      <c r="FQ160" s="282"/>
      <c r="FR160" s="282"/>
      <c r="FS160" s="282"/>
      <c r="FT160" s="282"/>
      <c r="FU160" s="282"/>
      <c r="FV160" s="282"/>
      <c r="FW160" s="341">
        <f t="shared" ref="FW160" si="230">(FW99*FW107+FW100*FW108)/(FW107+FW108)</f>
        <v>2177.7361627832274</v>
      </c>
      <c r="FX160" s="282"/>
      <c r="FY160" s="341"/>
      <c r="FZ160" s="282"/>
      <c r="GA160" s="282"/>
      <c r="GD160" s="2"/>
      <c r="GE160" s="2"/>
      <c r="GF160" s="2"/>
      <c r="GG160" s="2"/>
      <c r="GH160" s="2"/>
      <c r="GI160" s="2"/>
      <c r="GM160" t="str">
        <f>GD47</f>
        <v>2009/1997</v>
      </c>
    </row>
    <row r="161" spans="75:225" x14ac:dyDescent="0.2">
      <c r="BX161">
        <f>(BX128*BX136+BX129*BX137)/(BX136+BX137)</f>
        <v>1600.977127849533</v>
      </c>
      <c r="BY161">
        <f t="shared" ref="BY161:CF161" si="231">(BY128*BY136+BY129*BY137)/(BY136+BY137)</f>
        <v>1469.717469326461</v>
      </c>
      <c r="BZ161">
        <f t="shared" si="231"/>
        <v>1606.7800776457152</v>
      </c>
      <c r="CA161">
        <f t="shared" si="231"/>
        <v>1809.632769106714</v>
      </c>
      <c r="CB161">
        <f t="shared" si="231"/>
        <v>1837.7965780414336</v>
      </c>
      <c r="CC161">
        <f t="shared" si="231"/>
        <v>1903.4463252437722</v>
      </c>
      <c r="CD161">
        <f t="shared" si="231"/>
        <v>2117.4465782765678</v>
      </c>
      <c r="CE161" t="e">
        <f t="shared" si="231"/>
        <v>#DIV/0!</v>
      </c>
      <c r="CF161">
        <f t="shared" si="231"/>
        <v>1784.1125730665701</v>
      </c>
      <c r="CJ161">
        <f>(CJ128*CJ136+CJ129*CJ137)/(CJ136+CJ137)</f>
        <v>1641.4590952290737</v>
      </c>
      <c r="CK161">
        <f t="shared" ref="CK161:CR161" si="232">(CK128*CK136+CK129*CK137)/(CK136+CK137)</f>
        <v>1477.3388648497082</v>
      </c>
      <c r="CL161">
        <f t="shared" si="232"/>
        <v>1671.4452361818226</v>
      </c>
      <c r="CM161">
        <f t="shared" si="232"/>
        <v>1814.4083434983108</v>
      </c>
      <c r="CN161">
        <f t="shared" si="232"/>
        <v>1965.1368882921699</v>
      </c>
      <c r="CO161">
        <f t="shared" si="232"/>
        <v>2063.4617520207566</v>
      </c>
      <c r="CP161">
        <f t="shared" si="232"/>
        <v>2289.5225102527825</v>
      </c>
      <c r="CQ161" t="e">
        <f t="shared" si="232"/>
        <v>#DIV/0!</v>
      </c>
      <c r="CR161">
        <f t="shared" si="232"/>
        <v>1888.7793736546832</v>
      </c>
      <c r="CU161">
        <f>(CU128*CU136+CU129*CU137)/(CU136+CU137)</f>
        <v>1718.9027373043709</v>
      </c>
      <c r="CV161">
        <f t="shared" ref="CV161:DC161" si="233">(CV128*CV136+CV129*CV137)/(CV136+CV137)</f>
        <v>1555.2265265244539</v>
      </c>
      <c r="CW161">
        <f t="shared" si="233"/>
        <v>1641.8042377892671</v>
      </c>
      <c r="CX161">
        <f t="shared" si="233"/>
        <v>1820.0891730742337</v>
      </c>
      <c r="CY161">
        <f t="shared" si="233"/>
        <v>1938.8868018442402</v>
      </c>
      <c r="CZ161">
        <f t="shared" si="233"/>
        <v>1994.7548212915908</v>
      </c>
      <c r="DA161">
        <f t="shared" si="233"/>
        <v>2243.8149824089405</v>
      </c>
      <c r="DB161">
        <f t="shared" si="233"/>
        <v>2474.9225120117603</v>
      </c>
      <c r="DC161">
        <f t="shared" si="233"/>
        <v>1892.2949428351537</v>
      </c>
      <c r="DF161">
        <f>(DF128*DF136+DF129*DF137)/(DF136+DF137)</f>
        <v>1692.8456629319671</v>
      </c>
      <c r="DG161">
        <f t="shared" ref="DG161:DN161" si="234">(DG128*DG136+DG129*DG137)/(DG136+DG137)</f>
        <v>1537.1834605642189</v>
      </c>
      <c r="DH161">
        <f t="shared" si="234"/>
        <v>1684.9380655478897</v>
      </c>
      <c r="DI161">
        <f t="shared" si="234"/>
        <v>1889.0723799718655</v>
      </c>
      <c r="DJ161">
        <f t="shared" si="234"/>
        <v>1946.2091504100997</v>
      </c>
      <c r="DK161">
        <f t="shared" si="234"/>
        <v>2080.3805235763753</v>
      </c>
      <c r="DL161">
        <f t="shared" si="234"/>
        <v>2347.7809652964538</v>
      </c>
      <c r="DM161">
        <f t="shared" si="234"/>
        <v>2629.0517486033409</v>
      </c>
      <c r="DN161">
        <f t="shared" si="234"/>
        <v>1964.2836413295083</v>
      </c>
      <c r="DQ161">
        <f>(DQ128*DQ136+DQ129*DQ137)/(DQ136+DQ137)</f>
        <v>1745.2946700230711</v>
      </c>
      <c r="DR161">
        <f t="shared" ref="DR161:DY161" si="235">(DR128*DR136+DR129*DR137)/(DR136+DR137)</f>
        <v>1618.4565658099166</v>
      </c>
      <c r="DS161">
        <f t="shared" si="235"/>
        <v>1731.8088418748935</v>
      </c>
      <c r="DT161">
        <f t="shared" si="235"/>
        <v>1906.0130869353343</v>
      </c>
      <c r="DU161">
        <f t="shared" si="235"/>
        <v>2043.0361870454769</v>
      </c>
      <c r="DV161">
        <f t="shared" si="235"/>
        <v>2180.316051136037</v>
      </c>
      <c r="DW161">
        <f t="shared" si="235"/>
        <v>2370.0065114258437</v>
      </c>
      <c r="DX161">
        <f t="shared" si="235"/>
        <v>2586.0628041026644</v>
      </c>
      <c r="DY161">
        <f t="shared" si="235"/>
        <v>2046.5263317238432</v>
      </c>
      <c r="EB161">
        <f>(EB128*EB136+EB129*EB137)/(EB136+EB137)</f>
        <v>1788.2430247921438</v>
      </c>
      <c r="EC161">
        <f t="shared" ref="EC161:EJ161" si="236">(EC128*EC136+EC129*EC137)/(EC136+EC137)</f>
        <v>1598.3687627867394</v>
      </c>
      <c r="ED161">
        <f t="shared" si="236"/>
        <v>1772.9549956959306</v>
      </c>
      <c r="EE161">
        <f t="shared" si="236"/>
        <v>1992.2853185531956</v>
      </c>
      <c r="EF161">
        <f t="shared" si="236"/>
        <v>2014.3357157585306</v>
      </c>
      <c r="EG161">
        <f t="shared" si="236"/>
        <v>2193.043818603097</v>
      </c>
      <c r="EH161">
        <f t="shared" si="236"/>
        <v>2324.9596405432044</v>
      </c>
      <c r="EI161">
        <f t="shared" si="236"/>
        <v>2634.4298743716813</v>
      </c>
      <c r="EJ161">
        <f t="shared" si="236"/>
        <v>2078.551696899629</v>
      </c>
      <c r="EL161" s="2" t="s">
        <v>331</v>
      </c>
      <c r="EM161">
        <f>(EM128*EM136+EM129*EM137)/(EM136+EM137)</f>
        <v>2090.4814444952003</v>
      </c>
      <c r="EN161">
        <f t="shared" ref="EN161:EU161" si="237">(EN128*EN136+EN129*EN137)/(EN136+EN137)</f>
        <v>1628.7689147753472</v>
      </c>
      <c r="EO161">
        <f t="shared" si="237"/>
        <v>1785.4835025720029</v>
      </c>
      <c r="EP161">
        <f t="shared" si="237"/>
        <v>2023.5812984564241</v>
      </c>
      <c r="EQ161">
        <f t="shared" si="237"/>
        <v>2024.6758295781701</v>
      </c>
      <c r="ER161">
        <f t="shared" si="237"/>
        <v>2180.8013036112034</v>
      </c>
      <c r="ES161">
        <f t="shared" si="237"/>
        <v>2260.8434599740726</v>
      </c>
      <c r="ET161">
        <f t="shared" si="237"/>
        <v>2562.8044526231165</v>
      </c>
      <c r="EU161">
        <f t="shared" si="237"/>
        <v>2110.4549609343344</v>
      </c>
      <c r="EW161" s="2"/>
      <c r="EX161" s="2"/>
      <c r="EY161" s="282"/>
      <c r="EZ161" s="282"/>
      <c r="FA161" s="280">
        <f>(FA128*FA136+FA129*FA137)/(FA136+FA137)</f>
        <v>1808.2010308128415</v>
      </c>
      <c r="FB161" s="280">
        <f t="shared" ref="FB161:FI161" si="238">(FB128*FB136+FB129*FB137)/(FB136+FB137)</f>
        <v>1606.6527757745971</v>
      </c>
      <c r="FC161" s="280">
        <f t="shared" si="238"/>
        <v>1743.7197291648954</v>
      </c>
      <c r="FD161" s="280">
        <f t="shared" si="238"/>
        <v>1897.408233192416</v>
      </c>
      <c r="FE161" s="280">
        <f t="shared" si="238"/>
        <v>2032.8758386368668</v>
      </c>
      <c r="FF161" s="280">
        <f t="shared" si="238"/>
        <v>2113.3064406410876</v>
      </c>
      <c r="FG161" s="280">
        <f t="shared" si="238"/>
        <v>2387.0503764965802</v>
      </c>
      <c r="FH161" s="280">
        <f t="shared" si="238"/>
        <v>2673.449899992655</v>
      </c>
      <c r="FI161" s="280">
        <f t="shared" si="238"/>
        <v>2100.5414997368957</v>
      </c>
      <c r="FJ161" s="282"/>
      <c r="FK161" s="282"/>
      <c r="FL161" s="282"/>
      <c r="FM161" s="282"/>
      <c r="FN161" s="282"/>
      <c r="FO161" s="282"/>
      <c r="FP161" s="282"/>
      <c r="FQ161" s="282"/>
      <c r="FR161" s="282"/>
      <c r="FS161" s="282"/>
      <c r="FT161" s="282"/>
      <c r="FU161" s="282"/>
      <c r="FV161" s="282"/>
      <c r="FW161" s="341">
        <f t="shared" ref="FW161" si="239">(FW128*FW136+FW129*FW137)/(FW136+FW137)</f>
        <v>2121.797009043531</v>
      </c>
      <c r="FX161" s="282"/>
      <c r="FY161" s="341"/>
      <c r="FZ161" s="282"/>
      <c r="GA161" s="282"/>
      <c r="GB161" s="282"/>
      <c r="GC161" s="2"/>
      <c r="GD161" s="2"/>
      <c r="GE161" s="2"/>
      <c r="GF161" s="2"/>
      <c r="GG161" s="2"/>
      <c r="GH161" s="2"/>
      <c r="GI161" s="2"/>
      <c r="GM161">
        <f>GD169</f>
        <v>1989</v>
      </c>
    </row>
    <row r="162" spans="75:225" x14ac:dyDescent="0.2">
      <c r="EL162" s="2"/>
      <c r="EW162" s="2"/>
      <c r="EX162" s="2"/>
      <c r="EY162" s="282"/>
      <c r="EZ162" s="282"/>
      <c r="FA162" s="282"/>
      <c r="FB162" s="282"/>
      <c r="FC162" s="282"/>
      <c r="FD162" s="282"/>
      <c r="FE162" s="282"/>
      <c r="FF162" s="282"/>
      <c r="FG162" s="282"/>
      <c r="FH162" s="282"/>
      <c r="FI162" s="282"/>
      <c r="FJ162" s="282"/>
      <c r="FK162" s="282"/>
      <c r="FL162" s="282"/>
      <c r="FM162" s="282"/>
      <c r="FN162" s="282"/>
      <c r="FO162" s="282"/>
      <c r="FP162" s="282"/>
      <c r="FQ162" s="282"/>
      <c r="FR162" s="282"/>
      <c r="FS162" s="282"/>
      <c r="FT162" s="282"/>
      <c r="FU162" s="282"/>
      <c r="FV162" s="282"/>
      <c r="FW162" s="282"/>
      <c r="FX162" s="282"/>
      <c r="FY162" s="282"/>
      <c r="FZ162" s="282"/>
      <c r="GA162" s="282"/>
      <c r="GB162" s="282"/>
      <c r="GC162" s="2"/>
    </row>
    <row r="163" spans="75:225" x14ac:dyDescent="0.2">
      <c r="EL163" s="2"/>
      <c r="EM163" s="2"/>
      <c r="EN163" s="2"/>
      <c r="EO163" s="2"/>
      <c r="EP163" s="2"/>
      <c r="EQ163" s="2"/>
      <c r="ER163" s="2"/>
      <c r="ES163" s="2"/>
      <c r="ET163" s="2"/>
      <c r="EW163" s="2"/>
      <c r="EX163" s="2"/>
      <c r="EY163" s="282"/>
      <c r="EZ163" s="282"/>
      <c r="FA163" s="282"/>
      <c r="FB163" s="282"/>
      <c r="FC163" s="282"/>
      <c r="FD163" s="282"/>
      <c r="FE163" s="282"/>
      <c r="FF163" s="282"/>
      <c r="FG163" s="282"/>
      <c r="FH163" s="282"/>
      <c r="FI163" s="282"/>
      <c r="FJ163" s="282"/>
      <c r="FK163" s="282"/>
      <c r="FL163" s="282"/>
      <c r="FM163" s="282"/>
      <c r="FN163" s="282"/>
      <c r="FO163" s="282"/>
      <c r="FP163" s="282"/>
      <c r="FQ163" s="282"/>
      <c r="FR163" s="282"/>
      <c r="FS163" s="282"/>
      <c r="FT163" s="282"/>
      <c r="FU163" s="282"/>
      <c r="FV163" s="282"/>
      <c r="FW163" s="282"/>
      <c r="FX163" s="282"/>
      <c r="FY163" s="282"/>
      <c r="FZ163" s="282"/>
      <c r="GA163" s="282"/>
      <c r="GB163" s="282"/>
      <c r="GC163" s="2"/>
      <c r="GM163">
        <f>GD170</f>
        <v>1991</v>
      </c>
    </row>
    <row r="164" spans="75:225" x14ac:dyDescent="0.2">
      <c r="BW164" t="s">
        <v>326</v>
      </c>
      <c r="BX164" t="s">
        <v>327</v>
      </c>
      <c r="BY164" t="s">
        <v>750</v>
      </c>
      <c r="CI164" t="s">
        <v>753</v>
      </c>
      <c r="CN164" s="341" t="s">
        <v>755</v>
      </c>
      <c r="CT164" s="341" t="s">
        <v>756</v>
      </c>
      <c r="CZ164" s="341" t="s">
        <v>757</v>
      </c>
      <c r="EL164" s="2"/>
      <c r="EM164" s="2"/>
      <c r="EN164" s="2"/>
      <c r="EO164" s="2"/>
      <c r="EP164" s="2"/>
      <c r="EQ164" s="2"/>
      <c r="ER164" s="2"/>
      <c r="ES164" s="2"/>
      <c r="ET164" s="2"/>
      <c r="EW164" s="2"/>
      <c r="EX164" s="2"/>
      <c r="EY164" s="282"/>
      <c r="EZ164" s="282"/>
      <c r="FA164" s="282"/>
      <c r="FB164" s="282"/>
      <c r="FC164" s="282"/>
      <c r="FD164" s="282"/>
      <c r="FE164" s="282"/>
      <c r="FF164" s="282"/>
      <c r="FG164" s="282"/>
      <c r="FH164" s="282"/>
      <c r="FI164" s="282"/>
      <c r="FJ164" s="282"/>
      <c r="FK164" s="282"/>
      <c r="FL164" s="282"/>
      <c r="FM164" s="282"/>
      <c r="FN164" s="282"/>
      <c r="FO164" s="282"/>
      <c r="FP164" s="282"/>
      <c r="FQ164" s="282"/>
      <c r="FR164" s="282"/>
      <c r="FS164" s="282"/>
      <c r="FT164" s="282"/>
      <c r="FU164" s="282"/>
      <c r="FV164" s="282"/>
      <c r="FW164" s="282"/>
      <c r="FX164" s="282"/>
      <c r="FY164" s="282"/>
      <c r="FZ164" s="282"/>
      <c r="GA164" s="282"/>
      <c r="GB164" s="282"/>
      <c r="GC164" s="2"/>
      <c r="GM164">
        <f>GD171</f>
        <v>1993</v>
      </c>
    </row>
    <row r="165" spans="75:225" x14ac:dyDescent="0.2">
      <c r="BY165">
        <v>1997</v>
      </c>
      <c r="BZ165">
        <v>1999</v>
      </c>
      <c r="CA165">
        <v>2001</v>
      </c>
      <c r="CB165">
        <v>2003</v>
      </c>
      <c r="CC165">
        <v>2005</v>
      </c>
      <c r="CD165">
        <v>2007</v>
      </c>
      <c r="CE165">
        <v>2009</v>
      </c>
      <c r="CF165">
        <v>2011</v>
      </c>
      <c r="CG165" s="280">
        <v>2013</v>
      </c>
      <c r="CH165">
        <f>1999</f>
        <v>1999</v>
      </c>
      <c r="CI165" s="23">
        <f>BZ166</f>
        <v>1.1363743686067762</v>
      </c>
      <c r="CM165">
        <f>1999</f>
        <v>1999</v>
      </c>
      <c r="CN165">
        <f>BZ167</f>
        <v>1.0157727890522283</v>
      </c>
      <c r="CS165">
        <f>1999</f>
        <v>1999</v>
      </c>
      <c r="CT165">
        <f>BZ168</f>
        <v>0.97245259957697916</v>
      </c>
      <c r="CY165">
        <f>1999</f>
        <v>1999</v>
      </c>
      <c r="CZ165">
        <f>BZ169</f>
        <v>0.92806445946845162</v>
      </c>
      <c r="EL165" s="2"/>
      <c r="EM165" s="2"/>
      <c r="EN165" s="2"/>
      <c r="EO165" s="2"/>
      <c r="EP165" s="2"/>
      <c r="EQ165" s="2"/>
      <c r="ER165" s="2"/>
      <c r="ES165" s="2"/>
      <c r="ET165" s="2"/>
      <c r="EW165" s="2"/>
      <c r="EX165" s="2"/>
      <c r="EY165" s="282"/>
      <c r="EZ165" s="282"/>
      <c r="FA165" s="282"/>
      <c r="FB165" s="282"/>
      <c r="FC165" s="282"/>
      <c r="FD165" s="282"/>
      <c r="FE165" s="282"/>
      <c r="FF165" s="282"/>
      <c r="FG165" s="282"/>
      <c r="FH165" s="282"/>
      <c r="FI165" s="282"/>
      <c r="FJ165" s="282"/>
      <c r="FK165" s="282"/>
      <c r="FL165" s="282"/>
      <c r="FM165" s="282"/>
      <c r="FN165" s="282"/>
      <c r="FO165" s="282"/>
      <c r="FP165" s="282"/>
      <c r="FQ165" s="282"/>
      <c r="FR165" s="282"/>
      <c r="FS165" s="282"/>
      <c r="FT165" s="282"/>
      <c r="FU165" s="282"/>
      <c r="FV165" s="282"/>
      <c r="FW165" s="282"/>
      <c r="FX165" s="282"/>
      <c r="FY165" s="282"/>
      <c r="FZ165" s="282"/>
      <c r="GA165" s="282"/>
      <c r="GB165" s="282"/>
      <c r="GC165" s="2"/>
      <c r="GM165">
        <f>GD172</f>
        <v>1995</v>
      </c>
    </row>
    <row r="166" spans="75:225" x14ac:dyDescent="0.2">
      <c r="BX166" t="s">
        <v>20</v>
      </c>
      <c r="BY166" s="23">
        <f>CF158/CF$157</f>
        <v>1.140701298990823</v>
      </c>
      <c r="BZ166" s="23">
        <f>CR158/CR$157</f>
        <v>1.1363743686067762</v>
      </c>
      <c r="CA166" s="23">
        <f>DC158/DC$157</f>
        <v>1.1452745101312254</v>
      </c>
      <c r="CB166" s="23">
        <f>DN158/DN$157</f>
        <v>1.1353104139742185</v>
      </c>
      <c r="CC166" s="23">
        <f>DY158/DY$157</f>
        <v>1.1215023460933342</v>
      </c>
      <c r="CD166" s="23">
        <f>EJ158/EJ$157</f>
        <v>1.092282913841194</v>
      </c>
      <c r="CE166" s="23">
        <f>EU158/EU$157</f>
        <v>1.0827500406563184</v>
      </c>
      <c r="CF166" s="23">
        <f>FI158/FI$157</f>
        <v>1.0757016079371986</v>
      </c>
      <c r="CG166" s="23">
        <f>FW158/FW$157</f>
        <v>1.0716511180550967</v>
      </c>
      <c r="CH166">
        <f>2001</f>
        <v>2001</v>
      </c>
      <c r="CI166" s="23">
        <f>CA166</f>
        <v>1.1452745101312254</v>
      </c>
      <c r="CM166">
        <f>2001</f>
        <v>2001</v>
      </c>
      <c r="CN166">
        <f>CA167</f>
        <v>1.014418917719891</v>
      </c>
      <c r="CS166">
        <f>2001</f>
        <v>2001</v>
      </c>
      <c r="CT166">
        <f>CA168</f>
        <v>0.96772827453725085</v>
      </c>
      <c r="CY166">
        <f>2001</f>
        <v>2001</v>
      </c>
      <c r="CZ166">
        <f>CA169</f>
        <v>0.93333585362789573</v>
      </c>
      <c r="EK166" s="1"/>
      <c r="EL166" s="2"/>
      <c r="EM166" s="2"/>
      <c r="EN166" s="2"/>
      <c r="EO166" s="2"/>
      <c r="EP166" s="2"/>
      <c r="EQ166" s="2"/>
      <c r="ER166" s="2"/>
      <c r="ES166" s="2"/>
      <c r="ET166" s="2"/>
      <c r="EV166" s="1"/>
      <c r="EW166" s="2"/>
      <c r="EX166" s="2"/>
      <c r="EY166" s="282"/>
      <c r="EZ166" s="282"/>
      <c r="FA166" s="282"/>
      <c r="FB166" s="282"/>
      <c r="FC166" s="282"/>
      <c r="FD166" s="282"/>
      <c r="FE166" s="282"/>
      <c r="FF166" s="282"/>
      <c r="FG166" s="282"/>
      <c r="FH166" s="282"/>
      <c r="FI166" s="282"/>
      <c r="FJ166" s="282"/>
      <c r="FK166" s="282"/>
      <c r="FL166" s="282"/>
      <c r="FM166" s="282"/>
      <c r="FN166" s="282"/>
      <c r="FO166" s="282"/>
      <c r="FP166" s="282"/>
      <c r="FQ166" s="282"/>
      <c r="FR166" s="282"/>
      <c r="FS166" s="282"/>
      <c r="FT166" s="282"/>
      <c r="FU166" s="282"/>
      <c r="FV166" s="282"/>
      <c r="FW166" s="282"/>
      <c r="FX166" s="282"/>
      <c r="FY166" s="282"/>
      <c r="FZ166" s="282"/>
      <c r="GA166" s="282"/>
      <c r="GB166" s="282"/>
      <c r="GC166" s="2"/>
      <c r="GM166" s="11">
        <f t="shared" ref="GM166:GV166" si="240">GM7</f>
        <v>1997</v>
      </c>
      <c r="GN166" s="2">
        <f t="shared" si="240"/>
        <v>60624.28726377034</v>
      </c>
      <c r="GO166">
        <f t="shared" si="240"/>
        <v>62203.842818360703</v>
      </c>
      <c r="GP166">
        <f t="shared" si="240"/>
        <v>11.012450871696785</v>
      </c>
      <c r="GQ166">
        <f t="shared" si="240"/>
        <v>0</v>
      </c>
      <c r="GR166">
        <f t="shared" si="240"/>
        <v>11.012450871696785</v>
      </c>
      <c r="GS166">
        <f t="shared" si="240"/>
        <v>11.038172058464534</v>
      </c>
      <c r="GT166">
        <f t="shared" si="240"/>
        <v>0</v>
      </c>
      <c r="GU166">
        <f t="shared" si="240"/>
        <v>-5.9846282837446065E-3</v>
      </c>
      <c r="GV166">
        <f t="shared" si="240"/>
        <v>11.038172058464534</v>
      </c>
      <c r="HI166" s="2">
        <f t="shared" ref="HI166:HQ166" si="241">HI7</f>
        <v>0</v>
      </c>
      <c r="HJ166">
        <f t="shared" si="241"/>
        <v>1997</v>
      </c>
      <c r="HK166">
        <f t="shared" si="241"/>
        <v>6166.0808005615136</v>
      </c>
      <c r="HL166">
        <f t="shared" si="241"/>
        <v>1608.0287468728714</v>
      </c>
      <c r="HM166">
        <f t="shared" si="241"/>
        <v>1974.0038961175023</v>
      </c>
      <c r="HN166">
        <f t="shared" si="241"/>
        <v>3537.2808487035782</v>
      </c>
      <c r="HO166">
        <f t="shared" si="241"/>
        <v>5814.3768939900547</v>
      </c>
      <c r="HP166">
        <f t="shared" si="241"/>
        <v>4331.8750069505513</v>
      </c>
      <c r="HQ166">
        <f t="shared" si="241"/>
        <v>1556.818229577101</v>
      </c>
    </row>
    <row r="167" spans="75:225" x14ac:dyDescent="0.2">
      <c r="BX167" t="s">
        <v>21</v>
      </c>
      <c r="BY167" s="23">
        <f>CF159/CF$157</f>
        <v>1.0671466509977521</v>
      </c>
      <c r="BZ167" s="23">
        <f>CR159/CR$157</f>
        <v>1.0157727890522283</v>
      </c>
      <c r="CA167" s="23">
        <f>DC159/DC$157</f>
        <v>1.014418917719891</v>
      </c>
      <c r="CB167" s="23">
        <f>DN159/DN$157</f>
        <v>1.0137896844705008</v>
      </c>
      <c r="CC167" s="23">
        <f>DY159/DY$157</f>
        <v>1.0036129730424035</v>
      </c>
      <c r="CD167" s="23">
        <f>EJ159/EJ$157</f>
        <v>1.0017744473622305</v>
      </c>
      <c r="CE167" s="23">
        <f>EU159/EU$157</f>
        <v>0.99468064159847136</v>
      </c>
      <c r="CF167" s="23">
        <f>FI159/FI$157</f>
        <v>0.99824281095797784</v>
      </c>
      <c r="CG167" s="23">
        <f>FW159/FW$157</f>
        <v>0.98136228507416834</v>
      </c>
      <c r="CH167">
        <f>2003</f>
        <v>2003</v>
      </c>
      <c r="CI167" s="23">
        <f>CB166</f>
        <v>1.1353104139742185</v>
      </c>
      <c r="CM167">
        <f>2003</f>
        <v>2003</v>
      </c>
      <c r="CN167">
        <f>CB167</f>
        <v>1.0137896844705008</v>
      </c>
      <c r="CS167">
        <f>2003</f>
        <v>2003</v>
      </c>
      <c r="CT167">
        <f>CB168</f>
        <v>0.97117636102040794</v>
      </c>
      <c r="CY167">
        <f>2003</f>
        <v>2003</v>
      </c>
      <c r="CZ167">
        <f>CB169</f>
        <v>0.93505053878621425</v>
      </c>
      <c r="EL167" s="2"/>
      <c r="EM167" s="2"/>
      <c r="EN167" s="2"/>
      <c r="EO167" s="2"/>
      <c r="EP167" s="2"/>
      <c r="EQ167" s="2"/>
      <c r="ER167" s="2"/>
      <c r="ES167" s="2"/>
      <c r="ET167" s="2"/>
      <c r="EW167" s="2"/>
      <c r="EX167" s="2"/>
      <c r="EY167" s="282"/>
      <c r="EZ167" s="282"/>
      <c r="FA167" s="282"/>
      <c r="FB167" s="282"/>
      <c r="FC167" s="282"/>
      <c r="FD167" s="282"/>
      <c r="FE167" s="282"/>
      <c r="FF167" s="282"/>
      <c r="FG167" s="282"/>
      <c r="FH167" s="282"/>
      <c r="FI167" s="282"/>
      <c r="FJ167" s="282"/>
      <c r="FK167" s="282"/>
      <c r="FL167" s="282"/>
      <c r="FM167" s="282"/>
      <c r="FN167" s="282"/>
      <c r="FO167" s="282"/>
      <c r="FP167" s="282"/>
      <c r="FQ167" s="282"/>
      <c r="FR167" s="282"/>
      <c r="FS167" s="282"/>
      <c r="FT167" s="282"/>
      <c r="FU167" s="282"/>
      <c r="FV167" s="282"/>
      <c r="FW167" s="282"/>
      <c r="FX167" s="282"/>
      <c r="FY167" s="282"/>
      <c r="FZ167" s="282"/>
      <c r="GA167" s="282"/>
      <c r="GB167" s="282"/>
      <c r="GC167" s="2"/>
      <c r="GM167" s="11">
        <f t="shared" ref="GM167:GV167" si="242">GM8</f>
        <v>1999</v>
      </c>
      <c r="GN167" s="2">
        <f t="shared" si="242"/>
        <v>61971.212106872452</v>
      </c>
      <c r="GO167">
        <f t="shared" si="242"/>
        <v>61463.74709764649</v>
      </c>
      <c r="GP167">
        <f t="shared" si="242"/>
        <v>11.034425235340024</v>
      </c>
      <c r="GQ167">
        <f t="shared" si="242"/>
        <v>2</v>
      </c>
      <c r="GR167">
        <f t="shared" si="242"/>
        <v>11.034425235340024</v>
      </c>
      <c r="GS167">
        <f t="shared" si="242"/>
        <v>11.026202801897044</v>
      </c>
      <c r="GT167">
        <f t="shared" si="242"/>
        <v>0</v>
      </c>
      <c r="GU167">
        <f t="shared" si="242"/>
        <v>1.8906880444231255E-3</v>
      </c>
      <c r="GV167">
        <f t="shared" si="242"/>
        <v>1.3633945380148633E-2</v>
      </c>
      <c r="HI167" s="2">
        <f t="shared" ref="HI167:HQ167" si="243">HI8</f>
        <v>0</v>
      </c>
      <c r="HJ167">
        <f t="shared" si="243"/>
        <v>1999</v>
      </c>
      <c r="HK167">
        <f t="shared" si="243"/>
        <v>5759.8137758875009</v>
      </c>
      <c r="HL167">
        <f t="shared" si="243"/>
        <v>1519.3258619064379</v>
      </c>
      <c r="HM167">
        <f t="shared" si="243"/>
        <v>1797.9806068493858</v>
      </c>
      <c r="HN167">
        <f t="shared" si="243"/>
        <v>3354.406284914096</v>
      </c>
      <c r="HO167">
        <f t="shared" si="243"/>
        <v>5659.8456081821523</v>
      </c>
      <c r="HP167">
        <f t="shared" si="243"/>
        <v>4403.1582061558338</v>
      </c>
      <c r="HQ167">
        <f t="shared" si="243"/>
        <v>2021.0920180915298</v>
      </c>
    </row>
    <row r="168" spans="75:225" x14ac:dyDescent="0.2">
      <c r="BX168" t="s">
        <v>22</v>
      </c>
      <c r="BY168" s="23">
        <f>CF160/CF$157</f>
        <v>0.93118445525891447</v>
      </c>
      <c r="BZ168" s="23">
        <f>CR160/CR$157</f>
        <v>0.97245259957697916</v>
      </c>
      <c r="CA168" s="23">
        <f>DC160/DC$157</f>
        <v>0.96772827453725085</v>
      </c>
      <c r="CB168" s="23">
        <f>DN160/DN$157</f>
        <v>0.97117636102040794</v>
      </c>
      <c r="CC168" s="23">
        <f>DY160/DY$157</f>
        <v>0.97839242138219162</v>
      </c>
      <c r="CD168" s="23">
        <f>EJ160/EJ$157</f>
        <v>0.98797780514256739</v>
      </c>
      <c r="CE168" s="23">
        <f>EU160/EU$157</f>
        <v>0.99190532840125822</v>
      </c>
      <c r="CF168" s="23">
        <f>FI160/FI$157</f>
        <v>0.99640930427178398</v>
      </c>
      <c r="CG168" s="23">
        <f>FW160/FW$157</f>
        <v>0.99853618257928711</v>
      </c>
      <c r="CH168">
        <f>2005</f>
        <v>2005</v>
      </c>
      <c r="CI168" s="23">
        <f>CC166</f>
        <v>1.1215023460933342</v>
      </c>
      <c r="CM168">
        <f>2005</f>
        <v>2005</v>
      </c>
      <c r="CN168">
        <f>CC167</f>
        <v>1.0036129730424035</v>
      </c>
      <c r="CS168">
        <f>2005</f>
        <v>2005</v>
      </c>
      <c r="CT168">
        <f>CC168</f>
        <v>0.97839242138219162</v>
      </c>
      <c r="CY168">
        <f>2005</f>
        <v>2005</v>
      </c>
      <c r="CZ168">
        <f>CC169</f>
        <v>0.94566923596356411</v>
      </c>
      <c r="EL168" s="2"/>
      <c r="EM168" s="2"/>
      <c r="EN168" s="2"/>
      <c r="EO168" s="2"/>
      <c r="EP168" s="2"/>
      <c r="EQ168" s="2"/>
      <c r="ER168" s="2"/>
      <c r="ES168" s="2"/>
      <c r="ET168" s="2"/>
      <c r="EW168" s="2"/>
      <c r="EX168" s="2"/>
      <c r="EY168" s="282"/>
      <c r="EZ168" s="282"/>
      <c r="FA168" s="282"/>
      <c r="FB168" s="282"/>
      <c r="FC168" s="282"/>
      <c r="FD168" s="282"/>
      <c r="FE168" s="282"/>
      <c r="FF168" s="282"/>
      <c r="FG168" s="282"/>
      <c r="FH168" s="282"/>
      <c r="FI168" s="282"/>
      <c r="FJ168" s="282"/>
      <c r="FK168" s="282"/>
      <c r="FL168" s="282"/>
      <c r="FM168" s="282"/>
      <c r="FN168" s="282"/>
      <c r="FO168" s="282"/>
      <c r="FP168" s="282"/>
      <c r="FQ168" s="282"/>
      <c r="FR168" s="282"/>
      <c r="FS168" s="282"/>
      <c r="FT168" s="282"/>
      <c r="FU168" s="282"/>
      <c r="FV168" s="282"/>
      <c r="FW168" s="282"/>
      <c r="FX168" s="282"/>
      <c r="FY168" s="282"/>
      <c r="FZ168" s="282"/>
      <c r="GA168" s="282"/>
      <c r="GB168" s="282"/>
      <c r="GC168" s="2"/>
      <c r="GM168" s="11">
        <f t="shared" ref="GM168:GV168" si="244">GM9</f>
        <v>2001</v>
      </c>
      <c r="GN168" s="2">
        <f t="shared" si="244"/>
        <v>62705.599396981546</v>
      </c>
      <c r="GO168">
        <f t="shared" si="244"/>
        <v>60732.456969175495</v>
      </c>
      <c r="GP168">
        <f t="shared" si="244"/>
        <v>11.046206027210653</v>
      </c>
      <c r="GQ168">
        <f t="shared" si="244"/>
        <v>4</v>
      </c>
      <c r="GR168">
        <f t="shared" si="244"/>
        <v>11.046206027210653</v>
      </c>
      <c r="GS168">
        <f t="shared" si="244"/>
        <v>11.014233545329555</v>
      </c>
      <c r="GT168">
        <f t="shared" si="244"/>
        <v>0</v>
      </c>
      <c r="GU168">
        <f t="shared" si="244"/>
        <v>0.66709358540264352</v>
      </c>
      <c r="GV168">
        <f t="shared" si="244"/>
        <v>2.0009161489386529E-2</v>
      </c>
      <c r="HI168" s="2">
        <f t="shared" ref="HI168:HQ168" si="245">HI9</f>
        <v>0</v>
      </c>
      <c r="HJ168">
        <f t="shared" si="245"/>
        <v>2001</v>
      </c>
      <c r="HK168">
        <f t="shared" si="245"/>
        <v>5375.390605161022</v>
      </c>
      <c r="HL168">
        <f t="shared" si="245"/>
        <v>1425.8982580970769</v>
      </c>
      <c r="HM168">
        <f t="shared" si="245"/>
        <v>1864.9057159787992</v>
      </c>
      <c r="HN168">
        <f t="shared" si="245"/>
        <v>3456.4629761369074</v>
      </c>
      <c r="HO168">
        <f t="shared" si="245"/>
        <v>5550.1231868986506</v>
      </c>
      <c r="HP168">
        <f t="shared" si="245"/>
        <v>4365.8980092340289</v>
      </c>
      <c r="HQ168">
        <f t="shared" si="245"/>
        <v>2190.3728615456898</v>
      </c>
    </row>
    <row r="169" spans="75:225" x14ac:dyDescent="0.2">
      <c r="BX169" t="s">
        <v>23</v>
      </c>
      <c r="BY169" s="23">
        <f>CF161/CF$157</f>
        <v>0.92858960914516253</v>
      </c>
      <c r="BZ169" s="23">
        <f>CR161/CR$157</f>
        <v>0.92806445946845162</v>
      </c>
      <c r="CA169" s="23">
        <f>DC161/DC$157</f>
        <v>0.93333585362789573</v>
      </c>
      <c r="CB169" s="23">
        <f>DN161/DN$157</f>
        <v>0.93505053878621425</v>
      </c>
      <c r="CC169" s="23">
        <f>DY161/DY$157</f>
        <v>0.94566923596356411</v>
      </c>
      <c r="CD169" s="23">
        <f>EJ161/EJ$157</f>
        <v>0.9534368547764317</v>
      </c>
      <c r="CE169" s="23">
        <f>EU161/EU$157</f>
        <v>0.96262996583916038</v>
      </c>
      <c r="CF169" s="23">
        <f>FI161/FI$157</f>
        <v>0.95424139217469239</v>
      </c>
      <c r="CG169" s="23">
        <f>FW161/FW$157</f>
        <v>0.97288694646587082</v>
      </c>
      <c r="CH169">
        <f>2007</f>
        <v>2007</v>
      </c>
      <c r="CI169" s="23">
        <f>CD166</f>
        <v>1.092282913841194</v>
      </c>
      <c r="CM169">
        <f>2007</f>
        <v>2007</v>
      </c>
      <c r="CN169">
        <f>CD167</f>
        <v>1.0017744473622305</v>
      </c>
      <c r="CS169">
        <f>2007</f>
        <v>2007</v>
      </c>
      <c r="CT169">
        <f>CD168</f>
        <v>0.98797780514256739</v>
      </c>
      <c r="CY169">
        <f>2007</f>
        <v>2007</v>
      </c>
      <c r="CZ169">
        <f>CD169</f>
        <v>0.9534368547764317</v>
      </c>
      <c r="EL169" s="2"/>
      <c r="EM169" s="2"/>
      <c r="EN169" s="2"/>
      <c r="EO169" s="2"/>
      <c r="EP169" s="2"/>
      <c r="EQ169" s="2"/>
      <c r="ER169" s="2"/>
      <c r="ES169" s="2"/>
      <c r="ET169" s="2"/>
      <c r="EW169" s="2"/>
      <c r="EX169" s="2"/>
      <c r="EY169" s="282"/>
      <c r="EZ169" s="282"/>
      <c r="FA169" s="282"/>
      <c r="FB169" s="282"/>
      <c r="FC169" s="282"/>
      <c r="FD169" s="282"/>
      <c r="FE169" s="282"/>
      <c r="FF169" s="282"/>
      <c r="FG169" s="282"/>
      <c r="FH169" s="282"/>
      <c r="FI169" s="282"/>
      <c r="FJ169" s="282"/>
      <c r="FK169" s="282"/>
      <c r="FL169" s="282"/>
      <c r="FM169" s="282"/>
      <c r="FN169" s="282"/>
      <c r="FO169" s="282"/>
      <c r="FP169" s="282"/>
      <c r="FQ169" s="282"/>
      <c r="FR169" s="282"/>
      <c r="FS169" s="282"/>
      <c r="FT169" s="282"/>
      <c r="FU169" s="282"/>
      <c r="FV169" s="282"/>
      <c r="FW169" s="282"/>
      <c r="FX169" s="282"/>
      <c r="FY169" s="282"/>
      <c r="FZ169" s="282"/>
      <c r="GA169" s="282"/>
      <c r="GB169" s="282"/>
      <c r="GC169" s="2"/>
      <c r="GD169">
        <v>1989</v>
      </c>
      <c r="GM169" s="11">
        <f t="shared" ref="GM169:GV169" si="246">GM10</f>
        <v>2003</v>
      </c>
      <c r="GN169" s="2">
        <f t="shared" si="246"/>
        <v>60317.189866634901</v>
      </c>
      <c r="GO169">
        <f t="shared" si="246"/>
        <v>60009.867664804202</v>
      </c>
      <c r="GP169">
        <f t="shared" si="246"/>
        <v>11.00737241450503</v>
      </c>
      <c r="GQ169">
        <f t="shared" si="246"/>
        <v>6</v>
      </c>
      <c r="GR169">
        <f t="shared" si="246"/>
        <v>11.00737241450503</v>
      </c>
      <c r="GS169">
        <f t="shared" si="246"/>
        <v>11.002264288762067</v>
      </c>
      <c r="GT169">
        <f t="shared" si="246"/>
        <v>0</v>
      </c>
      <c r="GU169">
        <f t="shared" si="246"/>
        <v>10.019235979719404</v>
      </c>
      <c r="GV169">
        <f t="shared" si="246"/>
        <v>5</v>
      </c>
      <c r="HI169" s="2">
        <f t="shared" ref="HI169:HQ169" si="247">HI10</f>
        <v>0</v>
      </c>
      <c r="HJ169">
        <f t="shared" si="247"/>
        <v>2003</v>
      </c>
      <c r="HK169">
        <f t="shared" si="247"/>
        <v>5276.4647022923127</v>
      </c>
      <c r="HL169">
        <f t="shared" si="247"/>
        <v>1488.6365867656564</v>
      </c>
      <c r="HM169">
        <f t="shared" si="247"/>
        <v>1835.6991250426263</v>
      </c>
      <c r="HN169">
        <f t="shared" si="247"/>
        <v>3395.9185405301937</v>
      </c>
      <c r="HO169">
        <f t="shared" si="247"/>
        <v>5764.2317060886726</v>
      </c>
      <c r="HP169">
        <f t="shared" si="247"/>
        <v>4240.079522319802</v>
      </c>
      <c r="HQ169">
        <f t="shared" si="247"/>
        <v>2141.4730289361109</v>
      </c>
    </row>
    <row r="170" spans="75:225" x14ac:dyDescent="0.2">
      <c r="CH170">
        <v>2009</v>
      </c>
      <c r="CI170" s="23">
        <f>CE166</f>
        <v>1.0827500406563184</v>
      </c>
      <c r="CM170">
        <v>2009</v>
      </c>
      <c r="CN170">
        <f>CE167</f>
        <v>0.99468064159847136</v>
      </c>
      <c r="CS170">
        <v>2009</v>
      </c>
      <c r="CT170">
        <f>CE168</f>
        <v>0.99190532840125822</v>
      </c>
      <c r="CY170">
        <v>2009</v>
      </c>
      <c r="CZ170">
        <f>CE169</f>
        <v>0.96262996583916038</v>
      </c>
      <c r="EL170" s="2"/>
      <c r="EM170" s="2"/>
      <c r="EN170" s="2"/>
      <c r="EO170" s="2"/>
      <c r="EP170" s="2"/>
      <c r="EQ170" s="2"/>
      <c r="ER170" s="2"/>
      <c r="ES170" s="2"/>
      <c r="ET170" s="2"/>
      <c r="EW170" s="2"/>
      <c r="EX170" s="2"/>
      <c r="EY170" s="282"/>
      <c r="EZ170" s="282"/>
      <c r="FA170" s="282"/>
      <c r="FB170" s="282"/>
      <c r="FC170" s="282"/>
      <c r="FD170" s="282"/>
      <c r="FE170" s="282"/>
      <c r="FF170" s="282"/>
      <c r="FG170" s="282"/>
      <c r="FH170" s="282"/>
      <c r="FI170" s="282"/>
      <c r="FJ170" s="282"/>
      <c r="FK170" s="282"/>
      <c r="FL170" s="282"/>
      <c r="FM170" s="282"/>
      <c r="FN170" s="282"/>
      <c r="FO170" s="282"/>
      <c r="FP170" s="282"/>
      <c r="FQ170" s="282"/>
      <c r="FR170" s="282"/>
      <c r="FS170" s="282"/>
      <c r="FT170" s="282"/>
      <c r="FU170" s="282"/>
      <c r="FV170" s="282"/>
      <c r="FW170" s="282"/>
      <c r="FX170" s="282"/>
      <c r="FY170" s="282"/>
      <c r="FZ170" s="282"/>
      <c r="GA170" s="282"/>
      <c r="GB170" s="282"/>
      <c r="GC170" s="2"/>
      <c r="GD170">
        <v>1991</v>
      </c>
      <c r="GM170" s="11">
        <f t="shared" ref="GM170:GV170" si="248">GM11</f>
        <v>2005</v>
      </c>
      <c r="GN170" s="2">
        <f t="shared" si="248"/>
        <v>58759.734126215066</v>
      </c>
      <c r="GO170">
        <f t="shared" si="248"/>
        <v>59295.875662910745</v>
      </c>
      <c r="GP170">
        <f t="shared" si="248"/>
        <v>10.981212105536512</v>
      </c>
      <c r="GQ170">
        <f t="shared" si="248"/>
        <v>8</v>
      </c>
      <c r="GR170">
        <f t="shared" si="248"/>
        <v>10.981212105536512</v>
      </c>
      <c r="GS170">
        <f t="shared" si="248"/>
        <v>10.990295032194577</v>
      </c>
      <c r="GT170">
        <f t="shared" si="248"/>
        <v>0</v>
      </c>
      <c r="GU170">
        <f t="shared" si="248"/>
        <v>4.0113668777947437E-3</v>
      </c>
      <c r="GV170">
        <f t="shared" si="248"/>
        <v>2.0018327175417446E-3</v>
      </c>
      <c r="HI170" s="2">
        <f t="shared" ref="HI170:HQ170" si="249">HI11</f>
        <v>0</v>
      </c>
      <c r="HJ170">
        <f t="shared" si="249"/>
        <v>2005</v>
      </c>
      <c r="HK170">
        <f t="shared" si="249"/>
        <v>5065.0294565757385</v>
      </c>
      <c r="HL170">
        <f t="shared" si="249"/>
        <v>1351.922489436731</v>
      </c>
      <c r="HM170">
        <f t="shared" si="249"/>
        <v>1699.1314204534201</v>
      </c>
      <c r="HN170">
        <f t="shared" si="249"/>
        <v>3333.8246088830811</v>
      </c>
      <c r="HO170">
        <f t="shared" si="249"/>
        <v>5719.1453379776058</v>
      </c>
      <c r="HP170">
        <f t="shared" si="249"/>
        <v>4157.0756379380637</v>
      </c>
      <c r="HQ170">
        <f t="shared" si="249"/>
        <v>2159.2279051778996</v>
      </c>
    </row>
    <row r="171" spans="75:225" s="341" customFormat="1" x14ac:dyDescent="0.2">
      <c r="CH171" s="341">
        <v>2011</v>
      </c>
      <c r="CI171" s="23">
        <f>CF166</f>
        <v>1.0757016079371986</v>
      </c>
      <c r="CM171" s="341">
        <v>2011</v>
      </c>
      <c r="CN171" s="341">
        <f>CF167</f>
        <v>0.99824281095797784</v>
      </c>
      <c r="CS171" s="341">
        <v>2011</v>
      </c>
      <c r="CT171" s="341">
        <f>CF168</f>
        <v>0.99640930427178398</v>
      </c>
      <c r="CY171" s="341">
        <v>2011</v>
      </c>
      <c r="CZ171" s="341">
        <f>CF169</f>
        <v>0.95424139217469239</v>
      </c>
      <c r="EL171" s="344"/>
      <c r="EM171" s="344"/>
      <c r="EN171" s="344"/>
      <c r="EO171" s="344"/>
      <c r="EP171" s="344"/>
      <c r="EQ171" s="344"/>
      <c r="ER171" s="344"/>
      <c r="ES171" s="344"/>
      <c r="ET171" s="344"/>
      <c r="EW171" s="344"/>
      <c r="EX171" s="344"/>
      <c r="EY171" s="344"/>
      <c r="EZ171" s="344"/>
      <c r="FA171" s="344"/>
      <c r="FB171" s="344"/>
      <c r="FC171" s="344"/>
      <c r="FD171" s="344"/>
      <c r="FE171" s="344"/>
      <c r="FF171" s="344"/>
      <c r="FG171" s="344"/>
      <c r="FH171" s="344"/>
      <c r="FI171" s="344"/>
      <c r="FJ171" s="344"/>
      <c r="FK171" s="344"/>
      <c r="FL171" s="344"/>
      <c r="FM171" s="344"/>
      <c r="FN171" s="344"/>
      <c r="FO171" s="344"/>
      <c r="FP171" s="344"/>
      <c r="FQ171" s="344"/>
      <c r="FR171" s="344"/>
      <c r="FS171" s="344"/>
      <c r="FT171" s="344"/>
      <c r="FU171" s="344"/>
      <c r="FV171" s="344"/>
      <c r="FW171" s="344"/>
      <c r="FX171" s="344"/>
      <c r="FY171" s="344"/>
      <c r="FZ171" s="344"/>
      <c r="GA171" s="344"/>
      <c r="GB171" s="344"/>
      <c r="GC171" s="344"/>
      <c r="GD171">
        <v>1993</v>
      </c>
      <c r="GE171"/>
      <c r="GF171"/>
      <c r="GG171"/>
      <c r="GH171"/>
      <c r="GI171"/>
      <c r="GJ171"/>
      <c r="GK171"/>
      <c r="GM171" s="11"/>
      <c r="GN171" s="344"/>
      <c r="HI171" s="344"/>
    </row>
    <row r="172" spans="75:225" s="341" customFormat="1" x14ac:dyDescent="0.2">
      <c r="CH172" s="341">
        <v>2013</v>
      </c>
      <c r="CI172" s="23">
        <f>CG166</f>
        <v>1.0716511180550967</v>
      </c>
      <c r="CM172" s="341">
        <v>2013</v>
      </c>
      <c r="CN172" s="341">
        <f>CG167</f>
        <v>0.98136228507416834</v>
      </c>
      <c r="CS172" s="341">
        <v>2012</v>
      </c>
      <c r="CT172" s="341">
        <f>CG168</f>
        <v>0.99853618257928711</v>
      </c>
      <c r="CY172" s="341">
        <v>2013</v>
      </c>
      <c r="CZ172" s="341">
        <f>CG169</f>
        <v>0.97288694646587082</v>
      </c>
      <c r="EL172" s="344"/>
      <c r="EM172" s="344"/>
      <c r="EN172" s="344"/>
      <c r="EO172" s="344"/>
      <c r="EP172" s="344"/>
      <c r="EQ172" s="344"/>
      <c r="ER172" s="344"/>
      <c r="ES172" s="344"/>
      <c r="ET172" s="344"/>
      <c r="EW172" s="344"/>
      <c r="EX172" s="344"/>
      <c r="EY172" s="344"/>
      <c r="EZ172" s="344"/>
      <c r="FA172" s="344"/>
      <c r="FB172" s="344"/>
      <c r="FC172" s="344"/>
      <c r="FD172" s="344"/>
      <c r="FE172" s="344"/>
      <c r="FF172" s="344"/>
      <c r="FG172" s="344"/>
      <c r="FH172" s="344"/>
      <c r="FI172" s="344"/>
      <c r="FJ172" s="344"/>
      <c r="FK172" s="344"/>
      <c r="FL172" s="344"/>
      <c r="FM172" s="344"/>
      <c r="FN172" s="344"/>
      <c r="FO172" s="344"/>
      <c r="FP172" s="344"/>
      <c r="FQ172" s="344"/>
      <c r="FR172" s="344"/>
      <c r="FS172" s="344"/>
      <c r="FT172" s="344"/>
      <c r="FU172" s="344"/>
      <c r="FV172" s="344"/>
      <c r="FW172" s="344"/>
      <c r="FX172" s="344"/>
      <c r="FY172" s="344"/>
      <c r="FZ172" s="344"/>
      <c r="GA172" s="344"/>
      <c r="GB172" s="344"/>
      <c r="GC172" s="344"/>
      <c r="GD172">
        <v>1995</v>
      </c>
      <c r="GE172"/>
      <c r="GF172"/>
      <c r="GG172"/>
      <c r="GH172"/>
      <c r="GI172"/>
      <c r="GJ172"/>
      <c r="GK172"/>
      <c r="GM172" s="11"/>
      <c r="GN172" s="344"/>
      <c r="HI172" s="344"/>
    </row>
    <row r="173" spans="75:225" x14ac:dyDescent="0.2">
      <c r="CH173" t="s">
        <v>752</v>
      </c>
      <c r="EL173" s="2"/>
      <c r="EM173" s="2"/>
      <c r="EN173" s="2"/>
      <c r="EO173" s="2"/>
      <c r="EP173" s="2"/>
      <c r="EQ173" s="2"/>
      <c r="ER173" s="2"/>
      <c r="ES173" s="2"/>
      <c r="ET173" s="2"/>
      <c r="EW173" s="2"/>
      <c r="EX173" s="2"/>
      <c r="EY173" s="282"/>
      <c r="EZ173" s="282"/>
      <c r="FA173" s="282"/>
      <c r="FB173" s="282"/>
      <c r="FC173" s="282"/>
      <c r="FD173" s="282"/>
      <c r="FE173" s="282"/>
      <c r="FF173" s="282"/>
      <c r="FG173" s="282"/>
      <c r="FH173" s="282"/>
      <c r="FI173" s="282"/>
      <c r="FJ173" s="282"/>
      <c r="FK173" s="282"/>
      <c r="FL173" s="282"/>
      <c r="FM173" s="282"/>
      <c r="FN173" s="282"/>
      <c r="FO173" s="282"/>
      <c r="FP173" s="282"/>
      <c r="FQ173" s="282"/>
      <c r="FR173" s="282"/>
      <c r="FS173" s="282"/>
      <c r="FT173" s="282"/>
      <c r="FU173" s="282"/>
      <c r="FV173" s="282"/>
      <c r="FW173" s="282"/>
      <c r="FX173" s="282"/>
      <c r="FY173" s="282"/>
      <c r="FZ173" s="282"/>
      <c r="GA173" s="282"/>
      <c r="GB173" s="282"/>
      <c r="GC173" s="2"/>
      <c r="GD173" s="341"/>
      <c r="GE173" s="341"/>
      <c r="GF173" s="341"/>
      <c r="GG173" s="341"/>
      <c r="GH173" s="341"/>
      <c r="GI173" s="341"/>
      <c r="GJ173" s="341"/>
      <c r="GK173" s="341"/>
      <c r="GM173" s="11">
        <f t="shared" ref="GM173:GV173" si="250">GM12</f>
        <v>2007</v>
      </c>
      <c r="GN173" s="2">
        <f t="shared" si="250"/>
        <v>57901.135662923407</v>
      </c>
      <c r="GO173">
        <f t="shared" si="250"/>
        <v>58590.378673564468</v>
      </c>
      <c r="GP173">
        <f t="shared" si="250"/>
        <v>10.966492277581571</v>
      </c>
      <c r="GQ173">
        <f t="shared" si="250"/>
        <v>10</v>
      </c>
      <c r="GR173">
        <f t="shared" si="250"/>
        <v>10.966492277581571</v>
      </c>
      <c r="GS173">
        <f t="shared" si="250"/>
        <v>10.978325775627088</v>
      </c>
      <c r="GT173">
        <f t="shared" si="250"/>
        <v>0</v>
      </c>
      <c r="GU173" t="e">
        <f t="shared" si="250"/>
        <v>#N/A</v>
      </c>
      <c r="GV173" t="e">
        <f t="shared" si="250"/>
        <v>#N/A</v>
      </c>
      <c r="HI173" s="2">
        <f t="shared" ref="HI173:HQ173" si="251">HI12</f>
        <v>0</v>
      </c>
      <c r="HJ173">
        <f t="shared" si="251"/>
        <v>2007</v>
      </c>
      <c r="HK173">
        <f t="shared" si="251"/>
        <v>5135.8761804665846</v>
      </c>
      <c r="HL173">
        <f t="shared" si="251"/>
        <v>1352.8438240596797</v>
      </c>
      <c r="HM173">
        <f t="shared" si="251"/>
        <v>1652.183367812502</v>
      </c>
      <c r="HN173">
        <f t="shared" si="251"/>
        <v>3453.8515442937687</v>
      </c>
      <c r="HO173">
        <f t="shared" si="251"/>
        <v>5890.5215294910695</v>
      </c>
      <c r="HP173">
        <f t="shared" si="251"/>
        <v>4017.0437280411384</v>
      </c>
      <c r="HQ173">
        <f t="shared" si="251"/>
        <v>2099.5647129915405</v>
      </c>
    </row>
    <row r="174" spans="75:225" x14ac:dyDescent="0.2">
      <c r="CH174" s="428">
        <f t="array" ref="CH174:CI179">LINEST(CI165:CI172,CH165:CH172,TRUE,TRUE)</f>
        <v>-5.8799274823674464E-3</v>
      </c>
      <c r="CI174" s="428">
        <v>12.902740444541017</v>
      </c>
      <c r="CM174" s="428">
        <f t="array" ref="CM174:CN179">LINEST(CN165:CN170,CM165:CM170,TRUE,TRUE)</f>
        <v>-2.1938694252837659E-3</v>
      </c>
      <c r="CN174" s="428">
        <v>5.403855903809621</v>
      </c>
      <c r="CS174" s="428">
        <f t="array" ref="CS174:CT179">LINEST(CT165:CT172,CS165:CS172,TRUE,TRUE)</f>
        <v>2.4684333664337465E-3</v>
      </c>
      <c r="CT174" s="428">
        <v>-3.9682964942813252</v>
      </c>
      <c r="CY174" s="428">
        <f t="array" ref="CY174:CZ179">LINEST(CZ165:CZ172,CY165:CY172,TRUE,TRUE)</f>
        <v>3.0285178671882363E-3</v>
      </c>
      <c r="CZ174" s="428">
        <v>-5.1270424356918172</v>
      </c>
      <c r="EL174" s="2"/>
      <c r="EM174" s="2"/>
      <c r="EN174" s="2"/>
      <c r="EO174" s="2"/>
      <c r="EP174" s="2"/>
      <c r="EQ174" s="2"/>
      <c r="ER174" s="2"/>
      <c r="ES174" s="2"/>
      <c r="ET174" s="2"/>
      <c r="EW174" s="2"/>
      <c r="EX174" s="2"/>
      <c r="EY174" s="282"/>
      <c r="EZ174" s="282"/>
      <c r="FA174" s="282"/>
      <c r="FB174" s="282"/>
      <c r="FC174" s="282"/>
      <c r="FD174" s="282"/>
      <c r="FE174" s="282"/>
      <c r="FF174" s="282"/>
      <c r="FG174" s="282"/>
      <c r="FH174" s="282"/>
      <c r="FI174" s="282"/>
      <c r="FJ174" s="282"/>
      <c r="FK174" s="282"/>
      <c r="FL174" s="282"/>
      <c r="FM174" s="282"/>
      <c r="FN174" s="282"/>
      <c r="FO174" s="282"/>
      <c r="FP174" s="282"/>
      <c r="FQ174" s="282"/>
      <c r="FR174" s="282"/>
      <c r="FS174" s="282"/>
      <c r="FT174" s="282"/>
      <c r="FU174" s="282"/>
      <c r="FV174" s="282"/>
      <c r="FW174" s="282"/>
      <c r="FX174" s="282"/>
      <c r="FY174" s="282"/>
      <c r="FZ174" s="282"/>
      <c r="GA174" s="282"/>
      <c r="GB174" s="282"/>
      <c r="GC174" s="2"/>
      <c r="GD174" s="341"/>
      <c r="GE174" s="341"/>
      <c r="GF174" s="341"/>
      <c r="GG174" s="341"/>
      <c r="GH174" s="341"/>
      <c r="GI174" s="341"/>
      <c r="GJ174" s="341"/>
      <c r="GK174" s="341"/>
      <c r="GM174" s="11">
        <f t="shared" ref="GM174:GV174" si="252">GM13</f>
        <v>2009</v>
      </c>
      <c r="GN174" s="2">
        <f t="shared" si="252"/>
        <v>57970.589855294129</v>
      </c>
      <c r="GO174">
        <f t="shared" si="252"/>
        <v>57893.275623871035</v>
      </c>
      <c r="GP174">
        <f t="shared" si="252"/>
        <v>10.967691089463901</v>
      </c>
      <c r="GQ174">
        <f t="shared" si="252"/>
        <v>12</v>
      </c>
      <c r="GR174">
        <f t="shared" si="252"/>
        <v>10.967691089463901</v>
      </c>
      <c r="GS174">
        <f t="shared" si="252"/>
        <v>10.966356519059598</v>
      </c>
      <c r="GT174">
        <f t="shared" si="252"/>
        <v>0</v>
      </c>
      <c r="GU174">
        <f t="shared" si="252"/>
        <v>0</v>
      </c>
      <c r="GV174">
        <f t="shared" si="252"/>
        <v>0</v>
      </c>
      <c r="HI174" s="2">
        <f t="shared" ref="HI174:HQ174" si="253">HI13</f>
        <v>0</v>
      </c>
      <c r="HJ174">
        <f t="shared" si="253"/>
        <v>2009</v>
      </c>
      <c r="HK174">
        <f t="shared" si="253"/>
        <v>4762.2398021134541</v>
      </c>
      <c r="HL174">
        <f t="shared" si="253"/>
        <v>1285.1783581023469</v>
      </c>
      <c r="HM174">
        <f t="shared" si="253"/>
        <v>1679.7863224350169</v>
      </c>
      <c r="HN174">
        <f t="shared" si="253"/>
        <v>3232.2716333262219</v>
      </c>
      <c r="HO174">
        <f t="shared" si="253"/>
        <v>5620.0929300840835</v>
      </c>
      <c r="HP174">
        <f t="shared" si="253"/>
        <v>4024.5158034563065</v>
      </c>
      <c r="HQ174">
        <f t="shared" si="253"/>
        <v>2109.8537334612402</v>
      </c>
    </row>
    <row r="175" spans="75:225" x14ac:dyDescent="0.2">
      <c r="CH175" s="428">
        <v>7.4674040332050576E-4</v>
      </c>
      <c r="CI175" s="428">
        <v>1.4979651577169693</v>
      </c>
      <c r="CM175" s="428">
        <v>3.3291177263522189E-4</v>
      </c>
      <c r="CN175" s="428">
        <v>0.66715616141484191</v>
      </c>
      <c r="CS175" s="428">
        <v>3.0606256546515843E-4</v>
      </c>
      <c r="CT175" s="428">
        <v>0.6139247254570831</v>
      </c>
      <c r="CY175" s="428">
        <v>3.8109526416735864E-4</v>
      </c>
      <c r="CZ175" s="428">
        <v>0.76447909468295827</v>
      </c>
      <c r="GB175" s="282"/>
      <c r="GC175" s="2"/>
      <c r="GD175" s="11">
        <f t="shared" ref="GD175:GK175" si="254">GD7</f>
        <v>1997</v>
      </c>
      <c r="GE175" s="2">
        <f t="shared" si="254"/>
        <v>13238.675573965274</v>
      </c>
      <c r="GF175" s="2">
        <f t="shared" si="254"/>
        <v>5697.0200151893705</v>
      </c>
      <c r="GG175" s="2">
        <f t="shared" si="254"/>
        <v>10383.325308685691</v>
      </c>
      <c r="GH175" s="2">
        <f t="shared" si="254"/>
        <v>10044.144882481836</v>
      </c>
      <c r="GI175" s="2">
        <f t="shared" si="254"/>
        <v>12384.14874034989</v>
      </c>
      <c r="GJ175" s="2">
        <f t="shared" si="254"/>
        <v>8876.9727430982784</v>
      </c>
      <c r="GK175" s="2">
        <f t="shared" si="254"/>
        <v>7327.0950881031804</v>
      </c>
      <c r="GM175">
        <f t="shared" ref="GM175:GV175" si="255">GM14</f>
        <v>2011</v>
      </c>
      <c r="GN175" s="2">
        <f t="shared" si="255"/>
        <v>59095.401890055677</v>
      </c>
      <c r="GO175">
        <f t="shared" si="255"/>
        <v>57204.466643492284</v>
      </c>
      <c r="GP175">
        <f t="shared" si="255"/>
        <v>10.986908398168723</v>
      </c>
      <c r="GQ175">
        <f t="shared" si="255"/>
        <v>14</v>
      </c>
      <c r="GR175">
        <f t="shared" si="255"/>
        <v>10.986908398168723</v>
      </c>
      <c r="GS175">
        <f t="shared" si="255"/>
        <v>10.954387262492109</v>
      </c>
      <c r="GT175">
        <f t="shared" si="255"/>
        <v>0</v>
      </c>
      <c r="GU175">
        <f t="shared" si="255"/>
        <v>0</v>
      </c>
      <c r="GV175">
        <f t="shared" si="255"/>
        <v>0</v>
      </c>
      <c r="HI175" s="2">
        <f>HI14</f>
        <v>0</v>
      </c>
      <c r="HJ175" t="str">
        <f t="shared" ref="HJ175:HQ175" si="256">HJ16</f>
        <v>2009/1999</v>
      </c>
      <c r="HK175">
        <f t="shared" si="256"/>
        <v>0.82680447448661898</v>
      </c>
      <c r="HL175">
        <f t="shared" si="256"/>
        <v>0.84588723875845528</v>
      </c>
      <c r="HM175">
        <f t="shared" si="256"/>
        <v>0.93426275902859623</v>
      </c>
      <c r="HN175">
        <f t="shared" si="256"/>
        <v>0.9635897857283553</v>
      </c>
      <c r="HO175">
        <f t="shared" si="256"/>
        <v>0.9929763670513202</v>
      </c>
      <c r="HP175">
        <f t="shared" si="256"/>
        <v>0.91400663229175672</v>
      </c>
      <c r="HQ175">
        <f t="shared" si="256"/>
        <v>1.0439177012106189</v>
      </c>
    </row>
    <row r="176" spans="75:225" x14ac:dyDescent="0.2">
      <c r="CH176" s="428">
        <v>0.91176710480417844</v>
      </c>
      <c r="CI176" s="428">
        <v>9.6788618458894023E-3</v>
      </c>
      <c r="CM176" s="428">
        <v>0.91566046366952047</v>
      </c>
      <c r="CN176" s="428">
        <v>2.7853397252649089E-3</v>
      </c>
      <c r="CS176" s="428">
        <v>0.91554799258935859</v>
      </c>
      <c r="CT176" s="428">
        <v>3.8089114297939959E-3</v>
      </c>
      <c r="CY176" s="428">
        <v>0.913235720631557</v>
      </c>
      <c r="CZ176" s="428">
        <v>4.9395591769197918E-3</v>
      </c>
      <c r="EK176" s="1"/>
      <c r="EV176" s="1"/>
      <c r="GB176" s="282"/>
      <c r="GC176" s="2"/>
      <c r="GD176" s="11"/>
      <c r="GE176" s="2"/>
      <c r="GF176" s="2"/>
      <c r="GG176" s="2"/>
      <c r="GH176" s="2"/>
      <c r="GI176" s="2"/>
      <c r="GJ176" s="2"/>
      <c r="GK176" s="2"/>
    </row>
    <row r="177" spans="85:193" x14ac:dyDescent="0.2">
      <c r="CH177" s="428">
        <v>62.001848819352176</v>
      </c>
      <c r="CI177" s="428">
        <v>6</v>
      </c>
      <c r="CM177" s="428">
        <v>43.427341600815041</v>
      </c>
      <c r="CN177" s="428">
        <v>4</v>
      </c>
      <c r="CS177" s="428">
        <v>65.046268572699063</v>
      </c>
      <c r="CT177" s="428">
        <v>6</v>
      </c>
      <c r="CY177" s="428">
        <v>63.152882311407261</v>
      </c>
      <c r="CZ177" s="428">
        <v>6</v>
      </c>
      <c r="EL177" s="2"/>
      <c r="EM177" s="2"/>
      <c r="EN177" s="2"/>
      <c r="EO177" s="2"/>
      <c r="EP177" s="2"/>
      <c r="EQ177" s="2"/>
      <c r="ER177" s="2"/>
      <c r="ES177" s="2"/>
      <c r="ET177" s="2"/>
      <c r="EW177" s="2"/>
      <c r="EX177" s="2"/>
      <c r="EY177" s="282"/>
      <c r="EZ177" s="282"/>
      <c r="FA177" s="282"/>
      <c r="FB177" s="282"/>
      <c r="FC177" s="282"/>
      <c r="FD177" s="282"/>
      <c r="FE177" s="282"/>
      <c r="FF177" s="282"/>
      <c r="FG177" s="282"/>
      <c r="FH177" s="282"/>
      <c r="FI177" s="282"/>
      <c r="FJ177" s="282"/>
      <c r="FK177" s="282"/>
      <c r="FL177" s="282"/>
      <c r="FM177" s="282"/>
      <c r="FN177" s="282"/>
      <c r="FO177" s="282"/>
      <c r="FP177" s="282"/>
      <c r="FQ177" s="282"/>
      <c r="FR177" s="282"/>
      <c r="FS177" s="282"/>
      <c r="FT177" s="282"/>
      <c r="FU177" s="282"/>
      <c r="FV177" s="282"/>
      <c r="FW177" s="282"/>
      <c r="FX177" s="282"/>
      <c r="FY177" s="282"/>
      <c r="FZ177" s="282"/>
      <c r="GA177" s="282"/>
      <c r="GB177" s="282"/>
      <c r="GC177" s="2"/>
      <c r="GD177" s="11">
        <f t="shared" ref="GD177:GK182" si="257">GD8</f>
        <v>1999</v>
      </c>
      <c r="GE177" s="2">
        <f t="shared" si="257"/>
        <v>13731.725805588263</v>
      </c>
      <c r="GF177" s="2">
        <f t="shared" si="257"/>
        <v>5890.630524605147</v>
      </c>
      <c r="GG177" s="2">
        <f t="shared" si="257"/>
        <v>10393.762094314892</v>
      </c>
      <c r="GH177" s="2">
        <f t="shared" si="257"/>
        <v>10272.317825172686</v>
      </c>
      <c r="GI177" s="2">
        <f t="shared" si="257"/>
        <v>12848.628085373453</v>
      </c>
      <c r="GJ177" s="2">
        <f t="shared" si="257"/>
        <v>8834.1477718180067</v>
      </c>
      <c r="GK177" s="2">
        <f t="shared" si="257"/>
        <v>9527.7993463470375</v>
      </c>
    </row>
    <row r="178" spans="85:193" x14ac:dyDescent="0.2">
      <c r="CH178" s="428">
        <v>5.8083559292471925E-3</v>
      </c>
      <c r="CI178" s="428">
        <v>5.6208219979088174E-4</v>
      </c>
      <c r="CM178" s="428">
        <v>3.3691441386364448E-4</v>
      </c>
      <c r="CN178" s="428">
        <v>3.103246954055519E-5</v>
      </c>
      <c r="CS178" s="428">
        <v>9.4367866369056809E-4</v>
      </c>
      <c r="CT178" s="428">
        <v>8.704683768009206E-5</v>
      </c>
      <c r="CY178" s="428">
        <v>1.5408826392755684E-3</v>
      </c>
      <c r="CZ178" s="428">
        <v>1.4639546917375517E-4</v>
      </c>
      <c r="EL178" s="2"/>
      <c r="EM178" s="2"/>
      <c r="EN178" s="2"/>
      <c r="EO178" s="2"/>
      <c r="EP178" s="2"/>
      <c r="EQ178" s="2"/>
      <c r="ER178" s="2"/>
      <c r="ES178" s="2"/>
      <c r="ET178" s="2"/>
      <c r="EW178" s="2"/>
      <c r="EX178" s="2"/>
      <c r="EY178" s="282"/>
      <c r="EZ178" s="282"/>
      <c r="FA178" s="282"/>
      <c r="FB178" s="282"/>
      <c r="FC178" s="282"/>
      <c r="FD178" s="282"/>
      <c r="FE178" s="282"/>
      <c r="FF178" s="282"/>
      <c r="FG178" s="282"/>
      <c r="FH178" s="282"/>
      <c r="FI178" s="282"/>
      <c r="FJ178" s="282"/>
      <c r="FK178" s="282"/>
      <c r="FL178" s="282"/>
      <c r="FM178" s="282"/>
      <c r="FN178" s="282"/>
      <c r="FO178" s="282"/>
      <c r="FP178" s="282"/>
      <c r="FQ178" s="282"/>
      <c r="FR178" s="282"/>
      <c r="FS178" s="282"/>
      <c r="FT178" s="282"/>
      <c r="FU178" s="282"/>
      <c r="FV178" s="282"/>
      <c r="FW178" s="282"/>
      <c r="FX178" s="282"/>
      <c r="FY178" s="282"/>
      <c r="FZ178" s="282"/>
      <c r="GA178" s="282"/>
      <c r="GD178" s="11">
        <f t="shared" si="257"/>
        <v>2001</v>
      </c>
      <c r="GE178" s="2">
        <f t="shared" si="257"/>
        <v>13789.339534451954</v>
      </c>
      <c r="GF178" s="2">
        <f t="shared" si="257"/>
        <v>5828.8465457168131</v>
      </c>
      <c r="GG178" s="2">
        <f t="shared" si="257"/>
        <v>10535.531481864553</v>
      </c>
      <c r="GH178" s="2">
        <f t="shared" si="257"/>
        <v>10345.51575882086</v>
      </c>
      <c r="GI178" s="2">
        <f t="shared" si="257"/>
        <v>13273.609398621491</v>
      </c>
      <c r="GJ178" s="2">
        <f t="shared" si="257"/>
        <v>8932.7566775058731</v>
      </c>
      <c r="GK178" s="2">
        <f t="shared" si="257"/>
        <v>9912.1062027953794</v>
      </c>
    </row>
    <row r="179" spans="85:193" x14ac:dyDescent="0.2">
      <c r="CH179" s="428" t="e">
        <v>#N/A</v>
      </c>
      <c r="CI179" s="428" t="e">
        <v>#N/A</v>
      </c>
      <c r="CM179" s="428" t="e">
        <v>#N/A</v>
      </c>
      <c r="CN179" s="428" t="e">
        <v>#N/A</v>
      </c>
      <c r="CS179" s="428" t="e">
        <v>#N/A</v>
      </c>
      <c r="CT179" s="428" t="e">
        <v>#N/A</v>
      </c>
      <c r="CY179" s="428" t="e">
        <v>#N/A</v>
      </c>
      <c r="CZ179" s="428" t="e">
        <v>#N/A</v>
      </c>
      <c r="EL179" s="2"/>
      <c r="EM179" s="2"/>
      <c r="EN179" s="2"/>
      <c r="EO179" s="2"/>
      <c r="EP179" s="2"/>
      <c r="EQ179" s="2"/>
      <c r="ER179" s="2"/>
      <c r="ES179" s="2"/>
      <c r="ET179" s="2"/>
      <c r="EW179" s="2"/>
      <c r="EX179" s="2"/>
      <c r="EY179" s="282"/>
      <c r="EZ179" s="282"/>
      <c r="FA179" s="282"/>
      <c r="FB179" s="282"/>
      <c r="FC179" s="282"/>
      <c r="FD179" s="282"/>
      <c r="FE179" s="282"/>
      <c r="FF179" s="282"/>
      <c r="FG179" s="282"/>
      <c r="FH179" s="282"/>
      <c r="FI179" s="282"/>
      <c r="FJ179" s="282"/>
      <c r="FK179" s="282"/>
      <c r="FL179" s="282"/>
      <c r="FM179" s="282"/>
      <c r="FN179" s="282"/>
      <c r="FO179" s="282"/>
      <c r="FP179" s="282"/>
      <c r="FQ179" s="282"/>
      <c r="FR179" s="282"/>
      <c r="FS179" s="282"/>
      <c r="FT179" s="282"/>
      <c r="FU179" s="282"/>
      <c r="FV179" s="282"/>
      <c r="FW179" s="282"/>
      <c r="FX179" s="282"/>
      <c r="FY179" s="282"/>
      <c r="FZ179" s="282"/>
      <c r="GA179" s="282"/>
      <c r="GD179" s="11">
        <f t="shared" si="257"/>
        <v>2003</v>
      </c>
      <c r="GE179" s="2">
        <f t="shared" si="257"/>
        <v>13166.365635428274</v>
      </c>
      <c r="GF179" s="2">
        <f t="shared" si="257"/>
        <v>5593.1359783909338</v>
      </c>
      <c r="GG179" s="2">
        <f t="shared" si="257"/>
        <v>10018.711324909014</v>
      </c>
      <c r="GH179" s="2">
        <f t="shared" si="257"/>
        <v>9859.4062327653228</v>
      </c>
      <c r="GI179" s="2">
        <f t="shared" si="257"/>
        <v>12808.310514938008</v>
      </c>
      <c r="GJ179" s="2">
        <f t="shared" si="257"/>
        <v>8871.2601802033496</v>
      </c>
      <c r="GK179" s="2">
        <f t="shared" si="257"/>
        <v>9834.9297807339226</v>
      </c>
    </row>
    <row r="180" spans="85:193" x14ac:dyDescent="0.2">
      <c r="EL180" s="2"/>
      <c r="EM180" s="2"/>
      <c r="EN180" s="2"/>
      <c r="EO180" s="2"/>
      <c r="EP180" s="2"/>
      <c r="EQ180" s="2"/>
      <c r="ER180" s="2"/>
      <c r="ES180" s="2"/>
      <c r="ET180" s="2"/>
      <c r="EW180" s="2"/>
      <c r="EX180" s="2"/>
      <c r="EY180" s="282"/>
      <c r="EZ180" s="282"/>
      <c r="FA180" s="282"/>
      <c r="FB180" s="282"/>
      <c r="FC180" s="282"/>
      <c r="FD180" s="282"/>
      <c r="FE180" s="282"/>
      <c r="FF180" s="282"/>
      <c r="FG180" s="282"/>
      <c r="FH180" s="282"/>
      <c r="FI180" s="282"/>
      <c r="FJ180" s="282"/>
      <c r="FK180" s="282"/>
      <c r="FL180" s="282"/>
      <c r="FM180" s="282"/>
      <c r="FN180" s="282"/>
      <c r="FO180" s="282"/>
      <c r="FP180" s="282"/>
      <c r="FQ180" s="282"/>
      <c r="FR180" s="282"/>
      <c r="FS180" s="282"/>
      <c r="FT180" s="282"/>
      <c r="FU180" s="282"/>
      <c r="FV180" s="282"/>
      <c r="FW180" s="282"/>
      <c r="FX180" s="282"/>
      <c r="FY180" s="282"/>
      <c r="FZ180" s="282"/>
      <c r="GA180" s="282"/>
      <c r="GB180" s="282"/>
      <c r="GC180" s="2"/>
      <c r="GD180" s="11">
        <f t="shared" si="257"/>
        <v>2005</v>
      </c>
      <c r="GE180" s="2">
        <f t="shared" si="257"/>
        <v>12481.297041804262</v>
      </c>
      <c r="GF180" s="2">
        <f t="shared" si="257"/>
        <v>5438.3769144300359</v>
      </c>
      <c r="GG180" s="2">
        <f t="shared" si="257"/>
        <v>9806.0960087019484</v>
      </c>
      <c r="GH180" s="2">
        <f t="shared" si="257"/>
        <v>9712.3691816152623</v>
      </c>
      <c r="GI180" s="2">
        <f t="shared" si="257"/>
        <v>12481.377771247651</v>
      </c>
      <c r="GJ180" s="2">
        <f t="shared" si="257"/>
        <v>8840.2172084159029</v>
      </c>
      <c r="GK180" s="2">
        <f t="shared" si="257"/>
        <v>9824.6386934930324</v>
      </c>
    </row>
    <row r="181" spans="85:193" x14ac:dyDescent="0.2">
      <c r="CG181" s="280" t="s">
        <v>730</v>
      </c>
      <c r="CJ181" s="288">
        <v>0.5</v>
      </c>
      <c r="CK181" s="280"/>
      <c r="CL181" s="280"/>
      <c r="EL181" s="2"/>
      <c r="EM181" s="2"/>
      <c r="EN181" s="2"/>
      <c r="EO181" s="2"/>
      <c r="EP181" s="2"/>
      <c r="EQ181" s="2"/>
      <c r="ER181" s="2"/>
      <c r="ES181" s="2"/>
      <c r="ET181" s="2"/>
      <c r="EW181" s="2"/>
      <c r="EX181" s="2"/>
      <c r="EY181" s="282"/>
      <c r="EZ181" s="282"/>
      <c r="FA181" s="282"/>
      <c r="FB181" s="282"/>
      <c r="FC181" s="282"/>
      <c r="FD181" s="282"/>
      <c r="FE181" s="282"/>
      <c r="FF181" s="282"/>
      <c r="FG181" s="282"/>
      <c r="FH181" s="282"/>
      <c r="FI181" s="282"/>
      <c r="FJ181" s="282"/>
      <c r="FK181" s="282"/>
      <c r="FL181" s="282"/>
      <c r="FM181" s="282"/>
      <c r="FN181" s="282"/>
      <c r="FO181" s="282"/>
      <c r="FP181" s="282"/>
      <c r="FQ181" s="282"/>
      <c r="FR181" s="282"/>
      <c r="FS181" s="282"/>
      <c r="FT181" s="282"/>
      <c r="FU181" s="282"/>
      <c r="FV181" s="282"/>
      <c r="FW181" s="282"/>
      <c r="FX181" s="282"/>
      <c r="FY181" s="282"/>
      <c r="FZ181" s="282"/>
      <c r="GA181" s="282"/>
      <c r="GB181" s="282"/>
      <c r="GC181" s="2"/>
      <c r="GD181" s="11">
        <f t="shared" si="257"/>
        <v>2007</v>
      </c>
      <c r="GE181" s="2">
        <f t="shared" si="257"/>
        <v>12078.063377388717</v>
      </c>
      <c r="GF181" s="2">
        <f t="shared" si="257"/>
        <v>5429.1595781670403</v>
      </c>
      <c r="GG181" s="2">
        <f t="shared" si="257"/>
        <v>9802.8829778502059</v>
      </c>
      <c r="GH181" s="2">
        <f t="shared" si="257"/>
        <v>9557.115396180654</v>
      </c>
      <c r="GI181" s="2">
        <f t="shared" si="257"/>
        <v>12360.712287146218</v>
      </c>
      <c r="GJ181" s="2">
        <f t="shared" si="257"/>
        <v>8673.202046190574</v>
      </c>
      <c r="GK181" s="2">
        <f t="shared" si="257"/>
        <v>9576.7934702747243</v>
      </c>
    </row>
    <row r="182" spans="85:193" x14ac:dyDescent="0.2">
      <c r="EL182" s="2"/>
      <c r="EM182" s="2"/>
      <c r="EN182" s="2"/>
      <c r="EO182" s="2"/>
      <c r="EP182" s="2"/>
      <c r="EQ182" s="2"/>
      <c r="ER182" s="2"/>
      <c r="ES182" s="2"/>
      <c r="ET182" s="2"/>
      <c r="EW182" s="2"/>
      <c r="EX182" s="2"/>
      <c r="EY182" s="282"/>
      <c r="EZ182" s="282"/>
      <c r="FA182" s="282"/>
      <c r="FB182" s="282"/>
      <c r="FC182" s="282"/>
      <c r="FD182" s="282"/>
      <c r="FE182" s="282"/>
      <c r="FF182" s="282"/>
      <c r="FG182" s="282"/>
      <c r="FH182" s="282"/>
      <c r="FI182" s="282"/>
      <c r="FJ182" s="282"/>
      <c r="FK182" s="282"/>
      <c r="FL182" s="282"/>
      <c r="FM182" s="282"/>
      <c r="FN182" s="282"/>
      <c r="FO182" s="282"/>
      <c r="FP182" s="282"/>
      <c r="FQ182" s="282"/>
      <c r="FR182" s="282"/>
      <c r="FS182" s="282"/>
      <c r="FT182" s="282"/>
      <c r="FU182" s="282"/>
      <c r="FV182" s="282"/>
      <c r="FW182" s="282"/>
      <c r="FX182" s="282"/>
      <c r="FY182" s="282"/>
      <c r="FZ182" s="282"/>
      <c r="GA182" s="282"/>
      <c r="GB182" s="282"/>
      <c r="GC182" s="2"/>
      <c r="GD182" s="11">
        <f t="shared" si="257"/>
        <v>2009</v>
      </c>
      <c r="GE182" s="2">
        <f t="shared" si="257"/>
        <v>12070.971824672715</v>
      </c>
      <c r="GF182" s="2">
        <f t="shared" si="257"/>
        <v>5406.101715699635</v>
      </c>
      <c r="GG182" s="2">
        <f t="shared" si="257"/>
        <v>10035.850078851259</v>
      </c>
      <c r="GH182" s="2">
        <f t="shared" si="257"/>
        <v>9691.9670145747459</v>
      </c>
      <c r="GI182" s="2">
        <f t="shared" si="257"/>
        <v>12131.638337768671</v>
      </c>
      <c r="GJ182" s="2">
        <f t="shared" si="257"/>
        <v>8634.0608837270975</v>
      </c>
      <c r="GK182" s="2">
        <f t="shared" si="257"/>
        <v>9439.5839263324015</v>
      </c>
    </row>
    <row r="183" spans="85:193" x14ac:dyDescent="0.2">
      <c r="CH183" t="s">
        <v>20</v>
      </c>
      <c r="CM183" t="s">
        <v>21</v>
      </c>
      <c r="CS183" t="s">
        <v>22</v>
      </c>
      <c r="CY183" t="s">
        <v>23</v>
      </c>
      <c r="GB183" s="282"/>
      <c r="GC183" s="2"/>
      <c r="GD183" s="11" t="str">
        <f t="shared" ref="GD183:GK183" si="258">GD16</f>
        <v>2009/1999</v>
      </c>
      <c r="GE183" s="12">
        <f t="shared" si="258"/>
        <v>0.87905715534753193</v>
      </c>
      <c r="GF183" s="12">
        <f t="shared" si="258"/>
        <v>0.91774584963670081</v>
      </c>
      <c r="GG183" s="12">
        <f t="shared" si="258"/>
        <v>0.96556472890028899</v>
      </c>
      <c r="GH183" s="12">
        <f t="shared" si="258"/>
        <v>0.94350342147944743</v>
      </c>
      <c r="GI183" s="12">
        <f t="shared" si="258"/>
        <v>0.94419717476132836</v>
      </c>
      <c r="GJ183" s="12">
        <f t="shared" si="258"/>
        <v>0.9773507424531418</v>
      </c>
      <c r="GK183" s="12">
        <f t="shared" si="258"/>
        <v>0.99074125967519899</v>
      </c>
    </row>
    <row r="184" spans="85:193" x14ac:dyDescent="0.2">
      <c r="EM184" s="3"/>
      <c r="EX184" s="3"/>
      <c r="EY184" s="284"/>
      <c r="EZ184" s="284"/>
      <c r="FA184" s="284"/>
      <c r="FB184" s="284"/>
      <c r="FC184" s="284"/>
      <c r="FD184" s="284"/>
      <c r="FE184" s="284"/>
      <c r="FF184" s="284"/>
      <c r="FG184" s="284"/>
      <c r="FH184" s="284"/>
      <c r="FI184" s="284"/>
      <c r="FJ184" s="284"/>
      <c r="FK184" s="284"/>
      <c r="FL184" s="284"/>
      <c r="FM184" s="284"/>
      <c r="FN184" s="284"/>
      <c r="FO184" s="284"/>
      <c r="FP184" s="284"/>
      <c r="FQ184" s="284"/>
      <c r="FR184" s="284"/>
      <c r="FS184" s="284"/>
      <c r="FT184" s="284"/>
      <c r="FU184" s="284"/>
      <c r="FV184" s="284"/>
      <c r="FW184" s="284"/>
      <c r="FX184" s="284"/>
      <c r="FY184" s="284"/>
      <c r="FZ184" s="284"/>
      <c r="GA184" s="284"/>
      <c r="GB184" s="282"/>
      <c r="GC184" s="2"/>
      <c r="GD184" s="2"/>
      <c r="GE184" s="2"/>
      <c r="GF184" s="2"/>
      <c r="GG184" s="2"/>
      <c r="GH184" s="2"/>
      <c r="GI184" s="2"/>
    </row>
    <row r="185" spans="85:193" x14ac:dyDescent="0.2">
      <c r="CG185" s="280" t="s">
        <v>729</v>
      </c>
      <c r="CI185" s="288">
        <f>Compare_FS!$I$40</f>
        <v>0.5</v>
      </c>
      <c r="CN185" s="288">
        <f>Compare_FS!$I$72</f>
        <v>-0.5</v>
      </c>
      <c r="CT185" s="430">
        <v>1</v>
      </c>
      <c r="CU185" t="s">
        <v>442</v>
      </c>
      <c r="CZ185" s="288">
        <v>0.2</v>
      </c>
      <c r="GB185" s="282"/>
      <c r="GC185" s="2"/>
      <c r="GD185" s="2"/>
      <c r="GE185" s="2"/>
      <c r="GF185" s="2"/>
      <c r="GG185" s="2"/>
      <c r="GH185" s="2"/>
      <c r="GI185" s="2"/>
    </row>
    <row r="186" spans="85:193" x14ac:dyDescent="0.2">
      <c r="CU186" t="s">
        <v>443</v>
      </c>
      <c r="GD186" s="2"/>
      <c r="GE186" s="2"/>
      <c r="GF186" s="2"/>
      <c r="GG186" s="2"/>
      <c r="GH186" s="2"/>
      <c r="GI186" s="2"/>
    </row>
    <row r="187" spans="85:193" x14ac:dyDescent="0.2">
      <c r="CG187" s="280" t="s">
        <v>759</v>
      </c>
      <c r="CI187" t="s">
        <v>332</v>
      </c>
      <c r="CJ187" t="s">
        <v>29</v>
      </c>
      <c r="CN187" t="s">
        <v>332</v>
      </c>
      <c r="CO187" t="s">
        <v>29</v>
      </c>
      <c r="CT187" t="s">
        <v>332</v>
      </c>
      <c r="CU187" t="s">
        <v>29</v>
      </c>
      <c r="CZ187" t="s">
        <v>332</v>
      </c>
      <c r="DA187" t="s">
        <v>29</v>
      </c>
      <c r="GB187" s="284"/>
      <c r="GD187" s="2"/>
      <c r="GE187" s="2"/>
      <c r="GF187" s="2"/>
      <c r="GG187" s="2"/>
      <c r="GH187" s="2"/>
      <c r="GI187" s="2"/>
    </row>
    <row r="188" spans="85:193" x14ac:dyDescent="0.2">
      <c r="CG188" s="280" t="s">
        <v>758</v>
      </c>
      <c r="CH188">
        <f>1985</f>
        <v>1985</v>
      </c>
      <c r="CI188">
        <f>CI$202+CI$185*CH$174*(CH188-CH$202)</f>
        <v>1.189924899665064</v>
      </c>
      <c r="CM188">
        <f>1985</f>
        <v>1985</v>
      </c>
      <c r="CN188">
        <f>CN$202+CN$185*CM$174*(CM188-CM$202)</f>
        <v>1.002953836690387</v>
      </c>
      <c r="CS188">
        <f>1985</f>
        <v>1985</v>
      </c>
      <c r="CT188">
        <f>CT$202+CT$185*CS$174*(CS188-CS$202)</f>
        <v>0.93154373808966162</v>
      </c>
      <c r="CY188">
        <f>1985</f>
        <v>1985</v>
      </c>
      <c r="CZ188">
        <f>CZ$202+CZ$185*CY$174*(CY188-CY$202)</f>
        <v>0.91848493078934046</v>
      </c>
    </row>
    <row r="189" spans="85:193" x14ac:dyDescent="0.2">
      <c r="CG189" s="280">
        <f>CI189-CI188</f>
        <v>-2.9399637411837709E-3</v>
      </c>
      <c r="CH189">
        <f t="shared" ref="CH189:CH216" si="259">CH188+1</f>
        <v>1986</v>
      </c>
      <c r="CI189">
        <f t="shared" ref="CI189:CI199" si="260">CI$202+CI$185*CH$174*(CH189-CH$202)</f>
        <v>1.1869849359238802</v>
      </c>
      <c r="CM189">
        <f t="shared" ref="CM189:CM221" si="261">CM188+1</f>
        <v>1986</v>
      </c>
      <c r="CN189">
        <f t="shared" ref="CN189:CN199" si="262">CN$202+CN$185*CM$174*(CM189-CM$202)</f>
        <v>1.0040507714030287</v>
      </c>
      <c r="CS189">
        <f t="shared" ref="CS189:CS221" si="263">CS188+1</f>
        <v>1986</v>
      </c>
      <c r="CT189">
        <f t="shared" ref="CT189:CT199" si="264">CT$202+CT$185*CS$174*(CS189-CS$202)</f>
        <v>0.93401217145609539</v>
      </c>
      <c r="CY189">
        <f t="shared" ref="CY189:CY221" si="265">CY188+1</f>
        <v>1986</v>
      </c>
      <c r="CZ189">
        <f t="shared" ref="CZ189:CZ199" si="266">CZ$202+CZ$185*CY$174*(CY189-CY$202)</f>
        <v>0.91909063436277805</v>
      </c>
    </row>
    <row r="190" spans="85:193" x14ac:dyDescent="0.2">
      <c r="CG190" s="341">
        <f t="shared" ref="CG190:CG221" si="267">CI190-CI189</f>
        <v>-2.9399637411837709E-3</v>
      </c>
      <c r="CH190">
        <f t="shared" si="259"/>
        <v>1987</v>
      </c>
      <c r="CI190">
        <f t="shared" si="260"/>
        <v>1.1840449721826964</v>
      </c>
      <c r="CM190">
        <f t="shared" si="261"/>
        <v>1987</v>
      </c>
      <c r="CN190">
        <f t="shared" si="262"/>
        <v>1.0051477061156706</v>
      </c>
      <c r="CS190">
        <f t="shared" si="263"/>
        <v>1987</v>
      </c>
      <c r="CT190">
        <f t="shared" si="264"/>
        <v>0.93648060482252915</v>
      </c>
      <c r="CY190">
        <f t="shared" si="265"/>
        <v>1987</v>
      </c>
      <c r="CZ190">
        <f t="shared" si="266"/>
        <v>0.91969633793621575</v>
      </c>
    </row>
    <row r="191" spans="85:193" x14ac:dyDescent="0.2">
      <c r="CG191" s="341">
        <f t="shared" si="267"/>
        <v>-2.9399637411835489E-3</v>
      </c>
      <c r="CH191">
        <f t="shared" si="259"/>
        <v>1988</v>
      </c>
      <c r="CI191">
        <f t="shared" si="260"/>
        <v>1.1811050084415129</v>
      </c>
      <c r="CM191">
        <f t="shared" si="261"/>
        <v>1988</v>
      </c>
      <c r="CN191">
        <f t="shared" si="262"/>
        <v>1.0062446408283126</v>
      </c>
      <c r="CS191">
        <f t="shared" si="263"/>
        <v>1988</v>
      </c>
      <c r="CT191">
        <f t="shared" si="264"/>
        <v>0.93894903818896291</v>
      </c>
      <c r="CY191">
        <f t="shared" si="265"/>
        <v>1988</v>
      </c>
      <c r="CZ191">
        <f t="shared" si="266"/>
        <v>0.92030204150965333</v>
      </c>
    </row>
    <row r="192" spans="85:193" x14ac:dyDescent="0.2">
      <c r="CG192" s="341">
        <f t="shared" si="267"/>
        <v>-2.9399637411837709E-3</v>
      </c>
      <c r="CH192">
        <f t="shared" si="259"/>
        <v>1989</v>
      </c>
      <c r="CI192">
        <f t="shared" si="260"/>
        <v>1.1781650447003291</v>
      </c>
      <c r="CM192">
        <f t="shared" si="261"/>
        <v>1989</v>
      </c>
      <c r="CN192">
        <f t="shared" si="262"/>
        <v>1.0073415755409545</v>
      </c>
      <c r="CS192">
        <f t="shared" si="263"/>
        <v>1989</v>
      </c>
      <c r="CT192">
        <f t="shared" si="264"/>
        <v>0.94141747155539668</v>
      </c>
      <c r="CY192">
        <f t="shared" si="265"/>
        <v>1989</v>
      </c>
      <c r="CZ192">
        <f t="shared" si="266"/>
        <v>0.92090774508309103</v>
      </c>
    </row>
    <row r="193" spans="85:105" x14ac:dyDescent="0.2">
      <c r="CG193" s="341">
        <f t="shared" si="267"/>
        <v>-2.9399637411837709E-3</v>
      </c>
      <c r="CH193">
        <f t="shared" si="259"/>
        <v>1990</v>
      </c>
      <c r="CI193">
        <f t="shared" si="260"/>
        <v>1.1752250809591454</v>
      </c>
      <c r="CM193">
        <f t="shared" si="261"/>
        <v>1990</v>
      </c>
      <c r="CN193">
        <f t="shared" si="262"/>
        <v>1.0084385102535962</v>
      </c>
      <c r="CS193">
        <f t="shared" si="263"/>
        <v>1990</v>
      </c>
      <c r="CT193">
        <f t="shared" si="264"/>
        <v>0.94388590492183033</v>
      </c>
      <c r="CY193">
        <f t="shared" si="265"/>
        <v>1990</v>
      </c>
      <c r="CZ193">
        <f t="shared" si="266"/>
        <v>0.92151344865652862</v>
      </c>
    </row>
    <row r="194" spans="85:105" x14ac:dyDescent="0.2">
      <c r="CG194" s="341">
        <f t="shared" si="267"/>
        <v>-2.9399637411837709E-3</v>
      </c>
      <c r="CH194">
        <f t="shared" si="259"/>
        <v>1991</v>
      </c>
      <c r="CI194">
        <f t="shared" si="260"/>
        <v>1.1722851172179616</v>
      </c>
      <c r="CM194">
        <f t="shared" si="261"/>
        <v>1991</v>
      </c>
      <c r="CN194">
        <f t="shared" si="262"/>
        <v>1.0095354449662381</v>
      </c>
      <c r="CS194">
        <f t="shared" si="263"/>
        <v>1991</v>
      </c>
      <c r="CT194">
        <f t="shared" si="264"/>
        <v>0.9463543382882641</v>
      </c>
      <c r="CY194">
        <f t="shared" si="265"/>
        <v>1991</v>
      </c>
      <c r="CZ194">
        <f t="shared" si="266"/>
        <v>0.92211915222996632</v>
      </c>
    </row>
    <row r="195" spans="85:105" x14ac:dyDescent="0.2">
      <c r="CG195" s="341">
        <f t="shared" si="267"/>
        <v>-2.9399637411837709E-3</v>
      </c>
      <c r="CH195">
        <f t="shared" si="259"/>
        <v>1992</v>
      </c>
      <c r="CI195">
        <f t="shared" si="260"/>
        <v>1.1693451534767778</v>
      </c>
      <c r="CM195">
        <f t="shared" si="261"/>
        <v>1992</v>
      </c>
      <c r="CN195">
        <f t="shared" si="262"/>
        <v>1.0106323796788801</v>
      </c>
      <c r="CS195">
        <f t="shared" si="263"/>
        <v>1992</v>
      </c>
      <c r="CT195">
        <f t="shared" si="264"/>
        <v>0.94882277165469786</v>
      </c>
      <c r="CY195">
        <f t="shared" si="265"/>
        <v>1992</v>
      </c>
      <c r="CZ195">
        <f t="shared" si="266"/>
        <v>0.92272485580340391</v>
      </c>
    </row>
    <row r="196" spans="85:105" x14ac:dyDescent="0.2">
      <c r="CG196" s="341">
        <f t="shared" si="267"/>
        <v>-2.9399637411835489E-3</v>
      </c>
      <c r="CH196">
        <f t="shared" si="259"/>
        <v>1993</v>
      </c>
      <c r="CI196">
        <f t="shared" si="260"/>
        <v>1.1664051897355943</v>
      </c>
      <c r="CM196">
        <f t="shared" si="261"/>
        <v>1993</v>
      </c>
      <c r="CN196">
        <f t="shared" si="262"/>
        <v>1.011729314391522</v>
      </c>
      <c r="CS196">
        <f t="shared" si="263"/>
        <v>1993</v>
      </c>
      <c r="CT196">
        <f t="shared" si="264"/>
        <v>0.95129120502113163</v>
      </c>
      <c r="CY196">
        <f t="shared" si="265"/>
        <v>1993</v>
      </c>
      <c r="CZ196">
        <f t="shared" si="266"/>
        <v>0.92333055937684161</v>
      </c>
    </row>
    <row r="197" spans="85:105" x14ac:dyDescent="0.2">
      <c r="CG197" s="341">
        <f t="shared" si="267"/>
        <v>-2.9399637411837709E-3</v>
      </c>
      <c r="CH197">
        <f t="shared" si="259"/>
        <v>1994</v>
      </c>
      <c r="CI197">
        <f t="shared" si="260"/>
        <v>1.1634652259944105</v>
      </c>
      <c r="CM197">
        <f t="shared" si="261"/>
        <v>1994</v>
      </c>
      <c r="CN197">
        <f t="shared" si="262"/>
        <v>1.0128262491041637</v>
      </c>
      <c r="CS197">
        <f t="shared" si="263"/>
        <v>1994</v>
      </c>
      <c r="CT197">
        <f t="shared" si="264"/>
        <v>0.95375963838756539</v>
      </c>
      <c r="CY197">
        <f t="shared" si="265"/>
        <v>1994</v>
      </c>
      <c r="CZ197">
        <f t="shared" si="266"/>
        <v>0.9239362629502792</v>
      </c>
    </row>
    <row r="198" spans="85:105" x14ac:dyDescent="0.2">
      <c r="CG198" s="341">
        <f t="shared" si="267"/>
        <v>-2.9399637411837709E-3</v>
      </c>
      <c r="CH198">
        <f t="shared" si="259"/>
        <v>1995</v>
      </c>
      <c r="CI198">
        <f t="shared" si="260"/>
        <v>1.1605252622532267</v>
      </c>
      <c r="CM198">
        <f t="shared" si="261"/>
        <v>1995</v>
      </c>
      <c r="CN198">
        <f t="shared" si="262"/>
        <v>1.0139231838168057</v>
      </c>
      <c r="CS198">
        <f t="shared" si="263"/>
        <v>1995</v>
      </c>
      <c r="CT198">
        <f t="shared" si="264"/>
        <v>0.95622807175399915</v>
      </c>
      <c r="CY198">
        <f t="shared" si="265"/>
        <v>1995</v>
      </c>
      <c r="CZ198">
        <f t="shared" si="266"/>
        <v>0.9245419665237169</v>
      </c>
    </row>
    <row r="199" spans="85:105" x14ac:dyDescent="0.2">
      <c r="CG199" s="341">
        <f t="shared" si="267"/>
        <v>-2.9399637411837709E-3</v>
      </c>
      <c r="CH199">
        <f t="shared" si="259"/>
        <v>1996</v>
      </c>
      <c r="CI199">
        <f t="shared" si="260"/>
        <v>1.1575852985120429</v>
      </c>
      <c r="CM199">
        <f t="shared" si="261"/>
        <v>1996</v>
      </c>
      <c r="CN199">
        <f t="shared" si="262"/>
        <v>1.0150201185294476</v>
      </c>
      <c r="CS199">
        <f t="shared" si="263"/>
        <v>1996</v>
      </c>
      <c r="CT199">
        <f t="shared" si="264"/>
        <v>0.95869650512043281</v>
      </c>
      <c r="CY199">
        <f t="shared" si="265"/>
        <v>1996</v>
      </c>
      <c r="CZ199">
        <f t="shared" si="266"/>
        <v>0.92514767009715448</v>
      </c>
    </row>
    <row r="200" spans="85:105" x14ac:dyDescent="0.2">
      <c r="CG200" s="341">
        <f t="shared" si="267"/>
        <v>-2.9399637411835489E-3</v>
      </c>
      <c r="CH200">
        <f t="shared" si="259"/>
        <v>1997</v>
      </c>
      <c r="CI200">
        <f>CI$202+CI$185*CH$174*(CH199-CH$201)</f>
        <v>1.1546453347708594</v>
      </c>
      <c r="CM200">
        <f t="shared" si="261"/>
        <v>1997</v>
      </c>
      <c r="CN200">
        <f>CN$202+CN$185*CM$174*(CM199-CM$201)</f>
        <v>1.0161170532420896</v>
      </c>
      <c r="CS200">
        <f t="shared" si="263"/>
        <v>1997</v>
      </c>
      <c r="CT200">
        <f>CT$202+CT$185*CS$174*(CS199-CS$201)</f>
        <v>0.96116493848686657</v>
      </c>
      <c r="CY200">
        <f t="shared" si="265"/>
        <v>1997</v>
      </c>
      <c r="CZ200">
        <f>CZ$202+CZ$185*CY$174*(CY199-CY$201)</f>
        <v>0.92575337367059218</v>
      </c>
    </row>
    <row r="201" spans="85:105" x14ac:dyDescent="0.2">
      <c r="CG201" s="341">
        <f t="shared" si="267"/>
        <v>-2.9399637411837709E-3</v>
      </c>
      <c r="CH201">
        <f t="shared" si="259"/>
        <v>1998</v>
      </c>
      <c r="CI201">
        <f>CI$202+CI$185*CH$174*(CH201-CH$202)</f>
        <v>1.1517053710296756</v>
      </c>
      <c r="CM201">
        <f t="shared" si="261"/>
        <v>1998</v>
      </c>
      <c r="CN201">
        <f>CN$202+CN$185*CM$174*(CM201-CM$202)</f>
        <v>1.0172139879547313</v>
      </c>
      <c r="CS201">
        <f t="shared" si="263"/>
        <v>1998</v>
      </c>
      <c r="CT201">
        <f>CT$202+CT$185*CS$174*(CS201-CS$202)</f>
        <v>0.96363337185330034</v>
      </c>
      <c r="CY201">
        <f t="shared" si="265"/>
        <v>1998</v>
      </c>
      <c r="CZ201">
        <f>CZ$202+CZ$185*CY$174*(CY201-CY$202)</f>
        <v>0.92635907724402977</v>
      </c>
    </row>
    <row r="202" spans="85:105" x14ac:dyDescent="0.2">
      <c r="CG202" s="341">
        <f t="shared" si="267"/>
        <v>-2.9399637411837709E-3</v>
      </c>
      <c r="CH202">
        <f t="shared" si="259"/>
        <v>1999</v>
      </c>
      <c r="CI202">
        <f t="shared" ref="CI202:CI216" si="268">CI$174+CH$174*CH202</f>
        <v>1.1487654072884919</v>
      </c>
      <c r="CJ202">
        <f>CI165</f>
        <v>1.1363743686067762</v>
      </c>
      <c r="CM202">
        <f t="shared" si="261"/>
        <v>1999</v>
      </c>
      <c r="CN202">
        <f t="shared" ref="CN202:CN212" si="269">CN$174+CM$174*CM202</f>
        <v>1.0183109226673732</v>
      </c>
      <c r="CO202">
        <f>CN165</f>
        <v>1.0157727890522283</v>
      </c>
      <c r="CS202">
        <f t="shared" si="263"/>
        <v>1999</v>
      </c>
      <c r="CT202">
        <f t="shared" ref="CT202:CT216" si="270">CT$174+CS$174*CS202</f>
        <v>0.9661018052197341</v>
      </c>
      <c r="CU202">
        <f>CT165</f>
        <v>0.97245259957697916</v>
      </c>
      <c r="CY202">
        <f t="shared" si="265"/>
        <v>1999</v>
      </c>
      <c r="CZ202">
        <f t="shared" ref="CZ202:CZ216" si="271">CZ$174+CY$174*CY202</f>
        <v>0.92696478081746747</v>
      </c>
      <c r="DA202">
        <f>CZ165</f>
        <v>0.92806445946845162</v>
      </c>
    </row>
    <row r="203" spans="85:105" x14ac:dyDescent="0.2">
      <c r="CG203" s="341">
        <f t="shared" si="267"/>
        <v>-5.87992748236843E-3</v>
      </c>
      <c r="CH203">
        <f t="shared" si="259"/>
        <v>2000</v>
      </c>
      <c r="CI203">
        <f t="shared" si="268"/>
        <v>1.1428854798061234</v>
      </c>
      <c r="CM203">
        <f t="shared" si="261"/>
        <v>2000</v>
      </c>
      <c r="CN203">
        <f t="shared" si="269"/>
        <v>1.0161170532420893</v>
      </c>
      <c r="CS203">
        <f t="shared" si="263"/>
        <v>2000</v>
      </c>
      <c r="CT203">
        <f t="shared" si="270"/>
        <v>0.96857023858616786</v>
      </c>
      <c r="CY203">
        <f t="shared" si="265"/>
        <v>2000</v>
      </c>
      <c r="CZ203">
        <f t="shared" si="271"/>
        <v>0.9299932986846553</v>
      </c>
    </row>
    <row r="204" spans="85:105" x14ac:dyDescent="0.2">
      <c r="CG204" s="341">
        <f t="shared" si="267"/>
        <v>-5.8799274823666536E-3</v>
      </c>
      <c r="CH204">
        <f t="shared" si="259"/>
        <v>2001</v>
      </c>
      <c r="CI204">
        <f t="shared" si="268"/>
        <v>1.1370055523237568</v>
      </c>
      <c r="CJ204">
        <f>CI166</f>
        <v>1.1452745101312254</v>
      </c>
      <c r="CM204">
        <f t="shared" si="261"/>
        <v>2001</v>
      </c>
      <c r="CN204">
        <f t="shared" si="269"/>
        <v>1.0139231838168055</v>
      </c>
      <c r="CO204">
        <f>CN166</f>
        <v>1.014418917719891</v>
      </c>
      <c r="CS204">
        <f t="shared" si="263"/>
        <v>2001</v>
      </c>
      <c r="CT204">
        <f t="shared" si="270"/>
        <v>0.97103867195260163</v>
      </c>
      <c r="CU204">
        <f>CT166</f>
        <v>0.96772827453725085</v>
      </c>
      <c r="CY204">
        <f t="shared" si="265"/>
        <v>2001</v>
      </c>
      <c r="CZ204">
        <f t="shared" si="271"/>
        <v>0.93302181655184313</v>
      </c>
      <c r="DA204">
        <f>CZ166</f>
        <v>0.93333585362789573</v>
      </c>
    </row>
    <row r="205" spans="85:105" x14ac:dyDescent="0.2">
      <c r="CG205" s="341">
        <f t="shared" si="267"/>
        <v>-5.8799274823666536E-3</v>
      </c>
      <c r="CH205">
        <f t="shared" si="259"/>
        <v>2002</v>
      </c>
      <c r="CI205">
        <f t="shared" si="268"/>
        <v>1.1311256248413901</v>
      </c>
      <c r="CM205">
        <f t="shared" si="261"/>
        <v>2002</v>
      </c>
      <c r="CN205">
        <f t="shared" si="269"/>
        <v>1.0117293143915216</v>
      </c>
      <c r="CS205">
        <f t="shared" si="263"/>
        <v>2002</v>
      </c>
      <c r="CT205">
        <f t="shared" si="270"/>
        <v>0.97350710531903539</v>
      </c>
      <c r="CY205">
        <f t="shared" si="265"/>
        <v>2002</v>
      </c>
      <c r="CZ205">
        <f t="shared" si="271"/>
        <v>0.93605033441903185</v>
      </c>
    </row>
    <row r="206" spans="85:105" x14ac:dyDescent="0.2">
      <c r="CG206" s="341">
        <f t="shared" si="267"/>
        <v>-5.87992748236843E-3</v>
      </c>
      <c r="CH206">
        <f t="shared" si="259"/>
        <v>2003</v>
      </c>
      <c r="CI206">
        <f t="shared" si="268"/>
        <v>1.1252456973590217</v>
      </c>
      <c r="CJ206">
        <f>CI167</f>
        <v>1.1353104139742185</v>
      </c>
      <c r="CM206">
        <f t="shared" si="261"/>
        <v>2003</v>
      </c>
      <c r="CN206">
        <f t="shared" si="269"/>
        <v>1.0095354449662377</v>
      </c>
      <c r="CO206">
        <f>CN167</f>
        <v>1.0137896844705008</v>
      </c>
      <c r="CS206">
        <f t="shared" si="263"/>
        <v>2003</v>
      </c>
      <c r="CT206">
        <f t="shared" si="270"/>
        <v>0.97597553868546916</v>
      </c>
      <c r="CU206">
        <f>CT167</f>
        <v>0.97117636102040794</v>
      </c>
      <c r="CY206">
        <f t="shared" si="265"/>
        <v>2003</v>
      </c>
      <c r="CZ206">
        <f t="shared" si="271"/>
        <v>0.93907885228621968</v>
      </c>
      <c r="DA206">
        <f>CZ167</f>
        <v>0.93505053878621425</v>
      </c>
    </row>
    <row r="207" spans="85:105" x14ac:dyDescent="0.2">
      <c r="CG207" s="341">
        <f t="shared" si="267"/>
        <v>-5.8799274823666536E-3</v>
      </c>
      <c r="CH207">
        <f t="shared" si="259"/>
        <v>2004</v>
      </c>
      <c r="CI207">
        <f t="shared" si="268"/>
        <v>1.119365769876655</v>
      </c>
      <c r="CM207">
        <f t="shared" si="261"/>
        <v>2004</v>
      </c>
      <c r="CN207">
        <f t="shared" si="269"/>
        <v>1.0073415755409538</v>
      </c>
      <c r="CS207">
        <f t="shared" si="263"/>
        <v>2004</v>
      </c>
      <c r="CT207">
        <f t="shared" si="270"/>
        <v>0.97844397205190292</v>
      </c>
      <c r="CY207">
        <f t="shared" si="265"/>
        <v>2004</v>
      </c>
      <c r="CZ207">
        <f t="shared" si="271"/>
        <v>0.9421073701534084</v>
      </c>
    </row>
    <row r="208" spans="85:105" x14ac:dyDescent="0.2">
      <c r="CG208" s="341">
        <f t="shared" si="267"/>
        <v>-5.87992748236843E-3</v>
      </c>
      <c r="CH208">
        <f t="shared" si="259"/>
        <v>2005</v>
      </c>
      <c r="CI208">
        <f t="shared" si="268"/>
        <v>1.1134858423942866</v>
      </c>
      <c r="CJ208">
        <f>CI168</f>
        <v>1.1215023460933342</v>
      </c>
      <c r="CM208">
        <f t="shared" si="261"/>
        <v>2005</v>
      </c>
      <c r="CN208">
        <f t="shared" si="269"/>
        <v>1.0051477061156708</v>
      </c>
      <c r="CO208">
        <f>CN168</f>
        <v>1.0036129730424035</v>
      </c>
      <c r="CS208">
        <f t="shared" si="263"/>
        <v>2005</v>
      </c>
      <c r="CT208">
        <f t="shared" si="270"/>
        <v>0.98091240541833669</v>
      </c>
      <c r="CU208">
        <f>CT168</f>
        <v>0.97839242138219162</v>
      </c>
      <c r="CY208">
        <f t="shared" si="265"/>
        <v>2005</v>
      </c>
      <c r="CZ208">
        <f t="shared" si="271"/>
        <v>0.94513588802059623</v>
      </c>
      <c r="DA208">
        <f>CZ168</f>
        <v>0.94566923596356411</v>
      </c>
    </row>
    <row r="209" spans="83:105" x14ac:dyDescent="0.2">
      <c r="CG209" s="341">
        <f t="shared" si="267"/>
        <v>-5.8799274823666536E-3</v>
      </c>
      <c r="CH209">
        <f t="shared" si="259"/>
        <v>2006</v>
      </c>
      <c r="CI209">
        <f t="shared" si="268"/>
        <v>1.10760591491192</v>
      </c>
      <c r="CM209">
        <f t="shared" si="261"/>
        <v>2006</v>
      </c>
      <c r="CN209">
        <f t="shared" si="269"/>
        <v>1.002953836690387</v>
      </c>
      <c r="CS209">
        <f t="shared" si="263"/>
        <v>2006</v>
      </c>
      <c r="CT209">
        <f t="shared" si="270"/>
        <v>0.98338083878477045</v>
      </c>
      <c r="CY209">
        <f t="shared" si="265"/>
        <v>2006</v>
      </c>
      <c r="CZ209">
        <f t="shared" si="271"/>
        <v>0.94816440588778494</v>
      </c>
    </row>
    <row r="210" spans="83:105" x14ac:dyDescent="0.2">
      <c r="CG210" s="341">
        <f t="shared" si="267"/>
        <v>-5.87992748236843E-3</v>
      </c>
      <c r="CH210">
        <f t="shared" si="259"/>
        <v>2007</v>
      </c>
      <c r="CI210">
        <f t="shared" si="268"/>
        <v>1.1017259874295515</v>
      </c>
      <c r="CJ210">
        <f>CI169</f>
        <v>1.092282913841194</v>
      </c>
      <c r="CM210">
        <f t="shared" si="261"/>
        <v>2007</v>
      </c>
      <c r="CN210">
        <f t="shared" si="269"/>
        <v>1.0007599672651031</v>
      </c>
      <c r="CO210">
        <f>CN169</f>
        <v>1.0017744473622305</v>
      </c>
      <c r="CS210">
        <f t="shared" si="263"/>
        <v>2007</v>
      </c>
      <c r="CT210">
        <f t="shared" si="270"/>
        <v>0.98584927215120421</v>
      </c>
      <c r="CU210">
        <f>CT169</f>
        <v>0.98797780514256739</v>
      </c>
      <c r="CY210">
        <f t="shared" si="265"/>
        <v>2007</v>
      </c>
      <c r="CZ210">
        <f t="shared" si="271"/>
        <v>0.95119292375497277</v>
      </c>
      <c r="DA210">
        <f>CZ169</f>
        <v>0.9534368547764317</v>
      </c>
    </row>
    <row r="211" spans="83:105" x14ac:dyDescent="0.2">
      <c r="CG211" s="341">
        <f t="shared" si="267"/>
        <v>-5.8799274823666536E-3</v>
      </c>
      <c r="CH211">
        <f t="shared" si="259"/>
        <v>2008</v>
      </c>
      <c r="CI211">
        <f t="shared" si="268"/>
        <v>1.0958460599471849</v>
      </c>
      <c r="CM211">
        <f t="shared" si="261"/>
        <v>2008</v>
      </c>
      <c r="CN211">
        <f t="shared" si="269"/>
        <v>0.9985660978398192</v>
      </c>
      <c r="CS211">
        <f t="shared" si="263"/>
        <v>2008</v>
      </c>
      <c r="CT211">
        <f t="shared" si="270"/>
        <v>0.98831770551763798</v>
      </c>
      <c r="CY211">
        <f t="shared" si="265"/>
        <v>2008</v>
      </c>
      <c r="CZ211" s="341">
        <f t="shared" si="271"/>
        <v>0.95422144162216149</v>
      </c>
    </row>
    <row r="212" spans="83:105" x14ac:dyDescent="0.2">
      <c r="CG212" s="341">
        <f t="shared" si="267"/>
        <v>-5.87992748236843E-3</v>
      </c>
      <c r="CH212">
        <f t="shared" si="259"/>
        <v>2009</v>
      </c>
      <c r="CI212" s="341">
        <f t="shared" si="268"/>
        <v>1.0899661324648164</v>
      </c>
      <c r="CJ212">
        <f>CI170</f>
        <v>1.0827500406563184</v>
      </c>
      <c r="CM212">
        <f t="shared" si="261"/>
        <v>2009</v>
      </c>
      <c r="CN212">
        <f t="shared" si="269"/>
        <v>0.99637222841453532</v>
      </c>
      <c r="CO212">
        <f>CN170</f>
        <v>0.99468064159847136</v>
      </c>
      <c r="CS212">
        <f t="shared" si="263"/>
        <v>2009</v>
      </c>
      <c r="CT212">
        <f t="shared" si="270"/>
        <v>0.99078613888407174</v>
      </c>
      <c r="CU212">
        <f>CT170</f>
        <v>0.99190532840125822</v>
      </c>
      <c r="CY212">
        <f t="shared" si="265"/>
        <v>2009</v>
      </c>
      <c r="CZ212" s="341">
        <f t="shared" si="271"/>
        <v>0.95724995948934932</v>
      </c>
      <c r="DA212">
        <f>CZ170</f>
        <v>0.96262996583916038</v>
      </c>
    </row>
    <row r="213" spans="83:105" x14ac:dyDescent="0.2">
      <c r="CG213" s="341">
        <f t="shared" si="267"/>
        <v>-5.8799274823666536E-3</v>
      </c>
      <c r="CH213">
        <f t="shared" si="259"/>
        <v>2010</v>
      </c>
      <c r="CI213" s="341">
        <f t="shared" si="268"/>
        <v>1.0840862049824498</v>
      </c>
      <c r="CM213">
        <f t="shared" si="261"/>
        <v>2010</v>
      </c>
      <c r="CN213" s="280">
        <f>(CN212-CN211)*$CJ$181+CN212</f>
        <v>0.99527529370189338</v>
      </c>
      <c r="CS213">
        <f t="shared" si="263"/>
        <v>2010</v>
      </c>
      <c r="CT213" s="341">
        <f t="shared" si="270"/>
        <v>0.99325457225050551</v>
      </c>
      <c r="CY213">
        <f t="shared" si="265"/>
        <v>2010</v>
      </c>
      <c r="CZ213" s="341">
        <f t="shared" si="271"/>
        <v>0.96027847735653804</v>
      </c>
    </row>
    <row r="214" spans="83:105" x14ac:dyDescent="0.2">
      <c r="CG214" s="341">
        <f t="shared" si="267"/>
        <v>-5.8799274823666536E-3</v>
      </c>
      <c r="CH214" s="280">
        <f t="shared" si="259"/>
        <v>2011</v>
      </c>
      <c r="CI214" s="341">
        <f t="shared" si="268"/>
        <v>1.0782062775000831</v>
      </c>
      <c r="CJ214" s="419">
        <f>CI171</f>
        <v>1.0757016079371986</v>
      </c>
      <c r="CM214" s="280">
        <f t="shared" si="261"/>
        <v>2011</v>
      </c>
      <c r="CN214" s="280">
        <f>(CN213-CN212)*$CJ$181+CN213</f>
        <v>0.99472682634557241</v>
      </c>
      <c r="CO214">
        <f>CN171</f>
        <v>0.99824281095797784</v>
      </c>
      <c r="CS214" s="280">
        <f t="shared" si="263"/>
        <v>2011</v>
      </c>
      <c r="CT214" s="341">
        <f t="shared" si="270"/>
        <v>0.99572300561693927</v>
      </c>
      <c r="CU214">
        <f>CT171</f>
        <v>0.99640930427178398</v>
      </c>
      <c r="CY214" s="280">
        <f t="shared" si="265"/>
        <v>2011</v>
      </c>
      <c r="CZ214" s="341">
        <f t="shared" si="271"/>
        <v>0.96330699522372587</v>
      </c>
      <c r="DA214">
        <f>CZ171</f>
        <v>0.95424139217469239</v>
      </c>
    </row>
    <row r="215" spans="83:105" s="341" customFormat="1" x14ac:dyDescent="0.2">
      <c r="CG215" s="341">
        <f t="shared" si="267"/>
        <v>-5.87992748236843E-3</v>
      </c>
      <c r="CH215" s="341">
        <f t="shared" si="259"/>
        <v>2012</v>
      </c>
      <c r="CI215" s="341">
        <f t="shared" si="268"/>
        <v>1.0723263500177147</v>
      </c>
      <c r="CM215" s="341">
        <f t="shared" si="261"/>
        <v>2012</v>
      </c>
      <c r="CN215" s="341">
        <f t="shared" ref="CN215:CN221" si="272">(CN214-CN213)*$CJ$181+CN214</f>
        <v>0.99445259266741193</v>
      </c>
      <c r="CS215" s="341">
        <f t="shared" si="263"/>
        <v>2012</v>
      </c>
      <c r="CT215" s="341">
        <f t="shared" si="270"/>
        <v>0.99819143898337304</v>
      </c>
      <c r="CY215" s="341">
        <f t="shared" si="265"/>
        <v>2012</v>
      </c>
      <c r="CZ215" s="341">
        <f t="shared" si="271"/>
        <v>0.96633551309091459</v>
      </c>
    </row>
    <row r="216" spans="83:105" s="341" customFormat="1" x14ac:dyDescent="0.2">
      <c r="CG216" s="341">
        <f t="shared" si="267"/>
        <v>-5.8799274823666536E-3</v>
      </c>
      <c r="CH216" s="341">
        <f t="shared" si="259"/>
        <v>2013</v>
      </c>
      <c r="CI216" s="341">
        <f t="shared" si="268"/>
        <v>1.066446422535348</v>
      </c>
      <c r="CJ216" s="419">
        <f>CI172</f>
        <v>1.0716511180550967</v>
      </c>
      <c r="CM216" s="341">
        <f t="shared" si="261"/>
        <v>2013</v>
      </c>
      <c r="CN216" s="341">
        <f t="shared" si="272"/>
        <v>0.99431547582833169</v>
      </c>
      <c r="CO216" s="341">
        <f>CN172</f>
        <v>0.98136228507416834</v>
      </c>
      <c r="CS216" s="341">
        <f t="shared" si="263"/>
        <v>2013</v>
      </c>
      <c r="CT216" s="341">
        <f t="shared" si="270"/>
        <v>1.0006598723498068</v>
      </c>
      <c r="CU216" s="341">
        <f>CT172</f>
        <v>0.99853618257928711</v>
      </c>
      <c r="CY216" s="341">
        <f t="shared" si="265"/>
        <v>2013</v>
      </c>
      <c r="CZ216" s="341">
        <f t="shared" si="271"/>
        <v>0.96936403095810242</v>
      </c>
      <c r="DA216" s="341">
        <f>CZ172</f>
        <v>0.97288694646587082</v>
      </c>
    </row>
    <row r="217" spans="83:105" s="341" customFormat="1" x14ac:dyDescent="0.2">
      <c r="CG217" s="341">
        <f t="shared" si="267"/>
        <v>-2.9399637411833268E-3</v>
      </c>
      <c r="CH217" s="341">
        <v>2014</v>
      </c>
      <c r="CI217" s="341">
        <f t="shared" ref="CI217:CI221" si="273">(CI216-CI215)*$CJ$181+CI216</f>
        <v>1.0635064587941647</v>
      </c>
      <c r="CM217" s="341">
        <f t="shared" si="261"/>
        <v>2014</v>
      </c>
      <c r="CN217" s="341">
        <f t="shared" si="272"/>
        <v>0.99424691740879156</v>
      </c>
      <c r="CS217" s="341">
        <f t="shared" si="263"/>
        <v>2014</v>
      </c>
      <c r="CT217" s="341">
        <f t="shared" ref="CT217:CT221" si="274">(CT216-CT215)*$CJ$181+CT216</f>
        <v>1.0018940890330237</v>
      </c>
      <c r="CY217" s="341">
        <f t="shared" si="265"/>
        <v>2014</v>
      </c>
      <c r="CZ217" s="341">
        <f t="shared" ref="CZ217:CZ221" si="275">(CZ216-CZ215)*$CJ$181+CZ216</f>
        <v>0.97087828989169633</v>
      </c>
    </row>
    <row r="218" spans="83:105" s="341" customFormat="1" x14ac:dyDescent="0.2">
      <c r="CG218" s="341">
        <f t="shared" si="267"/>
        <v>-1.4699818705916634E-3</v>
      </c>
      <c r="CH218" s="341">
        <v>2015</v>
      </c>
      <c r="CI218" s="341">
        <f t="shared" si="273"/>
        <v>1.0620364769235731</v>
      </c>
      <c r="CM218" s="341">
        <f t="shared" si="261"/>
        <v>2015</v>
      </c>
      <c r="CN218" s="341">
        <f t="shared" si="272"/>
        <v>0.9942126381990215</v>
      </c>
      <c r="CS218" s="341">
        <f t="shared" si="263"/>
        <v>2015</v>
      </c>
      <c r="CT218" s="341">
        <f t="shared" si="274"/>
        <v>1.0025111973746321</v>
      </c>
      <c r="CY218" s="341">
        <f t="shared" si="265"/>
        <v>2015</v>
      </c>
      <c r="CZ218" s="341">
        <f t="shared" si="275"/>
        <v>0.97163541935849329</v>
      </c>
    </row>
    <row r="219" spans="83:105" s="341" customFormat="1" x14ac:dyDescent="0.2">
      <c r="CG219" s="341">
        <f t="shared" si="267"/>
        <v>-7.349909352958317E-4</v>
      </c>
      <c r="CH219" s="341">
        <v>2016</v>
      </c>
      <c r="CI219" s="341">
        <f t="shared" si="273"/>
        <v>1.0613014859882772</v>
      </c>
      <c r="CM219" s="341">
        <f t="shared" si="261"/>
        <v>2016</v>
      </c>
      <c r="CN219" s="341">
        <f t="shared" si="272"/>
        <v>0.99419549859413647</v>
      </c>
      <c r="CS219" s="341">
        <f t="shared" si="263"/>
        <v>2016</v>
      </c>
      <c r="CT219" s="341">
        <f t="shared" si="274"/>
        <v>1.0028197515454362</v>
      </c>
      <c r="CY219" s="341">
        <f t="shared" si="265"/>
        <v>2016</v>
      </c>
      <c r="CZ219" s="341">
        <f t="shared" si="275"/>
        <v>0.97201398409189177</v>
      </c>
    </row>
    <row r="220" spans="83:105" s="341" customFormat="1" x14ac:dyDescent="0.2">
      <c r="CG220" s="341">
        <f t="shared" si="267"/>
        <v>-3.6749546764780483E-4</v>
      </c>
      <c r="CH220" s="341">
        <v>2017</v>
      </c>
      <c r="CI220" s="341">
        <f t="shared" si="273"/>
        <v>1.0609339905206294</v>
      </c>
      <c r="CM220" s="341">
        <f t="shared" si="261"/>
        <v>2017</v>
      </c>
      <c r="CN220" s="341">
        <f t="shared" si="272"/>
        <v>0.99418692879169401</v>
      </c>
      <c r="CS220" s="341">
        <f t="shared" si="263"/>
        <v>2017</v>
      </c>
      <c r="CT220" s="341">
        <f t="shared" si="274"/>
        <v>1.0029740286308382</v>
      </c>
      <c r="CY220" s="341">
        <f t="shared" si="265"/>
        <v>2017</v>
      </c>
      <c r="CZ220" s="341">
        <f t="shared" si="275"/>
        <v>0.97220326645859101</v>
      </c>
    </row>
    <row r="221" spans="83:105" s="341" customFormat="1" x14ac:dyDescent="0.2">
      <c r="CG221" s="341">
        <f t="shared" si="267"/>
        <v>-1.8374773382401344E-4</v>
      </c>
      <c r="CH221" s="341">
        <v>2018</v>
      </c>
      <c r="CI221" s="341">
        <f t="shared" si="273"/>
        <v>1.0607502427868054</v>
      </c>
      <c r="CM221" s="341">
        <f t="shared" si="261"/>
        <v>2018</v>
      </c>
      <c r="CN221" s="341">
        <f t="shared" si="272"/>
        <v>0.99418264389047284</v>
      </c>
      <c r="CS221" s="341">
        <f t="shared" si="263"/>
        <v>2018</v>
      </c>
      <c r="CT221" s="341">
        <f t="shared" si="274"/>
        <v>1.0030511671735391</v>
      </c>
      <c r="CY221" s="341">
        <f t="shared" si="265"/>
        <v>2018</v>
      </c>
      <c r="CZ221" s="341">
        <f t="shared" si="275"/>
        <v>0.97229790764194068</v>
      </c>
    </row>
    <row r="222" spans="83:105" s="341" customFormat="1" x14ac:dyDescent="0.2">
      <c r="CE222" s="341" t="s">
        <v>20</v>
      </c>
    </row>
    <row r="241" spans="90:90" x14ac:dyDescent="0.2">
      <c r="CL241" t="s">
        <v>731</v>
      </c>
    </row>
    <row r="267" spans="75:180" ht="18" x14ac:dyDescent="0.25">
      <c r="BW267" s="209" t="s">
        <v>32</v>
      </c>
    </row>
    <row r="268" spans="75:180" x14ac:dyDescent="0.2">
      <c r="BW268" s="1"/>
    </row>
    <row r="269" spans="75:180" x14ac:dyDescent="0.2">
      <c r="BW269" t="s">
        <v>760</v>
      </c>
      <c r="FI269" s="280" t="s">
        <v>733</v>
      </c>
      <c r="FV269" s="341" t="s">
        <v>733</v>
      </c>
      <c r="FW269" s="341"/>
      <c r="FX269" s="341"/>
    </row>
    <row r="270" spans="75:180" x14ac:dyDescent="0.2">
      <c r="BW270" t="s">
        <v>261</v>
      </c>
      <c r="BX270" s="2">
        <f>BX12</f>
        <v>718.41718216968968</v>
      </c>
      <c r="BY270" s="2">
        <f t="shared" ref="BY270:CF270" si="276">BY12</f>
        <v>617.30328634231284</v>
      </c>
      <c r="BZ270" s="2">
        <f t="shared" si="276"/>
        <v>466.73840610892523</v>
      </c>
      <c r="CA270" s="2">
        <f t="shared" si="276"/>
        <v>771.43489445771968</v>
      </c>
      <c r="CB270" s="2">
        <f t="shared" si="276"/>
        <v>700.65805340256384</v>
      </c>
      <c r="CC270" s="2">
        <f t="shared" si="276"/>
        <v>942.38809243698074</v>
      </c>
      <c r="CD270" s="2">
        <f t="shared" si="276"/>
        <v>989.53142009997691</v>
      </c>
      <c r="CE270" s="2">
        <f t="shared" si="276"/>
        <v>0</v>
      </c>
      <c r="CF270" s="2">
        <f t="shared" si="276"/>
        <v>809.06447582775183</v>
      </c>
      <c r="CG270" s="282"/>
      <c r="CJ270" s="2">
        <f>CJ12</f>
        <v>976.35041306580888</v>
      </c>
      <c r="CK270" s="2">
        <f t="shared" ref="CK270:CR270" si="277">CK12</f>
        <v>957.51808431854727</v>
      </c>
      <c r="CL270" s="2">
        <f t="shared" si="277"/>
        <v>826.9537206520331</v>
      </c>
      <c r="CM270" s="2">
        <f t="shared" si="277"/>
        <v>890.71319181891465</v>
      </c>
      <c r="CN270" s="2">
        <f t="shared" si="277"/>
        <v>916.8770379736975</v>
      </c>
      <c r="CO270" s="2">
        <f t="shared" si="277"/>
        <v>943.31866483615954</v>
      </c>
      <c r="CP270" s="2">
        <f t="shared" si="277"/>
        <v>1034.6515141564737</v>
      </c>
      <c r="CQ270" s="2">
        <f t="shared" si="277"/>
        <v>0</v>
      </c>
      <c r="CR270" s="2">
        <f t="shared" si="277"/>
        <v>939.00179310083502</v>
      </c>
      <c r="CU270" s="2">
        <f>CU12</f>
        <v>982.14060390002703</v>
      </c>
      <c r="CV270" s="2">
        <f t="shared" ref="CV270:DC270" si="278">CV12</f>
        <v>1015.779731035895</v>
      </c>
      <c r="CW270" s="2">
        <f t="shared" si="278"/>
        <v>847.2170044863949</v>
      </c>
      <c r="CX270" s="2">
        <f t="shared" si="278"/>
        <v>918.49908180635555</v>
      </c>
      <c r="CY270" s="2">
        <f t="shared" si="278"/>
        <v>955.098492927866</v>
      </c>
      <c r="CZ270" s="2">
        <f t="shared" si="278"/>
        <v>993.02305443347632</v>
      </c>
      <c r="DA270" s="2">
        <f t="shared" si="278"/>
        <v>1025.2990479519058</v>
      </c>
      <c r="DB270" s="2">
        <f t="shared" si="278"/>
        <v>1012.7612094901859</v>
      </c>
      <c r="DC270" s="2">
        <f t="shared" si="278"/>
        <v>966.64024447608335</v>
      </c>
      <c r="DF270" s="2">
        <f>DF12</f>
        <v>1032.6391967125535</v>
      </c>
      <c r="DG270" s="2">
        <f t="shared" ref="DG270:DN270" si="279">DG12</f>
        <v>1004.9372678060445</v>
      </c>
      <c r="DH270" s="2">
        <f t="shared" si="279"/>
        <v>881.94361139100818</v>
      </c>
      <c r="DI270" s="2">
        <f t="shared" si="279"/>
        <v>945.53843542552431</v>
      </c>
      <c r="DJ270" s="2">
        <f t="shared" si="279"/>
        <v>999.24436636711835</v>
      </c>
      <c r="DK270" s="2">
        <f t="shared" si="279"/>
        <v>975.54613414532378</v>
      </c>
      <c r="DL270" s="2">
        <f t="shared" si="279"/>
        <v>1087.3726297778362</v>
      </c>
      <c r="DM270" s="2">
        <f t="shared" si="279"/>
        <v>1109.7939526928772</v>
      </c>
      <c r="DN270" s="2">
        <f t="shared" si="279"/>
        <v>998.22785189173953</v>
      </c>
      <c r="DO270" s="2"/>
      <c r="DQ270" s="2">
        <f>DQ12</f>
        <v>1132.2294313588252</v>
      </c>
      <c r="DR270" s="2">
        <f t="shared" ref="DR270:DY270" si="280">DR12</f>
        <v>901.40385100397532</v>
      </c>
      <c r="DS270" s="2">
        <f t="shared" si="280"/>
        <v>851.77633800469903</v>
      </c>
      <c r="DT270" s="2">
        <f t="shared" si="280"/>
        <v>981.48598053400508</v>
      </c>
      <c r="DU270" s="2">
        <f t="shared" si="280"/>
        <v>977.31108951261149</v>
      </c>
      <c r="DV270" s="2">
        <f t="shared" si="280"/>
        <v>959.56263074970991</v>
      </c>
      <c r="DW270" s="2">
        <f t="shared" si="280"/>
        <v>1074.3312748353494</v>
      </c>
      <c r="DX270" s="2">
        <f t="shared" si="280"/>
        <v>1160.4762924751117</v>
      </c>
      <c r="DY270" s="2">
        <f t="shared" si="280"/>
        <v>1008.8160270695415</v>
      </c>
      <c r="EB270" s="2">
        <f>EB12</f>
        <v>1159.7487162049099</v>
      </c>
      <c r="EC270" s="2">
        <f t="shared" ref="EC270:EJ270" si="281">EC12</f>
        <v>990.52376426116427</v>
      </c>
      <c r="ED270" s="2">
        <f t="shared" si="281"/>
        <v>853.61236394795355</v>
      </c>
      <c r="EE270" s="2">
        <f t="shared" si="281"/>
        <v>982.8962449442771</v>
      </c>
      <c r="EF270" s="2">
        <f t="shared" si="281"/>
        <v>962.44050632519827</v>
      </c>
      <c r="EG270" s="2">
        <f t="shared" si="281"/>
        <v>998.19926043202474</v>
      </c>
      <c r="EH270" s="2">
        <f t="shared" si="281"/>
        <v>1048.9864462429641</v>
      </c>
      <c r="EI270" s="2">
        <f t="shared" si="281"/>
        <v>1171.8780711653335</v>
      </c>
      <c r="EJ270" s="2">
        <f t="shared" si="281"/>
        <v>1021.032830224587</v>
      </c>
      <c r="EK270" s="1"/>
      <c r="EM270" s="2">
        <f>EM12</f>
        <v>1129.7838852386815</v>
      </c>
      <c r="EN270" s="2">
        <f t="shared" ref="EN270:EU270" si="282">EN12</f>
        <v>1170.1585387470502</v>
      </c>
      <c r="EO270" s="2">
        <f t="shared" si="282"/>
        <v>868.57403924110554</v>
      </c>
      <c r="EP270" s="2">
        <f t="shared" si="282"/>
        <v>956.16850746383386</v>
      </c>
      <c r="EQ270" s="2">
        <f t="shared" si="282"/>
        <v>973.7869681719244</v>
      </c>
      <c r="ER270" s="2">
        <f t="shared" si="282"/>
        <v>1024.5879920169527</v>
      </c>
      <c r="ES270" s="2">
        <f t="shared" si="282"/>
        <v>1133.2582693661616</v>
      </c>
      <c r="ET270" s="2">
        <f t="shared" si="282"/>
        <v>1210.9836100654754</v>
      </c>
      <c r="EU270" s="2">
        <f t="shared" si="282"/>
        <v>1042.6252707255142</v>
      </c>
      <c r="FI270" s="344">
        <f t="shared" ref="FI270" si="283">FI12</f>
        <v>1029.9348899107229</v>
      </c>
      <c r="FW270" s="344">
        <f t="shared" ref="FW270" si="284">FW12</f>
        <v>1035.0002164622872</v>
      </c>
    </row>
    <row r="271" spans="75:180" x14ac:dyDescent="0.2">
      <c r="BX271" s="2">
        <f>BX43</f>
        <v>398.54619078395547</v>
      </c>
      <c r="BY271" s="2">
        <f t="shared" ref="BY271:CF271" si="285">BY43</f>
        <v>643.79230126477398</v>
      </c>
      <c r="BZ271" s="2">
        <f t="shared" si="285"/>
        <v>571.52443804956965</v>
      </c>
      <c r="CA271" s="2">
        <f t="shared" si="285"/>
        <v>411.35572895975235</v>
      </c>
      <c r="CB271" s="2">
        <f t="shared" si="285"/>
        <v>879.97628878351281</v>
      </c>
      <c r="CC271" s="2">
        <f t="shared" si="285"/>
        <v>1494.7708936169854</v>
      </c>
      <c r="CD271" s="2">
        <f t="shared" si="285"/>
        <v>1003.2881146985171</v>
      </c>
      <c r="CE271" s="2">
        <f t="shared" si="285"/>
        <v>0</v>
      </c>
      <c r="CF271" s="2">
        <f t="shared" si="285"/>
        <v>604.72277629057885</v>
      </c>
      <c r="CG271" s="282"/>
      <c r="CJ271" s="2">
        <f>CJ43</f>
        <v>1029.222826983287</v>
      </c>
      <c r="CK271" s="2">
        <f t="shared" ref="CK271:CR271" si="286">CK43</f>
        <v>1252.1560606501989</v>
      </c>
      <c r="CL271" s="2">
        <f t="shared" si="286"/>
        <v>847.0435276179029</v>
      </c>
      <c r="CM271" s="2">
        <f t="shared" si="286"/>
        <v>834.80608273530891</v>
      </c>
      <c r="CN271" s="2">
        <f t="shared" si="286"/>
        <v>887.8167361507609</v>
      </c>
      <c r="CO271" s="2">
        <f t="shared" si="286"/>
        <v>1112.0832790721031</v>
      </c>
      <c r="CP271" s="2">
        <f t="shared" si="286"/>
        <v>963.82584946065754</v>
      </c>
      <c r="CQ271" s="2">
        <f t="shared" si="286"/>
        <v>0</v>
      </c>
      <c r="CR271" s="2">
        <f t="shared" si="286"/>
        <v>990.88623916643144</v>
      </c>
      <c r="CU271" s="2">
        <f>CU43</f>
        <v>1029.8637171927305</v>
      </c>
      <c r="CV271" s="2">
        <f t="shared" ref="CV271:DC271" si="287">CV43</f>
        <v>1302.3793517392135</v>
      </c>
      <c r="CW271" s="2">
        <f t="shared" si="287"/>
        <v>856.87470175282465</v>
      </c>
      <c r="CX271" s="2">
        <f t="shared" si="287"/>
        <v>933.80967103881756</v>
      </c>
      <c r="CY271" s="2">
        <f t="shared" si="287"/>
        <v>1011.2931093605507</v>
      </c>
      <c r="CZ271" s="2">
        <f t="shared" si="287"/>
        <v>1340.7660316708968</v>
      </c>
      <c r="DA271" s="2">
        <f t="shared" si="287"/>
        <v>1122.7551918675035</v>
      </c>
      <c r="DB271" s="2">
        <f t="shared" si="287"/>
        <v>1095.495987001156</v>
      </c>
      <c r="DC271" s="2">
        <f t="shared" si="287"/>
        <v>1050.9509896070183</v>
      </c>
      <c r="DF271" s="2">
        <f>DF43</f>
        <v>1072.2646930223402</v>
      </c>
      <c r="DG271" s="2">
        <f t="shared" ref="DG271:DN271" si="288">DG43</f>
        <v>1185.8042126330611</v>
      </c>
      <c r="DH271" s="2">
        <f t="shared" si="288"/>
        <v>910.60037524665108</v>
      </c>
      <c r="DI271" s="2">
        <f t="shared" si="288"/>
        <v>1027.7542232058356</v>
      </c>
      <c r="DJ271" s="2">
        <f t="shared" si="288"/>
        <v>1074.8776853918357</v>
      </c>
      <c r="DK271" s="2">
        <f t="shared" si="288"/>
        <v>1183.4497209094943</v>
      </c>
      <c r="DL271" s="2">
        <f t="shared" si="288"/>
        <v>1147.0126538468376</v>
      </c>
      <c r="DM271" s="2">
        <f t="shared" si="288"/>
        <v>1398.5458959977441</v>
      </c>
      <c r="DN271" s="2">
        <f t="shared" si="288"/>
        <v>1077.9719147620899</v>
      </c>
      <c r="DO271" s="2"/>
      <c r="DQ271" s="2">
        <f>DQ43</f>
        <v>1146.2609903257658</v>
      </c>
      <c r="DR271" s="2">
        <f t="shared" ref="DR271:DY271" si="289">DR43</f>
        <v>994.85936772908622</v>
      </c>
      <c r="DS271" s="2">
        <f t="shared" si="289"/>
        <v>888.36663654213748</v>
      </c>
      <c r="DT271" s="2">
        <f t="shared" si="289"/>
        <v>988.97889920819262</v>
      </c>
      <c r="DU271" s="2">
        <f t="shared" si="289"/>
        <v>1004.6649336068803</v>
      </c>
      <c r="DV271" s="2">
        <f t="shared" si="289"/>
        <v>1129.9235544962462</v>
      </c>
      <c r="DW271" s="2">
        <f t="shared" si="289"/>
        <v>1139.7546294469105</v>
      </c>
      <c r="DX271" s="2">
        <f t="shared" si="289"/>
        <v>1146.8028766024927</v>
      </c>
      <c r="DY271" s="2">
        <f t="shared" si="289"/>
        <v>1071.2828122143608</v>
      </c>
      <c r="EB271" s="2">
        <f>EB43</f>
        <v>1197.550372784056</v>
      </c>
      <c r="EC271" s="2">
        <f t="shared" ref="EC271:EJ271" si="290">EC43</f>
        <v>994.7207639988743</v>
      </c>
      <c r="ED271" s="2">
        <f t="shared" si="290"/>
        <v>887.46655477179581</v>
      </c>
      <c r="EE271" s="2">
        <f t="shared" si="290"/>
        <v>1014.7713455999723</v>
      </c>
      <c r="EF271" s="2">
        <f t="shared" si="290"/>
        <v>989.05485934276862</v>
      </c>
      <c r="EG271" s="2">
        <f t="shared" si="290"/>
        <v>1112.3670336954842</v>
      </c>
      <c r="EH271" s="2">
        <f t="shared" si="290"/>
        <v>1216.9481664194086</v>
      </c>
      <c r="EI271" s="2">
        <f t="shared" si="290"/>
        <v>1307.002741926631</v>
      </c>
      <c r="EJ271" s="2">
        <f t="shared" si="290"/>
        <v>1097.5144470014764</v>
      </c>
      <c r="EL271" s="2"/>
      <c r="EM271" s="2">
        <f>EM43</f>
        <v>1169.5087221504559</v>
      </c>
      <c r="EN271" s="2">
        <f t="shared" ref="EN271:EU271" si="291">EN43</f>
        <v>934.18195841603699</v>
      </c>
      <c r="EO271" s="2">
        <f t="shared" si="291"/>
        <v>999.58389064870335</v>
      </c>
      <c r="EP271" s="2">
        <f t="shared" si="291"/>
        <v>1027.5300655564793</v>
      </c>
      <c r="EQ271" s="2">
        <f t="shared" si="291"/>
        <v>1110.2173256828071</v>
      </c>
      <c r="ER271" s="2">
        <f t="shared" si="291"/>
        <v>1054.0660479428582</v>
      </c>
      <c r="ES271" s="2">
        <f t="shared" si="291"/>
        <v>1519.9254339333606</v>
      </c>
      <c r="ET271" s="2">
        <f t="shared" si="291"/>
        <v>1656.4762081689112</v>
      </c>
      <c r="EU271" s="2">
        <f t="shared" si="291"/>
        <v>1134.9234553996093</v>
      </c>
      <c r="FI271" s="344">
        <f t="shared" ref="FI271" si="292">FI43</f>
        <v>1087.2095258828892</v>
      </c>
      <c r="FW271" s="344">
        <f t="shared" ref="FW271" si="293">FW43</f>
        <v>1187.8280450664031</v>
      </c>
    </row>
    <row r="272" spans="75:180" x14ac:dyDescent="0.2">
      <c r="BX272" s="2">
        <f>BX72</f>
        <v>1232.284483546299</v>
      </c>
      <c r="BY272" s="2">
        <f t="shared" ref="BY272:CF272" si="294">BY72</f>
        <v>905.11368403204233</v>
      </c>
      <c r="BZ272" s="2">
        <f t="shared" si="294"/>
        <v>449.30460826457676</v>
      </c>
      <c r="CA272" s="2">
        <f t="shared" si="294"/>
        <v>709.57077077526242</v>
      </c>
      <c r="CB272" s="2">
        <f t="shared" si="294"/>
        <v>575.06776263604559</v>
      </c>
      <c r="CC272" s="2">
        <f t="shared" si="294"/>
        <v>907.28570730821548</v>
      </c>
      <c r="CD272" s="2">
        <f t="shared" si="294"/>
        <v>884.6327135527365</v>
      </c>
      <c r="CE272" s="2">
        <f t="shared" si="294"/>
        <v>0</v>
      </c>
      <c r="CF272" s="2">
        <f t="shared" si="294"/>
        <v>871.2680171202046</v>
      </c>
      <c r="CG272" s="282"/>
      <c r="CJ272" s="2">
        <f>CJ72</f>
        <v>1044.2638276026366</v>
      </c>
      <c r="CK272" s="2">
        <f t="shared" ref="CK272:CR272" si="295">CK72</f>
        <v>793.8113714249389</v>
      </c>
      <c r="CL272" s="2">
        <f t="shared" si="295"/>
        <v>886.1765888732557</v>
      </c>
      <c r="CM272" s="2">
        <f t="shared" si="295"/>
        <v>1049.6459686122987</v>
      </c>
      <c r="CN272" s="2">
        <f t="shared" si="295"/>
        <v>821.13756056679244</v>
      </c>
      <c r="CO272" s="2">
        <f t="shared" si="295"/>
        <v>967.34853971623124</v>
      </c>
      <c r="CP272" s="2">
        <f t="shared" si="295"/>
        <v>1039.2150990058342</v>
      </c>
      <c r="CQ272" s="2">
        <f t="shared" si="295"/>
        <v>0</v>
      </c>
      <c r="CR272" s="2">
        <f t="shared" si="295"/>
        <v>955.81770178314844</v>
      </c>
      <c r="CU272" s="2">
        <f>CU72</f>
        <v>1034.3440977668215</v>
      </c>
      <c r="CV272" s="2">
        <f t="shared" ref="CV272:DC272" si="296">CV72</f>
        <v>798.41795667744725</v>
      </c>
      <c r="CW272" s="2">
        <f t="shared" si="296"/>
        <v>860.5375961400191</v>
      </c>
      <c r="CX272" s="2">
        <f t="shared" si="296"/>
        <v>974.81635166498017</v>
      </c>
      <c r="CY272" s="2">
        <f t="shared" si="296"/>
        <v>850.47270916001719</v>
      </c>
      <c r="CZ272" s="2">
        <f t="shared" si="296"/>
        <v>1113.406128244799</v>
      </c>
      <c r="DA272" s="2">
        <f t="shared" si="296"/>
        <v>1040.5896774890512</v>
      </c>
      <c r="DB272" s="2">
        <f t="shared" si="296"/>
        <v>794.60837733466326</v>
      </c>
      <c r="DC272" s="2">
        <f t="shared" si="296"/>
        <v>967.08496329105196</v>
      </c>
      <c r="DF272" s="2">
        <f>DF72</f>
        <v>1097.7334247572287</v>
      </c>
      <c r="DG272" s="2">
        <f t="shared" ref="DG272:DN272" si="297">DG72</f>
        <v>1023.3381052863764</v>
      </c>
      <c r="DH272" s="2">
        <f t="shared" si="297"/>
        <v>1007.5764016313831</v>
      </c>
      <c r="DI272" s="2">
        <f t="shared" si="297"/>
        <v>917.55617254167828</v>
      </c>
      <c r="DJ272" s="2">
        <f t="shared" si="297"/>
        <v>917.37098486660523</v>
      </c>
      <c r="DK272" s="2">
        <f t="shared" si="297"/>
        <v>1074.1231976995059</v>
      </c>
      <c r="DL272" s="2">
        <f t="shared" si="297"/>
        <v>1102.9785647786371</v>
      </c>
      <c r="DM272" s="2">
        <f t="shared" si="297"/>
        <v>947.27350134534731</v>
      </c>
      <c r="DN272" s="2">
        <f t="shared" si="297"/>
        <v>1012.3673313569964</v>
      </c>
      <c r="DO272" s="2"/>
      <c r="DQ272" s="2">
        <f>DQ72</f>
        <v>1220.2909927396249</v>
      </c>
      <c r="DR272" s="2">
        <f t="shared" ref="DR272:DY272" si="298">DR72</f>
        <v>980.04232242592877</v>
      </c>
      <c r="DS272" s="2">
        <f t="shared" si="298"/>
        <v>749.30866401707635</v>
      </c>
      <c r="DT272" s="2">
        <f t="shared" si="298"/>
        <v>1031.1845607719549</v>
      </c>
      <c r="DU272" s="2">
        <f t="shared" si="298"/>
        <v>883.83806665113775</v>
      </c>
      <c r="DV272" s="2">
        <f t="shared" si="298"/>
        <v>1028.2829047115426</v>
      </c>
      <c r="DW272" s="2">
        <f t="shared" si="298"/>
        <v>1103.9364085660602</v>
      </c>
      <c r="DX272" s="2">
        <f t="shared" si="298"/>
        <v>1134.5961759973991</v>
      </c>
      <c r="DY272" s="2">
        <f t="shared" si="298"/>
        <v>1023.7918418871722</v>
      </c>
      <c r="EB272" s="2">
        <f>EB72</f>
        <v>1271.0615893124254</v>
      </c>
      <c r="EC272" s="2">
        <f t="shared" ref="EC272:EJ272" si="299">EC72</f>
        <v>1244.7178766563682</v>
      </c>
      <c r="ED272" s="2">
        <f t="shared" si="299"/>
        <v>865.87843492745992</v>
      </c>
      <c r="EE272" s="2">
        <f t="shared" si="299"/>
        <v>997.79100125889352</v>
      </c>
      <c r="EF272" s="2">
        <f t="shared" si="299"/>
        <v>876.77142558455466</v>
      </c>
      <c r="EG272" s="2">
        <f t="shared" si="299"/>
        <v>1173.4828186661894</v>
      </c>
      <c r="EH272" s="2">
        <f t="shared" si="299"/>
        <v>1065.1228172821345</v>
      </c>
      <c r="EI272" s="2">
        <f t="shared" si="299"/>
        <v>1218.3014925453319</v>
      </c>
      <c r="EJ272" s="2">
        <f t="shared" si="299"/>
        <v>1063.6003280002581</v>
      </c>
      <c r="EL272" s="2"/>
      <c r="EM272" s="2">
        <f>EM72</f>
        <v>1214.1275498532336</v>
      </c>
      <c r="EN272" s="2">
        <f t="shared" ref="EN272:EU272" si="300">EN72</f>
        <v>1542.0488293648198</v>
      </c>
      <c r="EO272" s="2">
        <f t="shared" si="300"/>
        <v>795.10110190338071</v>
      </c>
      <c r="EP272" s="2">
        <f t="shared" si="300"/>
        <v>919.70352910358633</v>
      </c>
      <c r="EQ272" s="2">
        <f t="shared" si="300"/>
        <v>861.18445685708446</v>
      </c>
      <c r="ER272" s="2">
        <f t="shared" si="300"/>
        <v>1342.8820560602062</v>
      </c>
      <c r="ES272" s="2">
        <f t="shared" si="300"/>
        <v>1256.4009770650146</v>
      </c>
      <c r="ET272" s="2">
        <f t="shared" si="300"/>
        <v>1236.0358184790798</v>
      </c>
      <c r="EU272" s="2">
        <f t="shared" si="300"/>
        <v>1081.8057205677383</v>
      </c>
      <c r="FI272" s="344">
        <f t="shared" ref="FI272" si="301">FI72</f>
        <v>1031.9568644969311</v>
      </c>
      <c r="FW272" s="344">
        <f t="shared" ref="FW272" si="302">FW72</f>
        <v>1023.9558185750883</v>
      </c>
    </row>
    <row r="273" spans="75:179" x14ac:dyDescent="0.2">
      <c r="BX273" s="2">
        <f>BX101</f>
        <v>844.22215883841955</v>
      </c>
      <c r="BY273" s="2">
        <f t="shared" ref="BY273:CF273" si="303">BY101</f>
        <v>936.05390631076239</v>
      </c>
      <c r="BZ273" s="2">
        <f t="shared" si="303"/>
        <v>361.22330702436227</v>
      </c>
      <c r="CA273" s="2">
        <f t="shared" si="303"/>
        <v>699.01640943758116</v>
      </c>
      <c r="CB273" s="2">
        <f t="shared" si="303"/>
        <v>747.01252125884957</v>
      </c>
      <c r="CC273" s="2">
        <f t="shared" si="303"/>
        <v>910.92754021339192</v>
      </c>
      <c r="CD273" s="2">
        <f t="shared" si="303"/>
        <v>1064.3559745888522</v>
      </c>
      <c r="CE273" s="2">
        <f t="shared" si="303"/>
        <v>0</v>
      </c>
      <c r="CF273" s="2">
        <f t="shared" si="303"/>
        <v>875.39751600961642</v>
      </c>
      <c r="CG273" s="282"/>
      <c r="CJ273" s="2">
        <f>CJ101</f>
        <v>973.22824801139916</v>
      </c>
      <c r="CK273" s="2">
        <f t="shared" ref="CK273:CR273" si="304">CK101</f>
        <v>868.96838035293456</v>
      </c>
      <c r="CL273" s="2">
        <f t="shared" si="304"/>
        <v>815.87794592071498</v>
      </c>
      <c r="CM273" s="2">
        <f t="shared" si="304"/>
        <v>886.39012694832059</v>
      </c>
      <c r="CN273" s="2">
        <f t="shared" si="304"/>
        <v>990.55969941981834</v>
      </c>
      <c r="CO273" s="2">
        <f t="shared" si="304"/>
        <v>939.50270316984393</v>
      </c>
      <c r="CP273" s="2">
        <f t="shared" si="304"/>
        <v>1092.3221108085761</v>
      </c>
      <c r="CQ273" s="2">
        <f t="shared" si="304"/>
        <v>0</v>
      </c>
      <c r="CR273" s="2">
        <f t="shared" si="304"/>
        <v>961.25672761818601</v>
      </c>
      <c r="CU273" s="2">
        <f>CU101</f>
        <v>967.74688406213124</v>
      </c>
      <c r="CV273" s="2">
        <f t="shared" ref="CV273:DC273" si="305">CV101</f>
        <v>986.48413176901136</v>
      </c>
      <c r="CW273" s="2">
        <f t="shared" si="305"/>
        <v>853.63185590217813</v>
      </c>
      <c r="CX273" s="2">
        <f t="shared" si="305"/>
        <v>959.66349087920378</v>
      </c>
      <c r="CY273" s="2">
        <f t="shared" si="305"/>
        <v>1020.2012249907273</v>
      </c>
      <c r="CZ273" s="2">
        <f t="shared" si="305"/>
        <v>928.02942959369386</v>
      </c>
      <c r="DA273" s="2">
        <f t="shared" si="305"/>
        <v>1046.9254576548526</v>
      </c>
      <c r="DB273" s="2">
        <f t="shared" si="305"/>
        <v>1074.9547106253253</v>
      </c>
      <c r="DC273" s="2">
        <f t="shared" si="305"/>
        <v>978.75417063767748</v>
      </c>
      <c r="DF273" s="2">
        <f>DF101</f>
        <v>1054.3604557840281</v>
      </c>
      <c r="DG273" s="2">
        <f t="shared" ref="DG273:DN273" si="306">DG101</f>
        <v>886.43774820573685</v>
      </c>
      <c r="DH273" s="2">
        <f t="shared" si="306"/>
        <v>869.4868936815601</v>
      </c>
      <c r="DI273" s="2">
        <f t="shared" si="306"/>
        <v>1032.6624208692513</v>
      </c>
      <c r="DJ273" s="2">
        <f t="shared" si="306"/>
        <v>1074.9530051703955</v>
      </c>
      <c r="DK273" s="2">
        <f t="shared" si="306"/>
        <v>959.73695881111018</v>
      </c>
      <c r="DL273" s="2">
        <f t="shared" si="306"/>
        <v>1143.5305797561364</v>
      </c>
      <c r="DM273" s="2">
        <f t="shared" si="306"/>
        <v>1133.8328586391301</v>
      </c>
      <c r="DN273" s="2">
        <f t="shared" si="306"/>
        <v>1030.8866584195389</v>
      </c>
      <c r="DO273" s="2"/>
      <c r="DQ273" s="2">
        <f>DQ101</f>
        <v>1215.4590244987369</v>
      </c>
      <c r="DR273" s="2">
        <f t="shared" ref="DR273:DY273" si="307">DR101</f>
        <v>767.68946229874427</v>
      </c>
      <c r="DS273" s="2">
        <f t="shared" si="307"/>
        <v>974.05461705112123</v>
      </c>
      <c r="DT273" s="2">
        <f t="shared" si="307"/>
        <v>1087.3584609103748</v>
      </c>
      <c r="DU273" s="2">
        <f t="shared" si="307"/>
        <v>1058.0566808056503</v>
      </c>
      <c r="DV273" s="2">
        <f t="shared" si="307"/>
        <v>953.11336515014045</v>
      </c>
      <c r="DW273" s="2">
        <f t="shared" si="307"/>
        <v>1096.4590291625716</v>
      </c>
      <c r="DX273" s="2">
        <f t="shared" si="307"/>
        <v>1195.1080925793103</v>
      </c>
      <c r="DY273" s="2">
        <f t="shared" si="307"/>
        <v>1041.8466251289619</v>
      </c>
      <c r="EB273" s="2">
        <f>EB101</f>
        <v>1081.8218513611916</v>
      </c>
      <c r="EC273" s="2">
        <f t="shared" ref="EC273:EJ273" si="308">EC101</f>
        <v>920.7143578439219</v>
      </c>
      <c r="ED273" s="2">
        <f t="shared" si="308"/>
        <v>878.56320089860571</v>
      </c>
      <c r="EE273" s="2">
        <f t="shared" si="308"/>
        <v>1096.750086167063</v>
      </c>
      <c r="EF273" s="2">
        <f t="shared" si="308"/>
        <v>1049.4266662303344</v>
      </c>
      <c r="EG273" s="2">
        <f t="shared" si="308"/>
        <v>950.91881207002996</v>
      </c>
      <c r="EH273" s="2">
        <f t="shared" si="308"/>
        <v>1089.4872001085178</v>
      </c>
      <c r="EI273" s="2">
        <f t="shared" si="308"/>
        <v>1250.0156985568226</v>
      </c>
      <c r="EJ273" s="2">
        <f t="shared" si="308"/>
        <v>1044.64399990211</v>
      </c>
      <c r="EL273" s="2"/>
      <c r="EM273" s="2">
        <f>EM101</f>
        <v>1011.4910302903545</v>
      </c>
      <c r="EN273" s="2">
        <f t="shared" ref="EN273:EU273" si="309">EN101</f>
        <v>770.02935392727079</v>
      </c>
      <c r="EO273" s="2">
        <f t="shared" si="309"/>
        <v>842.99292949624464</v>
      </c>
      <c r="EP273" s="2">
        <f t="shared" si="309"/>
        <v>1040.4020276548379</v>
      </c>
      <c r="EQ273" s="2">
        <f t="shared" si="309"/>
        <v>1020.8617163342274</v>
      </c>
      <c r="ER273" s="2">
        <f t="shared" si="309"/>
        <v>967.58786032736145</v>
      </c>
      <c r="ES273" s="2">
        <f t="shared" si="309"/>
        <v>1120.9673121005217</v>
      </c>
      <c r="ET273" s="2">
        <f t="shared" si="309"/>
        <v>1222.563976795662</v>
      </c>
      <c r="EU273" s="2">
        <f t="shared" si="309"/>
        <v>1029.3757397156458</v>
      </c>
      <c r="FI273" s="344">
        <f t="shared" ref="FI273" si="310">FI101</f>
        <v>1075.8434983397926</v>
      </c>
      <c r="FW273" s="344">
        <f t="shared" ref="FW273" si="311">FW101</f>
        <v>1037.7242138644042</v>
      </c>
    </row>
    <row r="274" spans="75:179" x14ac:dyDescent="0.2">
      <c r="BX274" s="2">
        <f>BX130</f>
        <v>655.30627876136077</v>
      </c>
      <c r="BY274" s="2">
        <f t="shared" ref="BY274:CF274" si="312">BY130</f>
        <v>322.11510100533826</v>
      </c>
      <c r="BZ274" s="2">
        <f t="shared" si="312"/>
        <v>616.69823713340895</v>
      </c>
      <c r="CA274" s="2">
        <f t="shared" si="312"/>
        <v>1066.2553148316931</v>
      </c>
      <c r="CB274" s="2">
        <f t="shared" si="312"/>
        <v>691.23955317788432</v>
      </c>
      <c r="CC274" s="2">
        <f t="shared" si="312"/>
        <v>898.08592318928936</v>
      </c>
      <c r="CD274" s="2">
        <f t="shared" si="312"/>
        <v>954.62943618744271</v>
      </c>
      <c r="CE274" s="2">
        <f t="shared" si="312"/>
        <v>0</v>
      </c>
      <c r="CF274" s="2">
        <f t="shared" si="312"/>
        <v>817.7225078042037</v>
      </c>
      <c r="CG274" s="282"/>
      <c r="CJ274" s="2">
        <f>CJ130</f>
        <v>715.18056460821697</v>
      </c>
      <c r="CK274" s="2">
        <f t="shared" ref="CK274:CR274" si="313">CK130</f>
        <v>795.79422432328522</v>
      </c>
      <c r="CL274" s="2">
        <f t="shared" si="313"/>
        <v>790.68667327715866</v>
      </c>
      <c r="CM274" s="2">
        <f t="shared" si="313"/>
        <v>845.24461022276353</v>
      </c>
      <c r="CN274" s="2">
        <f t="shared" si="313"/>
        <v>900.96511325183747</v>
      </c>
      <c r="CO274" s="2">
        <f t="shared" si="313"/>
        <v>904.83171063798522</v>
      </c>
      <c r="CP274" s="2">
        <f t="shared" si="313"/>
        <v>976.79988116175502</v>
      </c>
      <c r="CQ274" s="2">
        <f t="shared" si="313"/>
        <v>0</v>
      </c>
      <c r="CR274" s="2">
        <f t="shared" si="313"/>
        <v>870.44213322917881</v>
      </c>
      <c r="CU274" s="2">
        <f>CU130</f>
        <v>743.10145740379221</v>
      </c>
      <c r="CV274" s="2">
        <f t="shared" ref="CV274:DC274" si="314">CV130</f>
        <v>827.48644742130296</v>
      </c>
      <c r="CW274" s="2">
        <f t="shared" si="314"/>
        <v>828.3085968207605</v>
      </c>
      <c r="CX274" s="2">
        <f t="shared" si="314"/>
        <v>839.00439796328806</v>
      </c>
      <c r="CY274" s="2">
        <f t="shared" si="314"/>
        <v>922.83194167953752</v>
      </c>
      <c r="CZ274" s="2">
        <f t="shared" si="314"/>
        <v>939.64575410658904</v>
      </c>
      <c r="DA274" s="2">
        <f t="shared" si="314"/>
        <v>967.83232646524721</v>
      </c>
      <c r="DB274" s="2">
        <f t="shared" si="314"/>
        <v>1071.0783770796272</v>
      </c>
      <c r="DC274" s="2">
        <f t="shared" si="314"/>
        <v>892.34887921470943</v>
      </c>
      <c r="DF274" s="2">
        <f>DF130</f>
        <v>765.66594014985787</v>
      </c>
      <c r="DG274" s="2">
        <f t="shared" ref="DG274:DN274" si="315">DG130</f>
        <v>876.03621666686502</v>
      </c>
      <c r="DH274" s="2">
        <f t="shared" si="315"/>
        <v>795.4216825701651</v>
      </c>
      <c r="DI274" s="2">
        <f t="shared" si="315"/>
        <v>831.05785339039005</v>
      </c>
      <c r="DJ274" s="2">
        <f t="shared" si="315"/>
        <v>918.52696186328467</v>
      </c>
      <c r="DK274" s="2">
        <f t="shared" si="315"/>
        <v>901.4417581313711</v>
      </c>
      <c r="DL274" s="2">
        <f t="shared" si="315"/>
        <v>995.47929395594667</v>
      </c>
      <c r="DM274" s="2">
        <f t="shared" si="315"/>
        <v>1085.366474172258</v>
      </c>
      <c r="DN274" s="2">
        <f t="shared" si="315"/>
        <v>889.27058423323808</v>
      </c>
      <c r="DO274" s="2"/>
      <c r="DQ274" s="2">
        <f>DQ130</f>
        <v>819.40986257057079</v>
      </c>
      <c r="DR274" s="2">
        <f t="shared" ref="DR274:DY274" si="316">DR130</f>
        <v>855.33917075920317</v>
      </c>
      <c r="DS274" s="2">
        <f t="shared" si="316"/>
        <v>795.52601006500265</v>
      </c>
      <c r="DT274" s="2">
        <f t="shared" si="316"/>
        <v>854.99154308367565</v>
      </c>
      <c r="DU274" s="2">
        <f t="shared" si="316"/>
        <v>924.63591089039426</v>
      </c>
      <c r="DV274" s="2">
        <f t="shared" si="316"/>
        <v>892.41919461656641</v>
      </c>
      <c r="DW274" s="2">
        <f t="shared" si="316"/>
        <v>1016.5994176576733</v>
      </c>
      <c r="DX274" s="2">
        <f t="shared" si="316"/>
        <v>1128.6129705660096</v>
      </c>
      <c r="DY274" s="2">
        <f t="shared" si="316"/>
        <v>907.33635107899397</v>
      </c>
      <c r="EB274" s="2">
        <f>EB130</f>
        <v>803.44280775561162</v>
      </c>
      <c r="EC274" s="2">
        <f t="shared" ref="EC274:EJ274" si="317">EC130</f>
        <v>903.45894217511398</v>
      </c>
      <c r="ED274" s="2">
        <f t="shared" si="317"/>
        <v>806.86589820171218</v>
      </c>
      <c r="EE274" s="2">
        <f t="shared" si="317"/>
        <v>853.20503300772566</v>
      </c>
      <c r="EF274" s="2">
        <f t="shared" si="317"/>
        <v>900.81108762540725</v>
      </c>
      <c r="EG274" s="2">
        <f t="shared" si="317"/>
        <v>942.02726179279045</v>
      </c>
      <c r="EH274" s="2">
        <f t="shared" si="317"/>
        <v>949.86804881902583</v>
      </c>
      <c r="EI274" s="2">
        <f t="shared" si="317"/>
        <v>985.79850635337266</v>
      </c>
      <c r="EJ274" s="2">
        <f t="shared" si="317"/>
        <v>897.52389733545226</v>
      </c>
      <c r="EL274" s="2"/>
      <c r="EM274" s="2">
        <f>EM130</f>
        <v>904.01360089489697</v>
      </c>
      <c r="EN274" s="2">
        <f t="shared" ref="EN274:EU274" si="318">EN130</f>
        <v>1713.6421058475239</v>
      </c>
      <c r="EO274" s="2">
        <f t="shared" si="318"/>
        <v>813.15865531938039</v>
      </c>
      <c r="EP274" s="2">
        <f t="shared" si="318"/>
        <v>854.90420330564689</v>
      </c>
      <c r="EQ274" s="2">
        <f t="shared" si="318"/>
        <v>926.36782114870482</v>
      </c>
      <c r="ER274" s="2">
        <f t="shared" si="318"/>
        <v>939.86697073787093</v>
      </c>
      <c r="ES274" s="2">
        <f t="shared" si="318"/>
        <v>984.399687446852</v>
      </c>
      <c r="ET274" s="2">
        <f t="shared" si="318"/>
        <v>1010.4664738429933</v>
      </c>
      <c r="EU274" s="2">
        <f t="shared" si="318"/>
        <v>955.33157623578654</v>
      </c>
      <c r="FI274" s="344">
        <f t="shared" ref="FI274" si="319">FI130</f>
        <v>918.05093892865841</v>
      </c>
      <c r="FW274" s="344">
        <f t="shared" ref="FW274" si="320">FW130</f>
        <v>908.93724070896565</v>
      </c>
    </row>
    <row r="275" spans="75:179" x14ac:dyDescent="0.2">
      <c r="FW275" s="344"/>
    </row>
    <row r="276" spans="75:179" x14ac:dyDescent="0.2">
      <c r="BW276" t="s">
        <v>766</v>
      </c>
    </row>
    <row r="277" spans="75:179" x14ac:dyDescent="0.2">
      <c r="BW277" t="s">
        <v>765</v>
      </c>
      <c r="BX277" t="s">
        <v>327</v>
      </c>
    </row>
    <row r="278" spans="75:179" x14ac:dyDescent="0.2">
      <c r="BY278">
        <v>1999</v>
      </c>
      <c r="BZ278">
        <v>2001</v>
      </c>
      <c r="CA278">
        <v>2003</v>
      </c>
      <c r="CB278">
        <v>2005</v>
      </c>
      <c r="CC278">
        <v>2007</v>
      </c>
      <c r="CD278">
        <v>2009</v>
      </c>
      <c r="CE278">
        <v>2011</v>
      </c>
      <c r="CF278">
        <v>2013</v>
      </c>
      <c r="CH278">
        <f>1999</f>
        <v>1999</v>
      </c>
      <c r="CI278" s="23">
        <f>BY279</f>
        <v>1.05525489562087</v>
      </c>
      <c r="CM278">
        <f>1999</f>
        <v>1999</v>
      </c>
      <c r="CN278">
        <f>BY280</f>
        <v>1.0179082817582092</v>
      </c>
      <c r="CS278">
        <f>1999</f>
        <v>1999</v>
      </c>
      <c r="CT278">
        <f>BY281</f>
        <v>1.0237006304789464</v>
      </c>
      <c r="CY278">
        <f>1999</f>
        <v>1999</v>
      </c>
      <c r="CZ278">
        <f>BY282</f>
        <v>0.92698665713379114</v>
      </c>
    </row>
    <row r="279" spans="75:179" x14ac:dyDescent="0.2">
      <c r="BX279" t="s">
        <v>328</v>
      </c>
      <c r="BY279" s="23">
        <f>CR271/CR$270</f>
        <v>1.05525489562087</v>
      </c>
      <c r="BZ279" s="23">
        <f>DC271/DC$270</f>
        <v>1.0872203962257243</v>
      </c>
      <c r="CA279" s="23">
        <f>DN271/DN$270</f>
        <v>1.0798856320420509</v>
      </c>
      <c r="CB279" s="23">
        <f>DY271/DY$270</f>
        <v>1.0619208889120009</v>
      </c>
      <c r="CC279" s="23">
        <f>EJ271/EJ$270</f>
        <v>1.0749061288852646</v>
      </c>
      <c r="CD279" s="23">
        <f>EU271/EU$270</f>
        <v>1.0885247914716945</v>
      </c>
      <c r="CE279" s="23">
        <f>FI271/FI$270</f>
        <v>1.0556099580014529</v>
      </c>
      <c r="CF279" s="23">
        <f>FW271/FW$270</f>
        <v>1.1476597068998629</v>
      </c>
      <c r="CH279">
        <f>2001</f>
        <v>2001</v>
      </c>
      <c r="CI279" s="23">
        <f>BZ279</f>
        <v>1.0872203962257243</v>
      </c>
      <c r="CM279">
        <f>2001</f>
        <v>2001</v>
      </c>
      <c r="CN279">
        <f>BZ280</f>
        <v>1.0004600665216559</v>
      </c>
      <c r="CS279">
        <f>2001</f>
        <v>2001</v>
      </c>
      <c r="CT279">
        <f>BZ281</f>
        <v>1.0125319902940311</v>
      </c>
      <c r="CY279">
        <f>2001</f>
        <v>2001</v>
      </c>
      <c r="CZ279">
        <f>BZ282</f>
        <v>0.92314476281541569</v>
      </c>
    </row>
    <row r="280" spans="75:179" x14ac:dyDescent="0.2">
      <c r="BX280" t="s">
        <v>329</v>
      </c>
      <c r="BY280" s="23">
        <f>CR272/CR$270</f>
        <v>1.0179082817582092</v>
      </c>
      <c r="BZ280" s="23">
        <f>DC272/DC$270</f>
        <v>1.0004600665216559</v>
      </c>
      <c r="CA280" s="23">
        <f>DN272/DN$270</f>
        <v>1.0141645812010365</v>
      </c>
      <c r="CB280" s="23">
        <f>DY272/DY$270</f>
        <v>1.0148449414122942</v>
      </c>
      <c r="CC280" s="23">
        <f>EJ272/EJ$270</f>
        <v>1.041690625918765</v>
      </c>
      <c r="CD280" s="23">
        <f>EU272/EU$270</f>
        <v>1.0375786497242296</v>
      </c>
      <c r="CE280" s="23">
        <f t="shared" ref="CE280:CE282" si="321">FI272/FI$270</f>
        <v>1.00196320622402</v>
      </c>
      <c r="CF280" s="23">
        <f t="shared" ref="CF280:CF282" si="322">FW272/FW$270</f>
        <v>0.9893290863986971</v>
      </c>
      <c r="CH280">
        <f>2003</f>
        <v>2003</v>
      </c>
      <c r="CI280" s="23">
        <f>CA279</f>
        <v>1.0798856320420509</v>
      </c>
      <c r="CM280">
        <f>2003</f>
        <v>2003</v>
      </c>
      <c r="CN280">
        <f>CA280</f>
        <v>1.0141645812010365</v>
      </c>
      <c r="CS280">
        <f>2003</f>
        <v>2003</v>
      </c>
      <c r="CT280">
        <f>CA281</f>
        <v>1.0327167855173622</v>
      </c>
      <c r="CY280">
        <f>2003</f>
        <v>2003</v>
      </c>
      <c r="CZ280">
        <f>CA282</f>
        <v>0.89084930113699312</v>
      </c>
    </row>
    <row r="281" spans="75:179" x14ac:dyDescent="0.2">
      <c r="BX281" t="s">
        <v>330</v>
      </c>
      <c r="BY281" s="23">
        <f>CR273/CR$270</f>
        <v>1.0237006304789464</v>
      </c>
      <c r="BZ281" s="23">
        <f>DC273/DC$270</f>
        <v>1.0125319902940311</v>
      </c>
      <c r="CA281" s="23">
        <f>DN273/DN$270</f>
        <v>1.0327167855173622</v>
      </c>
      <c r="CB281" s="23">
        <f>DY273/DY$270</f>
        <v>1.0327419441931045</v>
      </c>
      <c r="CC281" s="23">
        <f>EJ273/EJ$270</f>
        <v>1.023124789897627</v>
      </c>
      <c r="CD281" s="23">
        <f>EU273/EU$270</f>
        <v>0.9872921447600741</v>
      </c>
      <c r="CE281" s="23">
        <f t="shared" si="321"/>
        <v>1.044574282198605</v>
      </c>
      <c r="CF281" s="23">
        <f t="shared" si="322"/>
        <v>1.0026318809975014</v>
      </c>
      <c r="CH281">
        <f>2005</f>
        <v>2005</v>
      </c>
      <c r="CI281" s="23">
        <f>CB279</f>
        <v>1.0619208889120009</v>
      </c>
      <c r="CM281">
        <f>2005</f>
        <v>2005</v>
      </c>
      <c r="CN281">
        <f>CB280</f>
        <v>1.0148449414122942</v>
      </c>
      <c r="CS281">
        <f>2005</f>
        <v>2005</v>
      </c>
      <c r="CT281">
        <f>CB281</f>
        <v>1.0327419441931045</v>
      </c>
      <c r="CY281">
        <f>2005</f>
        <v>2005</v>
      </c>
      <c r="CZ281">
        <f>CB282</f>
        <v>0.89940715326923315</v>
      </c>
    </row>
    <row r="282" spans="75:179" x14ac:dyDescent="0.2">
      <c r="BX282" t="s">
        <v>331</v>
      </c>
      <c r="BY282" s="23">
        <f>CR274/CR$270</f>
        <v>0.92698665713379114</v>
      </c>
      <c r="BZ282" s="23">
        <f>DC274/DC$270</f>
        <v>0.92314476281541569</v>
      </c>
      <c r="CA282" s="23">
        <f>DN274/DN$270</f>
        <v>0.89084930113699312</v>
      </c>
      <c r="CB282" s="23">
        <f>DY274/DY$270</f>
        <v>0.89940715326923315</v>
      </c>
      <c r="CC282" s="23">
        <f>EJ274/EJ$270</f>
        <v>0.879035297168684</v>
      </c>
      <c r="CD282" s="23">
        <f>EU274/EU$270</f>
        <v>0.91627510195586948</v>
      </c>
      <c r="CE282" s="23">
        <f t="shared" si="321"/>
        <v>0.89136793783948531</v>
      </c>
      <c r="CF282" s="23">
        <f t="shared" si="322"/>
        <v>0.87820004890026515</v>
      </c>
      <c r="CH282">
        <f>2007</f>
        <v>2007</v>
      </c>
      <c r="CI282" s="23">
        <f>CC279</f>
        <v>1.0749061288852646</v>
      </c>
      <c r="CM282">
        <f>2007</f>
        <v>2007</v>
      </c>
      <c r="CN282">
        <f>CC280</f>
        <v>1.041690625918765</v>
      </c>
      <c r="CS282">
        <f>2007</f>
        <v>2007</v>
      </c>
      <c r="CT282">
        <f>CC281</f>
        <v>1.023124789897627</v>
      </c>
      <c r="CY282">
        <f>2007</f>
        <v>2007</v>
      </c>
      <c r="CZ282">
        <f>CC282</f>
        <v>0.879035297168684</v>
      </c>
    </row>
    <row r="283" spans="75:179" x14ac:dyDescent="0.2">
      <c r="CH283">
        <v>2009</v>
      </c>
      <c r="CI283" s="23">
        <f>CD279</f>
        <v>1.0885247914716945</v>
      </c>
      <c r="CM283">
        <v>2009</v>
      </c>
      <c r="CN283">
        <f>CD280</f>
        <v>1.0375786497242296</v>
      </c>
      <c r="CS283">
        <v>2009</v>
      </c>
      <c r="CT283">
        <f>CD281</f>
        <v>0.9872921447600741</v>
      </c>
      <c r="CY283">
        <v>2009</v>
      </c>
      <c r="CZ283">
        <f>CD282</f>
        <v>0.91627510195586948</v>
      </c>
    </row>
    <row r="284" spans="75:179" s="341" customFormat="1" x14ac:dyDescent="0.2">
      <c r="CH284" s="341">
        <v>2011</v>
      </c>
      <c r="CI284" s="23">
        <f>CE279</f>
        <v>1.0556099580014529</v>
      </c>
      <c r="CM284" s="341">
        <v>2011</v>
      </c>
      <c r="CN284" s="341">
        <f>CE280</f>
        <v>1.00196320622402</v>
      </c>
      <c r="CS284" s="341">
        <v>2011</v>
      </c>
      <c r="CT284" s="341">
        <f>CE281</f>
        <v>1.044574282198605</v>
      </c>
      <c r="CY284" s="341">
        <v>2011</v>
      </c>
      <c r="CZ284" s="341">
        <f>CE282</f>
        <v>0.89136793783948531</v>
      </c>
    </row>
    <row r="285" spans="75:179" s="341" customFormat="1" x14ac:dyDescent="0.2">
      <c r="CH285" s="341">
        <v>2013</v>
      </c>
      <c r="CI285" s="23">
        <f>CF279</f>
        <v>1.1476597068998629</v>
      </c>
      <c r="CM285" s="341">
        <v>2013</v>
      </c>
      <c r="CN285" s="341">
        <f>CF280</f>
        <v>0.9893290863986971</v>
      </c>
      <c r="CS285" s="341">
        <v>2013</v>
      </c>
      <c r="CT285" s="341">
        <f>CF281</f>
        <v>1.0026318809975014</v>
      </c>
      <c r="CY285" s="341">
        <v>2014</v>
      </c>
      <c r="CZ285" s="341">
        <f>CF282</f>
        <v>0.87820004890026515</v>
      </c>
    </row>
    <row r="286" spans="75:179" s="341" customFormat="1" x14ac:dyDescent="0.2"/>
    <row r="287" spans="75:179" x14ac:dyDescent="0.2">
      <c r="CH287" t="s">
        <v>762</v>
      </c>
      <c r="CM287" t="s">
        <v>761</v>
      </c>
      <c r="CS287" s="341" t="s">
        <v>763</v>
      </c>
      <c r="CY287" s="341" t="s">
        <v>764</v>
      </c>
      <c r="CZ287" s="341"/>
    </row>
    <row r="288" spans="75:179" x14ac:dyDescent="0.2">
      <c r="CH288" s="428">
        <f t="array" ref="CH288:CI293">LINEST(CI278:CI283,CH278:CH283,TRUE,TRUE)</f>
        <v>1.5920276300384704E-3</v>
      </c>
      <c r="CI288" s="428">
        <v>-2.115804581737494</v>
      </c>
      <c r="CM288" s="428">
        <f t="array" ref="CM288:CN293">LINEST(CN278:CN285,CM278:CM285,TRUE,TRUE)</f>
        <v>-5.6815939838520226E-4</v>
      </c>
      <c r="CN288" s="428">
        <v>2.1544701830555795</v>
      </c>
      <c r="CS288" s="428">
        <f t="array" ref="CS288:CT293">LINEST(CT278:CT285,CS278:CS285,TRUE,TRUE)</f>
        <v>-7.9262418699158912E-4</v>
      </c>
      <c r="CT288" s="428">
        <v>2.609918425147284</v>
      </c>
      <c r="CY288" s="428">
        <f t="array" ref="CY288:CZ293">LINEST(CZ278:CZ285,CY278:CY285,TRUE,TRUE)</f>
        <v>-2.5533455627366002E-3</v>
      </c>
      <c r="CZ288" s="428">
        <v>6.0229886495724294</v>
      </c>
    </row>
    <row r="289" spans="85:107" x14ac:dyDescent="0.2">
      <c r="CH289" s="428">
        <v>1.624343828464909E-3</v>
      </c>
      <c r="CI289" s="428">
        <v>3.2551897604533173</v>
      </c>
      <c r="CM289" s="428">
        <v>1.4830278151320442E-3</v>
      </c>
      <c r="CN289" s="428">
        <v>2.9749615597529577</v>
      </c>
      <c r="CS289" s="428">
        <v>1.501668830744851E-3</v>
      </c>
      <c r="CT289" s="428">
        <v>3.012355534644735</v>
      </c>
      <c r="CY289" s="428">
        <v>1.1321683948265515E-3</v>
      </c>
      <c r="CZ289" s="428">
        <v>2.271277771473347</v>
      </c>
    </row>
    <row r="290" spans="85:107" x14ac:dyDescent="0.2">
      <c r="CH290" s="428">
        <v>0.19364689845864133</v>
      </c>
      <c r="CI290" s="428">
        <v>1.3590235506239126E-2</v>
      </c>
      <c r="CM290" s="428">
        <v>2.3877822888329028E-2</v>
      </c>
      <c r="CN290" s="428">
        <v>1.9222237436794253E-2</v>
      </c>
      <c r="CS290" s="428">
        <v>4.4373456761221404E-2</v>
      </c>
      <c r="CT290" s="428">
        <v>1.9463852613877401E-2</v>
      </c>
      <c r="CY290" s="428">
        <v>0.45878871624148743</v>
      </c>
      <c r="CZ290" s="428">
        <v>1.5310458501540549E-2</v>
      </c>
    </row>
    <row r="291" spans="85:107" x14ac:dyDescent="0.2">
      <c r="CH291" s="428">
        <v>0.9606059583003117</v>
      </c>
      <c r="CI291" s="428">
        <v>4</v>
      </c>
      <c r="CM291" s="428">
        <v>0.14677152173091551</v>
      </c>
      <c r="CN291" s="428">
        <v>6</v>
      </c>
      <c r="CS291" s="428">
        <v>0.27860333354177663</v>
      </c>
      <c r="CT291" s="428">
        <v>6</v>
      </c>
      <c r="CY291" s="428">
        <v>5.0862433582910818</v>
      </c>
      <c r="CZ291" s="428">
        <v>6</v>
      </c>
    </row>
    <row r="292" spans="85:107" x14ac:dyDescent="0.2">
      <c r="CH292" s="428">
        <v>1.7741863823641352E-4</v>
      </c>
      <c r="CI292" s="428">
        <v>7.3877800446017056E-4</v>
      </c>
      <c r="CM292" s="428">
        <v>5.4231257131537054E-5</v>
      </c>
      <c r="CN292" s="428">
        <v>2.2169664724589668E-3</v>
      </c>
      <c r="CS292" s="428">
        <v>1.0554652110308536E-4</v>
      </c>
      <c r="CT292" s="428">
        <v>2.2730493514484524E-3</v>
      </c>
      <c r="CY292" s="428">
        <v>1.1922670152873002E-3</v>
      </c>
      <c r="CZ292" s="428">
        <v>1.4064608371643719E-3</v>
      </c>
    </row>
    <row r="293" spans="85:107" x14ac:dyDescent="0.2">
      <c r="CH293" s="428" t="e">
        <v>#N/A</v>
      </c>
      <c r="CI293" s="428" t="e">
        <v>#N/A</v>
      </c>
      <c r="CM293" s="428" t="e">
        <v>#N/A</v>
      </c>
      <c r="CN293" s="428" t="e">
        <v>#N/A</v>
      </c>
      <c r="CS293" s="428" t="e">
        <v>#N/A</v>
      </c>
      <c r="CT293" s="428" t="e">
        <v>#N/A</v>
      </c>
      <c r="CY293" s="428" t="e">
        <v>#N/A</v>
      </c>
      <c r="CZ293" s="428" t="e">
        <v>#N/A</v>
      </c>
    </row>
    <row r="297" spans="85:107" x14ac:dyDescent="0.2">
      <c r="CG297" s="280" t="s">
        <v>732</v>
      </c>
      <c r="CH297" s="280"/>
      <c r="CI297" s="280"/>
      <c r="CJ297" s="288">
        <v>0.75</v>
      </c>
      <c r="CK297" s="280" t="s">
        <v>601</v>
      </c>
      <c r="CL297" s="280">
        <f>'Comps Ann_2015'!$B$55</f>
        <v>0.51869088725416601</v>
      </c>
    </row>
    <row r="299" spans="85:107" x14ac:dyDescent="0.2">
      <c r="CI299" s="292">
        <v>0.5</v>
      </c>
      <c r="CN299" s="292">
        <v>0</v>
      </c>
      <c r="CT299" s="292">
        <v>0</v>
      </c>
      <c r="CZ299" s="292">
        <v>0.5</v>
      </c>
      <c r="DC299" t="s">
        <v>540</v>
      </c>
    </row>
    <row r="300" spans="85:107" x14ac:dyDescent="0.2">
      <c r="CH300" s="280" t="s">
        <v>20</v>
      </c>
      <c r="CM300" s="341" t="s">
        <v>21</v>
      </c>
    </row>
    <row r="301" spans="85:107" x14ac:dyDescent="0.2">
      <c r="CI301" t="s">
        <v>332</v>
      </c>
      <c r="CJ301" t="s">
        <v>29</v>
      </c>
      <c r="CN301" t="s">
        <v>332</v>
      </c>
      <c r="CO301" t="s">
        <v>29</v>
      </c>
      <c r="CT301" t="s">
        <v>332</v>
      </c>
      <c r="CU301" t="s">
        <v>29</v>
      </c>
      <c r="CZ301" t="s">
        <v>332</v>
      </c>
      <c r="DA301" t="s">
        <v>29</v>
      </c>
    </row>
    <row r="302" spans="85:107" x14ac:dyDescent="0.2">
      <c r="CH302">
        <f>1985</f>
        <v>1985</v>
      </c>
      <c r="CI302">
        <f>CI$316+CI$299*CH$288*(CH302-CH$316)</f>
        <v>1.0555144572991391</v>
      </c>
      <c r="CM302">
        <f>1985</f>
        <v>1985</v>
      </c>
      <c r="CN302">
        <f>CN$316+CN$299*CM$288*(CM302-CM$316)</f>
        <v>1.01871954568356</v>
      </c>
      <c r="CS302">
        <f>1985</f>
        <v>1985</v>
      </c>
      <c r="CT302">
        <f>CT$316+CT$299*CS$288*(CS302-CS$316)</f>
        <v>1.0254626753510974</v>
      </c>
      <c r="CY302">
        <f>1985</f>
        <v>1985</v>
      </c>
      <c r="CZ302">
        <f>CZ$316+CZ$299*CY$288*(CY302-CY$316)</f>
        <v>0.93672428860112167</v>
      </c>
      <c r="DC302">
        <f>'Final Floorspace Estimates'!AG10</f>
        <v>0.98542978978416196</v>
      </c>
    </row>
    <row r="303" spans="85:107" x14ac:dyDescent="0.2">
      <c r="CH303">
        <f t="shared" ref="CH303:CH329" si="323">CH302+1</f>
        <v>1986</v>
      </c>
      <c r="CI303">
        <f t="shared" ref="CI303:CI315" si="324">CI$316+CI$299*CH$288*(CH303-CH$316)</f>
        <v>1.0563104711141584</v>
      </c>
      <c r="CM303">
        <f t="shared" ref="CM303:CM330" si="325">CM302+1</f>
        <v>1986</v>
      </c>
      <c r="CN303">
        <f t="shared" ref="CN303:CN315" si="326">CN$316+CN$299*CM$288*(CM303-CM$316)</f>
        <v>1.01871954568356</v>
      </c>
      <c r="CS303">
        <f t="shared" ref="CS303:CS327" si="327">CS302+1</f>
        <v>1986</v>
      </c>
      <c r="CT303">
        <f t="shared" ref="CT303:CT315" si="328">CT$316+CT$299*CS$288*(CS303-CS$316)</f>
        <v>1.0254626753510974</v>
      </c>
      <c r="CY303">
        <f t="shared" ref="CY303:CY330" si="329">CY302+1</f>
        <v>1986</v>
      </c>
      <c r="CZ303">
        <f t="shared" ref="CZ303:CZ315" si="330">CZ$316+CZ$299*CY$288*(CY303-CY$316)</f>
        <v>0.93544761581975344</v>
      </c>
      <c r="DC303">
        <f>'Final Floorspace Estimates'!AG11</f>
        <v>0.98572462626153734</v>
      </c>
    </row>
    <row r="304" spans="85:107" x14ac:dyDescent="0.2">
      <c r="CH304">
        <f t="shared" si="323"/>
        <v>1987</v>
      </c>
      <c r="CI304">
        <f t="shared" si="324"/>
        <v>1.0571064849291776</v>
      </c>
      <c r="CM304">
        <f t="shared" si="325"/>
        <v>1987</v>
      </c>
      <c r="CN304">
        <f t="shared" si="326"/>
        <v>1.01871954568356</v>
      </c>
      <c r="CS304">
        <f t="shared" si="327"/>
        <v>1987</v>
      </c>
      <c r="CT304">
        <f t="shared" si="328"/>
        <v>1.0254626753510974</v>
      </c>
      <c r="CY304">
        <f t="shared" si="329"/>
        <v>1987</v>
      </c>
      <c r="CZ304">
        <f t="shared" si="330"/>
        <v>0.9341709430383851</v>
      </c>
      <c r="DC304">
        <f>'Final Floorspace Estimates'!AG12</f>
        <v>0.98602793779589115</v>
      </c>
    </row>
    <row r="305" spans="86:107" x14ac:dyDescent="0.2">
      <c r="CH305">
        <f t="shared" si="323"/>
        <v>1988</v>
      </c>
      <c r="CI305">
        <f t="shared" si="324"/>
        <v>1.057902498744197</v>
      </c>
      <c r="CM305">
        <f t="shared" si="325"/>
        <v>1988</v>
      </c>
      <c r="CN305">
        <f t="shared" si="326"/>
        <v>1.01871954568356</v>
      </c>
      <c r="CS305">
        <f t="shared" si="327"/>
        <v>1988</v>
      </c>
      <c r="CT305">
        <f t="shared" si="328"/>
        <v>1.0254626753510974</v>
      </c>
      <c r="CY305">
        <f t="shared" si="329"/>
        <v>1988</v>
      </c>
      <c r="CZ305">
        <f t="shared" si="330"/>
        <v>0.93289427025701677</v>
      </c>
      <c r="DC305">
        <f>'Final Floorspace Estimates'!AG13</f>
        <v>0.98640063625457353</v>
      </c>
    </row>
    <row r="306" spans="86:107" x14ac:dyDescent="0.2">
      <c r="CH306">
        <f t="shared" si="323"/>
        <v>1989</v>
      </c>
      <c r="CI306">
        <f t="shared" si="324"/>
        <v>1.0586985125592161</v>
      </c>
      <c r="CM306">
        <f t="shared" si="325"/>
        <v>1989</v>
      </c>
      <c r="CN306">
        <f t="shared" si="326"/>
        <v>1.01871954568356</v>
      </c>
      <c r="CS306">
        <f t="shared" si="327"/>
        <v>1989</v>
      </c>
      <c r="CT306">
        <f t="shared" si="328"/>
        <v>1.0254626753510974</v>
      </c>
      <c r="CY306">
        <f t="shared" si="329"/>
        <v>1989</v>
      </c>
      <c r="CZ306">
        <f t="shared" si="330"/>
        <v>0.93161759747564854</v>
      </c>
      <c r="DC306">
        <f>'Final Floorspace Estimates'!AG14</f>
        <v>0.98678657947674431</v>
      </c>
    </row>
    <row r="307" spans="86:107" x14ac:dyDescent="0.2">
      <c r="CH307">
        <f t="shared" si="323"/>
        <v>1990</v>
      </c>
      <c r="CI307">
        <f t="shared" si="324"/>
        <v>1.0594945263742352</v>
      </c>
      <c r="CM307">
        <f t="shared" si="325"/>
        <v>1990</v>
      </c>
      <c r="CN307">
        <f t="shared" si="326"/>
        <v>1.01871954568356</v>
      </c>
      <c r="CS307">
        <f t="shared" si="327"/>
        <v>1990</v>
      </c>
      <c r="CT307">
        <f t="shared" si="328"/>
        <v>1.0254626753510974</v>
      </c>
      <c r="CY307">
        <f t="shared" si="329"/>
        <v>1990</v>
      </c>
      <c r="CZ307">
        <f t="shared" si="330"/>
        <v>0.9303409246942802</v>
      </c>
      <c r="DC307">
        <f>'Final Floorspace Estimates'!AG15</f>
        <v>0.98703178882321707</v>
      </c>
    </row>
    <row r="308" spans="86:107" x14ac:dyDescent="0.2">
      <c r="CH308">
        <f t="shared" si="323"/>
        <v>1991</v>
      </c>
      <c r="CI308">
        <f t="shared" si="324"/>
        <v>1.0602905401892546</v>
      </c>
      <c r="CM308">
        <f t="shared" si="325"/>
        <v>1991</v>
      </c>
      <c r="CN308">
        <f t="shared" si="326"/>
        <v>1.01871954568356</v>
      </c>
      <c r="CS308">
        <f t="shared" si="327"/>
        <v>1991</v>
      </c>
      <c r="CT308">
        <f t="shared" si="328"/>
        <v>1.0254626753510974</v>
      </c>
      <c r="CY308">
        <f t="shared" si="329"/>
        <v>1991</v>
      </c>
      <c r="CZ308">
        <f t="shared" si="330"/>
        <v>0.92906425191291186</v>
      </c>
      <c r="DC308">
        <f>'Final Floorspace Estimates'!AG16</f>
        <v>0.98728384607820863</v>
      </c>
    </row>
    <row r="309" spans="86:107" x14ac:dyDescent="0.2">
      <c r="CH309">
        <f t="shared" si="323"/>
        <v>1992</v>
      </c>
      <c r="CI309">
        <f t="shared" si="324"/>
        <v>1.0610865540042738</v>
      </c>
      <c r="CM309">
        <f t="shared" si="325"/>
        <v>1992</v>
      </c>
      <c r="CN309">
        <f t="shared" si="326"/>
        <v>1.01871954568356</v>
      </c>
      <c r="CS309">
        <f t="shared" si="327"/>
        <v>1992</v>
      </c>
      <c r="CT309">
        <f t="shared" si="328"/>
        <v>1.0254626753510974</v>
      </c>
      <c r="CY309">
        <f t="shared" si="329"/>
        <v>1992</v>
      </c>
      <c r="CZ309">
        <f t="shared" si="330"/>
        <v>0.92778757913154364</v>
      </c>
      <c r="DC309">
        <f>'Final Floorspace Estimates'!AG17</f>
        <v>0.98739705055480309</v>
      </c>
    </row>
    <row r="310" spans="86:107" x14ac:dyDescent="0.2">
      <c r="CH310">
        <f t="shared" si="323"/>
        <v>1993</v>
      </c>
      <c r="CI310">
        <f t="shared" si="324"/>
        <v>1.0618825678192931</v>
      </c>
      <c r="CM310">
        <f t="shared" si="325"/>
        <v>1993</v>
      </c>
      <c r="CN310">
        <f t="shared" si="326"/>
        <v>1.01871954568356</v>
      </c>
      <c r="CS310">
        <f t="shared" si="327"/>
        <v>1993</v>
      </c>
      <c r="CT310">
        <f t="shared" si="328"/>
        <v>1.0254626753510974</v>
      </c>
      <c r="CY310">
        <f t="shared" si="329"/>
        <v>1993</v>
      </c>
      <c r="CZ310">
        <f t="shared" si="330"/>
        <v>0.9265109063501753</v>
      </c>
      <c r="DC310">
        <f>'Final Floorspace Estimates'!AG18</f>
        <v>0.98751365885164855</v>
      </c>
    </row>
    <row r="311" spans="86:107" x14ac:dyDescent="0.2">
      <c r="CH311">
        <f t="shared" si="323"/>
        <v>1994</v>
      </c>
      <c r="CI311">
        <f t="shared" si="324"/>
        <v>1.0626785816343123</v>
      </c>
      <c r="CM311">
        <f t="shared" si="325"/>
        <v>1994</v>
      </c>
      <c r="CN311">
        <f t="shared" si="326"/>
        <v>1.01871954568356</v>
      </c>
      <c r="CS311">
        <f t="shared" si="327"/>
        <v>1994</v>
      </c>
      <c r="CT311">
        <f t="shared" si="328"/>
        <v>1.0254626753510974</v>
      </c>
      <c r="CY311">
        <f t="shared" si="329"/>
        <v>1994</v>
      </c>
      <c r="CZ311">
        <f t="shared" si="330"/>
        <v>0.92523423356880696</v>
      </c>
      <c r="DC311">
        <f>'Final Floorspace Estimates'!AG19</f>
        <v>0.98803716690120458</v>
      </c>
    </row>
    <row r="312" spans="86:107" x14ac:dyDescent="0.2">
      <c r="CH312">
        <f t="shared" si="323"/>
        <v>1995</v>
      </c>
      <c r="CI312">
        <f t="shared" si="324"/>
        <v>1.0634745954493314</v>
      </c>
      <c r="CM312">
        <f t="shared" si="325"/>
        <v>1995</v>
      </c>
      <c r="CN312">
        <f t="shared" si="326"/>
        <v>1.01871954568356</v>
      </c>
      <c r="CS312">
        <f t="shared" si="327"/>
        <v>1995</v>
      </c>
      <c r="CT312">
        <f t="shared" si="328"/>
        <v>1.0254626753510974</v>
      </c>
      <c r="CY312">
        <f t="shared" si="329"/>
        <v>1995</v>
      </c>
      <c r="CZ312">
        <f t="shared" si="330"/>
        <v>0.92395756078743874</v>
      </c>
      <c r="DC312">
        <f>'Final Floorspace Estimates'!AG20</f>
        <v>0.98857371742339539</v>
      </c>
    </row>
    <row r="313" spans="86:107" x14ac:dyDescent="0.2">
      <c r="CH313">
        <f t="shared" si="323"/>
        <v>1996</v>
      </c>
      <c r="CI313">
        <f t="shared" si="324"/>
        <v>1.0642706092643508</v>
      </c>
      <c r="CM313">
        <f t="shared" si="325"/>
        <v>1996</v>
      </c>
      <c r="CN313">
        <f t="shared" si="326"/>
        <v>1.01871954568356</v>
      </c>
      <c r="CS313">
        <f t="shared" si="327"/>
        <v>1996</v>
      </c>
      <c r="CT313">
        <f t="shared" si="328"/>
        <v>1.0254626753510974</v>
      </c>
      <c r="CY313">
        <f t="shared" si="329"/>
        <v>1996</v>
      </c>
      <c r="CZ313">
        <f t="shared" si="330"/>
        <v>0.9226808880060704</v>
      </c>
      <c r="DC313">
        <f>'Final Floorspace Estimates'!AG21</f>
        <v>0.98909524371487634</v>
      </c>
    </row>
    <row r="314" spans="86:107" x14ac:dyDescent="0.2">
      <c r="CH314">
        <f t="shared" si="323"/>
        <v>1997</v>
      </c>
      <c r="CI314">
        <f t="shared" si="324"/>
        <v>1.0650666230793699</v>
      </c>
      <c r="CM314">
        <f t="shared" si="325"/>
        <v>1997</v>
      </c>
      <c r="CN314">
        <f t="shared" si="326"/>
        <v>1.01871954568356</v>
      </c>
      <c r="CS314">
        <f t="shared" si="327"/>
        <v>1997</v>
      </c>
      <c r="CT314">
        <f t="shared" si="328"/>
        <v>1.0254626753510974</v>
      </c>
      <c r="CY314">
        <f t="shared" si="329"/>
        <v>1997</v>
      </c>
      <c r="CZ314">
        <f t="shared" si="330"/>
        <v>0.92140421522470206</v>
      </c>
      <c r="DC314">
        <f>'Final Floorspace Estimates'!AG22</f>
        <v>0.98963002686884793</v>
      </c>
    </row>
    <row r="315" spans="86:107" x14ac:dyDescent="0.2">
      <c r="CH315">
        <f t="shared" si="323"/>
        <v>1998</v>
      </c>
      <c r="CI315">
        <f t="shared" si="324"/>
        <v>1.0658626368943893</v>
      </c>
      <c r="CM315">
        <f t="shared" si="325"/>
        <v>1998</v>
      </c>
      <c r="CN315">
        <f t="shared" si="326"/>
        <v>1.01871954568356</v>
      </c>
      <c r="CS315">
        <f t="shared" si="327"/>
        <v>1998</v>
      </c>
      <c r="CT315">
        <f t="shared" si="328"/>
        <v>1.0254626753510974</v>
      </c>
      <c r="CY315">
        <f t="shared" si="329"/>
        <v>1998</v>
      </c>
      <c r="CZ315">
        <f t="shared" si="330"/>
        <v>0.92012754244333383</v>
      </c>
      <c r="DC315">
        <f>'Final Floorspace Estimates'!AG23</f>
        <v>0.98969218039211293</v>
      </c>
    </row>
    <row r="316" spans="86:107" x14ac:dyDescent="0.2">
      <c r="CH316">
        <f t="shared" si="323"/>
        <v>1999</v>
      </c>
      <c r="CI316">
        <f>CI$288+CH$288*CH316</f>
        <v>1.0666586507094085</v>
      </c>
      <c r="CJ316">
        <f>CI278</f>
        <v>1.05525489562087</v>
      </c>
      <c r="CM316">
        <f t="shared" si="325"/>
        <v>1999</v>
      </c>
      <c r="CN316">
        <f>CN$288+CM$288*CM316</f>
        <v>1.01871954568356</v>
      </c>
      <c r="CO316">
        <f>CN278</f>
        <v>1.0179082817582092</v>
      </c>
      <c r="CS316">
        <f t="shared" si="327"/>
        <v>1999</v>
      </c>
      <c r="CT316">
        <f>CT$288+CS$288*CS316</f>
        <v>1.0254626753510974</v>
      </c>
      <c r="CU316">
        <f>CT278</f>
        <v>1.0237006304789464</v>
      </c>
      <c r="CY316">
        <f t="shared" si="329"/>
        <v>1999</v>
      </c>
      <c r="CZ316">
        <f>CZ$288+CY$288*CY316</f>
        <v>0.9188508696619655</v>
      </c>
      <c r="DA316">
        <f>CZ278</f>
        <v>0.92698665713379114</v>
      </c>
      <c r="DC316">
        <f>'Final Floorspace Estimates'!AG24</f>
        <v>0.98975580847272648</v>
      </c>
    </row>
    <row r="317" spans="86:107" x14ac:dyDescent="0.2">
      <c r="CH317">
        <f t="shared" si="323"/>
        <v>2000</v>
      </c>
      <c r="CI317">
        <f t="shared" ref="CI317:CI326" si="331">CI$288+CH$288*CH317</f>
        <v>1.0682506783394468</v>
      </c>
      <c r="CM317">
        <f t="shared" si="325"/>
        <v>2000</v>
      </c>
      <c r="CN317">
        <f t="shared" ref="CN317:CN330" si="332">CN$288+CM$288*CM317</f>
        <v>1.018151386285175</v>
      </c>
      <c r="CS317">
        <f t="shared" si="327"/>
        <v>2000</v>
      </c>
      <c r="CT317">
        <f t="shared" ref="CT317:CT330" si="333">CT$288+CS$288*CS317</f>
        <v>1.0246700511641058</v>
      </c>
      <c r="CY317">
        <f t="shared" si="329"/>
        <v>2000</v>
      </c>
      <c r="CZ317">
        <f t="shared" ref="CZ317:CZ324" si="334">CZ$288+CY$288*CY317</f>
        <v>0.91629752409922904</v>
      </c>
      <c r="DC317">
        <f>'Final Floorspace Estimates'!AG25</f>
        <v>0.99063595524989589</v>
      </c>
    </row>
    <row r="318" spans="86:107" x14ac:dyDescent="0.2">
      <c r="CH318">
        <f t="shared" si="323"/>
        <v>2001</v>
      </c>
      <c r="CI318">
        <f t="shared" si="331"/>
        <v>1.0698427059694851</v>
      </c>
      <c r="CJ318">
        <f>CI279</f>
        <v>1.0872203962257243</v>
      </c>
      <c r="CM318">
        <f t="shared" si="325"/>
        <v>2001</v>
      </c>
      <c r="CN318">
        <f t="shared" si="332"/>
        <v>1.0175832268867897</v>
      </c>
      <c r="CO318">
        <f>CN279</f>
        <v>1.0004600665216559</v>
      </c>
      <c r="CS318">
        <f t="shared" si="327"/>
        <v>2001</v>
      </c>
      <c r="CT318">
        <f t="shared" si="333"/>
        <v>1.0238774269771143</v>
      </c>
      <c r="CU318">
        <f>CT279</f>
        <v>1.0125319902940311</v>
      </c>
      <c r="CY318">
        <f t="shared" si="329"/>
        <v>2001</v>
      </c>
      <c r="CZ318">
        <f t="shared" si="334"/>
        <v>0.91374417853649259</v>
      </c>
      <c r="DA318">
        <f>CZ279</f>
        <v>0.92314476281541569</v>
      </c>
      <c r="DC318">
        <f>'Final Floorspace Estimates'!AG26</f>
        <v>0.99154083806690607</v>
      </c>
    </row>
    <row r="319" spans="86:107" x14ac:dyDescent="0.2">
      <c r="CH319">
        <f t="shared" si="323"/>
        <v>2002</v>
      </c>
      <c r="CI319">
        <f t="shared" si="331"/>
        <v>1.0714347335995238</v>
      </c>
      <c r="CM319">
        <f t="shared" si="325"/>
        <v>2002</v>
      </c>
      <c r="CN319">
        <f t="shared" si="332"/>
        <v>1.0170150674884046</v>
      </c>
      <c r="CS319">
        <f t="shared" si="327"/>
        <v>2002</v>
      </c>
      <c r="CT319">
        <f t="shared" si="333"/>
        <v>1.0230848027901227</v>
      </c>
      <c r="CY319">
        <f t="shared" si="329"/>
        <v>2002</v>
      </c>
      <c r="CZ319">
        <f t="shared" si="334"/>
        <v>0.91119083297375614</v>
      </c>
      <c r="DC319">
        <f>'Final Floorspace Estimates'!AG27</f>
        <v>0.99214796956107576</v>
      </c>
    </row>
    <row r="320" spans="86:107" x14ac:dyDescent="0.2">
      <c r="CH320">
        <f t="shared" si="323"/>
        <v>2003</v>
      </c>
      <c r="CI320">
        <f t="shared" si="331"/>
        <v>1.0730267612295621</v>
      </c>
      <c r="CJ320">
        <f>CI280</f>
        <v>1.0798856320420509</v>
      </c>
      <c r="CM320">
        <f t="shared" si="325"/>
        <v>2003</v>
      </c>
      <c r="CN320">
        <f t="shared" si="332"/>
        <v>1.0164469080900194</v>
      </c>
      <c r="CO320">
        <f>CN280</f>
        <v>1.0141645812010365</v>
      </c>
      <c r="CS320">
        <f t="shared" si="327"/>
        <v>2003</v>
      </c>
      <c r="CT320">
        <f t="shared" si="333"/>
        <v>1.0222921786031309</v>
      </c>
      <c r="CU320">
        <f>CT280</f>
        <v>1.0327167855173622</v>
      </c>
      <c r="CY320">
        <f t="shared" si="329"/>
        <v>2003</v>
      </c>
      <c r="CZ320">
        <f t="shared" si="334"/>
        <v>0.9086374874110188</v>
      </c>
      <c r="DA320">
        <f>CZ280</f>
        <v>0.89084930113699312</v>
      </c>
      <c r="DC320">
        <f>'Final Floorspace Estimates'!AG28</f>
        <v>0.99276356261113141</v>
      </c>
    </row>
    <row r="321" spans="86:288" x14ac:dyDescent="0.2">
      <c r="CH321">
        <f t="shared" si="323"/>
        <v>2004</v>
      </c>
      <c r="CI321">
        <f t="shared" si="331"/>
        <v>1.0746187888596008</v>
      </c>
      <c r="CL321" t="s">
        <v>736</v>
      </c>
      <c r="CM321">
        <f t="shared" si="325"/>
        <v>2004</v>
      </c>
      <c r="CN321">
        <f t="shared" si="332"/>
        <v>1.0158787486916341</v>
      </c>
      <c r="CS321">
        <f t="shared" si="327"/>
        <v>2004</v>
      </c>
      <c r="CT321">
        <f t="shared" si="333"/>
        <v>1.0214995544161394</v>
      </c>
      <c r="CY321">
        <f t="shared" si="329"/>
        <v>2004</v>
      </c>
      <c r="CZ321">
        <f t="shared" si="334"/>
        <v>0.90608414184828234</v>
      </c>
      <c r="DC321">
        <f>'Final Floorspace Estimates'!AG29</f>
        <v>0.99330804252970217</v>
      </c>
    </row>
    <row r="322" spans="86:288" x14ac:dyDescent="0.2">
      <c r="CH322">
        <f t="shared" si="323"/>
        <v>2005</v>
      </c>
      <c r="CI322">
        <f t="shared" si="331"/>
        <v>1.0762108164896391</v>
      </c>
      <c r="CJ322">
        <f>CI281</f>
        <v>1.0619208889120009</v>
      </c>
      <c r="CL322">
        <f>CN322-CN321</f>
        <v>-5.6815939838505969E-4</v>
      </c>
      <c r="CM322">
        <f t="shared" si="325"/>
        <v>2005</v>
      </c>
      <c r="CN322" s="341">
        <f t="shared" si="332"/>
        <v>1.015310589293249</v>
      </c>
      <c r="CO322">
        <f>CN281</f>
        <v>1.0148449414122942</v>
      </c>
      <c r="CS322">
        <f t="shared" si="327"/>
        <v>2005</v>
      </c>
      <c r="CT322">
        <f t="shared" si="333"/>
        <v>1.0207069302291478</v>
      </c>
      <c r="CU322">
        <f>CT281</f>
        <v>1.0327419441931045</v>
      </c>
      <c r="CY322">
        <f t="shared" si="329"/>
        <v>2005</v>
      </c>
      <c r="CZ322">
        <f t="shared" si="334"/>
        <v>0.90353079628554589</v>
      </c>
      <c r="DA322">
        <f>CZ281</f>
        <v>0.89940715326923315</v>
      </c>
      <c r="DC322">
        <f>'Final Floorspace Estimates'!AG30</f>
        <v>0.99385503645555662</v>
      </c>
    </row>
    <row r="323" spans="86:288" x14ac:dyDescent="0.2">
      <c r="CH323">
        <f t="shared" si="323"/>
        <v>2006</v>
      </c>
      <c r="CI323">
        <f t="shared" si="331"/>
        <v>1.0778028441196774</v>
      </c>
      <c r="CL323" s="341">
        <f t="shared" ref="CL323:CL330" si="335">CN323-CN322</f>
        <v>-5.6815939838528173E-4</v>
      </c>
      <c r="CM323">
        <f t="shared" si="325"/>
        <v>2006</v>
      </c>
      <c r="CN323" s="341">
        <f t="shared" si="332"/>
        <v>1.0147424298948637</v>
      </c>
      <c r="CS323">
        <f t="shared" si="327"/>
        <v>2006</v>
      </c>
      <c r="CT323">
        <f t="shared" si="333"/>
        <v>1.0199143060421563</v>
      </c>
      <c r="CY323">
        <f t="shared" si="329"/>
        <v>2006</v>
      </c>
      <c r="CZ323">
        <f t="shared" si="334"/>
        <v>0.90097745072280944</v>
      </c>
      <c r="DC323">
        <f>'Final Floorspace Estimates'!AG31</f>
        <v>0.99477568425904395</v>
      </c>
    </row>
    <row r="324" spans="86:288" x14ac:dyDescent="0.2">
      <c r="CH324">
        <f t="shared" si="323"/>
        <v>2007</v>
      </c>
      <c r="CI324">
        <f t="shared" si="331"/>
        <v>1.0793948717497162</v>
      </c>
      <c r="CJ324">
        <f>CI282</f>
        <v>1.0749061288852646</v>
      </c>
      <c r="CL324" s="341">
        <f t="shared" si="335"/>
        <v>-5.6815939838528173E-4</v>
      </c>
      <c r="CM324">
        <f t="shared" si="325"/>
        <v>2007</v>
      </c>
      <c r="CN324" s="341">
        <f t="shared" si="332"/>
        <v>1.0141742704964785</v>
      </c>
      <c r="CO324">
        <f>CN282</f>
        <v>1.041690625918765</v>
      </c>
      <c r="CS324">
        <f t="shared" si="327"/>
        <v>2007</v>
      </c>
      <c r="CT324">
        <f t="shared" si="333"/>
        <v>1.0191216818551647</v>
      </c>
      <c r="CU324">
        <f>CT282</f>
        <v>1.023124789897627</v>
      </c>
      <c r="CY324">
        <f t="shared" si="329"/>
        <v>2007</v>
      </c>
      <c r="CZ324">
        <f t="shared" si="334"/>
        <v>0.89842410516007298</v>
      </c>
      <c r="DA324">
        <f>CZ282</f>
        <v>0.879035297168684</v>
      </c>
      <c r="DC324">
        <f>'Final Floorspace Estimates'!AG32</f>
        <v>0.99572027261382035</v>
      </c>
    </row>
    <row r="325" spans="86:288" x14ac:dyDescent="0.2">
      <c r="CH325">
        <f t="shared" si="323"/>
        <v>2008</v>
      </c>
      <c r="CI325">
        <f t="shared" si="331"/>
        <v>1.0809868993797545</v>
      </c>
      <c r="CL325" s="341">
        <f t="shared" si="335"/>
        <v>-5.6815939838505969E-4</v>
      </c>
      <c r="CM325">
        <f t="shared" si="325"/>
        <v>2008</v>
      </c>
      <c r="CN325" s="341">
        <f t="shared" si="332"/>
        <v>1.0136061110980934</v>
      </c>
      <c r="CS325">
        <f t="shared" si="327"/>
        <v>2008</v>
      </c>
      <c r="CT325">
        <f t="shared" si="333"/>
        <v>1.0183290576681732</v>
      </c>
      <c r="CY325" s="341">
        <f t="shared" si="329"/>
        <v>2008</v>
      </c>
      <c r="CZ325" s="341">
        <f t="shared" ref="CZ325:CZ330" si="336">CZ$288+CY$288*CY325</f>
        <v>0.89587075959733653</v>
      </c>
      <c r="DC325">
        <f>'Final Floorspace Estimates'!AG33</f>
        <v>0.99639369473486961</v>
      </c>
    </row>
    <row r="326" spans="86:288" x14ac:dyDescent="0.2">
      <c r="CH326">
        <f t="shared" si="323"/>
        <v>2009</v>
      </c>
      <c r="CI326">
        <f t="shared" si="331"/>
        <v>1.0825789270097932</v>
      </c>
      <c r="CJ326">
        <f>CI283</f>
        <v>1.0885247914716945</v>
      </c>
      <c r="CL326" s="341">
        <f t="shared" si="335"/>
        <v>-5.6815939838528173E-4</v>
      </c>
      <c r="CM326">
        <f t="shared" si="325"/>
        <v>2009</v>
      </c>
      <c r="CN326" s="341">
        <f t="shared" si="332"/>
        <v>1.0130379516997081</v>
      </c>
      <c r="CO326">
        <f>CN283</f>
        <v>1.0375786497242296</v>
      </c>
      <c r="CS326">
        <f t="shared" si="327"/>
        <v>2009</v>
      </c>
      <c r="CT326" s="341">
        <f t="shared" si="333"/>
        <v>1.0175364334811814</v>
      </c>
      <c r="CU326">
        <f>CT283</f>
        <v>0.9872921447600741</v>
      </c>
      <c r="CY326" s="341">
        <f t="shared" si="329"/>
        <v>2009</v>
      </c>
      <c r="CZ326" s="341">
        <f t="shared" si="336"/>
        <v>0.89331741403459919</v>
      </c>
      <c r="DA326">
        <f>CZ283</f>
        <v>0.91627510195586948</v>
      </c>
      <c r="DC326">
        <f>'Final Floorspace Estimates'!AG34</f>
        <v>0.99707873088495325</v>
      </c>
    </row>
    <row r="327" spans="86:288" x14ac:dyDescent="0.2">
      <c r="CH327">
        <f t="shared" si="323"/>
        <v>2010</v>
      </c>
      <c r="CI327" s="280">
        <f>(CI326-CI325)*$CJ$181+CI326</f>
        <v>1.0833749408248126</v>
      </c>
      <c r="CL327" s="341">
        <f t="shared" si="335"/>
        <v>-5.6815939838528173E-4</v>
      </c>
      <c r="CM327">
        <f t="shared" si="325"/>
        <v>2010</v>
      </c>
      <c r="CN327" s="341">
        <f t="shared" si="332"/>
        <v>1.0124697923013228</v>
      </c>
      <c r="CS327">
        <f t="shared" si="327"/>
        <v>2010</v>
      </c>
      <c r="CT327" s="341">
        <f t="shared" si="333"/>
        <v>1.0167438092941898</v>
      </c>
      <c r="CY327" s="341">
        <f t="shared" si="329"/>
        <v>2010</v>
      </c>
      <c r="CZ327" s="341">
        <f t="shared" si="336"/>
        <v>0.89076406847186274</v>
      </c>
      <c r="DC327">
        <f>'Final Floorspace Estimates'!AG35</f>
        <v>0.99808844781021133</v>
      </c>
    </row>
    <row r="328" spans="86:288" s="280" customFormat="1" x14ac:dyDescent="0.2">
      <c r="CH328" s="280">
        <f t="shared" si="323"/>
        <v>2011</v>
      </c>
      <c r="CI328" s="280">
        <f>(CI327-CI326)*$CJ$297+CI327</f>
        <v>1.083971951186077</v>
      </c>
      <c r="CJ328" s="280">
        <f>CI284</f>
        <v>1.0556099580014529</v>
      </c>
      <c r="CL328" s="341">
        <f t="shared" si="335"/>
        <v>-5.6815939838505969E-4</v>
      </c>
      <c r="CM328" s="280">
        <f t="shared" si="325"/>
        <v>2011</v>
      </c>
      <c r="CN328" s="341">
        <f t="shared" si="332"/>
        <v>1.0119016329029378</v>
      </c>
      <c r="CO328" s="280">
        <f>CN284</f>
        <v>1.00196320622402</v>
      </c>
      <c r="CS328" s="280">
        <v>2011</v>
      </c>
      <c r="CT328" s="341">
        <f t="shared" si="333"/>
        <v>1.0159511851071983</v>
      </c>
      <c r="CU328" s="280">
        <f>CT284</f>
        <v>1.044574282198605</v>
      </c>
      <c r="CY328" s="341">
        <f t="shared" si="329"/>
        <v>2011</v>
      </c>
      <c r="CZ328" s="341">
        <f t="shared" si="336"/>
        <v>0.88821072290912628</v>
      </c>
      <c r="DA328" s="280">
        <f>CZ284</f>
        <v>0.89136793783948531</v>
      </c>
      <c r="DC328" s="280">
        <f>'Final Floorspace Estimates'!AG36</f>
        <v>0.99915972206016823</v>
      </c>
      <c r="KB328" s="341"/>
    </row>
    <row r="329" spans="86:288" s="341" customFormat="1" x14ac:dyDescent="0.2">
      <c r="CH329" s="341">
        <f t="shared" si="323"/>
        <v>2012</v>
      </c>
      <c r="CI329" s="341">
        <f t="shared" ref="CI329:CI335" si="337">(CI328-CI327)*$CJ$297+CI328</f>
        <v>1.0844197089570253</v>
      </c>
      <c r="CL329" s="341">
        <f t="shared" si="335"/>
        <v>-5.6815939838528173E-4</v>
      </c>
      <c r="CM329" s="341">
        <f t="shared" si="325"/>
        <v>2012</v>
      </c>
      <c r="CN329" s="341">
        <f t="shared" si="332"/>
        <v>1.0113334735045525</v>
      </c>
      <c r="CS329" s="341">
        <v>2012</v>
      </c>
      <c r="CT329" s="341">
        <f t="shared" si="333"/>
        <v>1.0151585609202067</v>
      </c>
      <c r="CY329" s="341">
        <f t="shared" si="329"/>
        <v>2012</v>
      </c>
      <c r="CZ329" s="341">
        <f t="shared" si="336"/>
        <v>0.88565737734638983</v>
      </c>
    </row>
    <row r="330" spans="86:288" s="341" customFormat="1" x14ac:dyDescent="0.2">
      <c r="CH330" s="341">
        <f>$CM330</f>
        <v>2013</v>
      </c>
      <c r="CI330" s="341">
        <f t="shared" si="337"/>
        <v>1.0847555272852365</v>
      </c>
      <c r="CJ330" s="341">
        <f>CI285</f>
        <v>1.1476597068998629</v>
      </c>
      <c r="CL330" s="341">
        <f t="shared" si="335"/>
        <v>-5.6815939838528173E-4</v>
      </c>
      <c r="CM330" s="341">
        <f t="shared" si="325"/>
        <v>2013</v>
      </c>
      <c r="CN330" s="341">
        <f t="shared" si="332"/>
        <v>1.0107653141061672</v>
      </c>
      <c r="CO330" s="341">
        <f>CN285</f>
        <v>0.9893290863986971</v>
      </c>
      <c r="CS330" s="341">
        <f>$CM330</f>
        <v>2013</v>
      </c>
      <c r="CT330" s="341">
        <f t="shared" si="333"/>
        <v>1.0143659367332152</v>
      </c>
      <c r="CU330" s="341">
        <f>CT285</f>
        <v>1.0026318809975014</v>
      </c>
      <c r="CY330" s="341">
        <f t="shared" si="329"/>
        <v>2013</v>
      </c>
      <c r="CZ330" s="341">
        <f t="shared" si="336"/>
        <v>0.88310403178365338</v>
      </c>
      <c r="DA330" s="341">
        <f>CZ285</f>
        <v>0.87820004890026515</v>
      </c>
    </row>
    <row r="331" spans="86:288" s="341" customFormat="1" x14ac:dyDescent="0.2">
      <c r="CH331" s="341">
        <f t="shared" ref="CH331:CH335" si="338">$CM331</f>
        <v>2014</v>
      </c>
      <c r="CI331" s="341">
        <f t="shared" si="337"/>
        <v>1.0850073910313949</v>
      </c>
      <c r="CM331" s="341">
        <v>2014</v>
      </c>
      <c r="CN331" s="341">
        <f t="shared" ref="CN331:CN335" si="339">(CN330-CN329)*$CJ$297+CN330</f>
        <v>1.0103391945573783</v>
      </c>
      <c r="CS331" s="341">
        <f t="shared" ref="CS331:CS335" si="340">$CM331</f>
        <v>2014</v>
      </c>
      <c r="CT331" s="341">
        <f t="shared" ref="CT331:CT335" si="341">(CT330-CT329)*$CJ$297+CT330</f>
        <v>1.0137714685929715</v>
      </c>
      <c r="CY331" s="341">
        <f t="shared" ref="CY331:CY335" si="342">$CM331</f>
        <v>2014</v>
      </c>
      <c r="CZ331" s="341">
        <f t="shared" ref="CZ331:CZ335" si="343">(CZ330-CZ329)*$CJ$297+CZ330</f>
        <v>0.88118902261160104</v>
      </c>
    </row>
    <row r="332" spans="86:288" s="341" customFormat="1" x14ac:dyDescent="0.2">
      <c r="CH332" s="341">
        <f t="shared" si="338"/>
        <v>2015</v>
      </c>
      <c r="CI332" s="341">
        <f t="shared" si="337"/>
        <v>1.0851962888410136</v>
      </c>
      <c r="CM332" s="341">
        <v>2015</v>
      </c>
      <c r="CN332" s="341">
        <f t="shared" si="339"/>
        <v>1.0100196048957866</v>
      </c>
      <c r="CS332" s="341">
        <f t="shared" si="340"/>
        <v>2015</v>
      </c>
      <c r="CT332" s="341">
        <f t="shared" si="341"/>
        <v>1.0133256174877887</v>
      </c>
      <c r="CY332" s="341">
        <f t="shared" si="342"/>
        <v>2015</v>
      </c>
      <c r="CZ332" s="341">
        <f t="shared" si="343"/>
        <v>0.87975276573256178</v>
      </c>
    </row>
    <row r="333" spans="86:288" s="341" customFormat="1" x14ac:dyDescent="0.2">
      <c r="CH333" s="341">
        <f t="shared" si="338"/>
        <v>2016</v>
      </c>
      <c r="CI333" s="341">
        <f t="shared" si="337"/>
        <v>1.0853379621982278</v>
      </c>
      <c r="CM333" s="341">
        <v>2016</v>
      </c>
      <c r="CN333" s="341">
        <f t="shared" si="339"/>
        <v>1.0097799126495928</v>
      </c>
      <c r="CS333" s="341">
        <f t="shared" si="340"/>
        <v>2016</v>
      </c>
      <c r="CT333" s="341">
        <f t="shared" si="341"/>
        <v>1.0129912291589016</v>
      </c>
      <c r="CY333" s="341">
        <f t="shared" si="342"/>
        <v>2016</v>
      </c>
      <c r="CZ333" s="341">
        <f t="shared" si="343"/>
        <v>0.87867557307328237</v>
      </c>
    </row>
    <row r="334" spans="86:288" s="341" customFormat="1" x14ac:dyDescent="0.2">
      <c r="CH334" s="341">
        <f t="shared" si="338"/>
        <v>2017</v>
      </c>
      <c r="CI334" s="341">
        <f t="shared" si="337"/>
        <v>1.0854442172161383</v>
      </c>
      <c r="CM334" s="341">
        <v>2017</v>
      </c>
      <c r="CN334" s="341">
        <f t="shared" si="339"/>
        <v>1.0096001434649473</v>
      </c>
      <c r="CS334" s="341">
        <f t="shared" si="340"/>
        <v>2017</v>
      </c>
      <c r="CT334" s="341">
        <f t="shared" si="341"/>
        <v>1.0127404379122362</v>
      </c>
      <c r="CY334" s="341">
        <f t="shared" si="342"/>
        <v>2017</v>
      </c>
      <c r="CZ334" s="341">
        <f t="shared" si="343"/>
        <v>0.87786767857882286</v>
      </c>
    </row>
    <row r="335" spans="86:288" s="341" customFormat="1" x14ac:dyDescent="0.2">
      <c r="CH335" s="341">
        <f t="shared" si="338"/>
        <v>2018</v>
      </c>
      <c r="CI335" s="341">
        <f t="shared" si="337"/>
        <v>1.0855239084795711</v>
      </c>
      <c r="CM335" s="341">
        <v>2018</v>
      </c>
      <c r="CN335" s="341">
        <f t="shared" si="339"/>
        <v>1.0094653165764633</v>
      </c>
      <c r="CS335" s="341">
        <f t="shared" si="340"/>
        <v>2018</v>
      </c>
      <c r="CT335" s="341">
        <f t="shared" si="341"/>
        <v>1.0125523444772373</v>
      </c>
      <c r="CY335" s="341">
        <f t="shared" si="342"/>
        <v>2018</v>
      </c>
      <c r="CZ335" s="341">
        <f t="shared" si="343"/>
        <v>0.87726175770797821</v>
      </c>
    </row>
    <row r="336" spans="86:288" s="341" customFormat="1" x14ac:dyDescent="0.2"/>
    <row r="337" spans="82:288" s="280" customFormat="1" x14ac:dyDescent="0.2">
      <c r="KB337" s="341"/>
    </row>
    <row r="338" spans="82:288" x14ac:dyDescent="0.2">
      <c r="CD338" t="s">
        <v>734</v>
      </c>
      <c r="CR338" s="341"/>
      <c r="CS338" s="341"/>
      <c r="CT338" s="341"/>
    </row>
    <row r="339" spans="82:288" x14ac:dyDescent="0.2">
      <c r="CI339" t="s">
        <v>541</v>
      </c>
      <c r="CJ339">
        <f>SUM(CJ316:CJ326)/6</f>
        <v>1.0746187888596008</v>
      </c>
      <c r="CN339" s="280" t="s">
        <v>541</v>
      </c>
      <c r="CO339">
        <f>SUM(CO316:CO326)/6</f>
        <v>1.0211078577560317</v>
      </c>
      <c r="CT339" s="280" t="s">
        <v>541</v>
      </c>
      <c r="CU339">
        <f>SUM(CU316:CU326)/6</f>
        <v>1.0186847141901909</v>
      </c>
      <c r="CZ339" s="280" t="s">
        <v>541</v>
      </c>
      <c r="DA339">
        <f>SUM(DA316:DA326)/6</f>
        <v>0.90594971224666443</v>
      </c>
    </row>
    <row r="340" spans="82:288" x14ac:dyDescent="0.2">
      <c r="CN340" t="s">
        <v>735</v>
      </c>
    </row>
    <row r="356" spans="103:106" x14ac:dyDescent="0.2">
      <c r="CY356" s="341"/>
      <c r="CZ356" s="341"/>
      <c r="DA356" s="341"/>
      <c r="DB356" s="341"/>
    </row>
    <row r="385" spans="75:179" ht="18" x14ac:dyDescent="0.25">
      <c r="BW385" s="209" t="s">
        <v>33</v>
      </c>
    </row>
    <row r="386" spans="75:179" x14ac:dyDescent="0.2">
      <c r="BW386" s="1"/>
    </row>
    <row r="387" spans="75:179" x14ac:dyDescent="0.2">
      <c r="BW387" t="s">
        <v>8</v>
      </c>
      <c r="FH387" s="280" t="s">
        <v>737</v>
      </c>
    </row>
    <row r="388" spans="75:179" x14ac:dyDescent="0.2">
      <c r="BW388" t="s">
        <v>110</v>
      </c>
      <c r="BX388" s="2">
        <f>BX13</f>
        <v>1548.640617161725</v>
      </c>
      <c r="BY388" s="2">
        <f t="shared" ref="BY388:CF388" si="344">BY13</f>
        <v>925.24341554579553</v>
      </c>
      <c r="BZ388" s="2">
        <f t="shared" si="344"/>
        <v>944.61785941399421</v>
      </c>
      <c r="CA388" s="2">
        <f t="shared" si="344"/>
        <v>904.06422627421125</v>
      </c>
      <c r="CB388" s="2">
        <f t="shared" si="344"/>
        <v>1059.6616293438617</v>
      </c>
      <c r="CC388" s="2">
        <f t="shared" si="344"/>
        <v>1077.5107236375038</v>
      </c>
      <c r="CD388" s="2">
        <f t="shared" si="344"/>
        <v>1278.3695210803917</v>
      </c>
      <c r="CE388" s="2">
        <f t="shared" si="344"/>
        <v>0</v>
      </c>
      <c r="CF388" s="2">
        <f t="shared" si="344"/>
        <v>1104.2098786708018</v>
      </c>
      <c r="CG388" s="282"/>
      <c r="CJ388" s="2">
        <f>CJ13</f>
        <v>1170.2910984937571</v>
      </c>
      <c r="CK388" s="2">
        <f t="shared" ref="CK388:CR388" si="345">CK13</f>
        <v>932.7056114732859</v>
      </c>
      <c r="CL388" s="2">
        <f t="shared" si="345"/>
        <v>909.05170863138255</v>
      </c>
      <c r="CM388" s="2">
        <f t="shared" si="345"/>
        <v>887.12291026797948</v>
      </c>
      <c r="CN388" s="2">
        <f t="shared" si="345"/>
        <v>1045.6646925154241</v>
      </c>
      <c r="CO388" s="2">
        <f t="shared" si="345"/>
        <v>1124.7558818674349</v>
      </c>
      <c r="CP388" s="2">
        <f t="shared" si="345"/>
        <v>1339.4562313417357</v>
      </c>
      <c r="CQ388" s="2">
        <f t="shared" si="345"/>
        <v>0</v>
      </c>
      <c r="CR388" s="2">
        <f t="shared" si="345"/>
        <v>1149.6427179994562</v>
      </c>
      <c r="CU388" s="2">
        <f>CU13</f>
        <v>1044.9087017327133</v>
      </c>
      <c r="CV388" s="2">
        <f t="shared" ref="CV388:DC388" si="346">CV13</f>
        <v>956.48786615979816</v>
      </c>
      <c r="CW388" s="2">
        <f t="shared" si="346"/>
        <v>1003.5440144785798</v>
      </c>
      <c r="CX388" s="2">
        <f t="shared" si="346"/>
        <v>914.30417180481527</v>
      </c>
      <c r="CY388" s="2">
        <f t="shared" si="346"/>
        <v>1063.3781354460755</v>
      </c>
      <c r="CZ388" s="2">
        <f t="shared" si="346"/>
        <v>1170.7729231255341</v>
      </c>
      <c r="DA388" s="2">
        <f t="shared" si="346"/>
        <v>1401.3466097406181</v>
      </c>
      <c r="DB388" s="2">
        <f t="shared" si="346"/>
        <v>1936.6067222664299</v>
      </c>
      <c r="DC388" s="2">
        <f t="shared" si="346"/>
        <v>1229.2074668695225</v>
      </c>
      <c r="DF388" s="2">
        <f>DF13</f>
        <v>868.49987980084279</v>
      </c>
      <c r="DG388" s="2">
        <f t="shared" ref="DG388:DN388" si="347">DG13</f>
        <v>798.64165725043802</v>
      </c>
      <c r="DH388" s="2">
        <f t="shared" si="347"/>
        <v>1016.236621320963</v>
      </c>
      <c r="DI388" s="2">
        <f t="shared" si="347"/>
        <v>887.27045196520294</v>
      </c>
      <c r="DJ388" s="2">
        <f t="shared" si="347"/>
        <v>1077.6732557284895</v>
      </c>
      <c r="DK388" s="2">
        <f t="shared" si="347"/>
        <v>1250.9091534244874</v>
      </c>
      <c r="DL388" s="2">
        <f t="shared" si="347"/>
        <v>1508.5493966719546</v>
      </c>
      <c r="DM388" s="2">
        <f t="shared" si="347"/>
        <v>1498.9700982174229</v>
      </c>
      <c r="DN388" s="2">
        <f t="shared" si="347"/>
        <v>1268.4660737351862</v>
      </c>
      <c r="DO388" s="2"/>
      <c r="DQ388" s="2">
        <f>DQ13</f>
        <v>1096.8914934884137</v>
      </c>
      <c r="DR388" s="2">
        <f t="shared" ref="DR388:DY388" si="348">DR13</f>
        <v>775.25507011787079</v>
      </c>
      <c r="DS388" s="2">
        <f t="shared" si="348"/>
        <v>906.35945414479374</v>
      </c>
      <c r="DT388" s="2">
        <f t="shared" si="348"/>
        <v>937.24677988320741</v>
      </c>
      <c r="DU388" s="2">
        <f t="shared" si="348"/>
        <v>1203.4018309430317</v>
      </c>
      <c r="DV388" s="2">
        <f t="shared" si="348"/>
        <v>1328.7736852692356</v>
      </c>
      <c r="DW388" s="2">
        <f t="shared" si="348"/>
        <v>1491.4684094273093</v>
      </c>
      <c r="DX388" s="2">
        <f t="shared" si="348"/>
        <v>1556.6661498163462</v>
      </c>
      <c r="DY388" s="2">
        <f t="shared" si="348"/>
        <v>1346.6940504418585</v>
      </c>
      <c r="EB388" s="2">
        <f>EB13</f>
        <v>1321.9760921654356</v>
      </c>
      <c r="EC388" s="2">
        <f t="shared" ref="EC388:EJ388" si="349">EC13</f>
        <v>851.48512601226184</v>
      </c>
      <c r="ED388" s="2">
        <f t="shared" si="349"/>
        <v>956.20029060142019</v>
      </c>
      <c r="EE388" s="2">
        <f t="shared" si="349"/>
        <v>1024.4471289754467</v>
      </c>
      <c r="EF388" s="2">
        <f t="shared" si="349"/>
        <v>1157.1661345695616</v>
      </c>
      <c r="EG388" s="2">
        <f t="shared" si="349"/>
        <v>1314.9764910305857</v>
      </c>
      <c r="EH388" s="2">
        <f t="shared" si="349"/>
        <v>1537.5426672670626</v>
      </c>
      <c r="EI388" s="2">
        <f t="shared" si="349"/>
        <v>1498.4049143695863</v>
      </c>
      <c r="EJ388" s="2">
        <f t="shared" si="349"/>
        <v>1359.370966205578</v>
      </c>
      <c r="EK388" s="1"/>
      <c r="EM388" s="2">
        <f>EM13</f>
        <v>1484.9669259024961</v>
      </c>
      <c r="EN388" s="2">
        <f t="shared" ref="EN388:EU388" si="350">EN13</f>
        <v>860.2873921253298</v>
      </c>
      <c r="EO388" s="2">
        <f t="shared" si="350"/>
        <v>1219.31460971055</v>
      </c>
      <c r="EP388" s="2">
        <f t="shared" si="350"/>
        <v>1155.5802177217247</v>
      </c>
      <c r="EQ388" s="2">
        <f t="shared" si="350"/>
        <v>1215.2556446784781</v>
      </c>
      <c r="ER388" s="2">
        <f t="shared" si="350"/>
        <v>1291.1573982932471</v>
      </c>
      <c r="ES388" s="2">
        <f t="shared" si="350"/>
        <v>1670.5330128388434</v>
      </c>
      <c r="ET388" s="2">
        <f t="shared" si="350"/>
        <v>1698.3263086525528</v>
      </c>
      <c r="EU388" s="2">
        <f t="shared" si="350"/>
        <v>1456.4439457961514</v>
      </c>
      <c r="FH388" s="280" t="s">
        <v>738</v>
      </c>
      <c r="FI388" s="344">
        <f t="shared" ref="FI388" si="351">FI13</f>
        <v>1356.9600099577319</v>
      </c>
      <c r="FW388" s="344">
        <f t="shared" ref="FW388" si="352">FW13</f>
        <v>1449.1383573860844</v>
      </c>
    </row>
    <row r="389" spans="75:179" x14ac:dyDescent="0.2">
      <c r="BX389" s="2">
        <f>BX44</f>
        <v>3911.2198634309675</v>
      </c>
      <c r="BY389" s="2">
        <f t="shared" ref="BY389:CF389" si="353">BY44</f>
        <v>0</v>
      </c>
      <c r="BZ389" s="2">
        <f t="shared" si="353"/>
        <v>875.74449152319369</v>
      </c>
      <c r="CA389" s="2">
        <f t="shared" si="353"/>
        <v>1019.6131167326884</v>
      </c>
      <c r="CB389" s="2">
        <f t="shared" si="353"/>
        <v>1071.1578038197849</v>
      </c>
      <c r="CC389" s="2">
        <f t="shared" si="353"/>
        <v>1107.0319753704032</v>
      </c>
      <c r="CD389" s="2">
        <f t="shared" si="353"/>
        <v>1240.1946670735426</v>
      </c>
      <c r="CE389" s="2">
        <f t="shared" si="353"/>
        <v>0</v>
      </c>
      <c r="CF389" s="2">
        <f t="shared" si="353"/>
        <v>1127.9319573968608</v>
      </c>
      <c r="CG389" s="282"/>
      <c r="CJ389" s="2">
        <f>CJ44</f>
        <v>0</v>
      </c>
      <c r="CK389" s="2">
        <f t="shared" ref="CK389:CR389" si="354">CK44</f>
        <v>455</v>
      </c>
      <c r="CL389" s="2">
        <f t="shared" si="354"/>
        <v>585.16723788644947</v>
      </c>
      <c r="CM389" s="2">
        <f t="shared" si="354"/>
        <v>944.83387556221032</v>
      </c>
      <c r="CN389" s="2">
        <f t="shared" si="354"/>
        <v>1019.0334057520248</v>
      </c>
      <c r="CO389" s="2">
        <f t="shared" si="354"/>
        <v>1067.8283683405405</v>
      </c>
      <c r="CP389" s="2">
        <f t="shared" si="354"/>
        <v>1333.6965587211043</v>
      </c>
      <c r="CQ389" s="2">
        <f t="shared" si="354"/>
        <v>0</v>
      </c>
      <c r="CR389" s="2">
        <f t="shared" si="354"/>
        <v>1084.9488020130298</v>
      </c>
      <c r="CU389" s="2">
        <f>CU44</f>
        <v>0</v>
      </c>
      <c r="CV389" s="2">
        <f t="shared" ref="CV389:DC389" si="355">CV44</f>
        <v>455</v>
      </c>
      <c r="CW389" s="2">
        <f t="shared" si="355"/>
        <v>656.08548400309098</v>
      </c>
      <c r="CX389" s="2">
        <f t="shared" si="355"/>
        <v>1057.3520879950761</v>
      </c>
      <c r="CY389" s="2">
        <f t="shared" si="355"/>
        <v>1118.3834770760263</v>
      </c>
      <c r="CZ389" s="2">
        <f t="shared" si="355"/>
        <v>1065.9251343853036</v>
      </c>
      <c r="DA389" s="2">
        <f t="shared" si="355"/>
        <v>1309.8327746359671</v>
      </c>
      <c r="DB389" s="2">
        <f t="shared" si="355"/>
        <v>1000</v>
      </c>
      <c r="DC389" s="2">
        <f t="shared" si="355"/>
        <v>1128.1798328257446</v>
      </c>
      <c r="DF389" s="2">
        <f>DF44</f>
        <v>0</v>
      </c>
      <c r="DG389" s="2">
        <f t="shared" ref="DG389:DN389" si="356">DG44</f>
        <v>0</v>
      </c>
      <c r="DH389" s="2">
        <f t="shared" si="356"/>
        <v>842.71697399387278</v>
      </c>
      <c r="DI389" s="2">
        <f t="shared" si="356"/>
        <v>770.58986947374478</v>
      </c>
      <c r="DJ389" s="2">
        <f t="shared" si="356"/>
        <v>1167.9732448515122</v>
      </c>
      <c r="DK389" s="2">
        <f t="shared" si="356"/>
        <v>1111.7255046047135</v>
      </c>
      <c r="DL389" s="2">
        <f t="shared" si="356"/>
        <v>1339.2261356407914</v>
      </c>
      <c r="DM389" s="2">
        <f t="shared" si="356"/>
        <v>1212.1149093051079</v>
      </c>
      <c r="DN389" s="2">
        <f t="shared" si="356"/>
        <v>1147.7561169149653</v>
      </c>
      <c r="DO389" s="2"/>
      <c r="DQ389" s="2">
        <f>DQ44</f>
        <v>1069.301781243711</v>
      </c>
      <c r="DR389" s="2">
        <f t="shared" ref="DR389:DY389" si="357">DR44</f>
        <v>0</v>
      </c>
      <c r="DS389" s="2">
        <f t="shared" si="357"/>
        <v>633.76683216231868</v>
      </c>
      <c r="DT389" s="2">
        <f t="shared" si="357"/>
        <v>814.09742386597281</v>
      </c>
      <c r="DU389" s="2">
        <f t="shared" si="357"/>
        <v>1407.1604979987492</v>
      </c>
      <c r="DV389" s="2">
        <f t="shared" si="357"/>
        <v>1169.0061005364164</v>
      </c>
      <c r="DW389" s="2">
        <f t="shared" si="357"/>
        <v>1785.701869677182</v>
      </c>
      <c r="DX389" s="2">
        <f t="shared" si="357"/>
        <v>1019.1219597025703</v>
      </c>
      <c r="DY389" s="2">
        <f t="shared" si="357"/>
        <v>1344.8769310665832</v>
      </c>
      <c r="EB389" s="2">
        <f>EB44</f>
        <v>1142.3930243387081</v>
      </c>
      <c r="EC389" s="2">
        <f t="shared" ref="EC389:EJ389" si="358">EC44</f>
        <v>0</v>
      </c>
      <c r="ED389" s="2">
        <f t="shared" si="358"/>
        <v>500</v>
      </c>
      <c r="EE389" s="2">
        <f t="shared" si="358"/>
        <v>797.96038965046159</v>
      </c>
      <c r="EF389" s="2">
        <f t="shared" si="358"/>
        <v>1513.4016881530645</v>
      </c>
      <c r="EG389" s="2">
        <f t="shared" si="358"/>
        <v>1113.4263813528337</v>
      </c>
      <c r="EH389" s="2">
        <f t="shared" si="358"/>
        <v>1914.6318084052407</v>
      </c>
      <c r="EI389" s="2">
        <f t="shared" si="358"/>
        <v>1104.2535627650925</v>
      </c>
      <c r="EJ389" s="2">
        <f t="shared" si="358"/>
        <v>1404.6079882966685</v>
      </c>
      <c r="EL389" s="2"/>
      <c r="EM389" s="2">
        <f>EM44</f>
        <v>1143.3329051336095</v>
      </c>
      <c r="EN389" s="2">
        <f t="shared" ref="EN389:EU389" si="359">EN44</f>
        <v>0</v>
      </c>
      <c r="EO389" s="2">
        <f t="shared" si="359"/>
        <v>816.00192275361235</v>
      </c>
      <c r="EP389" s="2">
        <f t="shared" si="359"/>
        <v>885.68985234591355</v>
      </c>
      <c r="EQ389" s="2">
        <f t="shared" si="359"/>
        <v>1399.4768775502416</v>
      </c>
      <c r="ER389" s="2">
        <f t="shared" si="359"/>
        <v>1515.0515226991904</v>
      </c>
      <c r="ES389" s="2">
        <f t="shared" si="359"/>
        <v>1890.4838121483313</v>
      </c>
      <c r="ET389" s="2">
        <f t="shared" si="359"/>
        <v>1115.203497592024</v>
      </c>
      <c r="EU389" s="2">
        <f t="shared" si="359"/>
        <v>1435.2578677670426</v>
      </c>
      <c r="FH389" s="280" t="s">
        <v>328</v>
      </c>
      <c r="FI389" s="344">
        <f t="shared" ref="FI389" si="360">FI44</f>
        <v>1349.0645648422774</v>
      </c>
      <c r="FW389" s="344">
        <f t="shared" ref="FW389" si="361">FW44</f>
        <v>1312.4324328693742</v>
      </c>
    </row>
    <row r="390" spans="75:179" x14ac:dyDescent="0.2">
      <c r="BX390" s="2">
        <f>BX73</f>
        <v>683.20310219576652</v>
      </c>
      <c r="BY390" s="2">
        <f t="shared" ref="BY390:CF390" si="362">BY73</f>
        <v>800</v>
      </c>
      <c r="BZ390" s="2">
        <f t="shared" si="362"/>
        <v>1023.8258555903082</v>
      </c>
      <c r="CA390" s="2">
        <f t="shared" si="362"/>
        <v>833.03952683504838</v>
      </c>
      <c r="CB390" s="2">
        <f t="shared" si="362"/>
        <v>993.22958798931529</v>
      </c>
      <c r="CC390" s="2">
        <f t="shared" si="362"/>
        <v>1108.7932466003838</v>
      </c>
      <c r="CD390" s="2">
        <f t="shared" si="362"/>
        <v>1187.4628699511718</v>
      </c>
      <c r="CE390" s="2">
        <f t="shared" si="362"/>
        <v>0</v>
      </c>
      <c r="CF390" s="2">
        <f t="shared" si="362"/>
        <v>1042.4134915379782</v>
      </c>
      <c r="CG390" s="282"/>
      <c r="CJ390" s="2">
        <f>CJ73</f>
        <v>1538.5258649353425</v>
      </c>
      <c r="CK390" s="2">
        <f t="shared" ref="CK390:CR390" si="363">CK73</f>
        <v>0</v>
      </c>
      <c r="CL390" s="2">
        <f t="shared" si="363"/>
        <v>729.10819294610235</v>
      </c>
      <c r="CM390" s="2">
        <f t="shared" si="363"/>
        <v>876.45935750863782</v>
      </c>
      <c r="CN390" s="2">
        <f t="shared" si="363"/>
        <v>997.84275393243865</v>
      </c>
      <c r="CO390" s="2">
        <f t="shared" si="363"/>
        <v>1189.0947285725608</v>
      </c>
      <c r="CP390" s="2">
        <f t="shared" si="363"/>
        <v>1194.2312103928848</v>
      </c>
      <c r="CQ390" s="2">
        <f t="shared" si="363"/>
        <v>0</v>
      </c>
      <c r="CR390" s="2">
        <f t="shared" si="363"/>
        <v>1092.5521763888612</v>
      </c>
      <c r="CU390" s="2">
        <f>CU73</f>
        <v>1162.6525268320245</v>
      </c>
      <c r="CV390" s="2">
        <f t="shared" ref="CV390:DC390" si="364">CV73</f>
        <v>0</v>
      </c>
      <c r="CW390" s="2">
        <f t="shared" si="364"/>
        <v>760.2551138940064</v>
      </c>
      <c r="CX390" s="2">
        <f t="shared" si="364"/>
        <v>873.91610203358778</v>
      </c>
      <c r="CY390" s="2">
        <f t="shared" si="364"/>
        <v>972.61395193546775</v>
      </c>
      <c r="CZ390" s="2">
        <f t="shared" si="364"/>
        <v>1083.2182397357674</v>
      </c>
      <c r="DA390" s="2">
        <f t="shared" si="364"/>
        <v>1279.2712590824688</v>
      </c>
      <c r="DB390" s="2">
        <f t="shared" si="364"/>
        <v>1401.7728171366089</v>
      </c>
      <c r="DC390" s="2">
        <f t="shared" si="364"/>
        <v>1100.3633576539869</v>
      </c>
      <c r="DF390" s="2">
        <f>DF73</f>
        <v>1082.9032342604496</v>
      </c>
      <c r="DG390" s="2">
        <f t="shared" ref="DG390:DN390" si="365">DG73</f>
        <v>0</v>
      </c>
      <c r="DH390" s="2">
        <f t="shared" si="365"/>
        <v>604.82244155753835</v>
      </c>
      <c r="DI390" s="2">
        <f t="shared" si="365"/>
        <v>877.20013416426434</v>
      </c>
      <c r="DJ390" s="2">
        <f t="shared" si="365"/>
        <v>968.4721934321708</v>
      </c>
      <c r="DK390" s="2">
        <f t="shared" si="365"/>
        <v>1139.1475102942547</v>
      </c>
      <c r="DL390" s="2">
        <f t="shared" si="365"/>
        <v>1398.1021034289008</v>
      </c>
      <c r="DM390" s="2">
        <f t="shared" si="365"/>
        <v>1488.8091755238768</v>
      </c>
      <c r="DN390" s="2">
        <f t="shared" si="365"/>
        <v>1160.6985786627852</v>
      </c>
      <c r="DO390" s="2"/>
      <c r="DQ390" s="2">
        <f>DQ73</f>
        <v>1100.9663204759356</v>
      </c>
      <c r="DR390" s="2">
        <f t="shared" ref="DR390:DY390" si="366">DR73</f>
        <v>1296</v>
      </c>
      <c r="DS390" s="2">
        <f t="shared" si="366"/>
        <v>792.03773789022046</v>
      </c>
      <c r="DT390" s="2">
        <f t="shared" si="366"/>
        <v>978.25760722386337</v>
      </c>
      <c r="DU390" s="2">
        <f t="shared" si="366"/>
        <v>1097.4413859718272</v>
      </c>
      <c r="DV390" s="2">
        <f t="shared" si="366"/>
        <v>1074.3819014186308</v>
      </c>
      <c r="DW390" s="2">
        <f t="shared" si="366"/>
        <v>1233.4354335501241</v>
      </c>
      <c r="DX390" s="2">
        <f t="shared" si="366"/>
        <v>1476.8565231872165</v>
      </c>
      <c r="DY390" s="2">
        <f t="shared" si="366"/>
        <v>1166.0738641994612</v>
      </c>
      <c r="EB390" s="2">
        <f>EB73</f>
        <v>1837.202172177439</v>
      </c>
      <c r="EC390" s="2">
        <f t="shared" ref="EC390:EJ390" si="367">EC73</f>
        <v>925.99999999999989</v>
      </c>
      <c r="ED390" s="2">
        <f t="shared" si="367"/>
        <v>1018.2811486577698</v>
      </c>
      <c r="EE390" s="2">
        <f t="shared" si="367"/>
        <v>1329.2221734268137</v>
      </c>
      <c r="EF390" s="2">
        <f t="shared" si="367"/>
        <v>1072.3492412699868</v>
      </c>
      <c r="EG390" s="2">
        <f t="shared" si="367"/>
        <v>1083.1215446932811</v>
      </c>
      <c r="EH390" s="2">
        <f t="shared" si="367"/>
        <v>1210.0791588353684</v>
      </c>
      <c r="EI390" s="2">
        <f t="shared" si="367"/>
        <v>1435.3101904212958</v>
      </c>
      <c r="EJ390" s="2">
        <f t="shared" si="367"/>
        <v>1199.215651860369</v>
      </c>
      <c r="EL390" s="2"/>
      <c r="EM390" s="2">
        <f>EM73</f>
        <v>1557.1045495629426</v>
      </c>
      <c r="EN390" s="2">
        <f t="shared" ref="EN390:EU390" si="368">EN73</f>
        <v>1110.5032736770697</v>
      </c>
      <c r="EO390" s="2">
        <f t="shared" si="368"/>
        <v>1158</v>
      </c>
      <c r="EP390" s="2">
        <f t="shared" si="368"/>
        <v>1135.5591950626242</v>
      </c>
      <c r="EQ390" s="2">
        <f t="shared" si="368"/>
        <v>1046.2223610154888</v>
      </c>
      <c r="ER390" s="2">
        <f t="shared" si="368"/>
        <v>1024.6755170113927</v>
      </c>
      <c r="ES390" s="2">
        <f t="shared" si="368"/>
        <v>1382.9519327501171</v>
      </c>
      <c r="ET390" s="2">
        <f t="shared" si="368"/>
        <v>1518.5502010674861</v>
      </c>
      <c r="EU390" s="2">
        <f t="shared" si="368"/>
        <v>1227.1946403719021</v>
      </c>
      <c r="FH390" s="280" t="s">
        <v>329</v>
      </c>
      <c r="FI390" s="344">
        <f t="shared" ref="FI390" si="369">FI73</f>
        <v>1225.6188135940495</v>
      </c>
      <c r="FW390" s="344">
        <f t="shared" ref="FW390" si="370">FW73</f>
        <v>1183.4426241776493</v>
      </c>
    </row>
    <row r="391" spans="75:179" x14ac:dyDescent="0.2">
      <c r="BX391" s="2">
        <f>BX102</f>
        <v>1515.9720860641462</v>
      </c>
      <c r="BY391" s="2">
        <f t="shared" ref="BY391:CF391" si="371">BY102</f>
        <v>870.17901181012598</v>
      </c>
      <c r="BZ391" s="2">
        <f t="shared" si="371"/>
        <v>937.816038603675</v>
      </c>
      <c r="CA391" s="2">
        <f t="shared" si="371"/>
        <v>909.14309172101935</v>
      </c>
      <c r="CB391" s="2">
        <f t="shared" si="371"/>
        <v>1037.72442873047</v>
      </c>
      <c r="CC391" s="2">
        <f t="shared" si="371"/>
        <v>1058.0202789292077</v>
      </c>
      <c r="CD391" s="2">
        <f t="shared" si="371"/>
        <v>1313.9112592848194</v>
      </c>
      <c r="CE391" s="2">
        <f t="shared" si="371"/>
        <v>0</v>
      </c>
      <c r="CF391" s="2">
        <f t="shared" si="371"/>
        <v>1116.2079667582279</v>
      </c>
      <c r="CG391" s="282"/>
      <c r="CJ391" s="2">
        <f>CJ102</f>
        <v>1094.0474436607415</v>
      </c>
      <c r="CK391" s="2">
        <f t="shared" ref="CK391:CR391" si="372">CK102</f>
        <v>911.75468162718005</v>
      </c>
      <c r="CL391" s="2">
        <f t="shared" si="372"/>
        <v>1238.3199717134748</v>
      </c>
      <c r="CM391" s="2">
        <f t="shared" si="372"/>
        <v>823.45588688874261</v>
      </c>
      <c r="CN391" s="2">
        <f t="shared" si="372"/>
        <v>1015.8660476660762</v>
      </c>
      <c r="CO391" s="2">
        <f t="shared" si="372"/>
        <v>1096.9244007553691</v>
      </c>
      <c r="CP391" s="2">
        <f t="shared" si="372"/>
        <v>1369.3183161312973</v>
      </c>
      <c r="CQ391" s="2">
        <f t="shared" si="372"/>
        <v>0</v>
      </c>
      <c r="CR391" s="2">
        <f t="shared" si="372"/>
        <v>1164.1525975871859</v>
      </c>
      <c r="CU391" s="2">
        <f>CU102</f>
        <v>1145.0891495474582</v>
      </c>
      <c r="CV391" s="2">
        <f t="shared" ref="CV391:DC391" si="373">CV102</f>
        <v>866.15352917679593</v>
      </c>
      <c r="CW391" s="2">
        <f t="shared" si="373"/>
        <v>1503.8336015777068</v>
      </c>
      <c r="CX391" s="2">
        <f t="shared" si="373"/>
        <v>844.87098784155796</v>
      </c>
      <c r="CY391" s="2">
        <f t="shared" si="373"/>
        <v>1024.6813463517822</v>
      </c>
      <c r="CZ391" s="2">
        <f t="shared" si="373"/>
        <v>1216.4145373189126</v>
      </c>
      <c r="DA391" s="2">
        <f t="shared" si="373"/>
        <v>1441.3011827536409</v>
      </c>
      <c r="DB391" s="2">
        <f t="shared" si="373"/>
        <v>2203.3945343176088</v>
      </c>
      <c r="DC391" s="2">
        <f t="shared" si="373"/>
        <v>1292.5791270711156</v>
      </c>
      <c r="DF391" s="2">
        <f>DF102</f>
        <v>869.75884373838915</v>
      </c>
      <c r="DG391" s="2">
        <f t="shared" ref="DG391:DN391" si="374">DG102</f>
        <v>798.64165725043802</v>
      </c>
      <c r="DH391" s="2">
        <f t="shared" si="374"/>
        <v>1356.779885141405</v>
      </c>
      <c r="DI391" s="2">
        <f t="shared" si="374"/>
        <v>886.02823193262691</v>
      </c>
      <c r="DJ391" s="2">
        <f t="shared" si="374"/>
        <v>1028.9160042677711</v>
      </c>
      <c r="DK391" s="2">
        <f t="shared" si="374"/>
        <v>1324.9971954558409</v>
      </c>
      <c r="DL391" s="2">
        <f t="shared" si="374"/>
        <v>1545.5758119966436</v>
      </c>
      <c r="DM391" s="2">
        <f t="shared" si="374"/>
        <v>1548.9108270525705</v>
      </c>
      <c r="DN391" s="2">
        <f t="shared" si="374"/>
        <v>1324.6689927228588</v>
      </c>
      <c r="DO391" s="2"/>
      <c r="DQ391" s="2">
        <f>DQ102</f>
        <v>1010.1524348913454</v>
      </c>
      <c r="DR391" s="2">
        <f t="shared" ref="DR391:DY391" si="375">DR102</f>
        <v>720.14502909988084</v>
      </c>
      <c r="DS391" s="2">
        <f t="shared" si="375"/>
        <v>1342.7218655002766</v>
      </c>
      <c r="DT391" s="2">
        <f t="shared" si="375"/>
        <v>1018.5967115687694</v>
      </c>
      <c r="DU391" s="2">
        <f t="shared" si="375"/>
        <v>1106.2194362433354</v>
      </c>
      <c r="DV391" s="2">
        <f t="shared" si="375"/>
        <v>1457.5848382031272</v>
      </c>
      <c r="DW391" s="2">
        <f t="shared" si="375"/>
        <v>1583.5931191746424</v>
      </c>
      <c r="DX391" s="2">
        <f t="shared" si="375"/>
        <v>1659.1605112452696</v>
      </c>
      <c r="DY391" s="2">
        <f t="shared" si="375"/>
        <v>1431.8014408754846</v>
      </c>
      <c r="EB391" s="2">
        <f>EB102</f>
        <v>941.17463309940888</v>
      </c>
      <c r="EC391" s="2">
        <f t="shared" ref="EC391:EJ391" si="376">EC102</f>
        <v>846.02818379901873</v>
      </c>
      <c r="ED391" s="2">
        <f t="shared" si="376"/>
        <v>1052.9708919355828</v>
      </c>
      <c r="EE391" s="2">
        <f t="shared" si="376"/>
        <v>1098.7497708500878</v>
      </c>
      <c r="EF391" s="2">
        <f t="shared" si="376"/>
        <v>1085.2091037494552</v>
      </c>
      <c r="EG391" s="2">
        <f t="shared" si="376"/>
        <v>1424.8377755424267</v>
      </c>
      <c r="EH391" s="2">
        <f t="shared" si="376"/>
        <v>1605.4189859554624</v>
      </c>
      <c r="EI391" s="2">
        <f t="shared" si="376"/>
        <v>1476.7184656164216</v>
      </c>
      <c r="EJ391" s="2">
        <f t="shared" si="376"/>
        <v>1415.446206690109</v>
      </c>
      <c r="EL391" s="2"/>
      <c r="EM391" s="2">
        <f>EM102</f>
        <v>1646.629368228414</v>
      </c>
      <c r="EN391" s="2">
        <f t="shared" ref="EN391:EU391" si="377">EN102</f>
        <v>833.72667704439527</v>
      </c>
      <c r="EO391" s="2">
        <f t="shared" si="377"/>
        <v>1429.8145033495259</v>
      </c>
      <c r="EP391" s="2">
        <f t="shared" si="377"/>
        <v>1444.4064575664647</v>
      </c>
      <c r="EQ391" s="2">
        <f t="shared" si="377"/>
        <v>1179.4878291417103</v>
      </c>
      <c r="ER391" s="2">
        <f t="shared" si="377"/>
        <v>1264.2251747968362</v>
      </c>
      <c r="ES391" s="2">
        <f t="shared" si="377"/>
        <v>1791.1897069205934</v>
      </c>
      <c r="ET391" s="2">
        <f t="shared" si="377"/>
        <v>1692.6236455450889</v>
      </c>
      <c r="EU391" s="2">
        <f t="shared" si="377"/>
        <v>1525.5005413809502</v>
      </c>
      <c r="FH391" s="280" t="s">
        <v>330</v>
      </c>
      <c r="FI391" s="344">
        <f t="shared" ref="FI391" si="378">FI102</f>
        <v>1397.6421542307544</v>
      </c>
      <c r="FW391" s="344">
        <f t="shared" ref="FW391" si="379">FW102</f>
        <v>1548.7287893592209</v>
      </c>
    </row>
    <row r="392" spans="75:179" x14ac:dyDescent="0.2">
      <c r="BX392" s="2">
        <f>BX131</f>
        <v>330.09747397285258</v>
      </c>
      <c r="BY392" s="2">
        <f t="shared" ref="BY392:CF392" si="380">BY131</f>
        <v>1280</v>
      </c>
      <c r="BZ392" s="2">
        <f t="shared" si="380"/>
        <v>952.74753014194823</v>
      </c>
      <c r="CA392" s="2">
        <f t="shared" si="380"/>
        <v>927.93832104125158</v>
      </c>
      <c r="CB392" s="2">
        <f t="shared" si="380"/>
        <v>1144.8956130543172</v>
      </c>
      <c r="CC392" s="2">
        <f t="shared" si="380"/>
        <v>1101.2159788700149</v>
      </c>
      <c r="CD392" s="2">
        <f t="shared" si="380"/>
        <v>1260.9688241362876</v>
      </c>
      <c r="CE392" s="2">
        <f t="shared" si="380"/>
        <v>0</v>
      </c>
      <c r="CF392" s="2">
        <f t="shared" si="380"/>
        <v>1117.1495995567545</v>
      </c>
      <c r="CG392" s="282"/>
      <c r="CJ392" s="2">
        <f>CJ131</f>
        <v>795.11373437177508</v>
      </c>
      <c r="CK392" s="2">
        <f t="shared" ref="CK392:CR392" si="381">CK131</f>
        <v>1780.0000000000002</v>
      </c>
      <c r="CL392" s="2">
        <f t="shared" si="381"/>
        <v>868.93631994855889</v>
      </c>
      <c r="CM392" s="2">
        <f t="shared" si="381"/>
        <v>967.2303347086405</v>
      </c>
      <c r="CN392" s="2">
        <f t="shared" si="381"/>
        <v>1142.7699375437974</v>
      </c>
      <c r="CO392" s="2">
        <f t="shared" si="381"/>
        <v>1199.7072941589099</v>
      </c>
      <c r="CP392" s="2">
        <f t="shared" si="381"/>
        <v>1382.3264406649162</v>
      </c>
      <c r="CQ392" s="2">
        <f t="shared" si="381"/>
        <v>0</v>
      </c>
      <c r="CR392" s="2">
        <f t="shared" si="381"/>
        <v>1186.5065997288418</v>
      </c>
      <c r="CU392" s="2">
        <f>CU131</f>
        <v>643.33923155206514</v>
      </c>
      <c r="CV392" s="2">
        <f t="shared" ref="CV392:DC392" si="382">CV131</f>
        <v>1935.7598660000831</v>
      </c>
      <c r="CW392" s="2">
        <f t="shared" si="382"/>
        <v>874.32652776702446</v>
      </c>
      <c r="CX392" s="2">
        <f t="shared" si="382"/>
        <v>970.14422223467511</v>
      </c>
      <c r="CY392" s="2">
        <f t="shared" si="382"/>
        <v>1173.0096347561303</v>
      </c>
      <c r="CZ392" s="2">
        <f t="shared" si="382"/>
        <v>1145.5012246390972</v>
      </c>
      <c r="DA392" s="2">
        <f t="shared" si="382"/>
        <v>1401.3476150960946</v>
      </c>
      <c r="DB392" s="2">
        <f t="shared" si="382"/>
        <v>1426.8372107656126</v>
      </c>
      <c r="DC392" s="2">
        <f t="shared" si="382"/>
        <v>1201.9696299367945</v>
      </c>
      <c r="DF392" s="2">
        <f>DF131</f>
        <v>486.25161238573952</v>
      </c>
      <c r="DG392" s="2">
        <f t="shared" ref="DG392:DN392" si="383">DG131</f>
        <v>0</v>
      </c>
      <c r="DH392" s="2">
        <f t="shared" si="383"/>
        <v>771.54671044048223</v>
      </c>
      <c r="DI392" s="2">
        <f t="shared" si="383"/>
        <v>944.39624473113133</v>
      </c>
      <c r="DJ392" s="2">
        <f t="shared" si="383"/>
        <v>1203.3036382793871</v>
      </c>
      <c r="DK392" s="2">
        <f t="shared" si="383"/>
        <v>1187.1644357442797</v>
      </c>
      <c r="DL392" s="2">
        <f t="shared" si="383"/>
        <v>1519.3954669969191</v>
      </c>
      <c r="DM392" s="2">
        <f t="shared" si="383"/>
        <v>1457.4640968851106</v>
      </c>
      <c r="DN392" s="2">
        <f t="shared" si="383"/>
        <v>1250.0542602604087</v>
      </c>
      <c r="DO392" s="2"/>
      <c r="DQ392" s="2">
        <f>DQ131</f>
        <v>1255.8883105619232</v>
      </c>
      <c r="DR392" s="2">
        <f t="shared" ref="DR392:DY392" si="384">DR131</f>
        <v>0</v>
      </c>
      <c r="DS392" s="2">
        <f t="shared" si="384"/>
        <v>679.19903697306302</v>
      </c>
      <c r="DT392" s="2">
        <f t="shared" si="384"/>
        <v>842.53343427722632</v>
      </c>
      <c r="DU392" s="2">
        <f t="shared" si="384"/>
        <v>1354.3434462188786</v>
      </c>
      <c r="DV392" s="2">
        <f t="shared" si="384"/>
        <v>1171.1605439723173</v>
      </c>
      <c r="DW392" s="2">
        <f t="shared" si="384"/>
        <v>1319.206264490841</v>
      </c>
      <c r="DX392" s="2">
        <f t="shared" si="384"/>
        <v>1486.5922620258664</v>
      </c>
      <c r="DY392" s="2">
        <f t="shared" si="384"/>
        <v>1269.9313629989558</v>
      </c>
      <c r="EB392" s="2">
        <f>EB131</f>
        <v>1535.4646344103346</v>
      </c>
      <c r="EC392" s="2">
        <f t="shared" ref="EC392:EJ392" si="385">EC131</f>
        <v>0</v>
      </c>
      <c r="ED392" s="2">
        <f t="shared" si="385"/>
        <v>500</v>
      </c>
      <c r="EE392" s="2">
        <f t="shared" si="385"/>
        <v>813.55219362875471</v>
      </c>
      <c r="EF392" s="2">
        <f t="shared" si="385"/>
        <v>1198.2977527197386</v>
      </c>
      <c r="EG392" s="2">
        <f t="shared" si="385"/>
        <v>1254.8513219988358</v>
      </c>
      <c r="EH392" s="2">
        <f t="shared" si="385"/>
        <v>1443.395556782606</v>
      </c>
      <c r="EI392" s="2">
        <f t="shared" si="385"/>
        <v>1769.2138856916995</v>
      </c>
      <c r="EJ392" s="2">
        <f t="shared" si="385"/>
        <v>1314.5844718875494</v>
      </c>
      <c r="EL392" s="2"/>
      <c r="EM392" s="2">
        <f>EM131</f>
        <v>1302.135545066908</v>
      </c>
      <c r="EN392" s="2">
        <f t="shared" ref="EN392:EU392" si="386">EN131</f>
        <v>0</v>
      </c>
      <c r="EO392" s="2">
        <f t="shared" si="386"/>
        <v>691.09881003399641</v>
      </c>
      <c r="EP392" s="2">
        <f t="shared" si="386"/>
        <v>817.1342525648264</v>
      </c>
      <c r="EQ392" s="2">
        <f t="shared" si="386"/>
        <v>1338.0104761517675</v>
      </c>
      <c r="ER392" s="2">
        <f t="shared" si="386"/>
        <v>1541.9126331530729</v>
      </c>
      <c r="ES392" s="2">
        <f t="shared" si="386"/>
        <v>1375.5193864143271</v>
      </c>
      <c r="ET392" s="2">
        <f t="shared" si="386"/>
        <v>2140.9032374830867</v>
      </c>
      <c r="EU392" s="2">
        <f t="shared" si="386"/>
        <v>1462.4070323055216</v>
      </c>
      <c r="FH392" s="280" t="s">
        <v>331</v>
      </c>
      <c r="FI392" s="344">
        <f t="shared" ref="FI392" si="387">FI131</f>
        <v>1345.2563030991528</v>
      </c>
      <c r="FW392" s="344">
        <f t="shared" ref="FW392" si="388">FW131</f>
        <v>1432.8365885578842</v>
      </c>
    </row>
    <row r="393" spans="75:179" x14ac:dyDescent="0.2">
      <c r="BX393" s="2"/>
      <c r="BY393" s="2"/>
      <c r="BZ393" s="2"/>
      <c r="CA393" s="2"/>
      <c r="CB393" s="2"/>
      <c r="CC393" s="2"/>
      <c r="CD393" s="2"/>
      <c r="CE393" s="2"/>
      <c r="CF393" s="2"/>
      <c r="CG393" s="282"/>
      <c r="CJ393" s="2"/>
      <c r="CK393" s="2"/>
      <c r="CL393" s="2"/>
      <c r="CM393" s="2"/>
      <c r="CN393" s="2"/>
      <c r="CO393" s="2"/>
      <c r="CP393" s="2"/>
      <c r="CQ393" s="2"/>
      <c r="CR393" s="2"/>
      <c r="CU393" s="2"/>
      <c r="CV393" s="2"/>
      <c r="CW393" s="2"/>
      <c r="CX393" s="2"/>
      <c r="CY393" s="2"/>
      <c r="CZ393" s="2"/>
      <c r="DA393" s="2"/>
      <c r="DB393" s="2"/>
      <c r="DC393" s="2"/>
      <c r="DF393" s="2"/>
      <c r="DG393" s="2"/>
      <c r="DH393" s="2"/>
      <c r="DI393" s="2"/>
      <c r="DJ393" s="2"/>
      <c r="DK393" s="2"/>
      <c r="DL393" s="2"/>
      <c r="DM393" s="2"/>
      <c r="DN393" s="2"/>
      <c r="DO393" s="2"/>
      <c r="DQ393" s="2"/>
      <c r="DR393" s="2"/>
      <c r="DS393" s="2"/>
      <c r="DT393" s="2"/>
      <c r="DU393" s="2"/>
      <c r="DV393" s="2"/>
      <c r="DW393" s="2"/>
      <c r="DX393" s="2"/>
      <c r="DY393" s="2"/>
      <c r="EB393" s="2"/>
      <c r="EC393" s="2"/>
      <c r="ED393" s="2"/>
      <c r="EE393" s="2"/>
      <c r="EF393" s="2"/>
      <c r="EG393" s="2"/>
      <c r="EH393" s="2"/>
      <c r="EI393" s="2"/>
      <c r="EJ393" s="2"/>
      <c r="EL393" s="2"/>
      <c r="EM393" s="2"/>
      <c r="EN393" s="2"/>
      <c r="EO393" s="2"/>
      <c r="EP393" s="2"/>
      <c r="EQ393" s="2"/>
      <c r="ER393" s="2"/>
      <c r="ES393" s="2"/>
      <c r="ET393" s="2"/>
      <c r="EU393" s="2"/>
    </row>
    <row r="394" spans="75:179" x14ac:dyDescent="0.2">
      <c r="BW394" t="s">
        <v>8</v>
      </c>
      <c r="BX394" s="2"/>
      <c r="BY394" s="2"/>
      <c r="BZ394" s="2"/>
      <c r="CA394" s="2"/>
      <c r="CB394" s="2"/>
      <c r="CC394" s="2"/>
      <c r="CD394" s="2"/>
      <c r="CE394" s="2"/>
      <c r="CF394" s="2"/>
      <c r="CG394" s="282"/>
      <c r="CJ394" s="2"/>
      <c r="CK394" s="2"/>
      <c r="CL394" s="2"/>
      <c r="CM394" s="2"/>
      <c r="CN394" s="2"/>
      <c r="CO394" s="2"/>
      <c r="CP394" s="2"/>
      <c r="CQ394" s="2"/>
      <c r="CR394" s="2"/>
      <c r="CU394" s="2"/>
      <c r="CV394" s="2"/>
      <c r="CW394" s="2"/>
      <c r="CX394" s="2"/>
      <c r="CY394" s="2"/>
      <c r="CZ394" s="2"/>
      <c r="DA394" s="2"/>
      <c r="DB394" s="2"/>
      <c r="DC394" s="2"/>
      <c r="DF394" s="2"/>
      <c r="DG394" s="2"/>
      <c r="DH394" s="2"/>
      <c r="DI394" s="2"/>
      <c r="DJ394" s="2"/>
      <c r="DK394" s="2"/>
      <c r="DL394" s="2"/>
      <c r="DM394" s="2"/>
      <c r="DN394" s="2"/>
      <c r="DO394" s="2"/>
      <c r="DQ394" s="2"/>
      <c r="DR394" s="2"/>
      <c r="DS394" s="2"/>
      <c r="DT394" s="2"/>
      <c r="DU394" s="2"/>
      <c r="DV394" s="2"/>
      <c r="DW394" s="2"/>
      <c r="DX394" s="2"/>
      <c r="DY394" s="2"/>
      <c r="EB394" s="2"/>
      <c r="EC394" s="2"/>
      <c r="ED394" s="2"/>
      <c r="EE394" s="2"/>
      <c r="EF394" s="2"/>
      <c r="EG394" s="2"/>
      <c r="EH394" s="2"/>
      <c r="EI394" s="2"/>
      <c r="EJ394" s="2"/>
      <c r="EL394" s="2"/>
      <c r="EM394" s="2"/>
      <c r="EN394" s="2"/>
      <c r="EO394" s="2"/>
      <c r="EP394" s="2"/>
      <c r="EQ394" s="2"/>
      <c r="ER394" s="2"/>
      <c r="ES394" s="2"/>
      <c r="ET394" s="2"/>
      <c r="EU394" s="2"/>
    </row>
    <row r="395" spans="75:179" x14ac:dyDescent="0.2">
      <c r="BX395" s="2"/>
      <c r="BY395" s="2"/>
      <c r="BZ395" s="2"/>
      <c r="CA395" s="2"/>
      <c r="CB395" s="2"/>
      <c r="CC395" s="2"/>
      <c r="CD395" s="2"/>
      <c r="CE395" s="2"/>
      <c r="CF395" s="2"/>
      <c r="CG395" s="282"/>
      <c r="CJ395" s="2"/>
      <c r="CK395" s="2"/>
      <c r="CL395" s="2"/>
      <c r="CM395" s="2"/>
      <c r="CN395" s="2"/>
      <c r="CO395" s="2"/>
      <c r="CP395" s="2"/>
      <c r="CQ395" s="2"/>
      <c r="CR395" s="2"/>
      <c r="CU395" s="2"/>
      <c r="CV395" s="2"/>
      <c r="CW395" s="2"/>
      <c r="CX395" s="2"/>
      <c r="CY395" s="2"/>
      <c r="CZ395" s="2"/>
      <c r="DA395" s="2"/>
      <c r="DB395" s="2"/>
      <c r="DC395" s="2"/>
      <c r="DF395" s="2"/>
      <c r="DG395" s="2"/>
      <c r="DH395" s="2"/>
      <c r="DI395" s="2"/>
      <c r="DJ395" s="2"/>
      <c r="DK395" s="2"/>
      <c r="DL395" s="2"/>
      <c r="DM395" s="2"/>
      <c r="DN395" s="2"/>
      <c r="DO395" s="2"/>
      <c r="DQ395" s="2"/>
      <c r="DR395" s="2"/>
      <c r="DS395" s="2"/>
      <c r="DT395" s="2"/>
      <c r="DU395" s="2"/>
      <c r="DV395" s="2"/>
      <c r="DW395" s="2"/>
      <c r="DX395" s="2"/>
      <c r="DY395" s="2"/>
      <c r="EB395" s="2"/>
      <c r="EC395" s="2"/>
      <c r="ED395" s="2"/>
      <c r="EE395" s="2"/>
      <c r="EF395" s="2"/>
      <c r="EG395" s="2"/>
      <c r="EH395" s="2"/>
      <c r="EI395" s="2"/>
      <c r="EJ395" s="2"/>
      <c r="EL395" s="2"/>
      <c r="EM395" s="2"/>
      <c r="EN395" s="2"/>
      <c r="EO395" s="2"/>
      <c r="EP395" s="2"/>
      <c r="EQ395" s="2"/>
      <c r="ER395" s="2"/>
      <c r="ES395" s="2"/>
      <c r="ET395" s="2"/>
      <c r="EU395" s="2"/>
    </row>
    <row r="396" spans="75:179" x14ac:dyDescent="0.2">
      <c r="BX396" s="2"/>
      <c r="BY396" s="2"/>
      <c r="BZ396" s="2"/>
      <c r="CA396" s="2"/>
      <c r="CB396" s="2"/>
      <c r="CC396" s="2"/>
      <c r="CD396" s="2"/>
      <c r="CE396" s="2"/>
      <c r="CF396" s="2"/>
      <c r="CG396" s="282"/>
      <c r="CJ396" s="2"/>
      <c r="CK396" s="2"/>
      <c r="CL396" s="2"/>
      <c r="CM396" s="2"/>
      <c r="CN396" s="2"/>
      <c r="CO396" s="2"/>
      <c r="CP396" s="2"/>
      <c r="CQ396" s="2"/>
      <c r="CR396" s="2"/>
      <c r="CU396" s="2"/>
      <c r="CV396" s="2"/>
      <c r="CW396" s="2"/>
      <c r="CX396" s="2"/>
      <c r="CY396" s="2"/>
      <c r="CZ396" s="2"/>
      <c r="DA396" s="2"/>
      <c r="DB396" s="2"/>
      <c r="DC396" s="2"/>
      <c r="DF396" s="2"/>
      <c r="DG396" s="2"/>
      <c r="DH396" s="2"/>
      <c r="DI396" s="2"/>
      <c r="DJ396" s="2"/>
      <c r="DK396" s="2"/>
      <c r="DL396" s="2"/>
      <c r="DM396" s="2"/>
      <c r="DN396" s="2"/>
      <c r="DO396" s="2"/>
      <c r="DQ396" s="2"/>
      <c r="DR396" s="2"/>
      <c r="DS396" s="2"/>
      <c r="DT396" s="2"/>
      <c r="DU396" s="2"/>
      <c r="DV396" s="2"/>
      <c r="DW396" s="2"/>
      <c r="DX396" s="2"/>
      <c r="DY396" s="2"/>
      <c r="EB396" s="2"/>
      <c r="EC396" s="2"/>
      <c r="ED396" s="2"/>
      <c r="EE396" s="2"/>
      <c r="EF396" s="2"/>
      <c r="EG396" s="2"/>
      <c r="EH396" s="2"/>
      <c r="EI396" s="2"/>
      <c r="EJ396" s="2"/>
      <c r="EL396" s="2"/>
      <c r="EM396" s="2"/>
      <c r="EN396" s="2"/>
      <c r="EO396" s="2"/>
      <c r="EP396" s="2"/>
      <c r="EQ396" s="2"/>
      <c r="ER396" s="2"/>
      <c r="ES396" s="2"/>
      <c r="ET396" s="2"/>
      <c r="EU396" s="2"/>
    </row>
    <row r="399" spans="75:179" x14ac:dyDescent="0.2">
      <c r="BW399" t="s">
        <v>326</v>
      </c>
      <c r="BX399" t="s">
        <v>327</v>
      </c>
    </row>
    <row r="400" spans="75:179" x14ac:dyDescent="0.2">
      <c r="BY400">
        <v>1999</v>
      </c>
      <c r="BZ400">
        <v>2001</v>
      </c>
      <c r="CA400">
        <v>2003</v>
      </c>
      <c r="CB400">
        <v>2005</v>
      </c>
      <c r="CC400">
        <v>2007</v>
      </c>
      <c r="CD400">
        <v>2009</v>
      </c>
      <c r="CE400">
        <v>2011</v>
      </c>
      <c r="CF400">
        <v>2013</v>
      </c>
      <c r="CH400">
        <f>1999</f>
        <v>1999</v>
      </c>
      <c r="CI400">
        <f>BY401</f>
        <v>0.94372693796642915</v>
      </c>
      <c r="CM400">
        <f>1999</f>
        <v>1999</v>
      </c>
      <c r="CN400">
        <f>BY402</f>
        <v>0.95034062259800089</v>
      </c>
      <c r="CS400">
        <f>1999</f>
        <v>1999</v>
      </c>
      <c r="CT400">
        <f>BY403</f>
        <v>1.0126212077548571</v>
      </c>
      <c r="CY400">
        <f>1999</f>
        <v>1999</v>
      </c>
      <c r="CZ400">
        <f>BY404</f>
        <v>1.0320655114430108</v>
      </c>
    </row>
    <row r="401" spans="76:104" x14ac:dyDescent="0.2">
      <c r="BX401" t="s">
        <v>328</v>
      </c>
      <c r="BY401">
        <f>CR389/CR$388</f>
        <v>0.94372693796642915</v>
      </c>
      <c r="BZ401">
        <f>DC389/DC$388</f>
        <v>0.91781075467994877</v>
      </c>
      <c r="CA401">
        <f>DN389/DN$388</f>
        <v>0.90483785154397345</v>
      </c>
      <c r="CB401">
        <f>DY389/DY$388</f>
        <v>0.99865068136695256</v>
      </c>
      <c r="CC401">
        <f>EJ389/EJ$388</f>
        <v>1.0332779081028638</v>
      </c>
      <c r="CD401">
        <f>EU389/EU$388</f>
        <v>0.98545355755691122</v>
      </c>
      <c r="CE401" s="341">
        <f>FI389/FI$388</f>
        <v>0.99418151967816615</v>
      </c>
      <c r="CF401" s="341">
        <f>FW389/FW$388</f>
        <v>0.90566399417975763</v>
      </c>
      <c r="CH401">
        <f>2001</f>
        <v>2001</v>
      </c>
      <c r="CI401">
        <f>BZ401</f>
        <v>0.91781075467994877</v>
      </c>
      <c r="CM401">
        <f>2001</f>
        <v>2001</v>
      </c>
      <c r="CN401">
        <f>BZ402</f>
        <v>0.89518115315092528</v>
      </c>
      <c r="CS401">
        <f>2001</f>
        <v>2001</v>
      </c>
      <c r="CT401">
        <f>BZ403</f>
        <v>1.0515548936283186</v>
      </c>
      <c r="CY401">
        <f>2001</f>
        <v>2001</v>
      </c>
      <c r="CZ401">
        <f>BZ404</f>
        <v>0.97784113937894002</v>
      </c>
    </row>
    <row r="402" spans="76:104" x14ac:dyDescent="0.2">
      <c r="BX402" t="s">
        <v>329</v>
      </c>
      <c r="BY402">
        <f>CR390/CR$388</f>
        <v>0.95034062259800089</v>
      </c>
      <c r="BZ402">
        <f>DC390/DC$388</f>
        <v>0.89518115315092528</v>
      </c>
      <c r="CA402">
        <f>DN390/DN$388</f>
        <v>0.91504108994017974</v>
      </c>
      <c r="CB402">
        <f>DY390/DY$388</f>
        <v>0.86587882661014604</v>
      </c>
      <c r="CC402">
        <f>EJ390/EJ$388</f>
        <v>0.88218424673858398</v>
      </c>
      <c r="CD402">
        <f>EU390/EU$388</f>
        <v>0.84259654751152657</v>
      </c>
      <c r="CE402" s="341">
        <f t="shared" ref="CE402:CE404" si="389">FI390/FI$388</f>
        <v>0.90320923579186863</v>
      </c>
      <c r="CF402" s="341">
        <f t="shared" ref="CF402:CF404" si="390">FW390/FW$388</f>
        <v>0.81665261163351599</v>
      </c>
      <c r="CH402">
        <f>2003</f>
        <v>2003</v>
      </c>
      <c r="CI402">
        <f>CA401</f>
        <v>0.90483785154397345</v>
      </c>
      <c r="CM402">
        <f>2003</f>
        <v>2003</v>
      </c>
      <c r="CN402">
        <f>CA402</f>
        <v>0.91504108994017974</v>
      </c>
      <c r="CS402">
        <f>2003</f>
        <v>2003</v>
      </c>
      <c r="CT402">
        <f>CA403</f>
        <v>1.0443077825662099</v>
      </c>
      <c r="CY402">
        <f>2003</f>
        <v>2003</v>
      </c>
      <c r="CZ402">
        <f>CA404</f>
        <v>0.98548497759931308</v>
      </c>
    </row>
    <row r="403" spans="76:104" x14ac:dyDescent="0.2">
      <c r="BX403" t="s">
        <v>330</v>
      </c>
      <c r="BY403">
        <f>CR391/CR$388</f>
        <v>1.0126212077548571</v>
      </c>
      <c r="BZ403">
        <f>DC391/DC$388</f>
        <v>1.0515548936283186</v>
      </c>
      <c r="CA403">
        <f>DN391/DN$388</f>
        <v>1.0443077825662099</v>
      </c>
      <c r="CB403">
        <f>DY391/DY$388</f>
        <v>1.0631972721686132</v>
      </c>
      <c r="CC403">
        <f>EJ391/EJ$388</f>
        <v>1.0412508740281943</v>
      </c>
      <c r="CD403">
        <f>EU391/EU$388</f>
        <v>1.047414523424758</v>
      </c>
      <c r="CE403" s="341">
        <f t="shared" si="389"/>
        <v>1.0299803560712815</v>
      </c>
      <c r="CF403" s="341">
        <f t="shared" si="390"/>
        <v>1.0687238947651452</v>
      </c>
      <c r="CH403">
        <f>2005</f>
        <v>2005</v>
      </c>
      <c r="CI403">
        <f>CB401</f>
        <v>0.99865068136695256</v>
      </c>
      <c r="CM403">
        <f>2005</f>
        <v>2005</v>
      </c>
      <c r="CN403">
        <f>CB402</f>
        <v>0.86587882661014604</v>
      </c>
      <c r="CS403">
        <f>2005</f>
        <v>2005</v>
      </c>
      <c r="CT403">
        <f>CB403</f>
        <v>1.0631972721686132</v>
      </c>
      <c r="CY403">
        <f>2005</f>
        <v>2005</v>
      </c>
      <c r="CZ403">
        <f>CB404</f>
        <v>0.942999163456825</v>
      </c>
    </row>
    <row r="404" spans="76:104" x14ac:dyDescent="0.2">
      <c r="BX404" t="s">
        <v>331</v>
      </c>
      <c r="BY404">
        <f>CR392/CR$388</f>
        <v>1.0320655114430108</v>
      </c>
      <c r="BZ404">
        <f>DC392/DC$388</f>
        <v>0.97784113937894002</v>
      </c>
      <c r="CA404">
        <f>DN392/DN$388</f>
        <v>0.98548497759931308</v>
      </c>
      <c r="CB404">
        <f>DY392/DY$388</f>
        <v>0.942999163456825</v>
      </c>
      <c r="CC404">
        <f>EJ392/EJ$388</f>
        <v>0.96705351561020791</v>
      </c>
      <c r="CD404">
        <f>EU392/EU$388</f>
        <v>1.0040942780713134</v>
      </c>
      <c r="CE404" s="341">
        <f t="shared" si="389"/>
        <v>0.99137505396423309</v>
      </c>
      <c r="CF404" s="341">
        <f t="shared" si="390"/>
        <v>0.9887507160754444</v>
      </c>
      <c r="CH404">
        <f>2007</f>
        <v>2007</v>
      </c>
      <c r="CI404">
        <f>CC401</f>
        <v>1.0332779081028638</v>
      </c>
      <c r="CM404">
        <f>2007</f>
        <v>2007</v>
      </c>
      <c r="CN404">
        <f>CC402</f>
        <v>0.88218424673858398</v>
      </c>
      <c r="CS404">
        <f>2007</f>
        <v>2007</v>
      </c>
      <c r="CT404">
        <f>CC403</f>
        <v>1.0412508740281943</v>
      </c>
      <c r="CY404">
        <f>2007</f>
        <v>2007</v>
      </c>
      <c r="CZ404">
        <f>CC404</f>
        <v>0.96705351561020791</v>
      </c>
    </row>
    <row r="405" spans="76:104" x14ac:dyDescent="0.2">
      <c r="CH405">
        <v>2009</v>
      </c>
      <c r="CI405">
        <f>CD401</f>
        <v>0.98545355755691122</v>
      </c>
      <c r="CM405">
        <v>2009</v>
      </c>
      <c r="CN405">
        <f>CD402</f>
        <v>0.84259654751152657</v>
      </c>
      <c r="CS405">
        <v>2009</v>
      </c>
      <c r="CT405">
        <f>CD403</f>
        <v>1.047414523424758</v>
      </c>
      <c r="CY405">
        <v>2009</v>
      </c>
      <c r="CZ405">
        <f>CD404</f>
        <v>1.0040942780713134</v>
      </c>
    </row>
    <row r="406" spans="76:104" s="341" customFormat="1" x14ac:dyDescent="0.2">
      <c r="CH406" s="341">
        <v>2011</v>
      </c>
      <c r="CI406" s="341">
        <f>CE401</f>
        <v>0.99418151967816615</v>
      </c>
      <c r="CM406" s="341">
        <v>2011</v>
      </c>
      <c r="CN406" s="341">
        <f>CE402</f>
        <v>0.90320923579186863</v>
      </c>
      <c r="CS406" s="341">
        <v>2011</v>
      </c>
      <c r="CT406" s="341">
        <f>CE403</f>
        <v>1.0299803560712815</v>
      </c>
      <c r="CY406" s="341">
        <v>2011</v>
      </c>
      <c r="CZ406" s="341">
        <f>CE404</f>
        <v>0.99137505396423309</v>
      </c>
    </row>
    <row r="407" spans="76:104" s="341" customFormat="1" x14ac:dyDescent="0.2">
      <c r="CH407" s="341">
        <v>2013</v>
      </c>
      <c r="CI407" s="341">
        <f>CF401</f>
        <v>0.90566399417975763</v>
      </c>
      <c r="CM407" s="341">
        <v>2013</v>
      </c>
      <c r="CN407" s="341">
        <f>CF402</f>
        <v>0.81665261163351599</v>
      </c>
      <c r="CS407" s="341">
        <v>2012</v>
      </c>
      <c r="CT407" s="341">
        <f>CF403</f>
        <v>1.0687238947651452</v>
      </c>
      <c r="CY407" s="341">
        <v>2013</v>
      </c>
      <c r="CZ407" s="341">
        <f>CF404</f>
        <v>0.9887507160754444</v>
      </c>
    </row>
    <row r="408" spans="76:104" s="341" customFormat="1" x14ac:dyDescent="0.2"/>
    <row r="410" spans="76:104" x14ac:dyDescent="0.2">
      <c r="CH410">
        <f t="array" ref="CH410:CI415">LINEST(CI400:CI407,CH400:CH407,TRUE,TRUE)</f>
        <v>2.3326640670185165E-3</v>
      </c>
      <c r="CI410">
        <v>-3.7188737178047688</v>
      </c>
      <c r="CM410">
        <f t="array" ref="CM410:CN415">LINEST(CN400:CN407,CM400:CM407,TRUE,TRUE)</f>
        <v>-6.5279992303821375E-3</v>
      </c>
      <c r="CN410">
        <v>13.979051997893412</v>
      </c>
      <c r="CS410">
        <f t="array" ref="CS410:CT415">LINEST(CT400:CT407,CS400:CS407,TRUE,TRUE)</f>
        <v>1.6037281776131304E-3</v>
      </c>
      <c r="CT410">
        <v>-2.1719969077188157</v>
      </c>
      <c r="CY410">
        <f t="array" ref="CY410:CZ415">LINEST(CZ400:CZ407,CY400:CY407,TRUE,TRUE)</f>
        <v>-9.2649845879235685E-4</v>
      </c>
      <c r="CZ410">
        <v>2.8447639527873791</v>
      </c>
    </row>
    <row r="411" spans="76:104" x14ac:dyDescent="0.2">
      <c r="CH411">
        <v>3.9596214774075336E-3</v>
      </c>
      <c r="CI411">
        <v>7.9430214094877236</v>
      </c>
      <c r="CM411">
        <v>2.2888714663293571E-3</v>
      </c>
      <c r="CN411">
        <v>4.5914881420743585</v>
      </c>
      <c r="CS411">
        <v>1.4044125065798231E-3</v>
      </c>
      <c r="CT411">
        <v>2.8170827138566326</v>
      </c>
      <c r="CY411">
        <v>2.1399933239969388E-3</v>
      </c>
      <c r="CZ411">
        <v>4.2928378092841131</v>
      </c>
    </row>
    <row r="412" spans="76:104" x14ac:dyDescent="0.2">
      <c r="CH412">
        <v>5.4679541340390929E-2</v>
      </c>
      <c r="CI412">
        <v>5.1322560117849726E-2</v>
      </c>
      <c r="CM412">
        <v>0.57549915341081159</v>
      </c>
      <c r="CN412">
        <v>2.9667164930530284E-2</v>
      </c>
      <c r="CS412">
        <v>0.17853047122310739</v>
      </c>
      <c r="CT412">
        <v>1.7477742958625486E-2</v>
      </c>
      <c r="CY412">
        <v>3.029378197518455E-2</v>
      </c>
      <c r="CZ412">
        <v>2.7737483658296157E-2</v>
      </c>
    </row>
    <row r="413" spans="76:104" x14ac:dyDescent="0.2">
      <c r="CH413">
        <v>0.34705400167424028</v>
      </c>
      <c r="CI413">
        <v>6</v>
      </c>
      <c r="CM413">
        <v>8.1342474301506229</v>
      </c>
      <c r="CN413">
        <v>6</v>
      </c>
      <c r="CS413">
        <v>1.3039836412843657</v>
      </c>
      <c r="CT413">
        <v>6</v>
      </c>
      <c r="CY413">
        <v>0.18744098828337705</v>
      </c>
      <c r="CZ413">
        <v>6</v>
      </c>
    </row>
    <row r="414" spans="76:104" x14ac:dyDescent="0.2">
      <c r="CH414">
        <v>9.1414203712597217E-4</v>
      </c>
      <c r="CI414">
        <v>1.5804031062301795E-2</v>
      </c>
      <c r="CM414">
        <v>7.1592820239141236E-3</v>
      </c>
      <c r="CN414">
        <v>5.2808440500917153E-3</v>
      </c>
      <c r="CS414">
        <v>3.9832983748044328E-4</v>
      </c>
      <c r="CT414">
        <v>1.8328289935666963E-3</v>
      </c>
      <c r="CY414">
        <v>1.4421109821629446E-4</v>
      </c>
      <c r="CZ414">
        <v>4.616207998165478E-3</v>
      </c>
    </row>
    <row r="415" spans="76:104" x14ac:dyDescent="0.2">
      <c r="CH415" t="e">
        <v>#N/A</v>
      </c>
      <c r="CI415" t="e">
        <v>#N/A</v>
      </c>
      <c r="CM415" t="e">
        <v>#N/A</v>
      </c>
      <c r="CN415" t="e">
        <v>#N/A</v>
      </c>
      <c r="CS415" t="e">
        <v>#N/A</v>
      </c>
      <c r="CT415" t="e">
        <v>#N/A</v>
      </c>
      <c r="CY415" t="e">
        <v>#N/A</v>
      </c>
      <c r="CZ415" t="e">
        <v>#N/A</v>
      </c>
    </row>
    <row r="419" spans="85:108" x14ac:dyDescent="0.2">
      <c r="CG419" s="280" t="s">
        <v>598</v>
      </c>
      <c r="CH419" s="280"/>
      <c r="CI419" s="280"/>
      <c r="CJ419" s="288">
        <v>0.6</v>
      </c>
      <c r="CK419" t="s">
        <v>601</v>
      </c>
      <c r="CL419">
        <f>place_nsa_all!$A$42</f>
        <v>0.57173322993408293</v>
      </c>
    </row>
    <row r="421" spans="85:108" x14ac:dyDescent="0.2">
      <c r="CI421" s="293">
        <v>1</v>
      </c>
      <c r="CN421" s="293">
        <v>0.75</v>
      </c>
      <c r="CT421" s="293">
        <v>1.5</v>
      </c>
      <c r="CZ421" s="293">
        <v>1.5</v>
      </c>
      <c r="DC421" s="280" t="s">
        <v>540</v>
      </c>
      <c r="DD421" s="280"/>
    </row>
    <row r="422" spans="85:108" x14ac:dyDescent="0.2">
      <c r="DC422" s="280"/>
      <c r="DD422" s="280"/>
    </row>
    <row r="423" spans="85:108" x14ac:dyDescent="0.2">
      <c r="CI423" t="s">
        <v>332</v>
      </c>
      <c r="CJ423" t="s">
        <v>29</v>
      </c>
      <c r="CN423" t="s">
        <v>332</v>
      </c>
      <c r="CO423" t="s">
        <v>29</v>
      </c>
      <c r="CT423" t="s">
        <v>332</v>
      </c>
      <c r="CU423" t="s">
        <v>29</v>
      </c>
      <c r="CZ423" t="s">
        <v>332</v>
      </c>
      <c r="DA423" t="s">
        <v>29</v>
      </c>
      <c r="DC423" s="280"/>
      <c r="DD423" s="280"/>
    </row>
    <row r="424" spans="85:108" x14ac:dyDescent="0.2">
      <c r="CH424">
        <f>1985</f>
        <v>1985</v>
      </c>
      <c r="CI424">
        <f>CI$438+CI$421*CH$410*(CH424-CH$438)</f>
        <v>0.91146445522698638</v>
      </c>
      <c r="CM424">
        <f>1985</f>
        <v>1985</v>
      </c>
      <c r="CN424">
        <f>CN$438+CN$421*CM$410*(CM424-CM$438)</f>
        <v>0.99812552827853174</v>
      </c>
      <c r="CS424">
        <f>1985</f>
        <v>1985</v>
      </c>
      <c r="CT424">
        <f>CT$438+CT$421*CS$410*(CS424-CS$438)</f>
        <v>1.0001774275999564</v>
      </c>
      <c r="CY424">
        <f>1985</f>
        <v>1985</v>
      </c>
      <c r="CZ424">
        <f>CZ$438+CZ$421*CY$410*(CY424-CY$438)</f>
        <v>1.0121500012960973</v>
      </c>
      <c r="DC424" s="280">
        <f>'Final Floorspace Estimates'!AH10</f>
        <v>1.0055446494068636</v>
      </c>
      <c r="DD424" s="280"/>
    </row>
    <row r="425" spans="85:108" x14ac:dyDescent="0.2">
      <c r="CH425">
        <f t="shared" ref="CH425:CH450" si="391">CH424+1</f>
        <v>1986</v>
      </c>
      <c r="CI425">
        <f t="shared" ref="CI425:CI437" si="392">CI$438+CI$421*CH$410*(CH425-CH$438)</f>
        <v>0.91379711929400487</v>
      </c>
      <c r="CM425">
        <f t="shared" ref="CM425:CM457" si="393">CM424+1</f>
        <v>1986</v>
      </c>
      <c r="CN425">
        <f t="shared" ref="CN425:CN437" si="394">CN$438+CN$421*CM$410*(CM425-CM$438)</f>
        <v>0.99322952885574511</v>
      </c>
      <c r="CS425">
        <f t="shared" ref="CS425:CS457" si="395">CS424+1</f>
        <v>1986</v>
      </c>
      <c r="CT425">
        <f t="shared" ref="CT425:CT437" si="396">CT$438+CT$421*CS$410*(CS425-CS$438)</f>
        <v>1.0025830198663761</v>
      </c>
      <c r="CY425">
        <f t="shared" ref="CY425:CY457" si="397">CY424+1</f>
        <v>1986</v>
      </c>
      <c r="CZ425">
        <f t="shared" ref="CZ425:CZ437" si="398">CZ$438+CZ$421*CY$410*(CY425-CY$438)</f>
        <v>1.0107602536079088</v>
      </c>
      <c r="DC425" s="280">
        <f>'Final Floorspace Estimates'!AH11</f>
        <v>1.0045271726648779</v>
      </c>
      <c r="DD425" s="280"/>
    </row>
    <row r="426" spans="85:108" x14ac:dyDescent="0.2">
      <c r="CH426">
        <f t="shared" si="391"/>
        <v>1987</v>
      </c>
      <c r="CI426">
        <f t="shared" si="392"/>
        <v>0.91612978336102346</v>
      </c>
      <c r="CM426">
        <f t="shared" si="393"/>
        <v>1987</v>
      </c>
      <c r="CN426">
        <f t="shared" si="394"/>
        <v>0.98833352943295849</v>
      </c>
      <c r="CS426">
        <f t="shared" si="395"/>
        <v>1987</v>
      </c>
      <c r="CT426">
        <f t="shared" si="396"/>
        <v>1.0049886121327958</v>
      </c>
      <c r="CY426">
        <f t="shared" si="397"/>
        <v>1987</v>
      </c>
      <c r="CZ426">
        <f t="shared" si="398"/>
        <v>1.0093705059197202</v>
      </c>
      <c r="DC426" s="280">
        <f>'Final Floorspace Estimates'!AH12</f>
        <v>1.0035117529423119</v>
      </c>
      <c r="DD426" s="280"/>
    </row>
    <row r="427" spans="85:108" x14ac:dyDescent="0.2">
      <c r="CH427">
        <f t="shared" si="391"/>
        <v>1988</v>
      </c>
      <c r="CI427">
        <f t="shared" si="392"/>
        <v>0.91846244742804195</v>
      </c>
      <c r="CM427">
        <f t="shared" si="393"/>
        <v>1988</v>
      </c>
      <c r="CN427">
        <f t="shared" si="394"/>
        <v>0.98343753001017187</v>
      </c>
      <c r="CS427">
        <f t="shared" si="395"/>
        <v>1988</v>
      </c>
      <c r="CT427">
        <f t="shared" si="396"/>
        <v>1.0073942043992155</v>
      </c>
      <c r="CY427">
        <f t="shared" si="397"/>
        <v>1988</v>
      </c>
      <c r="CZ427">
        <f t="shared" si="398"/>
        <v>1.0079807582315317</v>
      </c>
      <c r="DC427" s="280">
        <f>'Final Floorspace Estimates'!AH13</f>
        <v>1.0033254081332021</v>
      </c>
      <c r="DD427" s="280"/>
    </row>
    <row r="428" spans="85:108" x14ac:dyDescent="0.2">
      <c r="CH428">
        <f t="shared" si="391"/>
        <v>1989</v>
      </c>
      <c r="CI428">
        <f t="shared" si="392"/>
        <v>0.92079511149506044</v>
      </c>
      <c r="CM428">
        <f t="shared" si="393"/>
        <v>1989</v>
      </c>
      <c r="CN428">
        <f t="shared" si="394"/>
        <v>0.97854153058738524</v>
      </c>
      <c r="CS428">
        <f t="shared" si="395"/>
        <v>1989</v>
      </c>
      <c r="CT428">
        <f t="shared" si="396"/>
        <v>1.0097997966656351</v>
      </c>
      <c r="CY428">
        <f t="shared" si="397"/>
        <v>1989</v>
      </c>
      <c r="CZ428">
        <f t="shared" si="398"/>
        <v>1.0065910105433431</v>
      </c>
      <c r="DC428" s="280">
        <f>'Final Floorspace Estimates'!AH14</f>
        <v>1.0031391325169865</v>
      </c>
      <c r="DD428" s="280"/>
    </row>
    <row r="429" spans="85:108" x14ac:dyDescent="0.2">
      <c r="CH429">
        <f t="shared" si="391"/>
        <v>1990</v>
      </c>
      <c r="CI429">
        <f t="shared" si="392"/>
        <v>0.92312777556207903</v>
      </c>
      <c r="CM429">
        <f t="shared" si="393"/>
        <v>1990</v>
      </c>
      <c r="CN429">
        <f t="shared" si="394"/>
        <v>0.97364553116459862</v>
      </c>
      <c r="CS429">
        <f t="shared" si="395"/>
        <v>1990</v>
      </c>
      <c r="CT429">
        <f t="shared" si="396"/>
        <v>1.0122053889320548</v>
      </c>
      <c r="CY429">
        <f t="shared" si="397"/>
        <v>1990</v>
      </c>
      <c r="CZ429">
        <f t="shared" si="398"/>
        <v>1.0052012628551545</v>
      </c>
      <c r="DC429" s="280">
        <f>'Final Floorspace Estimates'!AH15</f>
        <v>1.0034960906109505</v>
      </c>
      <c r="DD429" s="280"/>
    </row>
    <row r="430" spans="85:108" x14ac:dyDescent="0.2">
      <c r="CH430">
        <f t="shared" si="391"/>
        <v>1991</v>
      </c>
      <c r="CI430">
        <f t="shared" si="392"/>
        <v>0.92546043962909752</v>
      </c>
      <c r="CM430">
        <f t="shared" si="393"/>
        <v>1991</v>
      </c>
      <c r="CN430">
        <f t="shared" si="394"/>
        <v>0.96874953174181211</v>
      </c>
      <c r="CS430">
        <f t="shared" si="395"/>
        <v>1991</v>
      </c>
      <c r="CT430">
        <f t="shared" si="396"/>
        <v>1.0146109811984745</v>
      </c>
      <c r="CY430">
        <f t="shared" si="397"/>
        <v>1991</v>
      </c>
      <c r="CZ430">
        <f t="shared" si="398"/>
        <v>1.003811515166966</v>
      </c>
      <c r="DC430" s="280">
        <f>'Final Floorspace Estimates'!AH16</f>
        <v>1.0038533028360388</v>
      </c>
      <c r="DD430" s="280"/>
    </row>
    <row r="431" spans="85:108" x14ac:dyDescent="0.2">
      <c r="CH431">
        <f t="shared" si="391"/>
        <v>1992</v>
      </c>
      <c r="CI431">
        <f t="shared" si="392"/>
        <v>0.92779310369611601</v>
      </c>
      <c r="CM431">
        <f t="shared" si="393"/>
        <v>1992</v>
      </c>
      <c r="CN431">
        <f t="shared" si="394"/>
        <v>0.96385353231902549</v>
      </c>
      <c r="CS431">
        <f t="shared" si="395"/>
        <v>1992</v>
      </c>
      <c r="CT431">
        <f t="shared" si="396"/>
        <v>1.0170165734648942</v>
      </c>
      <c r="CY431">
        <f t="shared" si="397"/>
        <v>1992</v>
      </c>
      <c r="CZ431">
        <f t="shared" si="398"/>
        <v>1.0024217674787774</v>
      </c>
      <c r="DC431" s="280">
        <f>'Final Floorspace Estimates'!AH17</f>
        <v>1.0027601242659836</v>
      </c>
      <c r="DD431" s="280"/>
    </row>
    <row r="432" spans="85:108" x14ac:dyDescent="0.2">
      <c r="CH432">
        <f t="shared" si="391"/>
        <v>1993</v>
      </c>
      <c r="CI432">
        <f t="shared" si="392"/>
        <v>0.93012576776313449</v>
      </c>
      <c r="CM432">
        <f t="shared" si="393"/>
        <v>1993</v>
      </c>
      <c r="CN432">
        <f t="shared" si="394"/>
        <v>0.95895753289623886</v>
      </c>
      <c r="CS432">
        <f t="shared" si="395"/>
        <v>1993</v>
      </c>
      <c r="CT432">
        <f t="shared" si="396"/>
        <v>1.0194221657313138</v>
      </c>
      <c r="CY432">
        <f t="shared" si="397"/>
        <v>1993</v>
      </c>
      <c r="CZ432">
        <f t="shared" si="398"/>
        <v>1.0010320197905889</v>
      </c>
      <c r="DC432" s="280">
        <f>'Final Floorspace Estimates'!AH18</f>
        <v>1.001669324010412</v>
      </c>
      <c r="DD432" s="280"/>
    </row>
    <row r="433" spans="86:108" x14ac:dyDescent="0.2">
      <c r="CH433">
        <f t="shared" si="391"/>
        <v>1994</v>
      </c>
      <c r="CI433">
        <f t="shared" si="392"/>
        <v>0.93245843183015309</v>
      </c>
      <c r="CM433">
        <f t="shared" si="393"/>
        <v>1994</v>
      </c>
      <c r="CN433">
        <f t="shared" si="394"/>
        <v>0.95406153347345224</v>
      </c>
      <c r="CS433">
        <f t="shared" si="395"/>
        <v>1994</v>
      </c>
      <c r="CT433">
        <f t="shared" si="396"/>
        <v>1.0218277579977337</v>
      </c>
      <c r="CY433">
        <f t="shared" si="397"/>
        <v>1994</v>
      </c>
      <c r="CZ433">
        <f t="shared" si="398"/>
        <v>0.99964227210240042</v>
      </c>
      <c r="DC433" s="280">
        <f>'Final Floorspace Estimates'!AH19</f>
        <v>1.0016078158704027</v>
      </c>
      <c r="DD433" s="280"/>
    </row>
    <row r="434" spans="86:108" x14ac:dyDescent="0.2">
      <c r="CH434">
        <f t="shared" si="391"/>
        <v>1995</v>
      </c>
      <c r="CI434">
        <f t="shared" si="392"/>
        <v>0.93479109589717158</v>
      </c>
      <c r="CM434">
        <f t="shared" si="393"/>
        <v>1995</v>
      </c>
      <c r="CN434">
        <f t="shared" si="394"/>
        <v>0.94916553405066562</v>
      </c>
      <c r="CS434">
        <f t="shared" si="395"/>
        <v>1995</v>
      </c>
      <c r="CT434">
        <f t="shared" si="396"/>
        <v>1.0242333502641534</v>
      </c>
      <c r="CY434">
        <f t="shared" si="397"/>
        <v>1995</v>
      </c>
      <c r="CZ434">
        <f t="shared" si="398"/>
        <v>0.99825252441421186</v>
      </c>
      <c r="DC434" s="280">
        <f>'Final Floorspace Estimates'!AH20</f>
        <v>1.0015463152838231</v>
      </c>
      <c r="DD434" s="280"/>
    </row>
    <row r="435" spans="86:108" x14ac:dyDescent="0.2">
      <c r="CH435">
        <f t="shared" si="391"/>
        <v>1996</v>
      </c>
      <c r="CI435">
        <f t="shared" si="392"/>
        <v>0.93712375996419006</v>
      </c>
      <c r="CM435">
        <f t="shared" si="393"/>
        <v>1996</v>
      </c>
      <c r="CN435">
        <f t="shared" si="394"/>
        <v>0.94426953462787899</v>
      </c>
      <c r="CS435">
        <f t="shared" si="395"/>
        <v>1996</v>
      </c>
      <c r="CT435">
        <f t="shared" si="396"/>
        <v>1.0266389425305731</v>
      </c>
      <c r="CY435">
        <f t="shared" si="397"/>
        <v>1996</v>
      </c>
      <c r="CZ435">
        <f t="shared" si="398"/>
        <v>0.9968627767260233</v>
      </c>
      <c r="DC435" s="280">
        <f>'Final Floorspace Estimates'!AH21</f>
        <v>1.0011088782339381</v>
      </c>
      <c r="DD435" s="280"/>
    </row>
    <row r="436" spans="86:108" x14ac:dyDescent="0.2">
      <c r="CH436">
        <f t="shared" si="391"/>
        <v>1997</v>
      </c>
      <c r="CI436">
        <f t="shared" si="392"/>
        <v>0.93945642403120855</v>
      </c>
      <c r="CM436">
        <f t="shared" si="393"/>
        <v>1997</v>
      </c>
      <c r="CN436">
        <f t="shared" si="394"/>
        <v>0.93937353520509248</v>
      </c>
      <c r="CS436">
        <f t="shared" si="395"/>
        <v>1997</v>
      </c>
      <c r="CT436">
        <f t="shared" si="396"/>
        <v>1.0290445347969928</v>
      </c>
      <c r="CY436">
        <f t="shared" si="397"/>
        <v>1997</v>
      </c>
      <c r="CZ436">
        <f t="shared" si="398"/>
        <v>0.99547302903783486</v>
      </c>
      <c r="DC436" s="280">
        <f>'Final Floorspace Estimates'!AH22</f>
        <v>1.0006718231287153</v>
      </c>
      <c r="DD436" s="280"/>
    </row>
    <row r="437" spans="86:108" x14ac:dyDescent="0.2">
      <c r="CH437">
        <f t="shared" si="391"/>
        <v>1998</v>
      </c>
      <c r="CI437">
        <f t="shared" si="392"/>
        <v>0.94178908809822715</v>
      </c>
      <c r="CM437">
        <f t="shared" si="393"/>
        <v>1998</v>
      </c>
      <c r="CN437">
        <f t="shared" si="394"/>
        <v>0.93447753578230586</v>
      </c>
      <c r="CS437">
        <f t="shared" si="395"/>
        <v>1998</v>
      </c>
      <c r="CT437">
        <f t="shared" si="396"/>
        <v>1.0314501270634124</v>
      </c>
      <c r="CY437">
        <f t="shared" si="397"/>
        <v>1998</v>
      </c>
      <c r="CZ437">
        <f t="shared" si="398"/>
        <v>0.9940832813496463</v>
      </c>
      <c r="DC437" s="280">
        <f>'Final Floorspace Estimates'!AH23</f>
        <v>1.000483753456735</v>
      </c>
      <c r="DD437" s="280"/>
    </row>
    <row r="438" spans="86:108" x14ac:dyDescent="0.2">
      <c r="CH438">
        <f t="shared" si="391"/>
        <v>1999</v>
      </c>
      <c r="CI438">
        <f>CI$410+CH$410*CH438</f>
        <v>0.94412175216524563</v>
      </c>
      <c r="CJ438">
        <f>CI400</f>
        <v>0.94372693796642915</v>
      </c>
      <c r="CM438">
        <f t="shared" si="393"/>
        <v>1999</v>
      </c>
      <c r="CN438">
        <f>CN$410+CM$410*CM438</f>
        <v>0.92958153635951923</v>
      </c>
      <c r="CO438">
        <f>CN400</f>
        <v>0.95034062259800089</v>
      </c>
      <c r="CS438">
        <f t="shared" si="395"/>
        <v>1999</v>
      </c>
      <c r="CT438">
        <f>CT$410+CS$410*CS438</f>
        <v>1.0338557193298321</v>
      </c>
      <c r="CU438">
        <f>CT400</f>
        <v>1.0126212077548571</v>
      </c>
      <c r="CY438">
        <f t="shared" si="397"/>
        <v>1999</v>
      </c>
      <c r="CZ438">
        <f>CZ$410+CY$410*CY438</f>
        <v>0.99269353366145774</v>
      </c>
      <c r="DA438">
        <f>CZ400</f>
        <v>1.0320655114430108</v>
      </c>
      <c r="DC438" s="280">
        <f>'Final Floorspace Estimates'!AH24</f>
        <v>1.0002957544643811</v>
      </c>
      <c r="DD438" s="280"/>
    </row>
    <row r="439" spans="86:108" x14ac:dyDescent="0.2">
      <c r="CH439">
        <f t="shared" si="391"/>
        <v>2000</v>
      </c>
      <c r="CI439">
        <f t="shared" ref="CI439:CI452" si="399">CI$410+CH$410*CH439</f>
        <v>0.9464544162322639</v>
      </c>
      <c r="CM439">
        <f t="shared" si="393"/>
        <v>2000</v>
      </c>
      <c r="CN439">
        <f t="shared" ref="CN439:CN452" si="400">CN$410+CM$410*CM439</f>
        <v>0.92305353712913707</v>
      </c>
      <c r="CS439">
        <f t="shared" si="395"/>
        <v>2000</v>
      </c>
      <c r="CT439">
        <f t="shared" ref="CT439:CT452" si="401">CT$410+CS$410*CS439</f>
        <v>1.0354594475074452</v>
      </c>
      <c r="CY439">
        <f t="shared" si="397"/>
        <v>2000</v>
      </c>
      <c r="CZ439">
        <f t="shared" ref="CZ439:CZ452" si="402">CZ$410+CY$410*CY439</f>
        <v>0.99176703520266551</v>
      </c>
      <c r="DC439" s="280">
        <f>'Final Floorspace Estimates'!AH25</f>
        <v>1.0001213743135782</v>
      </c>
      <c r="DD439" s="280"/>
    </row>
    <row r="440" spans="86:108" x14ac:dyDescent="0.2">
      <c r="CH440">
        <f t="shared" si="391"/>
        <v>2001</v>
      </c>
      <c r="CI440">
        <f t="shared" si="399"/>
        <v>0.94878708029928305</v>
      </c>
      <c r="CJ440">
        <f>CI401</f>
        <v>0.91781075467994877</v>
      </c>
      <c r="CM440">
        <f t="shared" si="393"/>
        <v>2001</v>
      </c>
      <c r="CN440">
        <f t="shared" si="400"/>
        <v>0.91652553789875491</v>
      </c>
      <c r="CO440">
        <f>CN401</f>
        <v>0.89518115315092528</v>
      </c>
      <c r="CS440">
        <f t="shared" si="395"/>
        <v>2001</v>
      </c>
      <c r="CT440">
        <f t="shared" si="401"/>
        <v>1.0370631756850583</v>
      </c>
      <c r="CU440">
        <f>CT401</f>
        <v>1.0515548936283186</v>
      </c>
      <c r="CY440">
        <f t="shared" si="397"/>
        <v>2001</v>
      </c>
      <c r="CZ440">
        <f t="shared" si="402"/>
        <v>0.99084053674387307</v>
      </c>
      <c r="DA440">
        <f>CZ401</f>
        <v>0.97784113937894002</v>
      </c>
      <c r="DC440" s="280">
        <f>'Final Floorspace Estimates'!AH26</f>
        <v>0.99994705495107028</v>
      </c>
      <c r="DD440" s="280"/>
    </row>
    <row r="441" spans="86:108" x14ac:dyDescent="0.2">
      <c r="CH441">
        <f t="shared" si="391"/>
        <v>2002</v>
      </c>
      <c r="CI441">
        <f t="shared" si="399"/>
        <v>0.95111974436630131</v>
      </c>
      <c r="CM441">
        <f t="shared" si="393"/>
        <v>2002</v>
      </c>
      <c r="CN441">
        <f t="shared" si="400"/>
        <v>0.90999753866837274</v>
      </c>
      <c r="CS441">
        <f t="shared" si="395"/>
        <v>2002</v>
      </c>
      <c r="CT441">
        <f t="shared" si="401"/>
        <v>1.0386669038626715</v>
      </c>
      <c r="CY441">
        <f t="shared" si="397"/>
        <v>2002</v>
      </c>
      <c r="CZ441">
        <f t="shared" si="402"/>
        <v>0.98991403828508062</v>
      </c>
      <c r="DC441" s="280">
        <f>'Final Floorspace Estimates'!AH27</f>
        <v>0.99981521416241137</v>
      </c>
      <c r="DD441" s="280"/>
    </row>
    <row r="442" spans="86:108" x14ac:dyDescent="0.2">
      <c r="CH442">
        <f t="shared" si="391"/>
        <v>2003</v>
      </c>
      <c r="CI442">
        <f t="shared" si="399"/>
        <v>0.95345240843331958</v>
      </c>
      <c r="CJ442">
        <f>CI402</f>
        <v>0.90483785154397345</v>
      </c>
      <c r="CM442">
        <f t="shared" si="393"/>
        <v>2003</v>
      </c>
      <c r="CN442">
        <f t="shared" si="400"/>
        <v>0.90346953943799058</v>
      </c>
      <c r="CO442">
        <f>CN402</f>
        <v>0.91504108994017974</v>
      </c>
      <c r="CS442">
        <f t="shared" si="395"/>
        <v>2003</v>
      </c>
      <c r="CT442">
        <f t="shared" si="401"/>
        <v>1.0402706320402846</v>
      </c>
      <c r="CU442">
        <f>CT402</f>
        <v>1.0443077825662099</v>
      </c>
      <c r="CY442">
        <f t="shared" si="397"/>
        <v>2003</v>
      </c>
      <c r="CZ442">
        <f t="shared" si="402"/>
        <v>0.9889875398262884</v>
      </c>
      <c r="DA442">
        <f>CZ402</f>
        <v>0.98548497759931308</v>
      </c>
      <c r="DC442" s="280">
        <f>'Final Floorspace Estimates'!AH28</f>
        <v>0.99968340813499701</v>
      </c>
      <c r="DD442" s="280"/>
    </row>
    <row r="443" spans="86:108" x14ac:dyDescent="0.2">
      <c r="CH443">
        <f t="shared" si="391"/>
        <v>2004</v>
      </c>
      <c r="CI443">
        <f t="shared" si="399"/>
        <v>0.95578507250033784</v>
      </c>
      <c r="CM443">
        <f t="shared" si="393"/>
        <v>2004</v>
      </c>
      <c r="CN443">
        <f t="shared" si="400"/>
        <v>0.89694154020760841</v>
      </c>
      <c r="CS443">
        <f t="shared" si="395"/>
        <v>2004</v>
      </c>
      <c r="CT443">
        <f t="shared" si="401"/>
        <v>1.0418743602178977</v>
      </c>
      <c r="CY443">
        <f t="shared" si="397"/>
        <v>2004</v>
      </c>
      <c r="CZ443">
        <f t="shared" si="402"/>
        <v>0.98806104136749595</v>
      </c>
      <c r="DC443" s="280">
        <f>'Final Floorspace Estimates'!AH29</f>
        <v>0.99981654183389956</v>
      </c>
      <c r="DD443" s="280"/>
    </row>
    <row r="444" spans="86:108" x14ac:dyDescent="0.2">
      <c r="CH444">
        <f t="shared" si="391"/>
        <v>2005</v>
      </c>
      <c r="CI444">
        <f t="shared" si="399"/>
        <v>0.95811773656735699</v>
      </c>
      <c r="CJ444">
        <f>CI403</f>
        <v>0.99865068136695256</v>
      </c>
      <c r="CM444">
        <f t="shared" si="393"/>
        <v>2005</v>
      </c>
      <c r="CN444">
        <f t="shared" si="400"/>
        <v>0.89041354097722625</v>
      </c>
      <c r="CO444">
        <f>CN403</f>
        <v>0.86587882661014604</v>
      </c>
      <c r="CS444">
        <f t="shared" si="395"/>
        <v>2005</v>
      </c>
      <c r="CT444">
        <f t="shared" si="401"/>
        <v>1.0434780883955108</v>
      </c>
      <c r="CU444">
        <f>CT403</f>
        <v>1.0631972721686132</v>
      </c>
      <c r="CY444">
        <f t="shared" si="397"/>
        <v>2005</v>
      </c>
      <c r="CZ444">
        <f t="shared" si="402"/>
        <v>0.98713454290870373</v>
      </c>
      <c r="DA444">
        <f>CZ403</f>
        <v>0.942999163456825</v>
      </c>
      <c r="DC444" s="280">
        <f>'Final Floorspace Estimates'!AH30</f>
        <v>0.99994971099791541</v>
      </c>
      <c r="DD444" s="280"/>
    </row>
    <row r="445" spans="86:108" x14ac:dyDescent="0.2">
      <c r="CH445">
        <f t="shared" si="391"/>
        <v>2006</v>
      </c>
      <c r="CI445">
        <f t="shared" si="399"/>
        <v>0.96045040063437526</v>
      </c>
      <c r="CM445">
        <f t="shared" si="393"/>
        <v>2006</v>
      </c>
      <c r="CN445">
        <f t="shared" si="400"/>
        <v>0.88388554174684408</v>
      </c>
      <c r="CS445">
        <f t="shared" si="395"/>
        <v>2006</v>
      </c>
      <c r="CT445">
        <f t="shared" si="401"/>
        <v>1.0450818165731239</v>
      </c>
      <c r="CY445">
        <f t="shared" si="397"/>
        <v>2006</v>
      </c>
      <c r="CZ445">
        <f t="shared" si="402"/>
        <v>0.98620804444991128</v>
      </c>
      <c r="DC445" s="280">
        <f>'Final Floorspace Estimates'!AH31</f>
        <v>0.99981100058135752</v>
      </c>
      <c r="DD445" s="280"/>
    </row>
    <row r="446" spans="86:108" x14ac:dyDescent="0.2">
      <c r="CH446">
        <f t="shared" si="391"/>
        <v>2007</v>
      </c>
      <c r="CI446">
        <f t="shared" si="399"/>
        <v>0.96278306470139352</v>
      </c>
      <c r="CJ446">
        <f>CI404</f>
        <v>1.0332779081028638</v>
      </c>
      <c r="CM446">
        <f t="shared" si="393"/>
        <v>2007</v>
      </c>
      <c r="CN446">
        <f t="shared" si="400"/>
        <v>0.87735754251646192</v>
      </c>
      <c r="CO446">
        <f>CN404</f>
        <v>0.88218424673858398</v>
      </c>
      <c r="CS446">
        <f t="shared" si="395"/>
        <v>2007</v>
      </c>
      <c r="CT446">
        <f t="shared" si="401"/>
        <v>1.0466855447507371</v>
      </c>
      <c r="CU446">
        <f>CT404</f>
        <v>1.0412508740281943</v>
      </c>
      <c r="CY446">
        <f t="shared" si="397"/>
        <v>2007</v>
      </c>
      <c r="CZ446" s="341">
        <f t="shared" si="402"/>
        <v>0.98528154599111883</v>
      </c>
      <c r="DA446">
        <f>CZ404</f>
        <v>0.96705351561020791</v>
      </c>
      <c r="DC446" s="280">
        <f>'Final Floorspace Estimates'!AH32</f>
        <v>0.99967232864255628</v>
      </c>
      <c r="DD446" s="280"/>
    </row>
    <row r="447" spans="86:108" x14ac:dyDescent="0.2">
      <c r="CH447">
        <f t="shared" si="391"/>
        <v>2008</v>
      </c>
      <c r="CI447">
        <f t="shared" si="399"/>
        <v>0.96511572876841267</v>
      </c>
      <c r="CM447">
        <f t="shared" si="393"/>
        <v>2008</v>
      </c>
      <c r="CN447">
        <f t="shared" si="400"/>
        <v>0.87082954328607975</v>
      </c>
      <c r="CS447">
        <f t="shared" si="395"/>
        <v>2008</v>
      </c>
      <c r="CT447">
        <f t="shared" si="401"/>
        <v>1.0482892729283502</v>
      </c>
      <c r="CY447">
        <f t="shared" si="397"/>
        <v>2008</v>
      </c>
      <c r="CZ447" s="341">
        <f t="shared" si="402"/>
        <v>0.98435504753232661</v>
      </c>
      <c r="DC447" s="280">
        <f>'Final Floorspace Estimates'!AH33</f>
        <v>0.99936922267498496</v>
      </c>
      <c r="DD447" s="280"/>
    </row>
    <row r="448" spans="86:108" x14ac:dyDescent="0.2">
      <c r="CH448">
        <f t="shared" si="391"/>
        <v>2009</v>
      </c>
      <c r="CI448">
        <f t="shared" si="399"/>
        <v>0.96744839283543094</v>
      </c>
      <c r="CJ448">
        <f>CI405</f>
        <v>0.98545355755691122</v>
      </c>
      <c r="CM448">
        <f t="shared" si="393"/>
        <v>2009</v>
      </c>
      <c r="CN448" s="341">
        <f t="shared" si="400"/>
        <v>0.86430154405569759</v>
      </c>
      <c r="CO448">
        <f>CN405</f>
        <v>0.84259654751152657</v>
      </c>
      <c r="CS448">
        <f t="shared" si="395"/>
        <v>2009</v>
      </c>
      <c r="CT448">
        <f t="shared" si="401"/>
        <v>1.0498930011059633</v>
      </c>
      <c r="CU448">
        <f>CT405</f>
        <v>1.047414523424758</v>
      </c>
      <c r="CY448">
        <f t="shared" si="397"/>
        <v>2009</v>
      </c>
      <c r="CZ448" s="341">
        <f t="shared" si="402"/>
        <v>0.98342854907353416</v>
      </c>
      <c r="DA448">
        <f>CZ405</f>
        <v>1.0040942780713134</v>
      </c>
      <c r="DC448" s="280">
        <f>'Final Floorspace Estimates'!AH34</f>
        <v>0.99906630045838218</v>
      </c>
      <c r="DD448" s="280"/>
    </row>
    <row r="449" spans="86:288" x14ac:dyDescent="0.2">
      <c r="CH449">
        <f t="shared" si="391"/>
        <v>2010</v>
      </c>
      <c r="CI449" s="341">
        <f t="shared" si="399"/>
        <v>0.9697810569024492</v>
      </c>
      <c r="CM449">
        <f t="shared" si="393"/>
        <v>2010</v>
      </c>
      <c r="CN449" s="341">
        <f t="shared" si="400"/>
        <v>0.85777354482531543</v>
      </c>
      <c r="CS449">
        <f t="shared" si="395"/>
        <v>2010</v>
      </c>
      <c r="CT449" s="341">
        <f t="shared" si="401"/>
        <v>1.0514967292835764</v>
      </c>
      <c r="CY449">
        <f t="shared" si="397"/>
        <v>2010</v>
      </c>
      <c r="CZ449" s="341">
        <f t="shared" si="402"/>
        <v>0.98250205061474194</v>
      </c>
      <c r="DC449" s="280">
        <f>'Final Floorspace Estimates'!AH35</f>
        <v>0.99906630045838229</v>
      </c>
      <c r="DD449" s="280"/>
    </row>
    <row r="450" spans="86:288" s="280" customFormat="1" x14ac:dyDescent="0.2">
      <c r="CH450" s="280">
        <f t="shared" si="391"/>
        <v>2011</v>
      </c>
      <c r="CI450" s="341">
        <f t="shared" si="399"/>
        <v>0.97211372096946747</v>
      </c>
      <c r="CJ450" s="280">
        <f>CI406</f>
        <v>0.99418151967816615</v>
      </c>
      <c r="CM450" s="280">
        <f t="shared" si="393"/>
        <v>2011</v>
      </c>
      <c r="CN450" s="341">
        <f t="shared" si="400"/>
        <v>0.85124554559493326</v>
      </c>
      <c r="CO450" s="341">
        <f>CN406</f>
        <v>0.90320923579186863</v>
      </c>
      <c r="CS450" s="280">
        <f t="shared" si="395"/>
        <v>2011</v>
      </c>
      <c r="CT450" s="341">
        <f t="shared" si="401"/>
        <v>1.0531004574611895</v>
      </c>
      <c r="CU450" s="280">
        <f>CT406</f>
        <v>1.0299803560712815</v>
      </c>
      <c r="CY450" s="280">
        <f t="shared" si="397"/>
        <v>2011</v>
      </c>
      <c r="CZ450" s="341">
        <f t="shared" si="402"/>
        <v>0.98157555215594949</v>
      </c>
      <c r="DA450" s="280">
        <f>CZ406</f>
        <v>0.99137505396423309</v>
      </c>
      <c r="KB450" s="341"/>
    </row>
    <row r="451" spans="86:288" s="341" customFormat="1" x14ac:dyDescent="0.2">
      <c r="CH451" s="341">
        <v>2012</v>
      </c>
      <c r="CI451" s="341">
        <f t="shared" si="399"/>
        <v>0.97444638503648662</v>
      </c>
      <c r="CM451" s="341">
        <f t="shared" si="393"/>
        <v>2012</v>
      </c>
      <c r="CN451" s="341">
        <f t="shared" si="400"/>
        <v>0.8447175463645511</v>
      </c>
      <c r="CS451" s="341">
        <f t="shared" si="395"/>
        <v>2012</v>
      </c>
      <c r="CT451" s="341">
        <f t="shared" si="401"/>
        <v>1.0547041856388026</v>
      </c>
      <c r="CY451" s="341">
        <f t="shared" si="397"/>
        <v>2012</v>
      </c>
      <c r="CZ451" s="341">
        <f t="shared" si="402"/>
        <v>0.98064905369715705</v>
      </c>
    </row>
    <row r="452" spans="86:288" s="341" customFormat="1" x14ac:dyDescent="0.2">
      <c r="CH452" s="341">
        <v>2013</v>
      </c>
      <c r="CI452" s="341">
        <f t="shared" si="399"/>
        <v>0.97677904910350488</v>
      </c>
      <c r="CJ452" s="341">
        <f>CI407</f>
        <v>0.90566399417975763</v>
      </c>
      <c r="CM452" s="341">
        <f t="shared" si="393"/>
        <v>2013</v>
      </c>
      <c r="CN452" s="341">
        <f t="shared" si="400"/>
        <v>0.83818954713416893</v>
      </c>
      <c r="CO452" s="341">
        <f>CN407</f>
        <v>0.81665261163351599</v>
      </c>
      <c r="CS452" s="341">
        <f t="shared" si="395"/>
        <v>2013</v>
      </c>
      <c r="CT452" s="341">
        <f t="shared" si="401"/>
        <v>1.0563079138164158</v>
      </c>
      <c r="CU452" s="341">
        <f>CT407</f>
        <v>1.0687238947651452</v>
      </c>
      <c r="CY452" s="341">
        <f t="shared" si="397"/>
        <v>2013</v>
      </c>
      <c r="CZ452" s="341">
        <f t="shared" si="402"/>
        <v>0.97972255523836482</v>
      </c>
      <c r="DA452" s="341">
        <f>CZ407</f>
        <v>0.9887507160754444</v>
      </c>
    </row>
    <row r="453" spans="86:288" s="341" customFormat="1" x14ac:dyDescent="0.2">
      <c r="CH453" s="341">
        <v>2014</v>
      </c>
      <c r="CI453" s="341">
        <f t="shared" ref="CI453:CI457" si="403">(CI452-CI451)*$CJ$297+CI452</f>
        <v>0.97852854715376858</v>
      </c>
      <c r="CM453" s="341">
        <f t="shared" si="393"/>
        <v>2014</v>
      </c>
      <c r="CN453" s="341">
        <f t="shared" ref="CN453:CN457" si="404">(CN452-CN451)*$CJ$297+CN452</f>
        <v>0.83329354771138231</v>
      </c>
      <c r="CS453" s="341">
        <f t="shared" si="395"/>
        <v>2014</v>
      </c>
      <c r="CT453" s="341">
        <f t="shared" ref="CT453:CT457" si="405">(CT452-CT451)*$CJ$297+CT452</f>
        <v>1.0575107099496255</v>
      </c>
      <c r="CY453" s="341">
        <f t="shared" si="397"/>
        <v>2014</v>
      </c>
      <c r="CZ453" s="341">
        <f>(CZ452-CZ451)*$CJ$297+CZ452</f>
        <v>0.97902768139427065</v>
      </c>
    </row>
    <row r="454" spans="86:288" s="341" customFormat="1" x14ac:dyDescent="0.2">
      <c r="CH454" s="341">
        <v>2015</v>
      </c>
      <c r="CI454" s="341">
        <f t="shared" si="403"/>
        <v>0.97984067069146641</v>
      </c>
      <c r="CM454" s="341">
        <f t="shared" si="393"/>
        <v>2015</v>
      </c>
      <c r="CN454" s="341">
        <f t="shared" si="404"/>
        <v>0.82962154814429234</v>
      </c>
      <c r="CS454" s="341">
        <f t="shared" si="395"/>
        <v>2015</v>
      </c>
      <c r="CT454" s="341">
        <f t="shared" si="405"/>
        <v>1.0584128070495327</v>
      </c>
      <c r="CY454" s="341">
        <f t="shared" si="397"/>
        <v>2015</v>
      </c>
      <c r="CZ454" s="341">
        <f t="shared" ref="CZ454:CZ457" si="406">(CZ453-CZ452)*$CJ$297+CZ453</f>
        <v>0.97850652601120003</v>
      </c>
    </row>
    <row r="455" spans="86:288" s="341" customFormat="1" x14ac:dyDescent="0.2">
      <c r="CH455" s="341">
        <v>2016</v>
      </c>
      <c r="CI455" s="341">
        <f t="shared" si="403"/>
        <v>0.98082476334473978</v>
      </c>
      <c r="CM455" s="341">
        <f t="shared" si="393"/>
        <v>2016</v>
      </c>
      <c r="CN455" s="341">
        <f t="shared" si="404"/>
        <v>0.82686754846897492</v>
      </c>
      <c r="CS455" s="341">
        <f t="shared" si="395"/>
        <v>2016</v>
      </c>
      <c r="CT455" s="341">
        <f t="shared" si="405"/>
        <v>1.0590893798744632</v>
      </c>
      <c r="CY455" s="341">
        <f t="shared" si="397"/>
        <v>2016</v>
      </c>
      <c r="CZ455" s="341">
        <f t="shared" si="406"/>
        <v>0.97811565947389711</v>
      </c>
    </row>
    <row r="456" spans="86:288" s="341" customFormat="1" x14ac:dyDescent="0.2">
      <c r="CH456" s="341">
        <v>2017</v>
      </c>
      <c r="CI456" s="341">
        <f t="shared" si="403"/>
        <v>0.98156283283469481</v>
      </c>
      <c r="CM456" s="341">
        <f t="shared" si="393"/>
        <v>2017</v>
      </c>
      <c r="CN456" s="341">
        <f t="shared" si="404"/>
        <v>0.82480204871248686</v>
      </c>
      <c r="CS456" s="341">
        <f t="shared" si="395"/>
        <v>2017</v>
      </c>
      <c r="CT456" s="341">
        <f t="shared" si="405"/>
        <v>1.0595968094931609</v>
      </c>
      <c r="CY456" s="341">
        <f t="shared" si="397"/>
        <v>2017</v>
      </c>
      <c r="CZ456" s="341">
        <f t="shared" si="406"/>
        <v>0.97782250957091987</v>
      </c>
    </row>
    <row r="457" spans="86:288" s="341" customFormat="1" x14ac:dyDescent="0.2">
      <c r="CH457" s="341">
        <v>2018</v>
      </c>
      <c r="CI457" s="341">
        <f t="shared" si="403"/>
        <v>0.98211638495216103</v>
      </c>
      <c r="CM457" s="341">
        <f t="shared" si="393"/>
        <v>2018</v>
      </c>
      <c r="CN457" s="341">
        <f t="shared" si="404"/>
        <v>0.82325292389512084</v>
      </c>
      <c r="CS457" s="341">
        <f t="shared" si="395"/>
        <v>2018</v>
      </c>
      <c r="CT457" s="341">
        <f t="shared" si="405"/>
        <v>1.0599773817071843</v>
      </c>
      <c r="CY457" s="341">
        <f t="shared" si="397"/>
        <v>2018</v>
      </c>
      <c r="CZ457" s="341">
        <f t="shared" si="406"/>
        <v>0.97760264714368694</v>
      </c>
    </row>
    <row r="458" spans="86:288" s="280" customFormat="1" x14ac:dyDescent="0.2">
      <c r="KB458" s="341"/>
    </row>
    <row r="460" spans="86:288" x14ac:dyDescent="0.2">
      <c r="CI460" s="280" t="s">
        <v>541</v>
      </c>
      <c r="CJ460" s="262">
        <f>SUM(CJ438:CJ452)/8</f>
        <v>0.96045040063437548</v>
      </c>
      <c r="CK460" s="431">
        <f>AVERAGE(CJ460,1)</f>
        <v>0.98022520031718774</v>
      </c>
      <c r="CN460" s="280" t="s">
        <v>541</v>
      </c>
      <c r="CO460" s="341">
        <f>SUM(CO438:CO452)/8</f>
        <v>0.88388554174684331</v>
      </c>
      <c r="CP460" s="13">
        <f>AVERAGE(CO460,1)</f>
        <v>0.9419427708734216</v>
      </c>
      <c r="CT460" s="280" t="s">
        <v>541</v>
      </c>
      <c r="CU460" s="341">
        <f>SUM(CU438:CU452)/8</f>
        <v>1.0448813505509222</v>
      </c>
      <c r="CV460" s="343">
        <f>AVERAGE(CU460,1)</f>
        <v>1.0224406752754611</v>
      </c>
      <c r="CZ460" s="280" t="s">
        <v>541</v>
      </c>
      <c r="DA460" s="341">
        <f>SUM(DA438:DA452)/8</f>
        <v>0.98620804444991106</v>
      </c>
      <c r="DB460" s="343">
        <f>AVERAGE(DA460,1)</f>
        <v>0.99310402222495553</v>
      </c>
    </row>
    <row r="501" spans="74:141" x14ac:dyDescent="0.2">
      <c r="BW501" s="212"/>
      <c r="BX501" s="212"/>
      <c r="BY501" s="212"/>
      <c r="BZ501" s="212"/>
      <c r="CA501" s="212"/>
      <c r="CB501" s="212"/>
      <c r="CC501" s="212"/>
      <c r="CD501" s="212"/>
      <c r="CE501" s="212"/>
      <c r="CF501" s="212"/>
      <c r="CG501" s="212"/>
      <c r="CH501" s="212"/>
      <c r="CI501" s="212"/>
      <c r="CJ501" s="212"/>
      <c r="CK501" s="212"/>
      <c r="CL501" s="212"/>
      <c r="CM501" s="212"/>
      <c r="CN501" s="212"/>
      <c r="CO501" s="212"/>
      <c r="CP501" s="212"/>
      <c r="CQ501" s="212"/>
      <c r="CR501" s="212"/>
      <c r="CS501" s="212"/>
      <c r="CT501" s="212"/>
      <c r="CU501" s="212"/>
      <c r="CV501" s="212"/>
      <c r="CW501" s="212"/>
      <c r="CX501" s="212"/>
      <c r="CY501" s="212"/>
      <c r="CZ501" s="212"/>
      <c r="DA501" s="212"/>
      <c r="DB501" s="212"/>
      <c r="DC501" s="212"/>
      <c r="DD501" s="212"/>
      <c r="DE501" s="212"/>
      <c r="DF501" s="212"/>
      <c r="DG501" s="212"/>
      <c r="DH501" s="212"/>
      <c r="DI501" s="212"/>
      <c r="DJ501" s="212"/>
      <c r="DK501" s="212"/>
      <c r="DL501" s="212"/>
      <c r="DM501" s="212"/>
      <c r="DN501" s="212"/>
      <c r="DO501" s="212"/>
      <c r="DP501" s="212"/>
      <c r="DQ501" s="212"/>
      <c r="DR501" s="212"/>
    </row>
    <row r="502" spans="74:141" ht="18" x14ac:dyDescent="0.25">
      <c r="BW502" s="209" t="s">
        <v>354</v>
      </c>
    </row>
    <row r="505" spans="74:141" ht="18" x14ac:dyDescent="0.25">
      <c r="BW505" s="209" t="s">
        <v>27</v>
      </c>
      <c r="DP505" s="27"/>
      <c r="DQ505" s="27"/>
      <c r="DR505" s="27"/>
      <c r="DS505" s="27"/>
      <c r="DT505" s="27"/>
      <c r="DU505" s="27"/>
      <c r="DV505" s="27"/>
      <c r="DW505" s="27"/>
      <c r="DX505" s="27"/>
      <c r="DY505" s="27"/>
      <c r="DZ505" s="27"/>
      <c r="EA505" s="27"/>
      <c r="EB505" s="27"/>
      <c r="EC505" s="27"/>
      <c r="ED505" s="27"/>
    </row>
    <row r="506" spans="74:141" x14ac:dyDescent="0.2">
      <c r="BW506" s="1"/>
    </row>
    <row r="507" spans="74:141" ht="13.5" thickBot="1" x14ac:dyDescent="0.25">
      <c r="BV507" t="s">
        <v>754</v>
      </c>
      <c r="CR507" s="27"/>
      <c r="DP507" s="404" t="str">
        <f t="array" ref="DP507:EC524">TRANSPOSE(BV508:CM521)</f>
        <v xml:space="preserve"> </v>
      </c>
      <c r="DQ507" t="str">
        <v xml:space="preserve">  National</v>
      </c>
      <c r="DR507" t="str">
        <v>NE</v>
      </c>
      <c r="DS507" t="str">
        <v>MW</v>
      </c>
      <c r="DT507" t="str">
        <v>S</v>
      </c>
      <c r="DU507" t="str">
        <v>W</v>
      </c>
      <c r="DV507">
        <v>0</v>
      </c>
      <c r="DW507">
        <v>0</v>
      </c>
      <c r="DX507" t="str">
        <v>Ratio</v>
      </c>
      <c r="DY507" t="str">
        <v xml:space="preserve">  National</v>
      </c>
      <c r="DZ507" t="str">
        <v>NE</v>
      </c>
      <c r="EA507" s="253" t="str">
        <v>MW</v>
      </c>
      <c r="EB507" s="253" t="str">
        <v>S</v>
      </c>
      <c r="EC507" s="253" t="str">
        <v>W</v>
      </c>
      <c r="ED507" s="253"/>
      <c r="EG507" s="17" t="s">
        <v>328</v>
      </c>
      <c r="EH507" s="17" t="s">
        <v>329</v>
      </c>
      <c r="EI507" s="17" t="s">
        <v>330</v>
      </c>
      <c r="EJ507" s="17" t="s">
        <v>331</v>
      </c>
      <c r="EK507" s="17" t="s">
        <v>351</v>
      </c>
    </row>
    <row r="508" spans="74:141" x14ac:dyDescent="0.2">
      <c r="BV508" s="50" t="str">
        <f>" "</f>
        <v xml:space="preserve"> </v>
      </c>
      <c r="BW508">
        <v>1985</v>
      </c>
      <c r="BX508">
        <v>1987</v>
      </c>
      <c r="BY508">
        <v>1989</v>
      </c>
      <c r="BZ508">
        <v>1991</v>
      </c>
      <c r="CA508">
        <v>1993</v>
      </c>
      <c r="CB508">
        <v>1995</v>
      </c>
      <c r="CC508">
        <v>1997</v>
      </c>
      <c r="CD508">
        <v>1999</v>
      </c>
      <c r="CE508">
        <v>2001</v>
      </c>
      <c r="CF508">
        <v>2003</v>
      </c>
      <c r="CG508">
        <v>2005</v>
      </c>
      <c r="CH508">
        <v>2007</v>
      </c>
      <c r="CI508">
        <v>2009</v>
      </c>
      <c r="CJ508">
        <v>2011</v>
      </c>
      <c r="CK508">
        <v>2013</v>
      </c>
      <c r="CL508">
        <v>2015</v>
      </c>
      <c r="CM508">
        <v>2017</v>
      </c>
      <c r="CO508" s="50" t="s">
        <v>708</v>
      </c>
      <c r="CR508" s="27"/>
      <c r="DP508">
        <v>1985</v>
      </c>
      <c r="DQ508">
        <v>59178.196109999197</v>
      </c>
      <c r="DR508" s="2">
        <v>10798.957009999976</v>
      </c>
      <c r="DS508" s="2">
        <v>15771.292550000115</v>
      </c>
      <c r="DT508" s="2">
        <v>21196.610560000307</v>
      </c>
      <c r="DU508" s="2">
        <v>11411.335989999961</v>
      </c>
      <c r="DV508" s="2">
        <v>0</v>
      </c>
      <c r="DW508">
        <v>0</v>
      </c>
      <c r="DX508">
        <v>0</v>
      </c>
      <c r="DY508">
        <v>1985</v>
      </c>
      <c r="DZ508" s="23">
        <v>0.18248202412130138</v>
      </c>
      <c r="EA508" s="23">
        <v>0.26650512497347445</v>
      </c>
      <c r="EB508" s="23">
        <v>0.35818277597716036</v>
      </c>
      <c r="EC508" s="23">
        <v>0.19283007492808343</v>
      </c>
      <c r="ED508" s="23"/>
      <c r="EF508">
        <f>1985</f>
        <v>1985</v>
      </c>
      <c r="EG508" s="409">
        <f>DZ528</f>
        <v>0.18248202412130138</v>
      </c>
      <c r="EH508" s="262">
        <f>EA528</f>
        <v>0.26650512497347445</v>
      </c>
      <c r="EI508" s="262">
        <f>EB528</f>
        <v>0.35818277597716036</v>
      </c>
      <c r="EJ508" s="262">
        <f>EC528</f>
        <v>0.19283007492808343</v>
      </c>
      <c r="EK508" s="262">
        <f>SUM(EG508:EJ508)</f>
        <v>1.0000000000000195</v>
      </c>
    </row>
    <row r="509" spans="74:141" x14ac:dyDescent="0.2">
      <c r="BV509" t="s">
        <v>340</v>
      </c>
      <c r="BW509" s="2">
        <f>Stock_85to95!I92</f>
        <v>59178.196109999197</v>
      </c>
      <c r="BX509" s="2">
        <f>Stock_85to95!I82</f>
        <v>61378.031859999668</v>
      </c>
      <c r="BY509" s="2">
        <f>Stock_85to95!I72</f>
        <v>63204.538720000448</v>
      </c>
      <c r="BZ509" s="2">
        <f>Stock_85to95!I60</f>
        <v>62927</v>
      </c>
      <c r="CA509" s="2">
        <f>Stock_85to95!I51</f>
        <v>64292.825580001081</v>
      </c>
      <c r="CB509" s="2">
        <f>Stock_85to95!I42</f>
        <v>66371.689159998437</v>
      </c>
      <c r="CC509" s="2">
        <f>CF18+CF19</f>
        <v>67951.38235187353</v>
      </c>
      <c r="CD509" s="2">
        <f>CR18+CR19</f>
        <v>71499.011453219544</v>
      </c>
      <c r="CE509" s="2">
        <f>DC18+DC19</f>
        <v>74433.828759211698</v>
      </c>
      <c r="CF509" s="2">
        <f>DN18+DN19</f>
        <v>74025.57567727234</v>
      </c>
      <c r="CG509" s="2">
        <f>DY18+DY19</f>
        <v>76147.117574834105</v>
      </c>
      <c r="CH509" s="2">
        <f>EJ18+EJ19</f>
        <v>77490.956361530247</v>
      </c>
      <c r="CI509" s="2">
        <f>EU18+EU19</f>
        <v>79051.852939674674</v>
      </c>
      <c r="CJ509" s="282">
        <f>FI18+FI19</f>
        <v>80525.757068709005</v>
      </c>
      <c r="CK509" s="344">
        <f>[6]Sheet2!H10</f>
        <v>80942183.237173021</v>
      </c>
      <c r="CL509" s="344">
        <f>'[7]Pivot Tables'!T35</f>
        <v>83272182.492301807</v>
      </c>
      <c r="CM509" s="344">
        <f>'[8]Pivot Tables'!T36</f>
        <v>85790283.818839788</v>
      </c>
      <c r="CO509">
        <f>CM509/CJ509*0.001</f>
        <v>1.0653769295908486</v>
      </c>
      <c r="CR509" s="27"/>
      <c r="DP509">
        <v>1987</v>
      </c>
      <c r="DQ509">
        <v>61378.031859999668</v>
      </c>
      <c r="DR509" s="2">
        <v>11021.945950000056</v>
      </c>
      <c r="DS509" s="2">
        <v>15974.214149999851</v>
      </c>
      <c r="DT509" s="2">
        <v>22313.15584999997</v>
      </c>
      <c r="DU509" s="2">
        <v>12068.715909999959</v>
      </c>
      <c r="DV509" s="2">
        <v>0</v>
      </c>
      <c r="DW509">
        <v>0</v>
      </c>
      <c r="DX509">
        <v>0</v>
      </c>
      <c r="DY509">
        <v>1987</v>
      </c>
      <c r="DZ509" s="23">
        <v>0.17957476992974591</v>
      </c>
      <c r="EA509" s="23">
        <v>0.26025947176729719</v>
      </c>
      <c r="EB509" s="23">
        <v>0.36353651581554786</v>
      </c>
      <c r="EC509" s="23">
        <v>0.19662924248741176</v>
      </c>
      <c r="ED509" s="23"/>
      <c r="EF509">
        <f>EF508+1</f>
        <v>1986</v>
      </c>
      <c r="EG509" s="340">
        <f>0.5*EG508+0.5*EG510</f>
        <v>0.18102839702552365</v>
      </c>
      <c r="EH509" s="340">
        <f>0.5*EH508+0.5*EH510</f>
        <v>0.26338229837038585</v>
      </c>
      <c r="EI509" s="340">
        <f>0.5*EI508+0.5*EI510</f>
        <v>0.36085964589635411</v>
      </c>
      <c r="EJ509" s="340">
        <f>0.5*EJ508+0.5*EJ510</f>
        <v>0.19472965870774761</v>
      </c>
      <c r="EK509" s="262">
        <f t="shared" ref="EK509:EK541" si="407">SUM(EG509:EJ509)</f>
        <v>1.0000000000000111</v>
      </c>
    </row>
    <row r="510" spans="74:141" x14ac:dyDescent="0.2">
      <c r="BV510" t="s">
        <v>328</v>
      </c>
      <c r="BW510" s="2">
        <f>Stock_85to95!I93</f>
        <v>10798.957009999976</v>
      </c>
      <c r="BX510" s="2">
        <f>Stock_85to95!I83</f>
        <v>11021.945950000056</v>
      </c>
      <c r="BY510" s="2">
        <f>Stock_85to95!I73</f>
        <v>11433.545650000004</v>
      </c>
      <c r="BZ510" s="2">
        <f>Stock_85to95!I61</f>
        <v>11314.552662640299</v>
      </c>
      <c r="CA510" s="2">
        <f>Stock_85to95!I52</f>
        <v>11282.986240000118</v>
      </c>
      <c r="CB510" s="2">
        <f>Stock_85to95!I43</f>
        <v>11388.519919999959</v>
      </c>
      <c r="CC510" s="2">
        <f>CF49+CF50</f>
        <v>11824.177886069361</v>
      </c>
      <c r="CD510" s="2">
        <f>CR49+CR50</f>
        <v>12571.685165395969</v>
      </c>
      <c r="CE510" s="2">
        <f>DC49+DC50</f>
        <v>13040.920271135181</v>
      </c>
      <c r="CF510" s="2">
        <f>DN49+DN50</f>
        <v>12817.999632810663</v>
      </c>
      <c r="CG510" s="2">
        <f>DY49+DY50</f>
        <v>12868.633017977834</v>
      </c>
      <c r="CH510" s="2">
        <f>EJ49+EJ50</f>
        <v>12938.166107471912</v>
      </c>
      <c r="CI510" s="2">
        <f>EU49+EU50</f>
        <v>13240.246517199967</v>
      </c>
      <c r="CJ510" s="282">
        <f>FI49+FI50</f>
        <v>13289.822285163886</v>
      </c>
      <c r="CK510" s="344">
        <f>[6]Sheet2!H11</f>
        <v>13488022.041043295</v>
      </c>
      <c r="CL510" s="344">
        <f>'[7]Pivot Tables'!T36</f>
        <v>13729589.032989755</v>
      </c>
      <c r="CM510" s="344">
        <f>'[8]Pivot Tables'!T37</f>
        <v>13970769.420452226</v>
      </c>
      <c r="CO510" s="341">
        <f t="shared" ref="CO510:CO513" si="408">CM510/CJ510*0.001</f>
        <v>1.0512382423690132</v>
      </c>
      <c r="CR510" s="27"/>
      <c r="DP510">
        <v>1989</v>
      </c>
      <c r="DQ510">
        <v>63204.538720000448</v>
      </c>
      <c r="DR510" s="2">
        <v>11433.545650000004</v>
      </c>
      <c r="DS510" s="2">
        <v>16381.496720000092</v>
      </c>
      <c r="DT510" s="2">
        <v>23045.313269999882</v>
      </c>
      <c r="DU510" s="2">
        <v>12344.183080000023</v>
      </c>
      <c r="DV510" s="2">
        <v>0</v>
      </c>
      <c r="DW510">
        <v>0</v>
      </c>
      <c r="DX510">
        <v>0</v>
      </c>
      <c r="DY510">
        <v>1989</v>
      </c>
      <c r="DZ510" s="23">
        <v>0.18089754124543547</v>
      </c>
      <c r="EA510" s="23">
        <v>0.25918228424339929</v>
      </c>
      <c r="EB510" s="23">
        <v>0.36461484786862974</v>
      </c>
      <c r="EC510" s="23">
        <v>0.19530532664252842</v>
      </c>
      <c r="ED510" s="23"/>
      <c r="EF510">
        <f t="shared" ref="EF510:EF534" si="409">EF509+1</f>
        <v>1987</v>
      </c>
      <c r="EG510" s="262">
        <f>DZ529</f>
        <v>0.17957476992974591</v>
      </c>
      <c r="EH510" s="262">
        <f>EA529</f>
        <v>0.26025947176729719</v>
      </c>
      <c r="EI510" s="262">
        <f>EB529</f>
        <v>0.36353651581554786</v>
      </c>
      <c r="EJ510" s="262">
        <f>EC529</f>
        <v>0.19662924248741176</v>
      </c>
      <c r="EK510" s="262">
        <f t="shared" si="407"/>
        <v>1.0000000000000027</v>
      </c>
    </row>
    <row r="511" spans="74:141" x14ac:dyDescent="0.2">
      <c r="BV511" t="s">
        <v>329</v>
      </c>
      <c r="BW511" s="2">
        <f>Stock_85to95!I94</f>
        <v>15771.292550000115</v>
      </c>
      <c r="BX511" s="2">
        <f>Stock_85to95!I84</f>
        <v>15974.214149999851</v>
      </c>
      <c r="BY511" s="2">
        <f>Stock_85to95!I74</f>
        <v>16381.496720000092</v>
      </c>
      <c r="BZ511" s="2">
        <f>Stock_85to95!I62</f>
        <v>15993.013423496805</v>
      </c>
      <c r="CA511" s="2">
        <f>Stock_85to95!I53</f>
        <v>16380.7412099999</v>
      </c>
      <c r="CB511" s="2">
        <f>Stock_85to95!I44</f>
        <v>17228.19462000014</v>
      </c>
      <c r="CC511" s="2">
        <f>CF78+CF79</f>
        <v>17476.919599727462</v>
      </c>
      <c r="CD511" s="2">
        <f>CR78+CR79</f>
        <v>18110.998604174467</v>
      </c>
      <c r="CE511" s="2">
        <f>DC78+DC79</f>
        <v>18472.364159925011</v>
      </c>
      <c r="CF511" s="2">
        <f>DN78+DN79</f>
        <v>18354.302482319046</v>
      </c>
      <c r="CG511" s="2">
        <f>DY78+DY79</f>
        <v>18745.506918015199</v>
      </c>
      <c r="CH511" s="2">
        <f>EJ78+EJ79</f>
        <v>18736.008831012674</v>
      </c>
      <c r="CI511" s="2">
        <f>EU78+EU79</f>
        <v>18998.81466958805</v>
      </c>
      <c r="CJ511" s="282">
        <f>FI78+FI79</f>
        <v>19135.043652571923</v>
      </c>
      <c r="CK511" s="344">
        <f>[6]Sheet2!H12</f>
        <v>19272799.215762127</v>
      </c>
      <c r="CL511" s="344">
        <f>'[7]Pivot Tables'!T37</f>
        <v>19804576.211488992</v>
      </c>
      <c r="CM511" s="344">
        <f>'[8]Pivot Tables'!T38</f>
        <v>20544005.443131872</v>
      </c>
      <c r="CO511" s="341">
        <f t="shared" si="408"/>
        <v>1.0736325359974066</v>
      </c>
      <c r="CR511" s="27"/>
      <c r="DP511">
        <v>1991</v>
      </c>
      <c r="DQ511">
        <v>62927</v>
      </c>
      <c r="DR511" s="2">
        <v>11314.552662640299</v>
      </c>
      <c r="DS511" s="2">
        <v>15993.013423496805</v>
      </c>
      <c r="DT511" s="2">
        <v>22757.262564602999</v>
      </c>
      <c r="DU511" s="2">
        <v>12862.171349258337</v>
      </c>
      <c r="DV511" s="2">
        <v>0</v>
      </c>
      <c r="DW511">
        <v>0</v>
      </c>
      <c r="DX511">
        <v>0</v>
      </c>
      <c r="DY511">
        <v>1991</v>
      </c>
      <c r="DZ511" s="23">
        <v>0.17980441881291495</v>
      </c>
      <c r="EA511" s="23">
        <v>0.25415184934124946</v>
      </c>
      <c r="EB511" s="23">
        <v>0.36164543939172372</v>
      </c>
      <c r="EC511" s="23">
        <v>0.20439829245408705</v>
      </c>
      <c r="ED511" s="23"/>
      <c r="EF511">
        <f t="shared" si="409"/>
        <v>1988</v>
      </c>
      <c r="EG511" s="340">
        <f>0.5*EG510+0.5*EG512</f>
        <v>0.18023615558759071</v>
      </c>
      <c r="EH511" s="340">
        <f>0.5*EH510+0.5*EH512</f>
        <v>0.25972087800534827</v>
      </c>
      <c r="EI511" s="340">
        <f>0.5*EI510+0.5*EI512</f>
        <v>0.36407568184208883</v>
      </c>
      <c r="EJ511" s="340">
        <f>0.5*EJ510+0.5*EJ512</f>
        <v>0.19596728456497009</v>
      </c>
      <c r="EK511" s="262">
        <f t="shared" si="407"/>
        <v>0.99999999999999778</v>
      </c>
    </row>
    <row r="512" spans="74:141" x14ac:dyDescent="0.2">
      <c r="BV512" t="s">
        <v>330</v>
      </c>
      <c r="BW512" s="2">
        <f>Stock_85to95!I95</f>
        <v>21196.610560000307</v>
      </c>
      <c r="BX512" s="2">
        <f>Stock_85to95!I85</f>
        <v>22313.15584999997</v>
      </c>
      <c r="BY512" s="2">
        <f>Stock_85to95!I75</f>
        <v>23045.313269999882</v>
      </c>
      <c r="BZ512" s="2">
        <f>Stock_85to95!I63</f>
        <v>22757.262564602999</v>
      </c>
      <c r="CA512" s="2">
        <f>Stock_85to95!I54</f>
        <v>23446.966620000028</v>
      </c>
      <c r="CB512" s="2">
        <f>Stock_85to95!I45</f>
        <v>24272.693630000122</v>
      </c>
      <c r="CC512" s="2">
        <f>CF107+CF108</f>
        <v>24670.327222746077</v>
      </c>
      <c r="CD512" s="2">
        <f>CR107+CR108</f>
        <v>25811.776989188402</v>
      </c>
      <c r="CE512" s="2">
        <f>DC107+DC108</f>
        <v>27158.593093568077</v>
      </c>
      <c r="CF512" s="2">
        <f>DN107+DN108</f>
        <v>27114.627695065941</v>
      </c>
      <c r="CG512" s="2">
        <f>DY107+DY108</f>
        <v>28270.629739553628</v>
      </c>
      <c r="CH512" s="2">
        <f>EJ107+EJ108</f>
        <v>29137.213439016698</v>
      </c>
      <c r="CI512" s="2">
        <f>EU107+EU108</f>
        <v>29998.788994055027</v>
      </c>
      <c r="CJ512" s="282">
        <f>FI107+FI108</f>
        <v>30670.013375558985</v>
      </c>
      <c r="CK512" s="344">
        <f>[6]Sheet2!H13</f>
        <v>30690104.194577102</v>
      </c>
      <c r="CL512" s="344">
        <f>'[7]Pivot Tables'!T38</f>
        <v>31445112.642965887</v>
      </c>
      <c r="CM512" s="344">
        <f>'[8]Pivot Tables'!T39</f>
        <v>32546772.765327051</v>
      </c>
      <c r="CO512" s="341">
        <f t="shared" si="408"/>
        <v>1.0611919977597291</v>
      </c>
      <c r="CR512" s="27"/>
      <c r="DP512">
        <v>1993</v>
      </c>
      <c r="DQ512">
        <v>64292.825580001081</v>
      </c>
      <c r="DR512" s="2">
        <v>11282.986240000118</v>
      </c>
      <c r="DS512" s="2">
        <v>16380.7412099999</v>
      </c>
      <c r="DT512" s="2">
        <v>23446.966620000028</v>
      </c>
      <c r="DU512" s="2">
        <v>13182.131510000003</v>
      </c>
      <c r="DV512" s="2">
        <v>0</v>
      </c>
      <c r="DW512">
        <v>0</v>
      </c>
      <c r="DX512">
        <v>0</v>
      </c>
      <c r="DY512">
        <v>1993</v>
      </c>
      <c r="DZ512" s="23">
        <v>0.17549370615171411</v>
      </c>
      <c r="EA512" s="23">
        <v>0.25478334576564776</v>
      </c>
      <c r="EB512" s="23">
        <v>0.36469024978260467</v>
      </c>
      <c r="EC512" s="23">
        <v>0.20503269830001741</v>
      </c>
      <c r="ED512" s="23"/>
      <c r="EF512">
        <f t="shared" si="409"/>
        <v>1989</v>
      </c>
      <c r="EG512" s="262">
        <f>DZ530</f>
        <v>0.18089754124543547</v>
      </c>
      <c r="EH512" s="262">
        <f>EA530</f>
        <v>0.25918228424339929</v>
      </c>
      <c r="EI512" s="262">
        <f>EB530</f>
        <v>0.36461484786862974</v>
      </c>
      <c r="EJ512" s="262">
        <f>EC530</f>
        <v>0.19530532664252842</v>
      </c>
      <c r="EK512" s="262">
        <f t="shared" si="407"/>
        <v>0.99999999999999289</v>
      </c>
    </row>
    <row r="513" spans="74:141" x14ac:dyDescent="0.2">
      <c r="BV513" t="s">
        <v>331</v>
      </c>
      <c r="BW513" s="2">
        <f>Stock_85to95!I96</f>
        <v>11411.335989999961</v>
      </c>
      <c r="BX513" s="2">
        <f>Stock_85to95!I86</f>
        <v>12068.715909999959</v>
      </c>
      <c r="BY513" s="2">
        <f>Stock_85to95!I76</f>
        <v>12344.183080000023</v>
      </c>
      <c r="BZ513" s="2">
        <f>Stock_85to95!I64</f>
        <v>12862.171349258337</v>
      </c>
      <c r="CA513" s="2">
        <f>Stock_85to95!I55</f>
        <v>13182.131510000003</v>
      </c>
      <c r="CB513" s="2">
        <f>Stock_85to95!I46</f>
        <v>13482.280990000041</v>
      </c>
      <c r="CC513" s="2">
        <f>CF136+CF137</f>
        <v>13979.957643330597</v>
      </c>
      <c r="CD513" s="2">
        <f>CR136+CR137</f>
        <v>15004.55069446069</v>
      </c>
      <c r="CE513" s="2">
        <f>DC136+DC137</f>
        <v>15761.951234583154</v>
      </c>
      <c r="CF513" s="2">
        <f>DN136+DN137</f>
        <v>15738.645867075556</v>
      </c>
      <c r="CG513" s="2">
        <f>DY136+DY137</f>
        <v>16262.347899287051</v>
      </c>
      <c r="CH513" s="2">
        <f>EJ136+EJ137</f>
        <v>16679.5679840306</v>
      </c>
      <c r="CI513" s="2">
        <f>EU136+EU137</f>
        <v>16814.002758831459</v>
      </c>
      <c r="CJ513" s="282">
        <f>FI136+FI137</f>
        <v>17430.877755414716</v>
      </c>
      <c r="CK513" s="344">
        <f>[6]Sheet2!H14</f>
        <v>17491257.785790503</v>
      </c>
      <c r="CL513" s="344">
        <f>'[7]Pivot Tables'!T39</f>
        <v>18292904.604857184</v>
      </c>
      <c r="CM513" s="344">
        <f>'[8]Pivot Tables'!T40</f>
        <v>18728736.189928621</v>
      </c>
      <c r="CO513" s="341">
        <f t="shared" si="408"/>
        <v>1.0744574342569031</v>
      </c>
      <c r="CR513" s="27"/>
      <c r="DP513">
        <v>1995</v>
      </c>
      <c r="DQ513">
        <v>66371.689159998437</v>
      </c>
      <c r="DR513" s="2">
        <v>11388.519919999959</v>
      </c>
      <c r="DS513" s="2">
        <v>17228.19462000014</v>
      </c>
      <c r="DT513" s="2">
        <v>24272.693630000122</v>
      </c>
      <c r="DU513" s="2">
        <v>13482.280990000041</v>
      </c>
      <c r="DV513" s="2">
        <v>0</v>
      </c>
      <c r="DW513">
        <v>0</v>
      </c>
      <c r="DX513">
        <v>0</v>
      </c>
      <c r="DY513">
        <v>1995</v>
      </c>
      <c r="DZ513" s="23">
        <v>0.17158701344102159</v>
      </c>
      <c r="EA513" s="23">
        <v>0.25957143532190535</v>
      </c>
      <c r="EB513" s="23">
        <v>0.36570854135544639</v>
      </c>
      <c r="EC513" s="23">
        <v>0.20313300988165417</v>
      </c>
      <c r="ED513" s="23"/>
      <c r="EF513">
        <f t="shared" si="409"/>
        <v>1990</v>
      </c>
      <c r="EG513" s="340">
        <f>0.5*EG512+0.5*EG514</f>
        <v>0.18035098002917521</v>
      </c>
      <c r="EH513" s="340">
        <f>0.5*EH512+0.5*EH514</f>
        <v>0.25666706679232437</v>
      </c>
      <c r="EI513" s="340">
        <f>0.5*EI512+0.5*EI514</f>
        <v>0.3631301436301767</v>
      </c>
      <c r="EJ513" s="340">
        <f>0.5*EJ512+0.5*EJ514</f>
        <v>0.19985180954830772</v>
      </c>
      <c r="EK513" s="262">
        <f t="shared" si="407"/>
        <v>0.99999999999998401</v>
      </c>
    </row>
    <row r="514" spans="74:141" x14ac:dyDescent="0.2">
      <c r="CC514" s="2"/>
      <c r="CG514"/>
      <c r="CR514" s="27"/>
      <c r="DP514">
        <v>1997</v>
      </c>
      <c r="DQ514">
        <v>67951.38235187353</v>
      </c>
      <c r="DR514" s="2">
        <v>11824.177886069361</v>
      </c>
      <c r="DS514" s="2">
        <v>17476.919599727462</v>
      </c>
      <c r="DT514" s="2">
        <v>24670.327222746077</v>
      </c>
      <c r="DU514" s="2">
        <v>13979.957643330597</v>
      </c>
      <c r="DV514" s="2">
        <v>0</v>
      </c>
      <c r="DW514">
        <v>0</v>
      </c>
      <c r="DX514" t="str">
        <v>All vintages</v>
      </c>
      <c r="DY514">
        <v>1997</v>
      </c>
      <c r="DZ514" s="23">
        <v>0.17400937960084559</v>
      </c>
      <c r="EA514" s="23">
        <v>0.25719741077858432</v>
      </c>
      <c r="EB514" s="23">
        <v>0.36305850401976225</v>
      </c>
      <c r="EC514" s="23">
        <v>0.20573470560080737</v>
      </c>
      <c r="ED514" s="23"/>
      <c r="EF514">
        <f t="shared" si="409"/>
        <v>1991</v>
      </c>
      <c r="EG514" s="262">
        <f>DZ531</f>
        <v>0.17980441881291495</v>
      </c>
      <c r="EH514" s="262">
        <f>EA531</f>
        <v>0.25415184934124946</v>
      </c>
      <c r="EI514" s="262">
        <f>EB531</f>
        <v>0.36164543939172372</v>
      </c>
      <c r="EJ514" s="262">
        <f>EC531</f>
        <v>0.20439829245408705</v>
      </c>
      <c r="EK514" s="262">
        <f t="shared" si="407"/>
        <v>0.99999999999997513</v>
      </c>
    </row>
    <row r="515" spans="74:141" x14ac:dyDescent="0.2">
      <c r="CG515"/>
      <c r="CR515" s="27"/>
      <c r="DP515">
        <v>1999</v>
      </c>
      <c r="DQ515">
        <v>71499.011453219544</v>
      </c>
      <c r="DR515" s="2">
        <v>12571.685165395969</v>
      </c>
      <c r="DS515" s="2">
        <v>18110.998604174467</v>
      </c>
      <c r="DT515" s="2">
        <v>25811.776989188402</v>
      </c>
      <c r="DU515" s="2">
        <v>15004.55069446069</v>
      </c>
      <c r="DV515" s="2">
        <v>0</v>
      </c>
      <c r="DW515">
        <v>0</v>
      </c>
      <c r="DX515">
        <v>0</v>
      </c>
      <c r="DY515">
        <v>1999</v>
      </c>
      <c r="DZ515" s="23">
        <v>0.17583019554922638</v>
      </c>
      <c r="EA515" s="23">
        <v>0.25330418191899273</v>
      </c>
      <c r="EB515" s="23">
        <v>0.36100886522153613</v>
      </c>
      <c r="EC515" s="23">
        <v>0.20985675731024456</v>
      </c>
      <c r="ED515" s="23"/>
      <c r="EF515">
        <f t="shared" si="409"/>
        <v>1992</v>
      </c>
      <c r="EG515" s="340">
        <f>0.5*EG514+0.5*EG516</f>
        <v>0.17764906248231455</v>
      </c>
      <c r="EH515" s="340">
        <f>0.5*EH514+0.5*EH516</f>
        <v>0.25446759755344861</v>
      </c>
      <c r="EI515" s="340">
        <f>0.5*EI514+0.5*EI516</f>
        <v>0.36316784458716422</v>
      </c>
      <c r="EJ515" s="340">
        <f>0.5*EJ514+0.5*EJ516</f>
        <v>0.20471549537705225</v>
      </c>
      <c r="EK515" s="262">
        <f t="shared" si="407"/>
        <v>0.99999999999997957</v>
      </c>
    </row>
    <row r="516" spans="74:141" x14ac:dyDescent="0.2">
      <c r="BV516" t="s">
        <v>326</v>
      </c>
      <c r="CC516" t="s">
        <v>327</v>
      </c>
      <c r="CG516"/>
      <c r="CR516" s="27"/>
      <c r="DP516">
        <v>2001</v>
      </c>
      <c r="DQ516">
        <v>74433.828759211698</v>
      </c>
      <c r="DR516" s="2">
        <v>13040.920271135181</v>
      </c>
      <c r="DS516" s="2">
        <v>18472.364159925011</v>
      </c>
      <c r="DT516" s="2">
        <v>27158.593093568077</v>
      </c>
      <c r="DU516" s="2">
        <v>15761.951234583154</v>
      </c>
      <c r="DV516" s="2">
        <v>0</v>
      </c>
      <c r="DW516">
        <v>0</v>
      </c>
      <c r="DX516">
        <v>0</v>
      </c>
      <c r="DY516">
        <v>2001</v>
      </c>
      <c r="DZ516" s="23">
        <v>0.17520152447513695</v>
      </c>
      <c r="EA516" s="23">
        <v>0.24817162394912984</v>
      </c>
      <c r="EB516" s="23">
        <v>0.36486895201137981</v>
      </c>
      <c r="EC516" s="23">
        <v>0.21175789956434968</v>
      </c>
      <c r="ED516" s="23"/>
      <c r="EF516">
        <f t="shared" si="409"/>
        <v>1993</v>
      </c>
      <c r="EG516" s="262">
        <f>DZ532</f>
        <v>0.17549370615171411</v>
      </c>
      <c r="EH516" s="262">
        <f>EA532</f>
        <v>0.25478334576564776</v>
      </c>
      <c r="EI516" s="262">
        <f>EB532</f>
        <v>0.36469024978260467</v>
      </c>
      <c r="EJ516" s="262">
        <f>EC532</f>
        <v>0.20503269830001741</v>
      </c>
      <c r="EK516" s="262">
        <f t="shared" si="407"/>
        <v>0.99999999999998401</v>
      </c>
    </row>
    <row r="517" spans="74:141" x14ac:dyDescent="0.2">
      <c r="BV517" t="s">
        <v>340</v>
      </c>
      <c r="BW517">
        <v>1985</v>
      </c>
      <c r="BX517">
        <v>1987</v>
      </c>
      <c r="BY517">
        <v>1989</v>
      </c>
      <c r="BZ517">
        <v>1991</v>
      </c>
      <c r="CA517">
        <v>1993</v>
      </c>
      <c r="CB517">
        <v>1995</v>
      </c>
      <c r="CC517">
        <v>1997</v>
      </c>
      <c r="CD517">
        <v>1999</v>
      </c>
      <c r="CE517">
        <v>2001</v>
      </c>
      <c r="CF517">
        <v>2003</v>
      </c>
      <c r="CG517">
        <v>2005</v>
      </c>
      <c r="CH517">
        <v>2007</v>
      </c>
      <c r="CI517">
        <v>2009</v>
      </c>
      <c r="CJ517">
        <v>2011</v>
      </c>
      <c r="CK517">
        <v>2013</v>
      </c>
      <c r="CL517">
        <v>2015</v>
      </c>
      <c r="CM517">
        <v>2017</v>
      </c>
      <c r="CR517" s="27"/>
      <c r="DP517">
        <v>2003</v>
      </c>
      <c r="DQ517">
        <v>74025.57567727234</v>
      </c>
      <c r="DR517" s="2">
        <v>12817.999632810663</v>
      </c>
      <c r="DS517" s="2">
        <v>18354.302482319046</v>
      </c>
      <c r="DT517" s="2">
        <v>27114.627695065941</v>
      </c>
      <c r="DU517" s="2">
        <v>15738.645867075556</v>
      </c>
      <c r="DV517" s="2">
        <v>0</v>
      </c>
      <c r="DW517">
        <v>0</v>
      </c>
      <c r="DX517">
        <v>0</v>
      </c>
      <c r="DY517">
        <v>2003</v>
      </c>
      <c r="DZ517" s="23">
        <v>0.17315636542555254</v>
      </c>
      <c r="EA517" s="23">
        <v>0.24794542040899339</v>
      </c>
      <c r="EB517" s="23">
        <v>0.36628729256057369</v>
      </c>
      <c r="EC517" s="23">
        <v>0.21261092160486508</v>
      </c>
      <c r="ED517" s="23"/>
      <c r="EF517">
        <f t="shared" si="409"/>
        <v>1994</v>
      </c>
      <c r="EG517" s="340">
        <f>0.5*EG516+0.5*EG518</f>
        <v>0.17354035979636784</v>
      </c>
      <c r="EH517" s="340">
        <f>0.5*EH516+0.5*EH518</f>
        <v>0.25817739054377653</v>
      </c>
      <c r="EI517" s="340">
        <f>0.5*EI516+0.5*EI518</f>
        <v>0.36419939556902553</v>
      </c>
      <c r="EJ517" s="340">
        <f>0.5*EJ516+0.5*EJ518</f>
        <v>0.20408285409083579</v>
      </c>
      <c r="EK517" s="262">
        <f t="shared" si="407"/>
        <v>1.0000000000000056</v>
      </c>
    </row>
    <row r="518" spans="74:141" x14ac:dyDescent="0.2">
      <c r="BV518" t="s">
        <v>328</v>
      </c>
      <c r="BW518" s="23">
        <f t="shared" ref="BW518:CK518" si="410">BW510/BW$509</f>
        <v>0.18248202412130138</v>
      </c>
      <c r="BX518" s="23">
        <f t="shared" si="410"/>
        <v>0.17957476992974591</v>
      </c>
      <c r="BY518" s="23">
        <f t="shared" si="410"/>
        <v>0.18089754124543547</v>
      </c>
      <c r="BZ518" s="23">
        <f t="shared" si="410"/>
        <v>0.17980441881291495</v>
      </c>
      <c r="CA518" s="23">
        <f t="shared" si="410"/>
        <v>0.17549370615171411</v>
      </c>
      <c r="CB518" s="23">
        <f t="shared" si="410"/>
        <v>0.17158701344102159</v>
      </c>
      <c r="CC518" s="23">
        <f t="shared" si="410"/>
        <v>0.17400937960084559</v>
      </c>
      <c r="CD518" s="23">
        <f t="shared" si="410"/>
        <v>0.17583019554922638</v>
      </c>
      <c r="CE518" s="23">
        <f t="shared" si="410"/>
        <v>0.17520152447513695</v>
      </c>
      <c r="CF518" s="23">
        <f t="shared" si="410"/>
        <v>0.17315636542555254</v>
      </c>
      <c r="CG518" s="23">
        <f t="shared" si="410"/>
        <v>0.16899698147249101</v>
      </c>
      <c r="CH518" s="23">
        <f t="shared" si="410"/>
        <v>0.16696356213632899</v>
      </c>
      <c r="CI518" s="23">
        <f t="shared" si="410"/>
        <v>0.16748812361556842</v>
      </c>
      <c r="CJ518" s="23">
        <f t="shared" si="410"/>
        <v>0.16503815386453652</v>
      </c>
      <c r="CK518" s="23">
        <f t="shared" si="410"/>
        <v>0.16663773451132791</v>
      </c>
      <c r="CL518" s="23">
        <f t="shared" ref="CL518" si="411">CL510/CL$509</f>
        <v>0.16487605610984199</v>
      </c>
      <c r="CM518" s="23">
        <f>CM510/CM$509</f>
        <v>0.16284792168252749</v>
      </c>
      <c r="CR518" s="27"/>
      <c r="DP518">
        <v>2005</v>
      </c>
      <c r="DQ518">
        <v>76147.117574834105</v>
      </c>
      <c r="DR518" s="2">
        <v>12868.633017977834</v>
      </c>
      <c r="DS518" s="2">
        <v>18745.506918015199</v>
      </c>
      <c r="DT518" s="2">
        <v>28270.629739553628</v>
      </c>
      <c r="DU518" s="2">
        <v>16262.347899287051</v>
      </c>
      <c r="DV518" s="2">
        <v>0</v>
      </c>
      <c r="DW518">
        <v>0</v>
      </c>
      <c r="DX518">
        <v>0</v>
      </c>
      <c r="DY518">
        <v>2005</v>
      </c>
      <c r="DZ518" s="23">
        <v>0.16899698147249101</v>
      </c>
      <c r="EA518" s="23">
        <v>0.24617487194565077</v>
      </c>
      <c r="EB518" s="23">
        <v>0.37126329452681478</v>
      </c>
      <c r="EC518" s="23">
        <v>0.21356485205503828</v>
      </c>
      <c r="ED518" s="23"/>
      <c r="EF518">
        <f t="shared" si="409"/>
        <v>1995</v>
      </c>
      <c r="EG518" s="262">
        <f>DZ533</f>
        <v>0.17158701344102159</v>
      </c>
      <c r="EH518" s="262">
        <f>EA533</f>
        <v>0.26157143532190535</v>
      </c>
      <c r="EI518" s="262">
        <f>EB533</f>
        <v>0.36370854135544639</v>
      </c>
      <c r="EJ518" s="262">
        <f>EC533</f>
        <v>0.20313300988165417</v>
      </c>
      <c r="EK518" s="262">
        <f t="shared" si="407"/>
        <v>1.0000000000000275</v>
      </c>
    </row>
    <row r="519" spans="74:141" x14ac:dyDescent="0.2">
      <c r="BV519" t="s">
        <v>329</v>
      </c>
      <c r="BW519" s="23">
        <f t="shared" ref="BW519:CK519" si="412">BW511/BW$509</f>
        <v>0.26650512497347445</v>
      </c>
      <c r="BX519" s="23">
        <f t="shared" si="412"/>
        <v>0.26025947176729719</v>
      </c>
      <c r="BY519" s="23">
        <f t="shared" si="412"/>
        <v>0.25918228424339929</v>
      </c>
      <c r="BZ519" s="23">
        <f t="shared" si="412"/>
        <v>0.25415184934124946</v>
      </c>
      <c r="CA519" s="23">
        <f t="shared" si="412"/>
        <v>0.25478334576564776</v>
      </c>
      <c r="CB519" s="23">
        <f t="shared" si="412"/>
        <v>0.25957143532190535</v>
      </c>
      <c r="CC519" s="23">
        <f t="shared" si="412"/>
        <v>0.25719741077858432</v>
      </c>
      <c r="CD519" s="23">
        <f t="shared" si="412"/>
        <v>0.25330418191899273</v>
      </c>
      <c r="CE519" s="23">
        <f t="shared" si="412"/>
        <v>0.24817162394912984</v>
      </c>
      <c r="CF519" s="23">
        <f t="shared" si="412"/>
        <v>0.24794542040899339</v>
      </c>
      <c r="CG519" s="23">
        <f t="shared" si="412"/>
        <v>0.24617487194565077</v>
      </c>
      <c r="CH519" s="23">
        <f t="shared" si="412"/>
        <v>0.24178316684595744</v>
      </c>
      <c r="CI519" s="23">
        <f t="shared" si="412"/>
        <v>0.24033357806408726</v>
      </c>
      <c r="CJ519" s="23">
        <f t="shared" si="412"/>
        <v>0.23762637383520471</v>
      </c>
      <c r="CK519" s="23">
        <f t="shared" si="412"/>
        <v>0.23810574962241712</v>
      </c>
      <c r="CL519" s="23">
        <f t="shared" ref="CL519" si="413">CL511/CL$509</f>
        <v>0.23782943617840027</v>
      </c>
      <c r="CM519" s="23">
        <f>CM511/CM$509</f>
        <v>0.23946774073523172</v>
      </c>
      <c r="CR519" s="27"/>
      <c r="DP519">
        <v>2007</v>
      </c>
      <c r="DQ519">
        <v>77490.956361530247</v>
      </c>
      <c r="DR519" s="2">
        <v>12938.166107471912</v>
      </c>
      <c r="DS519" s="2">
        <v>18736.008831012674</v>
      </c>
      <c r="DT519" s="2">
        <v>29137.213439016698</v>
      </c>
      <c r="DU519" s="2">
        <v>16679.5679840306</v>
      </c>
      <c r="DV519" s="2">
        <v>0</v>
      </c>
      <c r="DW519">
        <v>0</v>
      </c>
      <c r="DX519">
        <v>0</v>
      </c>
      <c r="DY519">
        <v>2007</v>
      </c>
      <c r="DZ519" s="23">
        <v>0.16696356213632899</v>
      </c>
      <c r="EA519" s="23">
        <v>0.24178316684595744</v>
      </c>
      <c r="EB519" s="23">
        <v>0.37600792153188123</v>
      </c>
      <c r="EC519" s="23">
        <v>0.2152453494858535</v>
      </c>
      <c r="ED519" s="23"/>
      <c r="EF519">
        <f t="shared" si="409"/>
        <v>1996</v>
      </c>
      <c r="EG519" s="340">
        <f>0.5*EG518+0.5*EG520</f>
        <v>0.17279819652093359</v>
      </c>
      <c r="EH519" s="340">
        <f>0.5*EH518+0.5*EH520</f>
        <v>0.25938442305024484</v>
      </c>
      <c r="EI519" s="340">
        <f>0.5*EI518+0.5*EI520</f>
        <v>0.36338352268760432</v>
      </c>
      <c r="EJ519" s="340">
        <f>0.5*EJ518+0.5*EJ520</f>
        <v>0.20443385774123077</v>
      </c>
      <c r="EK519" s="262">
        <f t="shared" si="407"/>
        <v>1.0000000000000135</v>
      </c>
    </row>
    <row r="520" spans="74:141" x14ac:dyDescent="0.2">
      <c r="BV520" t="s">
        <v>330</v>
      </c>
      <c r="BW520" s="23">
        <f t="shared" ref="BW520:CK520" si="414">BW512/BW$509</f>
        <v>0.35818277597716036</v>
      </c>
      <c r="BX520" s="23">
        <f t="shared" si="414"/>
        <v>0.36353651581554786</v>
      </c>
      <c r="BY520" s="23">
        <f t="shared" si="414"/>
        <v>0.36461484786862974</v>
      </c>
      <c r="BZ520" s="23">
        <f t="shared" si="414"/>
        <v>0.36164543939172372</v>
      </c>
      <c r="CA520" s="23">
        <f t="shared" si="414"/>
        <v>0.36469024978260467</v>
      </c>
      <c r="CB520" s="23">
        <f t="shared" si="414"/>
        <v>0.36570854135544639</v>
      </c>
      <c r="CC520" s="23">
        <f t="shared" si="414"/>
        <v>0.36305850401976225</v>
      </c>
      <c r="CD520" s="23">
        <f t="shared" si="414"/>
        <v>0.36100886522153613</v>
      </c>
      <c r="CE520" s="23">
        <f t="shared" si="414"/>
        <v>0.36486895201137981</v>
      </c>
      <c r="CF520" s="23">
        <f t="shared" si="414"/>
        <v>0.36628729256057369</v>
      </c>
      <c r="CG520" s="23">
        <f t="shared" si="414"/>
        <v>0.37126329452681478</v>
      </c>
      <c r="CH520" s="23">
        <f t="shared" si="414"/>
        <v>0.37600792153188123</v>
      </c>
      <c r="CI520" s="23">
        <f t="shared" si="414"/>
        <v>0.37948242676800287</v>
      </c>
      <c r="CJ520" s="23">
        <f t="shared" si="414"/>
        <v>0.38087208977606563</v>
      </c>
      <c r="CK520" s="23">
        <f t="shared" si="414"/>
        <v>0.37916081537670393</v>
      </c>
      <c r="CL520" s="23">
        <f t="shared" ref="CL520" si="415">CL512/CL$509</f>
        <v>0.37761845194669741</v>
      </c>
      <c r="CM520" s="23">
        <f>CM512/CM$509</f>
        <v>0.37937597728496719</v>
      </c>
      <c r="CR520" s="27"/>
      <c r="DP520">
        <v>2009</v>
      </c>
      <c r="DQ520">
        <v>79051.852939674674</v>
      </c>
      <c r="DR520" s="2">
        <v>13240.246517199967</v>
      </c>
      <c r="DS520" s="2">
        <v>18998.81466958805</v>
      </c>
      <c r="DT520" s="2">
        <v>29998.788994055027</v>
      </c>
      <c r="DU520" s="2">
        <v>16814.002758831459</v>
      </c>
      <c r="DV520" s="2">
        <v>0</v>
      </c>
      <c r="DW520">
        <v>0</v>
      </c>
      <c r="DX520">
        <v>0</v>
      </c>
      <c r="DY520">
        <v>2009</v>
      </c>
      <c r="DZ520" s="23">
        <v>0.16748812361556842</v>
      </c>
      <c r="EA520" s="23">
        <v>0.24033357806408726</v>
      </c>
      <c r="EB520" s="23">
        <v>0.37948242676800287</v>
      </c>
      <c r="EC520" s="23">
        <v>0.21269587155233927</v>
      </c>
      <c r="ED520" s="23"/>
      <c r="EF520">
        <f t="shared" si="409"/>
        <v>1997</v>
      </c>
      <c r="EG520" s="262">
        <f>DZ534</f>
        <v>0.17400937960084559</v>
      </c>
      <c r="EH520" s="262">
        <f>EA534</f>
        <v>0.25719741077858432</v>
      </c>
      <c r="EI520" s="262">
        <f>EB534</f>
        <v>0.36305850401976225</v>
      </c>
      <c r="EJ520" s="262">
        <f>EC534</f>
        <v>0.20573470560080737</v>
      </c>
      <c r="EK520" s="262">
        <f t="shared" si="407"/>
        <v>0.99999999999999956</v>
      </c>
    </row>
    <row r="521" spans="74:141" x14ac:dyDescent="0.2">
      <c r="BV521" t="s">
        <v>331</v>
      </c>
      <c r="BW521" s="23">
        <f t="shared" ref="BW521:CK521" si="416">BW513/BW$509</f>
        <v>0.19283007492808343</v>
      </c>
      <c r="BX521" s="23">
        <f t="shared" si="416"/>
        <v>0.19662924248741176</v>
      </c>
      <c r="BY521" s="23">
        <f t="shared" si="416"/>
        <v>0.19530532664252842</v>
      </c>
      <c r="BZ521" s="23">
        <f t="shared" si="416"/>
        <v>0.20439829245408705</v>
      </c>
      <c r="CA521" s="23">
        <f t="shared" si="416"/>
        <v>0.20503269830001741</v>
      </c>
      <c r="CB521" s="23">
        <f t="shared" si="416"/>
        <v>0.20313300988165417</v>
      </c>
      <c r="CC521" s="23">
        <f t="shared" si="416"/>
        <v>0.20573470560080737</v>
      </c>
      <c r="CD521" s="23">
        <f t="shared" si="416"/>
        <v>0.20985675731024456</v>
      </c>
      <c r="CE521" s="23">
        <f t="shared" si="416"/>
        <v>0.21175789956434968</v>
      </c>
      <c r="CF521" s="23">
        <f t="shared" si="416"/>
        <v>0.21261092160486508</v>
      </c>
      <c r="CG521" s="23">
        <f t="shared" si="416"/>
        <v>0.21356485205503828</v>
      </c>
      <c r="CH521" s="23">
        <f t="shared" si="416"/>
        <v>0.2152453494858535</v>
      </c>
      <c r="CI521" s="23">
        <f t="shared" si="416"/>
        <v>0.21269587155233927</v>
      </c>
      <c r="CJ521" s="23">
        <f t="shared" si="416"/>
        <v>0.21646338252419947</v>
      </c>
      <c r="CK521" s="23">
        <f t="shared" si="416"/>
        <v>0.21609570048955107</v>
      </c>
      <c r="CL521" s="23">
        <f t="shared" ref="CL521" si="417">CL513/CL$509</f>
        <v>0.21967605576506047</v>
      </c>
      <c r="CM521" s="23">
        <f>CM513/CM$509</f>
        <v>0.21830836029727341</v>
      </c>
      <c r="DP521">
        <v>2011</v>
      </c>
      <c r="DQ521" s="280">
        <v>80525.757068709005</v>
      </c>
      <c r="DR521" s="282">
        <v>13289.822285163886</v>
      </c>
      <c r="DS521" s="282">
        <v>19135.043652571923</v>
      </c>
      <c r="DT521" s="282">
        <v>30670.013375558985</v>
      </c>
      <c r="DU521" s="282">
        <v>17430.877755414716</v>
      </c>
      <c r="DV521" s="282">
        <v>0</v>
      </c>
      <c r="DW521">
        <v>0</v>
      </c>
      <c r="DX521">
        <v>0</v>
      </c>
      <c r="DY521">
        <v>2011</v>
      </c>
      <c r="DZ521" s="23">
        <v>0.16503815386453652</v>
      </c>
      <c r="EA521" s="23">
        <v>0.23762637383520471</v>
      </c>
      <c r="EB521" s="23">
        <v>0.38087208977606563</v>
      </c>
      <c r="EC521" s="23">
        <v>0.21646338252419947</v>
      </c>
      <c r="ED521" s="23"/>
      <c r="EF521">
        <f t="shared" si="409"/>
        <v>1998</v>
      </c>
      <c r="EG521" s="340">
        <f>0.5*EG520+0.5*EG522</f>
        <v>0.17491978757503598</v>
      </c>
      <c r="EH521" s="340">
        <f>0.5*EH520+0.5*EH522</f>
        <v>0.25525079634878856</v>
      </c>
      <c r="EI521" s="340">
        <f>0.5*EI520+0.5*EI522</f>
        <v>0.36203368462064922</v>
      </c>
      <c r="EJ521" s="340">
        <f>0.5*EJ520+0.5*EJ522</f>
        <v>0.20779573145552596</v>
      </c>
      <c r="EK521" s="262">
        <f t="shared" si="407"/>
        <v>0.99999999999999978</v>
      </c>
    </row>
    <row r="522" spans="74:141" x14ac:dyDescent="0.2">
      <c r="CK522" s="341"/>
      <c r="DP522">
        <v>2013</v>
      </c>
      <c r="DQ522">
        <v>80942183.237173021</v>
      </c>
      <c r="DR522">
        <v>13488022.041043295</v>
      </c>
      <c r="DS522">
        <v>19272799.215762127</v>
      </c>
      <c r="DT522">
        <v>30690104.194577102</v>
      </c>
      <c r="DU522">
        <v>17491257.785790503</v>
      </c>
      <c r="DV522">
        <v>0</v>
      </c>
      <c r="DW522">
        <v>0</v>
      </c>
      <c r="DX522">
        <v>0</v>
      </c>
      <c r="DY522">
        <v>2013</v>
      </c>
      <c r="DZ522" s="23">
        <v>0.16663773451132791</v>
      </c>
      <c r="EA522" s="23">
        <v>0.23810574962241712</v>
      </c>
      <c r="EB522" s="23">
        <v>0.37916081537670393</v>
      </c>
      <c r="EC522" s="23">
        <v>0.21609570048955107</v>
      </c>
      <c r="EF522">
        <f t="shared" si="409"/>
        <v>1999</v>
      </c>
      <c r="EG522" s="262">
        <f>DZ535</f>
        <v>0.17583019554922638</v>
      </c>
      <c r="EH522" s="262">
        <f>EA535</f>
        <v>0.25330418191899273</v>
      </c>
      <c r="EI522" s="262">
        <f>EB535</f>
        <v>0.36100886522153613</v>
      </c>
      <c r="EJ522" s="262">
        <f>EC535</f>
        <v>0.20985675731024456</v>
      </c>
      <c r="EK522" s="262">
        <f t="shared" si="407"/>
        <v>0.99999999999999978</v>
      </c>
    </row>
    <row r="523" spans="74:141" x14ac:dyDescent="0.2">
      <c r="CK523" s="23">
        <f>SUM(CK518:CK522)</f>
        <v>1</v>
      </c>
      <c r="DP523">
        <v>2015</v>
      </c>
      <c r="DQ523">
        <v>83272182.492301807</v>
      </c>
      <c r="DR523">
        <v>13729589.032989755</v>
      </c>
      <c r="DS523">
        <v>19804576.211488992</v>
      </c>
      <c r="DT523">
        <v>31445112.642965887</v>
      </c>
      <c r="DU523">
        <v>18292904.604857184</v>
      </c>
      <c r="DV523">
        <v>0</v>
      </c>
      <c r="DW523">
        <v>0</v>
      </c>
      <c r="DX523">
        <v>0</v>
      </c>
      <c r="DY523">
        <v>2015</v>
      </c>
      <c r="DZ523" s="23">
        <v>0.16487605610984199</v>
      </c>
      <c r="EA523" s="23">
        <v>0.23782943617840027</v>
      </c>
      <c r="EB523" s="23">
        <v>0.37761845194669741</v>
      </c>
      <c r="EC523" s="23">
        <v>0.21967605576506047</v>
      </c>
      <c r="EF523">
        <f t="shared" si="409"/>
        <v>2000</v>
      </c>
      <c r="EG523" s="340">
        <f>0.5*EG522+0.5*EG524</f>
        <v>0.17551586001218167</v>
      </c>
      <c r="EH523" s="340">
        <f>0.5*EH522+0.5*EH524</f>
        <v>0.25073790293406129</v>
      </c>
      <c r="EI523" s="340">
        <f>0.5*EI522+0.5*EI524</f>
        <v>0.36293890861645794</v>
      </c>
      <c r="EJ523" s="340">
        <f>0.5*EJ522+0.5*EJ524</f>
        <v>0.2108073284372971</v>
      </c>
      <c r="EK523" s="262">
        <f t="shared" si="407"/>
        <v>0.999999999999998</v>
      </c>
    </row>
    <row r="524" spans="74:141" x14ac:dyDescent="0.2">
      <c r="DP524">
        <v>2017</v>
      </c>
      <c r="DQ524">
        <v>85790283.818839788</v>
      </c>
      <c r="DR524">
        <v>13970769.420452226</v>
      </c>
      <c r="DS524">
        <v>20544005.443131872</v>
      </c>
      <c r="DT524">
        <v>32546772.765327051</v>
      </c>
      <c r="DU524">
        <v>18728736.189928621</v>
      </c>
      <c r="DV524">
        <v>0</v>
      </c>
      <c r="DW524">
        <v>0</v>
      </c>
      <c r="DX524">
        <v>0</v>
      </c>
      <c r="DY524">
        <v>2017</v>
      </c>
      <c r="DZ524" s="23">
        <v>0.16284792168252749</v>
      </c>
      <c r="EA524" s="23">
        <v>0.23946774073523172</v>
      </c>
      <c r="EB524" s="23">
        <v>0.37937597728496719</v>
      </c>
      <c r="EC524" s="405">
        <v>0.21830836029727341</v>
      </c>
      <c r="EF524">
        <f t="shared" si="409"/>
        <v>2001</v>
      </c>
      <c r="EG524" s="262">
        <f>DZ536</f>
        <v>0.17520152447513695</v>
      </c>
      <c r="EH524" s="262">
        <f>EA536</f>
        <v>0.24817162394912984</v>
      </c>
      <c r="EI524" s="262">
        <f>EB536</f>
        <v>0.36486895201137981</v>
      </c>
      <c r="EJ524" s="262">
        <f>EC536</f>
        <v>0.21175789956434968</v>
      </c>
      <c r="EK524" s="262">
        <f t="shared" si="407"/>
        <v>0.99999999999999623</v>
      </c>
    </row>
    <row r="525" spans="74:141" x14ac:dyDescent="0.2">
      <c r="EF525">
        <f t="shared" si="409"/>
        <v>2002</v>
      </c>
      <c r="EG525" s="340">
        <f>0.5*EG524+0.5*EG526</f>
        <v>0.17417894495034475</v>
      </c>
      <c r="EH525" s="340">
        <f>0.5*EH524+0.5*EH526</f>
        <v>0.2480585221790616</v>
      </c>
      <c r="EI525" s="340">
        <f>0.5*EI524+0.5*EI526</f>
        <v>0.36557812228597675</v>
      </c>
      <c r="EJ525" s="340">
        <f>0.5*EJ524+0.5*EJ526</f>
        <v>0.21218441058460738</v>
      </c>
      <c r="EK525" s="262">
        <f t="shared" si="407"/>
        <v>0.99999999999999045</v>
      </c>
    </row>
    <row r="526" spans="74:141" x14ac:dyDescent="0.2">
      <c r="EF526">
        <f t="shared" si="409"/>
        <v>2003</v>
      </c>
      <c r="EG526" s="262">
        <f>DZ537</f>
        <v>0.17315636542555254</v>
      </c>
      <c r="EH526" s="262">
        <f>EA537</f>
        <v>0.24794542040899339</v>
      </c>
      <c r="EI526" s="262">
        <f>EB537</f>
        <v>0.36628729256057369</v>
      </c>
      <c r="EJ526" s="262">
        <f>EC537</f>
        <v>0.21261092160486508</v>
      </c>
      <c r="EK526" s="262">
        <f t="shared" si="407"/>
        <v>0.99999999999998468</v>
      </c>
    </row>
    <row r="527" spans="74:141" x14ac:dyDescent="0.2">
      <c r="CJ527">
        <v>5</v>
      </c>
      <c r="DZ527" s="253" t="s">
        <v>328</v>
      </c>
      <c r="EA527" s="253" t="s">
        <v>329</v>
      </c>
      <c r="EB527" s="253" t="s">
        <v>330</v>
      </c>
      <c r="EC527" s="253" t="s">
        <v>331</v>
      </c>
      <c r="EF527">
        <f t="shared" si="409"/>
        <v>2004</v>
      </c>
      <c r="EG527" s="340">
        <f>0.5*EG526+0.5*EG528</f>
        <v>0.17107667344902178</v>
      </c>
      <c r="EH527" s="340">
        <f>0.5*EH526+0.5*EH528</f>
        <v>0.24706014617732208</v>
      </c>
      <c r="EI527" s="340">
        <f>0.5*EI526+0.5*EI528</f>
        <v>0.3687752935436942</v>
      </c>
      <c r="EJ527" s="340">
        <f>0.5*EJ526+0.5*EJ528</f>
        <v>0.21308788682995167</v>
      </c>
      <c r="EK527" s="262">
        <f t="shared" si="407"/>
        <v>0.99999999999998979</v>
      </c>
    </row>
    <row r="528" spans="74:141" x14ac:dyDescent="0.2">
      <c r="DY528">
        <f>DY508</f>
        <v>1985</v>
      </c>
      <c r="DZ528" s="262">
        <f>DZ508</f>
        <v>0.18248202412130138</v>
      </c>
      <c r="EA528" s="262">
        <f>EA508</f>
        <v>0.26650512497347445</v>
      </c>
      <c r="EB528" s="262">
        <f>EB508</f>
        <v>0.35818277597716036</v>
      </c>
      <c r="EC528" s="262">
        <f>EC508</f>
        <v>0.19283007492808343</v>
      </c>
      <c r="ED528" s="23"/>
      <c r="EF528">
        <f t="shared" si="409"/>
        <v>2005</v>
      </c>
      <c r="EG528" s="262">
        <f>DZ538</f>
        <v>0.16899698147249101</v>
      </c>
      <c r="EH528" s="262">
        <f>EA538</f>
        <v>0.24617487194565077</v>
      </c>
      <c r="EI528" s="262">
        <f>EB538</f>
        <v>0.37126329452681478</v>
      </c>
      <c r="EJ528" s="262">
        <f>EC538</f>
        <v>0.21356485205503828</v>
      </c>
      <c r="EK528" s="262">
        <f t="shared" si="407"/>
        <v>0.99999999999999478</v>
      </c>
    </row>
    <row r="529" spans="129:141" x14ac:dyDescent="0.2">
      <c r="DY529" s="341">
        <f t="shared" ref="DY529:DY544" si="418">DY509</f>
        <v>1987</v>
      </c>
      <c r="DZ529" s="262">
        <f t="shared" ref="DZ529:EC544" si="419">DZ509</f>
        <v>0.17957476992974591</v>
      </c>
      <c r="EA529" s="262">
        <f t="shared" ref="EA529:EC532" si="420">EA509</f>
        <v>0.26025947176729719</v>
      </c>
      <c r="EB529" s="262">
        <f t="shared" si="420"/>
        <v>0.36353651581554786</v>
      </c>
      <c r="EC529" s="262">
        <f t="shared" si="420"/>
        <v>0.19662924248741176</v>
      </c>
      <c r="ED529" s="23"/>
      <c r="EF529">
        <f t="shared" si="409"/>
        <v>2006</v>
      </c>
      <c r="EG529" s="340">
        <f>0.5*EG528+0.5*EG530</f>
        <v>0.16798027180441</v>
      </c>
      <c r="EH529" s="340">
        <f t="shared" ref="EH529:EJ529" si="421">0.5*EH528+0.5*EH530</f>
        <v>0.2439790193958041</v>
      </c>
      <c r="EI529" s="340">
        <f t="shared" si="421"/>
        <v>0.37363560802934803</v>
      </c>
      <c r="EJ529" s="340">
        <f t="shared" si="421"/>
        <v>0.21440510077044589</v>
      </c>
      <c r="EK529" s="262">
        <f t="shared" si="407"/>
        <v>1.000000000000008</v>
      </c>
    </row>
    <row r="530" spans="129:141" x14ac:dyDescent="0.2">
      <c r="DY530" s="341">
        <f t="shared" si="418"/>
        <v>1989</v>
      </c>
      <c r="DZ530" s="262">
        <f t="shared" si="419"/>
        <v>0.18089754124543547</v>
      </c>
      <c r="EA530" s="262">
        <f t="shared" si="420"/>
        <v>0.25918228424339929</v>
      </c>
      <c r="EB530" s="262">
        <f t="shared" si="420"/>
        <v>0.36461484786862974</v>
      </c>
      <c r="EC530" s="262">
        <f t="shared" si="420"/>
        <v>0.19530532664252842</v>
      </c>
      <c r="ED530" s="23"/>
      <c r="EF530">
        <f t="shared" si="409"/>
        <v>2007</v>
      </c>
      <c r="EG530" s="262">
        <f>DZ539</f>
        <v>0.16696356213632899</v>
      </c>
      <c r="EH530" s="262">
        <f t="shared" ref="EH530:EJ530" si="422">EA539</f>
        <v>0.24178316684595744</v>
      </c>
      <c r="EI530" s="262">
        <f t="shared" si="422"/>
        <v>0.37600792153188123</v>
      </c>
      <c r="EJ530" s="262">
        <f t="shared" si="422"/>
        <v>0.2152453494858535</v>
      </c>
      <c r="EK530" s="262">
        <f t="shared" si="407"/>
        <v>1.0000000000000211</v>
      </c>
    </row>
    <row r="531" spans="129:141" x14ac:dyDescent="0.2">
      <c r="DY531" s="341">
        <f t="shared" si="418"/>
        <v>1991</v>
      </c>
      <c r="DZ531" s="262">
        <f t="shared" si="419"/>
        <v>0.17980441881291495</v>
      </c>
      <c r="EA531" s="262">
        <f t="shared" si="420"/>
        <v>0.25415184934124946</v>
      </c>
      <c r="EB531" s="262">
        <f t="shared" si="420"/>
        <v>0.36164543939172372</v>
      </c>
      <c r="EC531" s="262">
        <f t="shared" si="420"/>
        <v>0.20439829245408705</v>
      </c>
      <c r="ED531" s="23"/>
      <c r="EF531">
        <f t="shared" si="409"/>
        <v>2008</v>
      </c>
      <c r="EG531" s="340">
        <f>0.5*EG530+0.5*EG532</f>
        <v>0.16722584287594872</v>
      </c>
      <c r="EH531" s="340">
        <f t="shared" ref="EH531:EJ531" si="423">0.5*EH530+0.5*EH532</f>
        <v>0.24105837245502235</v>
      </c>
      <c r="EI531" s="340">
        <f t="shared" si="423"/>
        <v>0.37774517414994202</v>
      </c>
      <c r="EJ531" s="340">
        <f t="shared" si="423"/>
        <v>0.21397061051909638</v>
      </c>
      <c r="EK531" s="262">
        <f t="shared" si="407"/>
        <v>1.0000000000000093</v>
      </c>
    </row>
    <row r="532" spans="129:141" x14ac:dyDescent="0.2">
      <c r="DY532" s="341">
        <f t="shared" si="418"/>
        <v>1993</v>
      </c>
      <c r="DZ532" s="262">
        <f t="shared" si="419"/>
        <v>0.17549370615171411</v>
      </c>
      <c r="EA532" s="262">
        <f t="shared" si="420"/>
        <v>0.25478334576564776</v>
      </c>
      <c r="EB532" s="262">
        <f t="shared" si="420"/>
        <v>0.36469024978260467</v>
      </c>
      <c r="EC532" s="262">
        <f t="shared" si="420"/>
        <v>0.20503269830001741</v>
      </c>
      <c r="ED532" s="23"/>
      <c r="EF532">
        <f t="shared" si="409"/>
        <v>2009</v>
      </c>
      <c r="EG532" s="262">
        <f>DZ540</f>
        <v>0.16748812361556842</v>
      </c>
      <c r="EH532" s="262">
        <f t="shared" ref="EH532:EJ532" si="424">EA540</f>
        <v>0.24033357806408726</v>
      </c>
      <c r="EI532" s="262">
        <f t="shared" si="424"/>
        <v>0.37948242676800287</v>
      </c>
      <c r="EJ532" s="262">
        <f t="shared" si="424"/>
        <v>0.21269587155233927</v>
      </c>
      <c r="EK532" s="262">
        <f t="shared" si="407"/>
        <v>0.99999999999999778</v>
      </c>
    </row>
    <row r="533" spans="129:141" x14ac:dyDescent="0.2">
      <c r="DY533" s="341">
        <f t="shared" si="418"/>
        <v>1995</v>
      </c>
      <c r="DZ533" s="262">
        <f t="shared" si="419"/>
        <v>0.17158701344102159</v>
      </c>
      <c r="EA533" s="406">
        <f>EA513+0.002</f>
        <v>0.26157143532190535</v>
      </c>
      <c r="EB533" s="406">
        <f>EB513-0.002</f>
        <v>0.36370854135544639</v>
      </c>
      <c r="EC533" s="262">
        <f t="shared" ref="EC533:EC542" si="425">EC513</f>
        <v>0.20313300988165417</v>
      </c>
      <c r="ED533" s="23"/>
      <c r="EF533">
        <f t="shared" si="409"/>
        <v>2010</v>
      </c>
      <c r="EG533" s="340">
        <f t="shared" ref="EG533" si="426">0.5*EG532+0.5*EG534</f>
        <v>0.16626313874005247</v>
      </c>
      <c r="EH533" s="340">
        <f t="shared" ref="EH533:EJ533" si="427">0.5*EH532+0.5*EH534</f>
        <v>0.23897997594964598</v>
      </c>
      <c r="EI533" s="340">
        <f t="shared" si="427"/>
        <v>0.38017725827203425</v>
      </c>
      <c r="EJ533" s="340">
        <f t="shared" si="427"/>
        <v>0.21457962703826938</v>
      </c>
      <c r="EK533" s="262">
        <f t="shared" si="407"/>
        <v>1.000000000000002</v>
      </c>
    </row>
    <row r="534" spans="129:141" x14ac:dyDescent="0.2">
      <c r="DY534" s="341">
        <f t="shared" si="418"/>
        <v>1997</v>
      </c>
      <c r="DZ534" s="262">
        <f t="shared" si="419"/>
        <v>0.17400937960084559</v>
      </c>
      <c r="EA534" s="262">
        <f t="shared" ref="EA534:EB542" si="428">EA514</f>
        <v>0.25719741077858432</v>
      </c>
      <c r="EB534" s="262">
        <f t="shared" si="428"/>
        <v>0.36305850401976225</v>
      </c>
      <c r="EC534" s="262">
        <f t="shared" si="425"/>
        <v>0.20573470560080737</v>
      </c>
      <c r="ED534" s="23"/>
      <c r="EF534" s="280">
        <f t="shared" si="409"/>
        <v>2011</v>
      </c>
      <c r="EG534" s="262">
        <f>DZ541</f>
        <v>0.16503815386453652</v>
      </c>
      <c r="EH534" s="262">
        <f t="shared" ref="EH534:EJ534" si="429">EA541</f>
        <v>0.23762637383520471</v>
      </c>
      <c r="EI534" s="262">
        <f t="shared" si="429"/>
        <v>0.38087208977606563</v>
      </c>
      <c r="EJ534" s="262">
        <f t="shared" si="429"/>
        <v>0.21646338252419947</v>
      </c>
      <c r="EK534" s="262">
        <f t="shared" si="407"/>
        <v>1.0000000000000064</v>
      </c>
    </row>
    <row r="535" spans="129:141" x14ac:dyDescent="0.2">
      <c r="DY535" s="341">
        <f t="shared" si="418"/>
        <v>1999</v>
      </c>
      <c r="DZ535" s="262">
        <f t="shared" si="419"/>
        <v>0.17583019554922638</v>
      </c>
      <c r="EA535" s="262">
        <f t="shared" si="428"/>
        <v>0.25330418191899273</v>
      </c>
      <c r="EB535" s="262">
        <f t="shared" si="428"/>
        <v>0.36100886522153613</v>
      </c>
      <c r="EC535" s="262">
        <f t="shared" si="425"/>
        <v>0.20985675731024456</v>
      </c>
      <c r="ED535" s="23"/>
      <c r="EF535">
        <v>2012</v>
      </c>
      <c r="EG535" s="340">
        <f t="shared" ref="EG535:EG539" si="430">0.5*EG534+0.5*EG536</f>
        <v>0.16583794418793221</v>
      </c>
      <c r="EH535" s="340">
        <f t="shared" ref="EH535:EJ535" si="431">0.5*EH534+0.5*EH536</f>
        <v>0.23786606172881092</v>
      </c>
      <c r="EI535" s="340">
        <f t="shared" si="431"/>
        <v>0.38001645257638478</v>
      </c>
      <c r="EJ535" s="340">
        <f t="shared" si="431"/>
        <v>0.21627954150687528</v>
      </c>
      <c r="EK535" s="262">
        <f t="shared" si="407"/>
        <v>1.0000000000000031</v>
      </c>
    </row>
    <row r="536" spans="129:141" x14ac:dyDescent="0.2">
      <c r="DY536" s="341">
        <f t="shared" si="418"/>
        <v>2001</v>
      </c>
      <c r="DZ536" s="262">
        <f t="shared" si="419"/>
        <v>0.17520152447513695</v>
      </c>
      <c r="EA536" s="262">
        <f t="shared" si="428"/>
        <v>0.24817162394912984</v>
      </c>
      <c r="EB536" s="262">
        <f t="shared" si="428"/>
        <v>0.36486895201137981</v>
      </c>
      <c r="EC536" s="262">
        <f t="shared" si="425"/>
        <v>0.21175789956434968</v>
      </c>
      <c r="ED536" s="23"/>
      <c r="EF536">
        <v>2013</v>
      </c>
      <c r="EG536" s="262">
        <f>DZ542</f>
        <v>0.16663773451132791</v>
      </c>
      <c r="EH536" s="262">
        <f t="shared" ref="EH536:EJ536" si="432">EA542</f>
        <v>0.23810574962241712</v>
      </c>
      <c r="EI536" s="262">
        <f t="shared" si="432"/>
        <v>0.37916081537670393</v>
      </c>
      <c r="EJ536" s="262">
        <f t="shared" si="432"/>
        <v>0.21609570048955107</v>
      </c>
      <c r="EK536" s="262">
        <f t="shared" si="407"/>
        <v>1</v>
      </c>
    </row>
    <row r="537" spans="129:141" x14ac:dyDescent="0.2">
      <c r="DY537" s="341">
        <f t="shared" si="418"/>
        <v>2003</v>
      </c>
      <c r="DZ537" s="262">
        <f t="shared" si="419"/>
        <v>0.17315636542555254</v>
      </c>
      <c r="EA537" s="262">
        <f t="shared" si="428"/>
        <v>0.24794542040899339</v>
      </c>
      <c r="EB537" s="262">
        <f t="shared" si="428"/>
        <v>0.36628729256057369</v>
      </c>
      <c r="EC537" s="262">
        <f t="shared" si="425"/>
        <v>0.21261092160486508</v>
      </c>
      <c r="ED537" s="23"/>
      <c r="EF537">
        <v>2014</v>
      </c>
      <c r="EG537" s="340">
        <f t="shared" si="430"/>
        <v>0.16575689531058496</v>
      </c>
      <c r="EH537" s="340">
        <f t="shared" ref="EH537:EJ537" si="433">0.5*EH536+0.5*EH538</f>
        <v>0.2379675929004087</v>
      </c>
      <c r="EI537" s="340">
        <f t="shared" si="433"/>
        <v>0.37838963366170064</v>
      </c>
      <c r="EJ537" s="340">
        <f t="shared" si="433"/>
        <v>0.21788587812730575</v>
      </c>
      <c r="EK537" s="262">
        <f t="shared" si="407"/>
        <v>1</v>
      </c>
    </row>
    <row r="538" spans="129:141" x14ac:dyDescent="0.2">
      <c r="DY538" s="341">
        <f t="shared" si="418"/>
        <v>2005</v>
      </c>
      <c r="DZ538" s="262">
        <f t="shared" si="419"/>
        <v>0.16899698147249101</v>
      </c>
      <c r="EA538" s="262">
        <f t="shared" si="428"/>
        <v>0.24617487194565077</v>
      </c>
      <c r="EB538" s="262">
        <f t="shared" si="428"/>
        <v>0.37126329452681478</v>
      </c>
      <c r="EC538" s="262">
        <f t="shared" si="425"/>
        <v>0.21356485205503828</v>
      </c>
      <c r="ED538" s="23"/>
      <c r="EF538">
        <v>2015</v>
      </c>
      <c r="EG538" s="262">
        <f>DZ543</f>
        <v>0.16487605610984199</v>
      </c>
      <c r="EH538" s="262">
        <f t="shared" ref="EH538:EJ538" si="434">EA543</f>
        <v>0.23782943617840027</v>
      </c>
      <c r="EI538" s="262">
        <f t="shared" si="434"/>
        <v>0.37761845194669741</v>
      </c>
      <c r="EJ538" s="262">
        <f t="shared" si="434"/>
        <v>0.21967605576506047</v>
      </c>
      <c r="EK538" s="262">
        <f t="shared" si="407"/>
        <v>1.0000000000000002</v>
      </c>
    </row>
    <row r="539" spans="129:141" x14ac:dyDescent="0.2">
      <c r="DY539" s="341">
        <f t="shared" si="418"/>
        <v>2007</v>
      </c>
      <c r="DZ539" s="262">
        <f t="shared" si="419"/>
        <v>0.16696356213632899</v>
      </c>
      <c r="EA539" s="262">
        <f t="shared" si="428"/>
        <v>0.24178316684595744</v>
      </c>
      <c r="EB539" s="262">
        <f t="shared" si="428"/>
        <v>0.37600792153188123</v>
      </c>
      <c r="EC539" s="262">
        <f t="shared" si="425"/>
        <v>0.2152453494858535</v>
      </c>
      <c r="ED539" s="23"/>
      <c r="EF539">
        <v>2016</v>
      </c>
      <c r="EG539" s="340">
        <f t="shared" si="430"/>
        <v>0.16386198889618475</v>
      </c>
      <c r="EH539" s="340">
        <f t="shared" ref="EH539:EJ539" si="435">0.5*EH538+0.5*EH540</f>
        <v>0.238648588456816</v>
      </c>
      <c r="EI539" s="340">
        <f t="shared" si="435"/>
        <v>0.3784972146158323</v>
      </c>
      <c r="EJ539" s="340">
        <f t="shared" si="435"/>
        <v>0.21899220803116692</v>
      </c>
      <c r="EK539" s="262">
        <f t="shared" si="407"/>
        <v>1</v>
      </c>
    </row>
    <row r="540" spans="129:141" x14ac:dyDescent="0.2">
      <c r="DY540" s="341">
        <f t="shared" si="418"/>
        <v>2009</v>
      </c>
      <c r="DZ540" s="262">
        <f t="shared" si="419"/>
        <v>0.16748812361556842</v>
      </c>
      <c r="EA540" s="262">
        <f t="shared" si="428"/>
        <v>0.24033357806408726</v>
      </c>
      <c r="EB540" s="262">
        <f t="shared" si="428"/>
        <v>0.37948242676800287</v>
      </c>
      <c r="EC540" s="262">
        <f t="shared" si="425"/>
        <v>0.21269587155233927</v>
      </c>
      <c r="ED540" s="23"/>
      <c r="EF540">
        <v>2017</v>
      </c>
      <c r="EG540" s="262">
        <f>DZ544</f>
        <v>0.16284792168252749</v>
      </c>
      <c r="EH540" s="262">
        <f t="shared" ref="EH540:EJ540" si="436">EA544</f>
        <v>0.23946774073523172</v>
      </c>
      <c r="EI540" s="262">
        <f t="shared" si="436"/>
        <v>0.37937597728496719</v>
      </c>
      <c r="EJ540" s="262">
        <f t="shared" si="436"/>
        <v>0.21830836029727341</v>
      </c>
      <c r="EK540" s="262">
        <f t="shared" si="407"/>
        <v>0.99999999999999978</v>
      </c>
    </row>
    <row r="541" spans="129:141" x14ac:dyDescent="0.2">
      <c r="DY541" s="341">
        <f t="shared" si="418"/>
        <v>2011</v>
      </c>
      <c r="DZ541" s="262">
        <f t="shared" si="419"/>
        <v>0.16503815386453652</v>
      </c>
      <c r="EA541" s="262">
        <f t="shared" si="428"/>
        <v>0.23762637383520471</v>
      </c>
      <c r="EB541" s="262">
        <f t="shared" si="428"/>
        <v>0.38087208977606563</v>
      </c>
      <c r="EC541" s="262">
        <f t="shared" si="425"/>
        <v>0.21646338252419947</v>
      </c>
      <c r="ED541" s="23"/>
      <c r="EF541">
        <v>2018</v>
      </c>
      <c r="EG541" s="262">
        <f>EG540</f>
        <v>0.16284792168252749</v>
      </c>
      <c r="EH541" s="262">
        <f t="shared" ref="EH541:EJ541" si="437">EH540</f>
        <v>0.23946774073523172</v>
      </c>
      <c r="EI541" s="262">
        <f t="shared" si="437"/>
        <v>0.37937597728496719</v>
      </c>
      <c r="EJ541" s="262">
        <f t="shared" si="437"/>
        <v>0.21830836029727341</v>
      </c>
      <c r="EK541" s="262">
        <f t="shared" si="407"/>
        <v>0.99999999999999978</v>
      </c>
    </row>
    <row r="542" spans="129:141" x14ac:dyDescent="0.2">
      <c r="DY542" s="341">
        <f t="shared" si="418"/>
        <v>2013</v>
      </c>
      <c r="DZ542" s="262">
        <f t="shared" si="419"/>
        <v>0.16663773451132791</v>
      </c>
      <c r="EA542" s="262">
        <f t="shared" si="428"/>
        <v>0.23810574962241712</v>
      </c>
      <c r="EB542" s="262">
        <f t="shared" si="428"/>
        <v>0.37916081537670393</v>
      </c>
      <c r="EC542" s="262">
        <f t="shared" si="425"/>
        <v>0.21609570048955107</v>
      </c>
      <c r="ED542" s="23"/>
      <c r="EG542" s="262"/>
      <c r="EH542" s="262"/>
      <c r="EI542" s="262"/>
      <c r="EJ542" s="262"/>
      <c r="EK542" s="262"/>
    </row>
    <row r="543" spans="129:141" x14ac:dyDescent="0.2">
      <c r="DY543" s="341">
        <f t="shared" si="418"/>
        <v>2015</v>
      </c>
      <c r="DZ543" s="262">
        <f t="shared" si="419"/>
        <v>0.16487605610984199</v>
      </c>
      <c r="EA543" s="262">
        <f t="shared" si="419"/>
        <v>0.23782943617840027</v>
      </c>
      <c r="EB543" s="262">
        <f t="shared" si="419"/>
        <v>0.37761845194669741</v>
      </c>
      <c r="EC543" s="262">
        <f t="shared" si="419"/>
        <v>0.21967605576506047</v>
      </c>
      <c r="EG543" s="262"/>
      <c r="EH543" s="262"/>
      <c r="EI543" s="262"/>
      <c r="EJ543" s="262"/>
      <c r="EK543" s="262"/>
    </row>
    <row r="544" spans="129:141" x14ac:dyDescent="0.2">
      <c r="DY544" s="341">
        <f t="shared" si="418"/>
        <v>2017</v>
      </c>
      <c r="DZ544" s="262">
        <f t="shared" si="419"/>
        <v>0.16284792168252749</v>
      </c>
      <c r="EA544" s="262">
        <f t="shared" si="419"/>
        <v>0.23946774073523172</v>
      </c>
      <c r="EB544" s="262">
        <f t="shared" si="419"/>
        <v>0.37937597728496719</v>
      </c>
      <c r="EC544" s="262">
        <f t="shared" si="419"/>
        <v>0.21830836029727341</v>
      </c>
      <c r="EG544" s="262"/>
      <c r="EH544" s="262"/>
      <c r="EI544" s="262"/>
      <c r="EJ544" s="262"/>
      <c r="EK544" s="262"/>
    </row>
    <row r="545" spans="137:141" x14ac:dyDescent="0.2">
      <c r="EG545" s="262"/>
      <c r="EH545" s="262"/>
      <c r="EI545" s="262"/>
      <c r="EJ545" s="262"/>
      <c r="EK545" s="262"/>
    </row>
    <row r="563" spans="74:120" ht="18" x14ac:dyDescent="0.25">
      <c r="BV563" s="209" t="s">
        <v>32</v>
      </c>
      <c r="CF563" s="280"/>
      <c r="CG563"/>
      <c r="CS563" s="27"/>
      <c r="CT563" s="27"/>
      <c r="CU563" s="27"/>
      <c r="CV563" s="27"/>
      <c r="CW563" s="27"/>
      <c r="CX563" s="27"/>
      <c r="CY563" s="27"/>
      <c r="CZ563" s="27"/>
      <c r="DA563" s="27"/>
      <c r="DB563" s="27"/>
      <c r="DC563" s="27"/>
      <c r="DD563" s="27"/>
      <c r="DE563" s="27"/>
      <c r="DF563" s="27"/>
      <c r="DG563" s="27"/>
    </row>
    <row r="564" spans="74:120" x14ac:dyDescent="0.2">
      <c r="BV564" s="1"/>
      <c r="CF564" s="280"/>
      <c r="CG564"/>
    </row>
    <row r="565" spans="74:120" x14ac:dyDescent="0.2">
      <c r="BV565" t="s">
        <v>355</v>
      </c>
      <c r="CF565" s="280"/>
      <c r="CG565"/>
      <c r="CR565" s="27"/>
      <c r="CS565" t="str">
        <f t="array" ref="CS565:DG582">TRANSPOSE(BV565:CM579)</f>
        <v>Number of MF</v>
      </c>
      <c r="CT565" t="str">
        <v xml:space="preserve"> </v>
      </c>
      <c r="CU565" t="str">
        <v xml:space="preserve">  National</v>
      </c>
      <c r="CV565" t="str">
        <v>NE</v>
      </c>
      <c r="CW565" t="str">
        <v>MW</v>
      </c>
      <c r="CX565" t="str">
        <v>S</v>
      </c>
      <c r="CY565" t="str">
        <v>W</v>
      </c>
      <c r="CZ565">
        <v>0</v>
      </c>
      <c r="DA565">
        <v>0</v>
      </c>
      <c r="DB565" t="str">
        <v>Ratio</v>
      </c>
      <c r="DC565" t="str">
        <v xml:space="preserve">  National</v>
      </c>
      <c r="DD565" s="253" t="str">
        <v>NE</v>
      </c>
      <c r="DE565" s="253" t="str">
        <v>MW</v>
      </c>
      <c r="DF565" s="253" t="str">
        <v>S</v>
      </c>
      <c r="DG565" s="253" t="str">
        <v>W</v>
      </c>
      <c r="DL565" s="253" t="s">
        <v>328</v>
      </c>
      <c r="DM565" s="253" t="s">
        <v>329</v>
      </c>
      <c r="DN565" s="253" t="s">
        <v>330</v>
      </c>
      <c r="DO565" s="253" t="s">
        <v>331</v>
      </c>
      <c r="DP565" s="253" t="s">
        <v>351</v>
      </c>
    </row>
    <row r="566" spans="74:120" x14ac:dyDescent="0.2">
      <c r="BV566" s="50" t="str">
        <f>" "</f>
        <v xml:space="preserve"> </v>
      </c>
      <c r="BW566">
        <v>1985</v>
      </c>
      <c r="BX566">
        <v>1987</v>
      </c>
      <c r="BY566">
        <v>1989</v>
      </c>
      <c r="BZ566">
        <v>1991</v>
      </c>
      <c r="CA566">
        <v>1993</v>
      </c>
      <c r="CB566">
        <v>1995</v>
      </c>
      <c r="CC566">
        <v>1997</v>
      </c>
      <c r="CD566">
        <v>1999</v>
      </c>
      <c r="CE566">
        <v>2001</v>
      </c>
      <c r="CF566">
        <v>2003</v>
      </c>
      <c r="CG566">
        <v>2005</v>
      </c>
      <c r="CH566">
        <v>2007</v>
      </c>
      <c r="CI566">
        <v>2009</v>
      </c>
      <c r="CJ566">
        <v>2011</v>
      </c>
      <c r="CK566">
        <v>2013</v>
      </c>
      <c r="CL566">
        <v>2015</v>
      </c>
      <c r="CM566">
        <v>2017</v>
      </c>
      <c r="CO566" s="50" t="s">
        <v>708</v>
      </c>
      <c r="CR566" s="27"/>
      <c r="CS566">
        <v>0</v>
      </c>
      <c r="CT566">
        <v>1985</v>
      </c>
      <c r="CU566">
        <v>24493.46276000014</v>
      </c>
      <c r="CV566">
        <v>7490.0260599999547</v>
      </c>
      <c r="CW566">
        <v>5511.4044999999887</v>
      </c>
      <c r="CX566">
        <v>6427.2333399999607</v>
      </c>
      <c r="CY566">
        <v>5064.7988600000044</v>
      </c>
      <c r="CZ566">
        <v>0</v>
      </c>
      <c r="DA566">
        <v>0</v>
      </c>
      <c r="DB566">
        <v>0</v>
      </c>
      <c r="DC566">
        <v>1985</v>
      </c>
      <c r="DD566" s="12">
        <v>0.30579694400057594</v>
      </c>
      <c r="DE566" s="12">
        <v>0.22501532568112706</v>
      </c>
      <c r="DF566" s="12">
        <v>0.26240607148843675</v>
      </c>
      <c r="DG566" s="12">
        <v>0.20678165882985078</v>
      </c>
      <c r="DK566">
        <f>1985</f>
        <v>1985</v>
      </c>
      <c r="DL566" s="23">
        <f>DD587</f>
        <v>0.30579694400057594</v>
      </c>
      <c r="DM566" s="23">
        <f>DE587</f>
        <v>0.22501532568112706</v>
      </c>
      <c r="DN566" s="23">
        <f>DF587</f>
        <v>0.26240607148843675</v>
      </c>
      <c r="DO566" s="23">
        <f>DG587</f>
        <v>0.20678165882985078</v>
      </c>
      <c r="DP566" s="23">
        <f>SUM(DL566:DO566)</f>
        <v>0.99999999999999056</v>
      </c>
    </row>
    <row r="567" spans="74:120" x14ac:dyDescent="0.2">
      <c r="BV567" t="s">
        <v>340</v>
      </c>
      <c r="BW567" s="2">
        <f>Stock_85to95!F92</f>
        <v>24493.46276000014</v>
      </c>
      <c r="BX567" s="2">
        <f>Stock_85to95!F82</f>
        <v>24241.975299999896</v>
      </c>
      <c r="BY567" s="2">
        <f>Stock_85to95!F72</f>
        <v>25040.568380000201</v>
      </c>
      <c r="BZ567" s="2">
        <f>Stock_85to95!F60</f>
        <v>24590</v>
      </c>
      <c r="CA567" s="2">
        <f>Stock_85to95!F51</f>
        <v>24775.763219999921</v>
      </c>
      <c r="CB567" s="2">
        <f>Stock_85to95!F42</f>
        <v>25157.958780000012</v>
      </c>
      <c r="CC567" s="2">
        <f>CF20</f>
        <v>24988.46442277309</v>
      </c>
      <c r="CD567" s="2">
        <f>CR20</f>
        <v>24515.622361986978</v>
      </c>
      <c r="CE567" s="2">
        <f>DC20</f>
        <v>24605.197317302209</v>
      </c>
      <c r="CF567" s="2">
        <f>DN20</f>
        <v>24960.163073076099</v>
      </c>
      <c r="CG567" s="2">
        <f>DY20</f>
        <v>25778.631135162635</v>
      </c>
      <c r="CH567" s="2">
        <f>EJ20</f>
        <v>26256.707040919373</v>
      </c>
      <c r="CI567" s="2">
        <f>EU20</f>
        <v>25912.126454108671</v>
      </c>
      <c r="CJ567" s="282">
        <f>FI20</f>
        <v>27293.661676223124</v>
      </c>
      <c r="CK567">
        <f>[6]Sheet2!H17</f>
        <v>27992325.015253749</v>
      </c>
      <c r="CL567" s="344">
        <f>'[7]Pivot Tables'!T64</f>
        <v>28046801.648980901</v>
      </c>
      <c r="CM567" s="344">
        <f>'[8]Pivot Tables'!T66</f>
        <v>28967212.002365146</v>
      </c>
      <c r="CO567" s="341">
        <f>CM567/CJ567*0.001</f>
        <v>1.0613164457739264</v>
      </c>
      <c r="CR567" s="27"/>
      <c r="CS567">
        <v>0</v>
      </c>
      <c r="CT567">
        <v>1987</v>
      </c>
      <c r="CU567">
        <v>24241.975299999896</v>
      </c>
      <c r="CV567">
        <v>7434.687960000002</v>
      </c>
      <c r="CW567">
        <v>5244.8856099999884</v>
      </c>
      <c r="CX567">
        <v>6374.0838800000047</v>
      </c>
      <c r="CY567">
        <v>5188.3178499999931</v>
      </c>
      <c r="CZ567">
        <v>0</v>
      </c>
      <c r="DA567">
        <v>0</v>
      </c>
      <c r="DB567">
        <v>0</v>
      </c>
      <c r="DC567">
        <v>1987</v>
      </c>
      <c r="DD567" s="12">
        <v>0.30668655784003024</v>
      </c>
      <c r="DE567" s="12">
        <v>0.21635553807366559</v>
      </c>
      <c r="DF567" s="12">
        <v>0.2629358293257576</v>
      </c>
      <c r="DG567" s="12">
        <v>0.21402207476055035</v>
      </c>
      <c r="DK567">
        <f>DK566+1</f>
        <v>1986</v>
      </c>
      <c r="DL567" s="260">
        <f>0.5*DL566+0.5*DL568</f>
        <v>0.30624175092030309</v>
      </c>
      <c r="DM567" s="260">
        <f>0.5*DM566+0.5*DM568</f>
        <v>0.22068543187739631</v>
      </c>
      <c r="DN567" s="260">
        <f>0.5*DN566+0.5*DN568</f>
        <v>0.2626709504070972</v>
      </c>
      <c r="DO567" s="260">
        <f>0.5*DO566+0.5*DO568</f>
        <v>0.21040186679520057</v>
      </c>
      <c r="DP567" s="23">
        <f t="shared" ref="DP567:DP591" si="438">SUM(DL567:DO567)</f>
        <v>0.99999999999999711</v>
      </c>
    </row>
    <row r="568" spans="74:120" x14ac:dyDescent="0.2">
      <c r="BV568" t="s">
        <v>328</v>
      </c>
      <c r="BW568" s="2">
        <f>Stock_85to95!F93</f>
        <v>7490.0260599999547</v>
      </c>
      <c r="BX568" s="2">
        <f>Stock_85to95!F83</f>
        <v>7434.687960000002</v>
      </c>
      <c r="BY568" s="2">
        <f>Stock_85to95!F73</f>
        <v>7414.9868800000049</v>
      </c>
      <c r="BZ568" s="2">
        <f>Stock_85to95!F61</f>
        <v>7154.9287235237007</v>
      </c>
      <c r="CA568" s="2">
        <f>Stock_85to95!F52</f>
        <v>7076.1036099999956</v>
      </c>
      <c r="CB568" s="2">
        <f>Stock_85to95!F43</f>
        <v>7253.9318299999923</v>
      </c>
      <c r="CC568" s="2">
        <f>CF51</f>
        <v>7065.8606982082611</v>
      </c>
      <c r="CD568" s="2">
        <f>CR51</f>
        <v>6822.4108565041834</v>
      </c>
      <c r="CE568" s="2">
        <f>DC51</f>
        <v>6695.6920631620333</v>
      </c>
      <c r="CF568" s="2">
        <f>DN51</f>
        <v>6747.1509791322851</v>
      </c>
      <c r="CG568" s="2">
        <f>DY51</f>
        <v>6968.4550409376579</v>
      </c>
      <c r="CH568" s="2">
        <f>EJ51</f>
        <v>6900.0674414384648</v>
      </c>
      <c r="CI568" s="2">
        <f>EU51</f>
        <v>6670.5021093547202</v>
      </c>
      <c r="CJ568" s="282">
        <f>FI51</f>
        <v>7164.5821171349335</v>
      </c>
      <c r="CK568">
        <f>[6]Sheet2!H18</f>
        <v>7078206.8783695642</v>
      </c>
      <c r="CL568" s="344">
        <f>'[7]Pivot Tables'!T65</f>
        <v>7211320.7275806107</v>
      </c>
      <c r="CM568" s="344">
        <f>'[8]Pivot Tables'!T67</f>
        <v>7357198.434837766</v>
      </c>
      <c r="CO568" s="341">
        <f t="shared" ref="CO568:CO571" si="439">CM568/CJ568*0.001</f>
        <v>1.0268845153218593</v>
      </c>
      <c r="CR568" s="27"/>
      <c r="CS568">
        <v>0</v>
      </c>
      <c r="CT568">
        <v>1989</v>
      </c>
      <c r="CU568">
        <v>25040.568380000201</v>
      </c>
      <c r="CV568">
        <v>7414.9868800000049</v>
      </c>
      <c r="CW568">
        <v>5454.8764900000015</v>
      </c>
      <c r="CX568">
        <v>6715.3504500000236</v>
      </c>
      <c r="CY568">
        <v>5455.354559999997</v>
      </c>
      <c r="CZ568">
        <v>0</v>
      </c>
      <c r="DA568">
        <v>0</v>
      </c>
      <c r="DB568">
        <v>0</v>
      </c>
      <c r="DC568">
        <v>1989</v>
      </c>
      <c r="DD568" s="12">
        <v>0.29611895255230408</v>
      </c>
      <c r="DE568" s="12">
        <v>0.21784156043186259</v>
      </c>
      <c r="DF568" s="12">
        <v>0.26817883476493076</v>
      </c>
      <c r="DG568" s="12">
        <v>0.21786065225089565</v>
      </c>
      <c r="DK568">
        <f t="shared" ref="DK568:DK591" si="440">DK567+1</f>
        <v>1987</v>
      </c>
      <c r="DL568" s="23">
        <f>DD588</f>
        <v>0.30668655784003024</v>
      </c>
      <c r="DM568" s="23">
        <f>DE588</f>
        <v>0.21635553807366559</v>
      </c>
      <c r="DN568" s="23">
        <f>DF588</f>
        <v>0.2629358293257576</v>
      </c>
      <c r="DO568" s="23">
        <f>DG588</f>
        <v>0.21402207476055035</v>
      </c>
      <c r="DP568" s="23">
        <f t="shared" si="438"/>
        <v>1.0000000000000038</v>
      </c>
    </row>
    <row r="569" spans="74:120" x14ac:dyDescent="0.2">
      <c r="BV569" t="s">
        <v>329</v>
      </c>
      <c r="BW569" s="2">
        <f>Stock_85to95!F94</f>
        <v>5511.4044999999887</v>
      </c>
      <c r="BX569" s="2">
        <f>Stock_85to95!F84</f>
        <v>5244.8856099999884</v>
      </c>
      <c r="BY569" s="2">
        <f>Stock_85to95!F74</f>
        <v>5454.8764900000015</v>
      </c>
      <c r="BZ569" s="2">
        <f>Stock_85to95!F62</f>
        <v>5483.3071655758895</v>
      </c>
      <c r="CA569" s="2">
        <f>Stock_85to95!F53</f>
        <v>5540.0294199999853</v>
      </c>
      <c r="CB569" s="2">
        <f>Stock_85to95!F44</f>
        <v>5298.0019199999906</v>
      </c>
      <c r="CC569" s="2">
        <f>CF80</f>
        <v>5318.137112219204</v>
      </c>
      <c r="CD569" s="2">
        <f>CR80</f>
        <v>5070.1216082001274</v>
      </c>
      <c r="CE569" s="2">
        <f>DC80</f>
        <v>5069.1001388357045</v>
      </c>
      <c r="CF569" s="2">
        <f>DN80</f>
        <v>4993.9636715370934</v>
      </c>
      <c r="CG569" s="2">
        <f>DY80</f>
        <v>5052.6657948581478</v>
      </c>
      <c r="CH569" s="2">
        <f>EJ80</f>
        <v>5408.480393606118</v>
      </c>
      <c r="CI569" s="2">
        <f>EU80</f>
        <v>5224.8458793689606</v>
      </c>
      <c r="CJ569" s="282">
        <f>FI80</f>
        <v>5474.8264820350378</v>
      </c>
      <c r="CK569">
        <f>[6]Sheet2!H19</f>
        <v>5546062.9544250015</v>
      </c>
      <c r="CL569" s="344">
        <f>'[7]Pivot Tables'!T66</f>
        <v>5596742.1926694307</v>
      </c>
      <c r="CM569" s="344">
        <f>'[8]Pivot Tables'!T68</f>
        <v>5483785.618248798</v>
      </c>
      <c r="CO569" s="341">
        <f t="shared" si="439"/>
        <v>1.0016364237740061</v>
      </c>
      <c r="CR569" s="27"/>
      <c r="CS569">
        <v>0</v>
      </c>
      <c r="CT569">
        <v>1991</v>
      </c>
      <c r="CU569">
        <v>24590</v>
      </c>
      <c r="CV569">
        <v>7154.9287235237007</v>
      </c>
      <c r="CW569">
        <v>5483.3071655758895</v>
      </c>
      <c r="CX569">
        <v>6540.6199015728562</v>
      </c>
      <c r="CY569">
        <v>5411.1442093273545</v>
      </c>
      <c r="CZ569">
        <v>0</v>
      </c>
      <c r="DA569">
        <v>0</v>
      </c>
      <c r="DB569">
        <v>0</v>
      </c>
      <c r="DC569">
        <v>1991</v>
      </c>
      <c r="DD569" s="12">
        <v>0.29096904121690526</v>
      </c>
      <c r="DE569" s="12">
        <v>0.22298931132882838</v>
      </c>
      <c r="DF569" s="12">
        <v>0.26598698257718001</v>
      </c>
      <c r="DG569" s="12">
        <v>0.22005466487707825</v>
      </c>
      <c r="DK569">
        <f t="shared" si="440"/>
        <v>1988</v>
      </c>
      <c r="DL569" s="260">
        <f>0.5*DL568+0.5*DL570</f>
        <v>0.30140275519616716</v>
      </c>
      <c r="DM569" s="260">
        <f>0.5*DM568+0.5*DM570</f>
        <v>0.21709854925276409</v>
      </c>
      <c r="DN569" s="260">
        <f>0.5*DN568+0.5*DN570</f>
        <v>0.26555733204534415</v>
      </c>
      <c r="DO569" s="260">
        <f>0.5*DO568+0.5*DO570</f>
        <v>0.21594136350572302</v>
      </c>
      <c r="DP569" s="23">
        <f t="shared" si="438"/>
        <v>0.99999999999999845</v>
      </c>
    </row>
    <row r="570" spans="74:120" x14ac:dyDescent="0.2">
      <c r="BV570" t="s">
        <v>330</v>
      </c>
      <c r="BW570" s="2">
        <f>Stock_85to95!F95</f>
        <v>6427.2333399999607</v>
      </c>
      <c r="BX570" s="2">
        <f>Stock_85to95!F85</f>
        <v>6374.0838800000047</v>
      </c>
      <c r="BY570" s="2">
        <f>Stock_85to95!F75</f>
        <v>6715.3504500000236</v>
      </c>
      <c r="BZ570" s="2">
        <f>Stock_85to95!F63</f>
        <v>6540.6199015728562</v>
      </c>
      <c r="CA570" s="2">
        <f>Stock_85to95!F54</f>
        <v>6723.2364199999911</v>
      </c>
      <c r="CB570" s="2">
        <f>Stock_85to95!F45</f>
        <v>6747.0559200000089</v>
      </c>
      <c r="CC570" s="2">
        <f>CF109</f>
        <v>6661.6224130994206</v>
      </c>
      <c r="CD570" s="2">
        <f>CR109</f>
        <v>6832.3747167306265</v>
      </c>
      <c r="CE570" s="2">
        <f>DC109</f>
        <v>6907.0727139082037</v>
      </c>
      <c r="CF570" s="2">
        <f>DN109</f>
        <v>7169.1443054106767</v>
      </c>
      <c r="CG570" s="2">
        <f>DY109</f>
        <v>7494.1310835498571</v>
      </c>
      <c r="CH570" s="2">
        <f>EJ109</f>
        <v>7491.8714984834996</v>
      </c>
      <c r="CI570" s="2">
        <f>EU109</f>
        <v>7666.2982419886021</v>
      </c>
      <c r="CJ570" s="282">
        <f>FI109</f>
        <v>7965.0743396541338</v>
      </c>
      <c r="CK570">
        <f>[6]Sheet2!H20</f>
        <v>8354540.309777569</v>
      </c>
      <c r="CL570" s="344">
        <f>'[7]Pivot Tables'!T67</f>
        <v>8554054.0436477643</v>
      </c>
      <c r="CM570" s="344">
        <f>'[8]Pivot Tables'!T69</f>
        <v>9139730.4503123276</v>
      </c>
      <c r="CO570" s="341">
        <f t="shared" si="439"/>
        <v>1.1474758502642173</v>
      </c>
      <c r="CR570" s="27"/>
      <c r="CS570">
        <v>0</v>
      </c>
      <c r="CT570">
        <v>1993</v>
      </c>
      <c r="CU570">
        <v>24775.763219999921</v>
      </c>
      <c r="CV570">
        <v>7076.1036099999956</v>
      </c>
      <c r="CW570">
        <v>5540.0294199999853</v>
      </c>
      <c r="CX570">
        <v>6723.2364199999911</v>
      </c>
      <c r="CY570">
        <v>5436.3937699999842</v>
      </c>
      <c r="CZ570">
        <v>0</v>
      </c>
      <c r="DA570">
        <v>0</v>
      </c>
      <c r="DB570">
        <v>0</v>
      </c>
      <c r="DC570">
        <v>1993</v>
      </c>
      <c r="DD570" s="12">
        <v>0.2856058780981528</v>
      </c>
      <c r="DE570" s="12">
        <v>0.22360681165728397</v>
      </c>
      <c r="DF570" s="12">
        <v>0.27136344339022195</v>
      </c>
      <c r="DG570" s="12">
        <v>0.21942386685434273</v>
      </c>
      <c r="DK570">
        <f t="shared" si="440"/>
        <v>1989</v>
      </c>
      <c r="DL570" s="23">
        <f>DD589</f>
        <v>0.29611895255230408</v>
      </c>
      <c r="DM570" s="23">
        <f>DE589</f>
        <v>0.21784156043186259</v>
      </c>
      <c r="DN570" s="23">
        <f>DF589</f>
        <v>0.26817883476493076</v>
      </c>
      <c r="DO570" s="23">
        <f>DG589</f>
        <v>0.21786065225089565</v>
      </c>
      <c r="DP570" s="23">
        <f t="shared" si="438"/>
        <v>0.99999999999999312</v>
      </c>
    </row>
    <row r="571" spans="74:120" x14ac:dyDescent="0.2">
      <c r="BV571" t="s">
        <v>331</v>
      </c>
      <c r="BW571" s="2">
        <f>Stock_85to95!F96</f>
        <v>5064.7988600000044</v>
      </c>
      <c r="BX571" s="2">
        <f>Stock_85to95!F86</f>
        <v>5188.3178499999931</v>
      </c>
      <c r="BY571" s="2">
        <f>Stock_85to95!F76</f>
        <v>5455.354559999997</v>
      </c>
      <c r="BZ571" s="2">
        <f>Stock_85to95!F64</f>
        <v>5411.1442093273545</v>
      </c>
      <c r="CA571" s="2">
        <f>Stock_85to95!F55</f>
        <v>5436.3937699999842</v>
      </c>
      <c r="CB571" s="2">
        <f>Stock_85to95!F46</f>
        <v>5858.9691100000109</v>
      </c>
      <c r="CC571" s="2">
        <f>CF138</f>
        <v>5942.8441992462631</v>
      </c>
      <c r="CD571" s="2">
        <f>CR138</f>
        <v>5790.7151805519934</v>
      </c>
      <c r="CE571" s="2">
        <f>DC138</f>
        <v>5933.3324013963775</v>
      </c>
      <c r="CF571" s="2">
        <f>DN138</f>
        <v>6049.9041169960892</v>
      </c>
      <c r="CG571" s="2">
        <f>DY138</f>
        <v>6263.3792158169781</v>
      </c>
      <c r="CH571" s="2">
        <f>EJ138</f>
        <v>6456.2877073912568</v>
      </c>
      <c r="CI571" s="2">
        <f>EU138</f>
        <v>6350.4802233962982</v>
      </c>
      <c r="CJ571" s="282">
        <f>FI138</f>
        <v>6689.1787373989309</v>
      </c>
      <c r="CK571">
        <f>[6]Sheet2!H21</f>
        <v>7013514.8726816131</v>
      </c>
      <c r="CL571" s="344">
        <f>'[7]Pivot Tables'!T68</f>
        <v>6684684.6850830996</v>
      </c>
      <c r="CM571" s="344">
        <f>'[8]Pivot Tables'!T70</f>
        <v>6986497.4989662496</v>
      </c>
      <c r="CO571" s="341">
        <f t="shared" si="439"/>
        <v>1.0444477226935232</v>
      </c>
      <c r="CR571" s="27"/>
      <c r="CS571">
        <v>0</v>
      </c>
      <c r="CT571">
        <v>1995</v>
      </c>
      <c r="CU571">
        <v>25157.958780000012</v>
      </c>
      <c r="CV571">
        <v>7253.9318299999923</v>
      </c>
      <c r="CW571">
        <v>5298.0019199999906</v>
      </c>
      <c r="CX571">
        <v>6747.0559200000089</v>
      </c>
      <c r="CY571">
        <v>5858.9691100000109</v>
      </c>
      <c r="CZ571">
        <v>0</v>
      </c>
      <c r="DA571">
        <v>0</v>
      </c>
      <c r="DB571">
        <v>0</v>
      </c>
      <c r="DC571">
        <v>1995</v>
      </c>
      <c r="DD571" s="12">
        <v>0.28833546844693531</v>
      </c>
      <c r="DE571" s="12">
        <v>0.2105894983901388</v>
      </c>
      <c r="DF571" s="12">
        <v>0.26818773251841721</v>
      </c>
      <c r="DG571" s="12">
        <v>0.23288730064450833</v>
      </c>
      <c r="DK571">
        <f t="shared" si="440"/>
        <v>1990</v>
      </c>
      <c r="DL571" s="260">
        <f>0.5*DL570+0.5*DL572</f>
        <v>0.29354399688460464</v>
      </c>
      <c r="DM571" s="260">
        <f>0.5*DM570+0.5*DM572</f>
        <v>0.22041543588034548</v>
      </c>
      <c r="DN571" s="260">
        <f>0.5*DN570+0.5*DN572</f>
        <v>0.26708290867105539</v>
      </c>
      <c r="DO571" s="260">
        <f>0.5*DO570+0.5*DO572</f>
        <v>0.21895765856398697</v>
      </c>
      <c r="DP571" s="23">
        <f t="shared" si="438"/>
        <v>0.99999999999999245</v>
      </c>
    </row>
    <row r="572" spans="74:120" x14ac:dyDescent="0.2">
      <c r="CC572" s="2"/>
      <c r="CG572"/>
      <c r="CR572" s="27"/>
      <c r="CS572">
        <v>0</v>
      </c>
      <c r="CT572">
        <v>1997</v>
      </c>
      <c r="CU572">
        <v>24988.46442277309</v>
      </c>
      <c r="CV572">
        <v>7065.8606982082611</v>
      </c>
      <c r="CW572">
        <v>5318.137112219204</v>
      </c>
      <c r="CX572">
        <v>6661.6224130994206</v>
      </c>
      <c r="CY572">
        <v>5942.8441992462631</v>
      </c>
      <c r="CZ572">
        <v>0</v>
      </c>
      <c r="DA572">
        <v>0</v>
      </c>
      <c r="DB572" t="str">
        <v>All vintages</v>
      </c>
      <c r="DC572">
        <v>1997</v>
      </c>
      <c r="DD572" s="12">
        <v>0.28276490218297812</v>
      </c>
      <c r="DE572" s="12">
        <v>0.21282368625150697</v>
      </c>
      <c r="DF572" s="12">
        <v>0.2665879063392303</v>
      </c>
      <c r="DG572" s="12">
        <v>0.23782350522628701</v>
      </c>
      <c r="DK572">
        <f t="shared" si="440"/>
        <v>1991</v>
      </c>
      <c r="DL572" s="23">
        <f>DD590</f>
        <v>0.29096904121690526</v>
      </c>
      <c r="DM572" s="23">
        <f>DE590</f>
        <v>0.22298931132882838</v>
      </c>
      <c r="DN572" s="23">
        <f>DF590</f>
        <v>0.26598698257718001</v>
      </c>
      <c r="DO572" s="23">
        <f>DG590</f>
        <v>0.22005466487707825</v>
      </c>
      <c r="DP572" s="23">
        <f t="shared" si="438"/>
        <v>0.9999999999999919</v>
      </c>
    </row>
    <row r="573" spans="74:120" x14ac:dyDescent="0.2">
      <c r="CG573"/>
      <c r="CR573" s="27"/>
      <c r="CS573">
        <v>0</v>
      </c>
      <c r="CT573">
        <v>1999</v>
      </c>
      <c r="CU573">
        <v>24515.622361986978</v>
      </c>
      <c r="CV573">
        <v>6822.4108565041834</v>
      </c>
      <c r="CW573">
        <v>5070.1216082001274</v>
      </c>
      <c r="CX573">
        <v>6832.3747167306265</v>
      </c>
      <c r="CY573">
        <v>5790.7151805519934</v>
      </c>
      <c r="CZ573">
        <v>0</v>
      </c>
      <c r="DA573">
        <v>0</v>
      </c>
      <c r="DB573">
        <v>0</v>
      </c>
      <c r="DC573">
        <v>1999</v>
      </c>
      <c r="DD573" s="12">
        <v>0.2782882994266857</v>
      </c>
      <c r="DE573" s="12">
        <v>0.20681186605573071</v>
      </c>
      <c r="DF573" s="12">
        <v>0.27869472844077803</v>
      </c>
      <c r="DG573" s="12">
        <v>0.23620510607680364</v>
      </c>
      <c r="DK573">
        <f t="shared" si="440"/>
        <v>1992</v>
      </c>
      <c r="DL573" s="260">
        <f>0.5*DL572+0.5*DL574</f>
        <v>0.288287459657529</v>
      </c>
      <c r="DM573" s="260">
        <f>0.5*DM572+0.5*DM574</f>
        <v>0.22329806149305617</v>
      </c>
      <c r="DN573" s="260">
        <f>0.5*DN572+0.5*DN574</f>
        <v>0.26867521298370101</v>
      </c>
      <c r="DO573" s="260">
        <f>0.5*DO572+0.5*DO574</f>
        <v>0.21973926586571049</v>
      </c>
      <c r="DP573" s="23">
        <f t="shared" si="438"/>
        <v>0.99999999999999667</v>
      </c>
    </row>
    <row r="574" spans="74:120" x14ac:dyDescent="0.2">
      <c r="BV574" t="s">
        <v>326</v>
      </c>
      <c r="CC574" t="s">
        <v>327</v>
      </c>
      <c r="CG574"/>
      <c r="CR574" s="27"/>
      <c r="CS574">
        <v>0</v>
      </c>
      <c r="CT574">
        <v>2001</v>
      </c>
      <c r="CU574">
        <v>24605.197317302209</v>
      </c>
      <c r="CV574">
        <v>6695.6920631620333</v>
      </c>
      <c r="CW574">
        <v>5069.1001388357045</v>
      </c>
      <c r="CX574">
        <v>6907.0727139082037</v>
      </c>
      <c r="CY574">
        <v>5933.3324013963775</v>
      </c>
      <c r="CZ574">
        <v>0</v>
      </c>
      <c r="DA574">
        <v>0</v>
      </c>
      <c r="DB574">
        <v>0</v>
      </c>
      <c r="DC574">
        <v>2001</v>
      </c>
      <c r="DD574" s="12">
        <v>0.27212511148828167</v>
      </c>
      <c r="DE574" s="12">
        <v>0.2060174553150666</v>
      </c>
      <c r="DF574" s="12">
        <v>0.28071600584365958</v>
      </c>
      <c r="DG574" s="12">
        <v>0.2411414273529966</v>
      </c>
      <c r="DK574">
        <f t="shared" si="440"/>
        <v>1993</v>
      </c>
      <c r="DL574" s="23">
        <f>DD591</f>
        <v>0.2856058780981528</v>
      </c>
      <c r="DM574" s="23">
        <f>DE591</f>
        <v>0.22360681165728397</v>
      </c>
      <c r="DN574" s="23">
        <f>DF591</f>
        <v>0.27136344339022195</v>
      </c>
      <c r="DO574" s="23">
        <f>DG591</f>
        <v>0.21942386685434273</v>
      </c>
      <c r="DP574" s="23">
        <f t="shared" si="438"/>
        <v>1.0000000000000013</v>
      </c>
    </row>
    <row r="575" spans="74:120" x14ac:dyDescent="0.2">
      <c r="BV575" t="s">
        <v>340</v>
      </c>
      <c r="BW575">
        <v>1985</v>
      </c>
      <c r="BX575">
        <v>1987</v>
      </c>
      <c r="BY575">
        <v>1989</v>
      </c>
      <c r="BZ575">
        <v>1991</v>
      </c>
      <c r="CA575">
        <v>1993</v>
      </c>
      <c r="CB575">
        <v>1995</v>
      </c>
      <c r="CC575">
        <v>1997</v>
      </c>
      <c r="CD575">
        <v>1999</v>
      </c>
      <c r="CE575">
        <v>2001</v>
      </c>
      <c r="CF575">
        <v>2003</v>
      </c>
      <c r="CG575">
        <v>2005</v>
      </c>
      <c r="CH575">
        <v>2007</v>
      </c>
      <c r="CI575">
        <v>2009</v>
      </c>
      <c r="CJ575">
        <v>2011</v>
      </c>
      <c r="CK575">
        <v>2013</v>
      </c>
      <c r="CL575">
        <v>2015</v>
      </c>
      <c r="CM575" s="341">
        <v>2017</v>
      </c>
      <c r="CR575" s="27"/>
      <c r="CS575">
        <v>0</v>
      </c>
      <c r="CT575">
        <v>2003</v>
      </c>
      <c r="CU575">
        <v>24960.163073076099</v>
      </c>
      <c r="CV575">
        <v>6747.1509791322851</v>
      </c>
      <c r="CW575">
        <v>4993.9636715370934</v>
      </c>
      <c r="CX575">
        <v>7169.1443054106767</v>
      </c>
      <c r="CY575">
        <v>6049.9041169960892</v>
      </c>
      <c r="CZ575">
        <v>0</v>
      </c>
      <c r="DA575">
        <v>0</v>
      </c>
      <c r="DB575">
        <v>0</v>
      </c>
      <c r="DC575">
        <v>2003</v>
      </c>
      <c r="DD575" s="12">
        <v>0.27031678276213938</v>
      </c>
      <c r="DE575" s="12">
        <v>0.20007736555711675</v>
      </c>
      <c r="DF575" s="12">
        <v>0.28722345620986156</v>
      </c>
      <c r="DG575" s="12">
        <v>0.24238239547088411</v>
      </c>
      <c r="DK575">
        <f t="shared" si="440"/>
        <v>1994</v>
      </c>
      <c r="DL575" s="260">
        <f>0.5*DL574+0.5*DL576</f>
        <v>0.28597067327254405</v>
      </c>
      <c r="DM575" s="260">
        <f>0.5*DM574+0.5*DM576</f>
        <v>0.21959815502371138</v>
      </c>
      <c r="DN575" s="260">
        <f>0.5*DN574+0.5*DN576</f>
        <v>0.26977558795431955</v>
      </c>
      <c r="DO575" s="260">
        <f>0.5*DO574+0.5*DO576</f>
        <v>0.22465558374942551</v>
      </c>
      <c r="DP575" s="23">
        <f t="shared" si="438"/>
        <v>1.0000000000000004</v>
      </c>
    </row>
    <row r="576" spans="74:120" x14ac:dyDescent="0.2">
      <c r="BV576" t="s">
        <v>328</v>
      </c>
      <c r="BW576">
        <f t="shared" ref="BW576:CJ576" si="441">BW568/BW$567</f>
        <v>0.30579694400057594</v>
      </c>
      <c r="BX576">
        <f t="shared" si="441"/>
        <v>0.30668655784003024</v>
      </c>
      <c r="BY576">
        <f t="shared" si="441"/>
        <v>0.29611895255230408</v>
      </c>
      <c r="BZ576">
        <f t="shared" si="441"/>
        <v>0.29096904121690526</v>
      </c>
      <c r="CA576">
        <f t="shared" si="441"/>
        <v>0.2856058780981528</v>
      </c>
      <c r="CB576">
        <f t="shared" si="441"/>
        <v>0.28833546844693531</v>
      </c>
      <c r="CC576">
        <f t="shared" si="441"/>
        <v>0.28276490218297812</v>
      </c>
      <c r="CD576">
        <f t="shared" si="441"/>
        <v>0.2782882994266857</v>
      </c>
      <c r="CE576">
        <f t="shared" si="441"/>
        <v>0.27212511148828167</v>
      </c>
      <c r="CF576">
        <f t="shared" si="441"/>
        <v>0.27031678276213938</v>
      </c>
      <c r="CG576">
        <f t="shared" si="441"/>
        <v>0.27031904853289623</v>
      </c>
      <c r="CH576">
        <f t="shared" si="441"/>
        <v>0.26279256689291453</v>
      </c>
      <c r="CI576">
        <f t="shared" si="441"/>
        <v>0.25742781555070077</v>
      </c>
      <c r="CJ576" s="280">
        <f t="shared" si="441"/>
        <v>0.2624998507758437</v>
      </c>
      <c r="CK576" s="341">
        <f t="shared" ref="CK576:CL576" si="442">CK568/CK$567</f>
        <v>0.25286241405501203</v>
      </c>
      <c r="CL576" s="341">
        <f t="shared" si="442"/>
        <v>0.2571174003308373</v>
      </c>
      <c r="CM576" s="341">
        <f t="shared" ref="CM576" si="443">CM568/CM$567</f>
        <v>0.25398365690964864</v>
      </c>
      <c r="CR576" s="27"/>
      <c r="CS576">
        <v>0</v>
      </c>
      <c r="CT576">
        <v>2005</v>
      </c>
      <c r="CU576">
        <v>25778.631135162635</v>
      </c>
      <c r="CV576">
        <v>6968.4550409376579</v>
      </c>
      <c r="CW576">
        <v>5052.6657948581478</v>
      </c>
      <c r="CX576">
        <v>7494.1310835498571</v>
      </c>
      <c r="CY576">
        <v>6263.3792158169781</v>
      </c>
      <c r="CZ576">
        <v>0</v>
      </c>
      <c r="DA576">
        <v>0</v>
      </c>
      <c r="DB576">
        <v>0</v>
      </c>
      <c r="DC576">
        <v>2005</v>
      </c>
      <c r="DD576" s="12">
        <v>0.27031904853289623</v>
      </c>
      <c r="DE576" s="12">
        <v>0.19600209834129623</v>
      </c>
      <c r="DF576" s="12">
        <v>0.2907109785720039</v>
      </c>
      <c r="DG576" s="12">
        <v>0.24296787455380389</v>
      </c>
      <c r="DK576">
        <f t="shared" si="440"/>
        <v>1995</v>
      </c>
      <c r="DL576" s="23">
        <f>DD592</f>
        <v>0.2863354684469353</v>
      </c>
      <c r="DM576" s="23">
        <f>DE592</f>
        <v>0.2155894983901388</v>
      </c>
      <c r="DN576" s="23">
        <f>DF592</f>
        <v>0.26818773251841721</v>
      </c>
      <c r="DO576" s="23">
        <f>DG592</f>
        <v>0.22988730064450832</v>
      </c>
      <c r="DP576" s="23">
        <f t="shared" si="438"/>
        <v>0.99999999999999967</v>
      </c>
    </row>
    <row r="577" spans="74:120" x14ac:dyDescent="0.2">
      <c r="BV577" t="s">
        <v>329</v>
      </c>
      <c r="BW577">
        <f t="shared" ref="BW577:CJ577" si="444">BW569/BW$567</f>
        <v>0.22501532568112706</v>
      </c>
      <c r="BX577">
        <f t="shared" si="444"/>
        <v>0.21635553807366559</v>
      </c>
      <c r="BY577">
        <f t="shared" si="444"/>
        <v>0.21784156043186259</v>
      </c>
      <c r="BZ577">
        <f t="shared" si="444"/>
        <v>0.22298931132882838</v>
      </c>
      <c r="CA577">
        <f t="shared" si="444"/>
        <v>0.22360681165728397</v>
      </c>
      <c r="CB577">
        <f t="shared" si="444"/>
        <v>0.2105894983901388</v>
      </c>
      <c r="CC577">
        <f t="shared" si="444"/>
        <v>0.21282368625150697</v>
      </c>
      <c r="CD577">
        <f t="shared" si="444"/>
        <v>0.20681186605573071</v>
      </c>
      <c r="CE577">
        <f t="shared" si="444"/>
        <v>0.2060174553150666</v>
      </c>
      <c r="CF577">
        <f t="shared" si="444"/>
        <v>0.20007736555711675</v>
      </c>
      <c r="CG577">
        <f t="shared" si="444"/>
        <v>0.19600209834129623</v>
      </c>
      <c r="CH577">
        <f t="shared" si="444"/>
        <v>0.20598471793044545</v>
      </c>
      <c r="CI577">
        <f t="shared" si="444"/>
        <v>0.20163709406954133</v>
      </c>
      <c r="CJ577" s="280">
        <f t="shared" si="444"/>
        <v>0.2005896660910263</v>
      </c>
      <c r="CK577" s="341">
        <f t="shared" ref="CK577:CL577" si="445">CK569/CK$567</f>
        <v>0.19812798513173904</v>
      </c>
      <c r="CL577" s="341">
        <f t="shared" si="445"/>
        <v>0.19955010424059502</v>
      </c>
      <c r="CM577" s="341">
        <f t="shared" ref="CM577" si="446">CM569/CM$567</f>
        <v>0.18931009369493523</v>
      </c>
      <c r="CR577" s="27"/>
      <c r="CS577">
        <v>0</v>
      </c>
      <c r="CT577">
        <v>2007</v>
      </c>
      <c r="CU577">
        <v>26256.707040919373</v>
      </c>
      <c r="CV577">
        <v>6900.0674414384648</v>
      </c>
      <c r="CW577">
        <v>5408.480393606118</v>
      </c>
      <c r="CX577">
        <v>7491.8714984834996</v>
      </c>
      <c r="CY577">
        <v>6456.2877073912568</v>
      </c>
      <c r="CZ577">
        <v>0</v>
      </c>
      <c r="DA577">
        <v>0</v>
      </c>
      <c r="DB577">
        <v>0</v>
      </c>
      <c r="DC577">
        <v>2007</v>
      </c>
      <c r="DD577" s="12">
        <v>0.26279256689291453</v>
      </c>
      <c r="DE577" s="12">
        <v>0.20598471793044545</v>
      </c>
      <c r="DF577" s="12">
        <v>0.2853317244545519</v>
      </c>
      <c r="DG577" s="12">
        <v>0.24589099072208681</v>
      </c>
      <c r="DK577">
        <f t="shared" si="440"/>
        <v>1996</v>
      </c>
      <c r="DL577" s="260">
        <f>0.5*DL576+0.5*DL578</f>
        <v>0.28455018531495668</v>
      </c>
      <c r="DM577" s="260">
        <f>0.5*DM576+0.5*DM578</f>
        <v>0.2142065923208229</v>
      </c>
      <c r="DN577" s="260">
        <f>0.5*DN576+0.5*DN578</f>
        <v>0.26738781942882373</v>
      </c>
      <c r="DO577" s="260">
        <f>0.5*DO576+0.5*DO578</f>
        <v>0.23385540293539767</v>
      </c>
      <c r="DP577" s="23">
        <f t="shared" si="438"/>
        <v>1.0000000000000009</v>
      </c>
    </row>
    <row r="578" spans="74:120" x14ac:dyDescent="0.2">
      <c r="BV578" t="s">
        <v>330</v>
      </c>
      <c r="BW578">
        <f t="shared" ref="BW578:CJ578" si="447">BW570/BW$567</f>
        <v>0.26240607148843675</v>
      </c>
      <c r="BX578">
        <f t="shared" si="447"/>
        <v>0.2629358293257576</v>
      </c>
      <c r="BY578">
        <f t="shared" si="447"/>
        <v>0.26817883476493076</v>
      </c>
      <c r="BZ578">
        <f t="shared" si="447"/>
        <v>0.26598698257718001</v>
      </c>
      <c r="CA578">
        <f t="shared" si="447"/>
        <v>0.27136344339022195</v>
      </c>
      <c r="CB578">
        <f t="shared" si="447"/>
        <v>0.26818773251841721</v>
      </c>
      <c r="CC578">
        <f t="shared" si="447"/>
        <v>0.2665879063392303</v>
      </c>
      <c r="CD578">
        <f t="shared" si="447"/>
        <v>0.27869472844077803</v>
      </c>
      <c r="CE578">
        <f t="shared" si="447"/>
        <v>0.28071600584365958</v>
      </c>
      <c r="CF578">
        <f t="shared" si="447"/>
        <v>0.28722345620986156</v>
      </c>
      <c r="CG578">
        <f t="shared" si="447"/>
        <v>0.2907109785720039</v>
      </c>
      <c r="CH578">
        <f t="shared" si="447"/>
        <v>0.2853317244545519</v>
      </c>
      <c r="CI578">
        <f t="shared" si="447"/>
        <v>0.29585754976790107</v>
      </c>
      <c r="CJ578" s="280">
        <f t="shared" si="447"/>
        <v>0.29182871958118062</v>
      </c>
      <c r="CK578" s="341">
        <f t="shared" ref="CK578:CL578" si="448">CK570/CK$567</f>
        <v>0.29845824901021839</v>
      </c>
      <c r="CL578" s="341">
        <f t="shared" si="448"/>
        <v>0.30499213959245086</v>
      </c>
      <c r="CM578" s="341">
        <f t="shared" ref="CM578" si="449">CM570/CM$567</f>
        <v>0.31551985222347517</v>
      </c>
      <c r="CR578" s="27"/>
      <c r="CS578">
        <v>0</v>
      </c>
      <c r="CT578">
        <v>2009</v>
      </c>
      <c r="CU578">
        <v>25912.126454108671</v>
      </c>
      <c r="CV578">
        <v>6670.5021093547202</v>
      </c>
      <c r="CW578">
        <v>5224.8458793689606</v>
      </c>
      <c r="CX578">
        <v>7666.2982419886021</v>
      </c>
      <c r="CY578">
        <v>6350.4802233962982</v>
      </c>
      <c r="CZ578">
        <v>0</v>
      </c>
      <c r="DA578">
        <v>0</v>
      </c>
      <c r="DB578">
        <v>0</v>
      </c>
      <c r="DC578">
        <v>2009</v>
      </c>
      <c r="DD578" s="12">
        <v>0.25742781555070077</v>
      </c>
      <c r="DE578" s="12">
        <v>0.20163709406954133</v>
      </c>
      <c r="DF578" s="12">
        <v>0.29585754976790107</v>
      </c>
      <c r="DG578" s="12">
        <v>0.24507754061185338</v>
      </c>
      <c r="DK578">
        <f t="shared" si="440"/>
        <v>1997</v>
      </c>
      <c r="DL578" s="23">
        <f>DD593</f>
        <v>0.28276490218297812</v>
      </c>
      <c r="DM578" s="23">
        <f>DE593</f>
        <v>0.21282368625150697</v>
      </c>
      <c r="DN578" s="23">
        <f>DF593</f>
        <v>0.2665879063392303</v>
      </c>
      <c r="DO578" s="23">
        <f>DG593</f>
        <v>0.23782350522628701</v>
      </c>
      <c r="DP578" s="23">
        <f t="shared" si="438"/>
        <v>1.0000000000000022</v>
      </c>
    </row>
    <row r="579" spans="74:120" x14ac:dyDescent="0.2">
      <c r="BV579" t="s">
        <v>331</v>
      </c>
      <c r="BW579">
        <f t="shared" ref="BW579:CJ579" si="450">BW571/BW$567</f>
        <v>0.20678165882985078</v>
      </c>
      <c r="BX579">
        <f t="shared" si="450"/>
        <v>0.21402207476055035</v>
      </c>
      <c r="BY579">
        <f t="shared" si="450"/>
        <v>0.21786065225089565</v>
      </c>
      <c r="BZ579">
        <f t="shared" si="450"/>
        <v>0.22005466487707825</v>
      </c>
      <c r="CA579">
        <f t="shared" si="450"/>
        <v>0.21942386685434273</v>
      </c>
      <c r="CB579">
        <f t="shared" si="450"/>
        <v>0.23288730064450833</v>
      </c>
      <c r="CC579">
        <f t="shared" si="450"/>
        <v>0.23782350522628701</v>
      </c>
      <c r="CD579">
        <f t="shared" si="450"/>
        <v>0.23620510607680364</v>
      </c>
      <c r="CE579">
        <f t="shared" si="450"/>
        <v>0.2411414273529966</v>
      </c>
      <c r="CF579">
        <f t="shared" si="450"/>
        <v>0.24238239547088411</v>
      </c>
      <c r="CG579">
        <f t="shared" si="450"/>
        <v>0.24296787455380389</v>
      </c>
      <c r="CH579">
        <f t="shared" si="450"/>
        <v>0.24589099072208681</v>
      </c>
      <c r="CI579">
        <f t="shared" si="450"/>
        <v>0.24507754061185338</v>
      </c>
      <c r="CJ579" s="280">
        <f t="shared" si="450"/>
        <v>0.24508176355194619</v>
      </c>
      <c r="CK579" s="341">
        <f t="shared" ref="CK579:CL579" si="451">CK571/CK$567</f>
        <v>0.25055135180303051</v>
      </c>
      <c r="CL579" s="341">
        <f t="shared" si="451"/>
        <v>0.23834035583611696</v>
      </c>
      <c r="CM579" s="341">
        <f t="shared" ref="CM579" si="452">CM571/CM$567</f>
        <v>0.24118639717194076</v>
      </c>
      <c r="CS579">
        <v>0</v>
      </c>
      <c r="CT579">
        <v>2011</v>
      </c>
      <c r="CU579">
        <v>27293.661676223124</v>
      </c>
      <c r="CV579">
        <v>7164.5821171349335</v>
      </c>
      <c r="CW579">
        <v>5474.8264820350378</v>
      </c>
      <c r="CX579">
        <v>7965.0743396541338</v>
      </c>
      <c r="CY579">
        <v>6689.1787373989309</v>
      </c>
      <c r="CZ579">
        <v>0</v>
      </c>
      <c r="DA579">
        <v>0</v>
      </c>
      <c r="DB579">
        <v>0</v>
      </c>
      <c r="DC579">
        <v>2011</v>
      </c>
      <c r="DD579" s="262">
        <v>0.2624998507758437</v>
      </c>
      <c r="DE579" s="262">
        <v>0.2005896660910263</v>
      </c>
      <c r="DF579" s="262">
        <v>0.29182871958118062</v>
      </c>
      <c r="DG579" s="262">
        <v>0.24508176355194619</v>
      </c>
      <c r="DK579">
        <f t="shared" si="440"/>
        <v>1998</v>
      </c>
      <c r="DL579" s="260">
        <f>0.5*DL578+0.5*DL580</f>
        <v>0.28052660080483194</v>
      </c>
      <c r="DM579" s="260">
        <f>0.5*DM578+0.5*DM580</f>
        <v>0.20981777615361885</v>
      </c>
      <c r="DN579" s="260">
        <f>0.5*DN578+0.5*DN580</f>
        <v>0.27264131739000419</v>
      </c>
      <c r="DO579" s="260">
        <f>0.5*DO578+0.5*DO580</f>
        <v>0.23701430565154533</v>
      </c>
      <c r="DP579" s="23">
        <f t="shared" si="438"/>
        <v>1.0000000000000002</v>
      </c>
    </row>
    <row r="580" spans="74:120" x14ac:dyDescent="0.2">
      <c r="CS580">
        <v>0</v>
      </c>
      <c r="CT580">
        <v>2013</v>
      </c>
      <c r="CU580">
        <v>27992325.015253749</v>
      </c>
      <c r="CV580">
        <v>7078206.8783695642</v>
      </c>
      <c r="CW580">
        <v>5546062.9544250015</v>
      </c>
      <c r="CX580">
        <v>8354540.309777569</v>
      </c>
      <c r="CY580">
        <v>7013514.8726816131</v>
      </c>
      <c r="CZ580">
        <v>0</v>
      </c>
      <c r="DA580">
        <v>0</v>
      </c>
      <c r="DB580">
        <v>0</v>
      </c>
      <c r="DC580">
        <v>2013</v>
      </c>
      <c r="DD580" s="262">
        <v>0.25286241405501203</v>
      </c>
      <c r="DE580" s="262">
        <v>0.19812798513173904</v>
      </c>
      <c r="DF580" s="262">
        <v>0.29845824901021839</v>
      </c>
      <c r="DG580" s="262">
        <v>0.25055135180303051</v>
      </c>
      <c r="DK580">
        <f t="shared" si="440"/>
        <v>1999</v>
      </c>
      <c r="DL580" s="23">
        <f>DD594</f>
        <v>0.2782882994266857</v>
      </c>
      <c r="DM580" s="23">
        <f>DE594</f>
        <v>0.20681186605573071</v>
      </c>
      <c r="DN580" s="23">
        <f>DF594</f>
        <v>0.27869472844077803</v>
      </c>
      <c r="DO580" s="23">
        <f>DG594</f>
        <v>0.23620510607680364</v>
      </c>
      <c r="DP580" s="23">
        <f t="shared" si="438"/>
        <v>0.99999999999999811</v>
      </c>
    </row>
    <row r="581" spans="74:120" x14ac:dyDescent="0.2">
      <c r="CS581">
        <v>0</v>
      </c>
      <c r="CT581">
        <v>2015</v>
      </c>
      <c r="CU581">
        <v>28046801.648980901</v>
      </c>
      <c r="CV581">
        <v>7211320.7275806107</v>
      </c>
      <c r="CW581">
        <v>5596742.1926694307</v>
      </c>
      <c r="CX581">
        <v>8554054.0436477643</v>
      </c>
      <c r="CY581">
        <v>6684684.6850830996</v>
      </c>
      <c r="CZ581">
        <v>0</v>
      </c>
      <c r="DA581">
        <v>0</v>
      </c>
      <c r="DB581">
        <v>0</v>
      </c>
      <c r="DC581">
        <v>2015</v>
      </c>
      <c r="DD581" s="262">
        <v>0.2571174003308373</v>
      </c>
      <c r="DE581" s="262">
        <v>0.19955010424059502</v>
      </c>
      <c r="DF581" s="262">
        <v>0.30499213959245086</v>
      </c>
      <c r="DG581" s="262">
        <v>0.23834035583611696</v>
      </c>
      <c r="DK581">
        <f t="shared" si="440"/>
        <v>2000</v>
      </c>
      <c r="DL581" s="260">
        <f>0.5*DL580+0.5*DL582</f>
        <v>0.27520670545748371</v>
      </c>
      <c r="DM581" s="260">
        <f>0.5*DM580+0.5*DM582</f>
        <v>0.20641466068539865</v>
      </c>
      <c r="DN581" s="260">
        <f>0.5*DN580+0.5*DN582</f>
        <v>0.27970536714221883</v>
      </c>
      <c r="DO581" s="260">
        <f>0.5*DO580+0.5*DO582</f>
        <v>0.23867326671490013</v>
      </c>
      <c r="DP581" s="23">
        <f t="shared" si="438"/>
        <v>1.0000000000000013</v>
      </c>
    </row>
    <row r="582" spans="74:120" x14ac:dyDescent="0.2">
      <c r="CS582">
        <v>0</v>
      </c>
      <c r="CT582">
        <v>2017</v>
      </c>
      <c r="CU582">
        <v>28967212.002365146</v>
      </c>
      <c r="CV582">
        <v>7357198.434837766</v>
      </c>
      <c r="CW582">
        <v>5483785.618248798</v>
      </c>
      <c r="CX582">
        <v>9139730.4503123276</v>
      </c>
      <c r="CY582">
        <v>6986497.4989662496</v>
      </c>
      <c r="CZ582">
        <v>0</v>
      </c>
      <c r="DA582">
        <v>0</v>
      </c>
      <c r="DB582">
        <v>0</v>
      </c>
      <c r="DC582">
        <v>2017</v>
      </c>
      <c r="DD582" s="262">
        <v>0.25398365690964864</v>
      </c>
      <c r="DE582" s="262">
        <v>0.18931009369493523</v>
      </c>
      <c r="DF582" s="262">
        <v>0.31551985222347517</v>
      </c>
      <c r="DG582" s="407">
        <v>0.24118639717194076</v>
      </c>
      <c r="DK582">
        <f t="shared" si="440"/>
        <v>2001</v>
      </c>
      <c r="DL582" s="23">
        <f>DD595</f>
        <v>0.27212511148828167</v>
      </c>
      <c r="DM582" s="23">
        <f>DE595</f>
        <v>0.2060174553150666</v>
      </c>
      <c r="DN582" s="23">
        <f>DF595</f>
        <v>0.28071600584365958</v>
      </c>
      <c r="DO582" s="23">
        <f>DG595</f>
        <v>0.2411414273529966</v>
      </c>
      <c r="DP582" s="23">
        <f t="shared" si="438"/>
        <v>1.0000000000000044</v>
      </c>
    </row>
    <row r="583" spans="74:120" x14ac:dyDescent="0.2">
      <c r="DK583">
        <f t="shared" si="440"/>
        <v>2002</v>
      </c>
      <c r="DL583" s="260">
        <f>0.5*DL582+0.5*DL584</f>
        <v>0.2712209471252105</v>
      </c>
      <c r="DM583" s="260">
        <f>0.5*DM582+0.5*DM584</f>
        <v>0.20304741043609167</v>
      </c>
      <c r="DN583" s="260">
        <f>0.5*DN582+0.5*DN584</f>
        <v>0.2839697310267606</v>
      </c>
      <c r="DO583" s="260">
        <f>0.5*DO582+0.5*DO584</f>
        <v>0.24176191141194037</v>
      </c>
      <c r="DP583" s="23">
        <f t="shared" si="438"/>
        <v>1.0000000000000031</v>
      </c>
    </row>
    <row r="584" spans="74:120" x14ac:dyDescent="0.2">
      <c r="DK584">
        <f t="shared" si="440"/>
        <v>2003</v>
      </c>
      <c r="DL584" s="23">
        <f>DD596</f>
        <v>0.27031678276213938</v>
      </c>
      <c r="DM584" s="23">
        <f>DE596</f>
        <v>0.20007736555711675</v>
      </c>
      <c r="DN584" s="23">
        <f>DF596</f>
        <v>0.28722345620986156</v>
      </c>
      <c r="DO584" s="23">
        <f>DG596</f>
        <v>0.24238239547088411</v>
      </c>
      <c r="DP584" s="23">
        <f t="shared" si="438"/>
        <v>1.0000000000000018</v>
      </c>
    </row>
    <row r="585" spans="74:120" x14ac:dyDescent="0.2">
      <c r="DK585">
        <f t="shared" si="440"/>
        <v>2004</v>
      </c>
      <c r="DL585" s="260">
        <f>0.5*DL584+0.5*DL586</f>
        <v>0.27031791564751784</v>
      </c>
      <c r="DM585" s="260">
        <f>0.5*DM584+0.5*DM586</f>
        <v>0.19803973194920649</v>
      </c>
      <c r="DN585" s="260">
        <f>0.5*DN584+0.5*DN586</f>
        <v>0.28896721739093273</v>
      </c>
      <c r="DO585" s="260">
        <f>0.5*DO584+0.5*DO586</f>
        <v>0.242675135012344</v>
      </c>
      <c r="DP585" s="23">
        <f t="shared" si="438"/>
        <v>1.0000000000000011</v>
      </c>
    </row>
    <row r="586" spans="74:120" x14ac:dyDescent="0.2">
      <c r="DD586" s="259" t="s">
        <v>328</v>
      </c>
      <c r="DE586" s="259" t="s">
        <v>329</v>
      </c>
      <c r="DF586" s="259" t="s">
        <v>330</v>
      </c>
      <c r="DG586" s="259" t="s">
        <v>331</v>
      </c>
      <c r="DK586">
        <f t="shared" si="440"/>
        <v>2005</v>
      </c>
      <c r="DL586" s="23">
        <f>DD597</f>
        <v>0.27031904853289623</v>
      </c>
      <c r="DM586" s="23">
        <f>DE597</f>
        <v>0.19600209834129623</v>
      </c>
      <c r="DN586" s="23">
        <f>DF597</f>
        <v>0.2907109785720039</v>
      </c>
      <c r="DO586" s="23">
        <f>DG597</f>
        <v>0.24296787455380389</v>
      </c>
      <c r="DP586" s="23">
        <f t="shared" si="438"/>
        <v>1.0000000000000002</v>
      </c>
    </row>
    <row r="587" spans="74:120" x14ac:dyDescent="0.2">
      <c r="DC587">
        <f t="shared" ref="DC587:DG591" si="453">DC566</f>
        <v>1985</v>
      </c>
      <c r="DD587" s="12">
        <f t="shared" si="453"/>
        <v>0.30579694400057594</v>
      </c>
      <c r="DE587" s="12">
        <f t="shared" si="453"/>
        <v>0.22501532568112706</v>
      </c>
      <c r="DF587" s="12">
        <f t="shared" si="453"/>
        <v>0.26240607148843675</v>
      </c>
      <c r="DG587" s="12">
        <f t="shared" si="453"/>
        <v>0.20678165882985078</v>
      </c>
      <c r="DK587">
        <f t="shared" si="440"/>
        <v>2006</v>
      </c>
      <c r="DL587" s="260">
        <f>0.5*DL586+0.5*DL588</f>
        <v>0.26655580771290538</v>
      </c>
      <c r="DM587" s="260">
        <f>0.5*DM586+0.5*DM588</f>
        <v>0.19749340813587085</v>
      </c>
      <c r="DN587" s="260">
        <f>0.5*DN586+0.5*DN588</f>
        <v>0.2915213515132779</v>
      </c>
      <c r="DO587" s="260">
        <f>0.5*DO586+0.5*DO588</f>
        <v>0.24442943263794537</v>
      </c>
      <c r="DP587" s="23">
        <f t="shared" si="438"/>
        <v>0.99999999999999944</v>
      </c>
    </row>
    <row r="588" spans="74:120" x14ac:dyDescent="0.2">
      <c r="DC588">
        <f t="shared" si="453"/>
        <v>1987</v>
      </c>
      <c r="DD588" s="12">
        <f t="shared" si="453"/>
        <v>0.30668655784003024</v>
      </c>
      <c r="DE588" s="12">
        <f t="shared" si="453"/>
        <v>0.21635553807366559</v>
      </c>
      <c r="DF588" s="12">
        <f t="shared" si="453"/>
        <v>0.2629358293257576</v>
      </c>
      <c r="DG588" s="12">
        <f t="shared" si="453"/>
        <v>0.21402207476055035</v>
      </c>
      <c r="DK588">
        <f t="shared" si="440"/>
        <v>2007</v>
      </c>
      <c r="DL588" s="23">
        <f>DD598</f>
        <v>0.26279256689291453</v>
      </c>
      <c r="DM588" s="23">
        <f>DE598</f>
        <v>0.19898471793044545</v>
      </c>
      <c r="DN588" s="23">
        <f>DF598</f>
        <v>0.29233172445455191</v>
      </c>
      <c r="DO588" s="23">
        <f>DG598</f>
        <v>0.24589099072208681</v>
      </c>
      <c r="DP588" s="23">
        <f t="shared" si="438"/>
        <v>0.99999999999999867</v>
      </c>
    </row>
    <row r="589" spans="74:120" x14ac:dyDescent="0.2">
      <c r="DC589">
        <f t="shared" si="453"/>
        <v>1989</v>
      </c>
      <c r="DD589" s="12">
        <f t="shared" si="453"/>
        <v>0.29611895255230408</v>
      </c>
      <c r="DE589" s="12">
        <f t="shared" si="453"/>
        <v>0.21784156043186259</v>
      </c>
      <c r="DF589" s="12">
        <f t="shared" si="453"/>
        <v>0.26817883476493076</v>
      </c>
      <c r="DG589" s="12">
        <f t="shared" si="453"/>
        <v>0.21786065225089565</v>
      </c>
      <c r="DK589">
        <f t="shared" si="440"/>
        <v>2008</v>
      </c>
      <c r="DL589" s="260">
        <f>0.5*DL588+0.5*DL590</f>
        <v>0.26011019122180767</v>
      </c>
      <c r="DM589" s="260">
        <f>0.5*DM588+0.5*DM590</f>
        <v>0.2003109059999934</v>
      </c>
      <c r="DN589" s="260">
        <f>0.5*DN588+0.5*DN590</f>
        <v>0.29409463711122652</v>
      </c>
      <c r="DO589" s="260">
        <f>0.5*DO588+0.5*DO590</f>
        <v>0.2454842656669701</v>
      </c>
      <c r="DP589" s="23">
        <f t="shared" si="438"/>
        <v>0.99999999999999767</v>
      </c>
    </row>
    <row r="590" spans="74:120" x14ac:dyDescent="0.2">
      <c r="DC590">
        <f t="shared" si="453"/>
        <v>1991</v>
      </c>
      <c r="DD590" s="12">
        <f t="shared" si="453"/>
        <v>0.29096904121690526</v>
      </c>
      <c r="DE590" s="12">
        <f t="shared" si="453"/>
        <v>0.22298931132882838</v>
      </c>
      <c r="DF590" s="12">
        <f t="shared" si="453"/>
        <v>0.26598698257718001</v>
      </c>
      <c r="DG590" s="12">
        <f t="shared" si="453"/>
        <v>0.22005466487707825</v>
      </c>
      <c r="DK590">
        <f t="shared" si="440"/>
        <v>2009</v>
      </c>
      <c r="DL590" s="23">
        <f>DD599</f>
        <v>0.25742781555070077</v>
      </c>
      <c r="DM590" s="23">
        <f>DE599</f>
        <v>0.20163709406954133</v>
      </c>
      <c r="DN590" s="23">
        <f>DF599</f>
        <v>0.29585754976790107</v>
      </c>
      <c r="DO590" s="23">
        <f>DG599</f>
        <v>0.24507754061185338</v>
      </c>
      <c r="DP590" s="23">
        <f t="shared" si="438"/>
        <v>0.99999999999999656</v>
      </c>
    </row>
    <row r="591" spans="74:120" x14ac:dyDescent="0.2">
      <c r="DC591">
        <f t="shared" si="453"/>
        <v>1993</v>
      </c>
      <c r="DD591" s="12">
        <f t="shared" si="453"/>
        <v>0.2856058780981528</v>
      </c>
      <c r="DE591" s="12">
        <f t="shared" si="453"/>
        <v>0.22360681165728397</v>
      </c>
      <c r="DF591" s="12">
        <f t="shared" si="453"/>
        <v>0.27136344339022195</v>
      </c>
      <c r="DG591" s="12">
        <f t="shared" si="453"/>
        <v>0.21942386685434273</v>
      </c>
      <c r="DK591">
        <f t="shared" si="440"/>
        <v>2010</v>
      </c>
      <c r="DL591" s="260">
        <f>0.5*DL590+0.5*DL592</f>
        <v>0.25628646517677856</v>
      </c>
      <c r="DM591" s="260">
        <f>0.5*DM590+0.5*DM592</f>
        <v>0.20075981683509075</v>
      </c>
      <c r="DN591" s="260">
        <f>0.5*DN590+0.5*DN592</f>
        <v>0.2965077245784804</v>
      </c>
      <c r="DO591" s="260">
        <f>0.5*DO590+0.5*DO592</f>
        <v>0.24644599340964768</v>
      </c>
      <c r="DP591" s="23">
        <f t="shared" si="438"/>
        <v>0.99999999999999734</v>
      </c>
    </row>
    <row r="592" spans="74:120" x14ac:dyDescent="0.2">
      <c r="DC592">
        <f t="shared" ref="DC592:DC600" si="454">DC571</f>
        <v>1995</v>
      </c>
      <c r="DD592" s="213">
        <f>DD571-0.002</f>
        <v>0.2863354684469353</v>
      </c>
      <c r="DE592" s="213">
        <f>DE571+0.005</f>
        <v>0.2155894983901388</v>
      </c>
      <c r="DF592" s="12">
        <f t="shared" ref="DF592:DF597" si="455">DF571</f>
        <v>0.26818773251841721</v>
      </c>
      <c r="DG592" s="213">
        <f>DG571-0.003</f>
        <v>0.22988730064450832</v>
      </c>
      <c r="DK592">
        <v>2011</v>
      </c>
      <c r="DL592" s="23">
        <f>DD600</f>
        <v>0.2551451148028564</v>
      </c>
      <c r="DM592" s="23">
        <f>DE600</f>
        <v>0.19988253960064017</v>
      </c>
      <c r="DN592" s="23">
        <f>DF600</f>
        <v>0.29715789938905973</v>
      </c>
      <c r="DO592" s="23">
        <f>DG600</f>
        <v>0.24781444620744195</v>
      </c>
      <c r="DP592" s="23">
        <f>SUM(DL592:DO592)</f>
        <v>0.99999999999999833</v>
      </c>
    </row>
    <row r="593" spans="107:120" x14ac:dyDescent="0.2">
      <c r="DC593">
        <f t="shared" si="454"/>
        <v>1997</v>
      </c>
      <c r="DD593" s="12">
        <f t="shared" ref="DD593:DE597" si="456">DD572</f>
        <v>0.28276490218297812</v>
      </c>
      <c r="DE593" s="12">
        <f t="shared" si="456"/>
        <v>0.21282368625150697</v>
      </c>
      <c r="DF593" s="12">
        <f t="shared" si="455"/>
        <v>0.2665879063392303</v>
      </c>
      <c r="DG593" s="12">
        <f t="shared" ref="DG593:DG599" si="457">DG572</f>
        <v>0.23782350522628701</v>
      </c>
      <c r="DK593">
        <v>2012</v>
      </c>
      <c r="DL593" s="260">
        <f>0.5*DL592+0.5*DL594</f>
        <v>0.25400376442893424</v>
      </c>
      <c r="DM593" s="260">
        <f>0.5*DM592+0.5*DM594</f>
        <v>0.19900526236618959</v>
      </c>
      <c r="DN593" s="260">
        <f>0.5*DN592+0.5*DN594</f>
        <v>0.29780807419963906</v>
      </c>
      <c r="DO593" s="260">
        <f>0.5*DO592+0.5*DO594</f>
        <v>0.24918289900523621</v>
      </c>
      <c r="DP593" s="23">
        <f t="shared" ref="DP593:DP594" si="458">SUM(DL593:DO593)</f>
        <v>0.99999999999999911</v>
      </c>
    </row>
    <row r="594" spans="107:120" x14ac:dyDescent="0.2">
      <c r="DC594">
        <f t="shared" si="454"/>
        <v>1999</v>
      </c>
      <c r="DD594" s="12">
        <f t="shared" si="456"/>
        <v>0.2782882994266857</v>
      </c>
      <c r="DE594" s="12">
        <f t="shared" si="456"/>
        <v>0.20681186605573071</v>
      </c>
      <c r="DF594" s="12">
        <f t="shared" si="455"/>
        <v>0.27869472844077803</v>
      </c>
      <c r="DG594" s="12">
        <f t="shared" si="457"/>
        <v>0.23620510607680364</v>
      </c>
      <c r="DK594">
        <v>2013</v>
      </c>
      <c r="DL594" s="23">
        <f>DD601</f>
        <v>0.25286241405501203</v>
      </c>
      <c r="DM594" s="23">
        <f>DE601</f>
        <v>0.19812798513173904</v>
      </c>
      <c r="DN594" s="23">
        <f>DF601</f>
        <v>0.29845824901021839</v>
      </c>
      <c r="DO594" s="23">
        <f>DG601</f>
        <v>0.25055135180303051</v>
      </c>
      <c r="DP594" s="23">
        <f t="shared" si="458"/>
        <v>1</v>
      </c>
    </row>
    <row r="595" spans="107:120" x14ac:dyDescent="0.2">
      <c r="DC595">
        <f t="shared" si="454"/>
        <v>2001</v>
      </c>
      <c r="DD595" s="12">
        <f t="shared" si="456"/>
        <v>0.27212511148828167</v>
      </c>
      <c r="DE595" s="12">
        <f t="shared" si="456"/>
        <v>0.2060174553150666</v>
      </c>
      <c r="DF595" s="12">
        <f t="shared" si="455"/>
        <v>0.28071600584365958</v>
      </c>
      <c r="DG595" s="12">
        <f t="shared" si="457"/>
        <v>0.2411414273529966</v>
      </c>
      <c r="DK595">
        <v>2014</v>
      </c>
      <c r="DL595" s="260">
        <f>0.5*DL594+0.5*DL596</f>
        <v>0.25498990719292469</v>
      </c>
      <c r="DM595" s="260">
        <f>0.5*DM594+0.5*DM596</f>
        <v>0.19883904468616703</v>
      </c>
      <c r="DN595" s="260">
        <f>0.5*DN594+0.5*DN596</f>
        <v>0.3017251943013346</v>
      </c>
      <c r="DO595" s="260">
        <f>0.5*DO594+0.5*DO596</f>
        <v>0.24444585381957373</v>
      </c>
    </row>
    <row r="596" spans="107:120" x14ac:dyDescent="0.2">
      <c r="DC596">
        <f t="shared" si="454"/>
        <v>2003</v>
      </c>
      <c r="DD596" s="12">
        <f t="shared" si="456"/>
        <v>0.27031678276213938</v>
      </c>
      <c r="DE596" s="12">
        <f t="shared" si="456"/>
        <v>0.20007736555711675</v>
      </c>
      <c r="DF596" s="12">
        <f t="shared" si="455"/>
        <v>0.28722345620986156</v>
      </c>
      <c r="DG596" s="12">
        <f t="shared" si="457"/>
        <v>0.24238239547088411</v>
      </c>
      <c r="DK596">
        <v>2015</v>
      </c>
      <c r="DL596" s="23">
        <f>DD602</f>
        <v>0.2571174003308373</v>
      </c>
      <c r="DM596" s="23">
        <f t="shared" ref="DM596:DO596" si="459">DE602</f>
        <v>0.19955010424059502</v>
      </c>
      <c r="DN596" s="23">
        <f t="shared" si="459"/>
        <v>0.30499213959245086</v>
      </c>
      <c r="DO596" s="23">
        <f t="shared" si="459"/>
        <v>0.23834035583611696</v>
      </c>
    </row>
    <row r="597" spans="107:120" x14ac:dyDescent="0.2">
      <c r="DC597">
        <f t="shared" si="454"/>
        <v>2005</v>
      </c>
      <c r="DD597" s="12">
        <f t="shared" si="456"/>
        <v>0.27031904853289623</v>
      </c>
      <c r="DE597" s="12">
        <f t="shared" si="456"/>
        <v>0.19600209834129623</v>
      </c>
      <c r="DF597" s="12">
        <f t="shared" si="455"/>
        <v>0.2907109785720039</v>
      </c>
      <c r="DG597" s="12">
        <f t="shared" si="457"/>
        <v>0.24296787455380389</v>
      </c>
      <c r="DK597">
        <v>2016</v>
      </c>
      <c r="DL597" s="260">
        <f>0.5*DL596+0.5*DL598</f>
        <v>0.25555052862024297</v>
      </c>
      <c r="DM597" s="260">
        <f>0.5*DM596+0.5*DM598</f>
        <v>0.19443009896776514</v>
      </c>
      <c r="DN597" s="260">
        <f>0.5*DN596+0.5*DN598</f>
        <v>0.31025599590796304</v>
      </c>
      <c r="DO597" s="260">
        <f>0.5*DO596+0.5*DO598</f>
        <v>0.23976337650402885</v>
      </c>
    </row>
    <row r="598" spans="107:120" x14ac:dyDescent="0.2">
      <c r="DC598">
        <f t="shared" si="454"/>
        <v>2007</v>
      </c>
      <c r="DD598" s="12">
        <f>DD577</f>
        <v>0.26279256689291453</v>
      </c>
      <c r="DE598" s="213">
        <f>DE577-0.007</f>
        <v>0.19898471793044545</v>
      </c>
      <c r="DF598" s="213">
        <f>DF577+0.007</f>
        <v>0.29233172445455191</v>
      </c>
      <c r="DG598" s="12">
        <f t="shared" si="457"/>
        <v>0.24589099072208681</v>
      </c>
      <c r="DK598">
        <v>2017</v>
      </c>
      <c r="DL598" s="23">
        <f>DD603</f>
        <v>0.25398365690964864</v>
      </c>
      <c r="DM598" s="23">
        <f t="shared" ref="DM598:DO598" si="460">DE603</f>
        <v>0.18931009369493523</v>
      </c>
      <c r="DN598" s="23">
        <f t="shared" si="460"/>
        <v>0.31551985222347517</v>
      </c>
      <c r="DO598" s="23">
        <f t="shared" si="460"/>
        <v>0.24118639717194076</v>
      </c>
    </row>
    <row r="599" spans="107:120" x14ac:dyDescent="0.2">
      <c r="DC599">
        <f t="shared" si="454"/>
        <v>2009</v>
      </c>
      <c r="DD599" s="12">
        <f>DD578</f>
        <v>0.25742781555070077</v>
      </c>
      <c r="DE599" s="12">
        <f>DE578</f>
        <v>0.20163709406954133</v>
      </c>
      <c r="DF599" s="12">
        <f>DF578</f>
        <v>0.29585754976790107</v>
      </c>
      <c r="DG599" s="12">
        <f t="shared" si="457"/>
        <v>0.24507754061185338</v>
      </c>
      <c r="DK599">
        <v>2018</v>
      </c>
      <c r="DL599" s="23">
        <f>DL598</f>
        <v>0.25398365690964864</v>
      </c>
      <c r="DM599" s="23">
        <f t="shared" ref="DM599:DO599" si="461">DM598</f>
        <v>0.18931009369493523</v>
      </c>
      <c r="DN599" s="23">
        <f t="shared" si="461"/>
        <v>0.31551985222347517</v>
      </c>
      <c r="DO599" s="23">
        <f t="shared" si="461"/>
        <v>0.24118639717194076</v>
      </c>
    </row>
    <row r="600" spans="107:120" x14ac:dyDescent="0.2">
      <c r="DC600" s="280">
        <f t="shared" si="454"/>
        <v>2011</v>
      </c>
      <c r="DD600" s="260">
        <f>0.5*DD599+0.5*DD601</f>
        <v>0.2551451148028564</v>
      </c>
      <c r="DE600" s="260">
        <f t="shared" ref="DE600:DG600" si="462">0.5*DE599+0.5*DE601</f>
        <v>0.19988253960064017</v>
      </c>
      <c r="DF600" s="260">
        <f t="shared" si="462"/>
        <v>0.29715789938905973</v>
      </c>
      <c r="DG600" s="260">
        <f t="shared" si="462"/>
        <v>0.24781444620744195</v>
      </c>
    </row>
    <row r="601" spans="107:120" x14ac:dyDescent="0.2">
      <c r="DC601">
        <v>2013</v>
      </c>
      <c r="DD601" s="12">
        <f>DD580</f>
        <v>0.25286241405501203</v>
      </c>
      <c r="DE601" s="12">
        <f>DE580</f>
        <v>0.19812798513173904</v>
      </c>
      <c r="DF601" s="12">
        <f>DF580</f>
        <v>0.29845824901021839</v>
      </c>
      <c r="DG601" s="12">
        <f>DG580</f>
        <v>0.25055135180303051</v>
      </c>
    </row>
    <row r="602" spans="107:120" x14ac:dyDescent="0.2">
      <c r="DC602">
        <v>2015</v>
      </c>
      <c r="DD602" s="12">
        <f t="shared" ref="DD602:DG602" si="463">DD581</f>
        <v>0.2571174003308373</v>
      </c>
      <c r="DE602" s="12">
        <f t="shared" si="463"/>
        <v>0.19955010424059502</v>
      </c>
      <c r="DF602" s="12">
        <f t="shared" si="463"/>
        <v>0.30499213959245086</v>
      </c>
      <c r="DG602" s="12">
        <f t="shared" si="463"/>
        <v>0.23834035583611696</v>
      </c>
    </row>
    <row r="603" spans="107:120" x14ac:dyDescent="0.2">
      <c r="DC603">
        <v>2017</v>
      </c>
      <c r="DD603" s="12">
        <f t="shared" ref="DD603:DG603" si="464">DD582</f>
        <v>0.25398365690964864</v>
      </c>
      <c r="DE603" s="12">
        <f t="shared" si="464"/>
        <v>0.18931009369493523</v>
      </c>
      <c r="DF603" s="12">
        <f t="shared" si="464"/>
        <v>0.31551985222347517</v>
      </c>
      <c r="DG603" s="12">
        <f t="shared" si="464"/>
        <v>0.24118639717194076</v>
      </c>
    </row>
    <row r="614" s="341" customFormat="1" x14ac:dyDescent="0.2"/>
    <row r="619" s="341" customFormat="1" x14ac:dyDescent="0.2"/>
    <row r="620" s="341" customFormat="1" x14ac:dyDescent="0.2"/>
    <row r="623" s="341" customFormat="1" x14ac:dyDescent="0.2"/>
    <row r="624" s="341" customFormat="1" x14ac:dyDescent="0.2"/>
    <row r="625" spans="74:119" s="341" customFormat="1" x14ac:dyDescent="0.2"/>
    <row r="626" spans="74:119" s="341" customFormat="1" x14ac:dyDescent="0.2"/>
    <row r="627" spans="74:119" s="341" customFormat="1" x14ac:dyDescent="0.2"/>
    <row r="628" spans="74:119" ht="18" x14ac:dyDescent="0.25">
      <c r="BV628" s="209" t="s">
        <v>33</v>
      </c>
      <c r="CD628" s="2">
        <f>CR191</f>
        <v>0</v>
      </c>
      <c r="CE628" s="2">
        <f>DC191</f>
        <v>0</v>
      </c>
      <c r="CF628" s="282"/>
      <c r="CG628" s="2">
        <f>DN191</f>
        <v>0</v>
      </c>
      <c r="CH628" s="2">
        <f>DY191</f>
        <v>0</v>
      </c>
      <c r="CI628" s="2">
        <f>EJ191</f>
        <v>0</v>
      </c>
      <c r="CJ628" s="2">
        <f>EU191</f>
        <v>0</v>
      </c>
      <c r="CQ628" s="27"/>
      <c r="CR628" s="27"/>
      <c r="CS628" s="27"/>
      <c r="CT628" s="27"/>
      <c r="CU628" s="27"/>
      <c r="CV628" s="27"/>
      <c r="CW628" s="27"/>
      <c r="CX628" s="27"/>
      <c r="CY628" s="27"/>
      <c r="CZ628" s="27"/>
      <c r="DA628" s="27"/>
      <c r="DB628" s="27"/>
      <c r="DC628" s="27"/>
      <c r="DD628" s="27"/>
      <c r="DE628" s="27"/>
    </row>
    <row r="629" spans="74:119" x14ac:dyDescent="0.2">
      <c r="BV629" s="1"/>
      <c r="CF629" s="280"/>
      <c r="CG629"/>
    </row>
    <row r="630" spans="74:119" x14ac:dyDescent="0.2">
      <c r="BV630" t="s">
        <v>587</v>
      </c>
      <c r="CF630" s="280"/>
      <c r="CG630"/>
      <c r="CO630" s="27"/>
      <c r="CQ630">
        <f t="array" ref="CQ630:DE646">TRANSPOSE(BW630:CM644)</f>
        <v>0</v>
      </c>
      <c r="CR630">
        <v>1985</v>
      </c>
      <c r="CS630">
        <v>4753.5778599999903</v>
      </c>
      <c r="CT630">
        <v>440.37656000000038</v>
      </c>
      <c r="CU630">
        <v>859.55330000000049</v>
      </c>
      <c r="CV630">
        <v>2439.6133899999991</v>
      </c>
      <c r="CW630">
        <v>1014.0346100000006</v>
      </c>
      <c r="CX630">
        <v>0</v>
      </c>
      <c r="CY630">
        <v>0</v>
      </c>
      <c r="CZ630">
        <v>0</v>
      </c>
      <c r="DA630">
        <v>1985</v>
      </c>
      <c r="DB630" s="262">
        <v>9.2641074359093648E-2</v>
      </c>
      <c r="DC630" s="262">
        <v>0.18082238796021366</v>
      </c>
      <c r="DD630" s="262">
        <v>0.51321624718270709</v>
      </c>
      <c r="DE630" s="262">
        <v>0.2133202904979877</v>
      </c>
      <c r="DK630" t="s">
        <v>328</v>
      </c>
      <c r="DL630" t="s">
        <v>329</v>
      </c>
      <c r="DM630" t="s">
        <v>330</v>
      </c>
      <c r="DN630" t="s">
        <v>331</v>
      </c>
      <c r="DO630" t="s">
        <v>351</v>
      </c>
    </row>
    <row r="631" spans="74:119" x14ac:dyDescent="0.2">
      <c r="BV631" s="50" t="str">
        <f>" "</f>
        <v xml:space="preserve"> </v>
      </c>
      <c r="BW631">
        <v>1985</v>
      </c>
      <c r="BX631">
        <v>1987</v>
      </c>
      <c r="BY631">
        <v>1989</v>
      </c>
      <c r="BZ631">
        <v>1991</v>
      </c>
      <c r="CA631">
        <v>1993</v>
      </c>
      <c r="CB631">
        <v>1995</v>
      </c>
      <c r="CC631">
        <v>1997</v>
      </c>
      <c r="CD631">
        <v>1999</v>
      </c>
      <c r="CE631">
        <v>2001</v>
      </c>
      <c r="CF631">
        <v>2003</v>
      </c>
      <c r="CG631">
        <v>2005</v>
      </c>
      <c r="CH631">
        <v>2007</v>
      </c>
      <c r="CI631">
        <v>2009</v>
      </c>
      <c r="CJ631">
        <v>2011</v>
      </c>
      <c r="CK631">
        <v>2013</v>
      </c>
      <c r="CL631">
        <v>2015</v>
      </c>
      <c r="CM631">
        <v>2017</v>
      </c>
      <c r="CO631" s="27"/>
      <c r="CQ631">
        <v>0</v>
      </c>
      <c r="CR631">
        <v>1987</v>
      </c>
      <c r="CS631">
        <v>5267.1956200000077</v>
      </c>
      <c r="CT631">
        <v>496.46517999999929</v>
      </c>
      <c r="CU631">
        <v>1048.0002300000012</v>
      </c>
      <c r="CV631">
        <v>2582.7623199999994</v>
      </c>
      <c r="CW631">
        <v>1139.9678899999997</v>
      </c>
      <c r="CX631">
        <v>0</v>
      </c>
      <c r="CY631">
        <v>0</v>
      </c>
      <c r="CZ631">
        <v>0</v>
      </c>
      <c r="DA631">
        <v>1987</v>
      </c>
      <c r="DB631" s="262">
        <v>9.4256073975091614E-2</v>
      </c>
      <c r="DC631" s="262">
        <v>0.19896740231569371</v>
      </c>
      <c r="DD631" s="262">
        <v>0.49034866109643288</v>
      </c>
      <c r="DE631" s="262">
        <v>0.21642786261278027</v>
      </c>
      <c r="DJ631">
        <f>1985</f>
        <v>1985</v>
      </c>
      <c r="DK631" s="23">
        <f>DB652</f>
        <v>9.4256073975091614E-2</v>
      </c>
      <c r="DL631" s="23">
        <f>DC652</f>
        <v>0.2189674023156937</v>
      </c>
      <c r="DM631" s="23">
        <f>DD652</f>
        <v>0.47034866109643286</v>
      </c>
      <c r="DN631" s="23">
        <f>DE652</f>
        <v>0.21642786261278027</v>
      </c>
      <c r="DO631">
        <f>SUM(DK631:DN631)</f>
        <v>0.99999999999999845</v>
      </c>
    </row>
    <row r="632" spans="74:119" x14ac:dyDescent="0.2">
      <c r="BV632" t="s">
        <v>340</v>
      </c>
      <c r="BW632" s="2">
        <f>Stock_85to95!G92</f>
        <v>4753.5778599999903</v>
      </c>
      <c r="BX632" s="2">
        <f>Stock_85to95!G82</f>
        <v>5267.1956200000077</v>
      </c>
      <c r="BY632" s="2">
        <f>Stock_85to95!G72</f>
        <v>5438.3889400000007</v>
      </c>
      <c r="BZ632" s="2">
        <f>Stock_85to95!G60</f>
        <v>5630</v>
      </c>
      <c r="CA632" s="2">
        <f>Stock_85to95!G51</f>
        <v>5655.1145500000102</v>
      </c>
      <c r="CB632" s="2">
        <f>Stock_85to95!G42</f>
        <v>6164.0563100000045</v>
      </c>
      <c r="CC632" s="2">
        <f>CF21</f>
        <v>6532.7113192044417</v>
      </c>
      <c r="CD632" s="2">
        <f>CR21</f>
        <v>6779.4300190765834</v>
      </c>
      <c r="CE632" s="2">
        <f>DC21</f>
        <v>7218.7005156834057</v>
      </c>
      <c r="CF632" s="2">
        <f>DN21</f>
        <v>6853.9366128595948</v>
      </c>
      <c r="CG632" s="2">
        <f>DY21</f>
        <v>6928.8955659718604</v>
      </c>
      <c r="CH632" s="2">
        <f>EJ21</f>
        <v>6898.041791098909</v>
      </c>
      <c r="CI632" s="2">
        <f>EU21</f>
        <v>6838.7752652862127</v>
      </c>
      <c r="CJ632" s="282">
        <f>FI21</f>
        <v>7013.3663910591431</v>
      </c>
      <c r="CK632" s="344">
        <f>[6]Sheet2!H26</f>
        <v>6917166.333509963</v>
      </c>
      <c r="CL632" s="344">
        <f>'[7]Pivot Tables'!T92</f>
        <v>6901738.1001692237</v>
      </c>
      <c r="CM632" s="344">
        <f>'[8]Pivot Tables'!T96</f>
        <v>6727423.6770818429</v>
      </c>
      <c r="CO632" s="27"/>
      <c r="CQ632">
        <v>0</v>
      </c>
      <c r="CR632">
        <v>1989</v>
      </c>
      <c r="CS632">
        <v>5438.3889400000007</v>
      </c>
      <c r="CT632">
        <v>540.56660999999997</v>
      </c>
      <c r="CU632">
        <v>1032.8265600000002</v>
      </c>
      <c r="CV632">
        <v>2668.1341200000015</v>
      </c>
      <c r="CW632">
        <v>1196.8616500000005</v>
      </c>
      <c r="CX632">
        <v>0</v>
      </c>
      <c r="CY632">
        <v>0</v>
      </c>
      <c r="CZ632">
        <v>0</v>
      </c>
      <c r="DA632">
        <v>1989</v>
      </c>
      <c r="DB632" s="262">
        <v>9.9398299011692226E-2</v>
      </c>
      <c r="DC632" s="262">
        <v>0.18991406671991357</v>
      </c>
      <c r="DD632" s="262">
        <v>0.49061112572798099</v>
      </c>
      <c r="DE632" s="262">
        <v>0.2200765085404135</v>
      </c>
      <c r="DJ632">
        <f>DJ631+1</f>
        <v>1986</v>
      </c>
      <c r="DK632" s="260">
        <f>0.5*DK631+0.5*DK633</f>
        <v>9.682718649339192E-2</v>
      </c>
      <c r="DL632" s="260">
        <f>0.5*DL631+0.5*DL633</f>
        <v>0.20444073451780365</v>
      </c>
      <c r="DM632" s="260">
        <f>0.5*DM631+0.5*DM633</f>
        <v>0.48047989341220693</v>
      </c>
      <c r="DN632" s="260">
        <f>0.5*DN631+0.5*DN633</f>
        <v>0.21825218557659687</v>
      </c>
      <c r="DO632">
        <f t="shared" ref="DO632:DO655" si="465">SUM(DK632:DN632)</f>
        <v>0.99999999999999933</v>
      </c>
    </row>
    <row r="633" spans="74:119" x14ac:dyDescent="0.2">
      <c r="BV633" t="s">
        <v>328</v>
      </c>
      <c r="BW633" s="2">
        <f>Stock_85to95!G93</f>
        <v>440.37656000000038</v>
      </c>
      <c r="BX633" s="2">
        <f>Stock_85to95!G83</f>
        <v>496.46517999999929</v>
      </c>
      <c r="BY633" s="2">
        <f>Stock_85to95!G73</f>
        <v>540.56660999999997</v>
      </c>
      <c r="BZ633" s="2">
        <f>Stock_85to95!G61</f>
        <v>512.81783792249371</v>
      </c>
      <c r="CA633" s="2">
        <f>Stock_85to95!G52</f>
        <v>546.85523000000012</v>
      </c>
      <c r="CB633" s="2">
        <f>Stock_85to95!G43</f>
        <v>557.34513000000004</v>
      </c>
      <c r="CC633" s="2">
        <f>CF52</f>
        <v>591.84062135216209</v>
      </c>
      <c r="CD633" s="2">
        <f>CR52</f>
        <v>562.59699133867605</v>
      </c>
      <c r="CE633" s="2">
        <f>DC52</f>
        <v>584.28469469603715</v>
      </c>
      <c r="CF633" s="2">
        <f>DN52</f>
        <v>567.70335305260733</v>
      </c>
      <c r="CG633" s="2">
        <f>DY52</f>
        <v>494.58968207207022</v>
      </c>
      <c r="CH633" s="2">
        <f>EJ52</f>
        <v>547.61555610904031</v>
      </c>
      <c r="CI633" s="2">
        <f>EU52</f>
        <v>540.46703845110005</v>
      </c>
      <c r="CJ633" s="282">
        <f>FI52</f>
        <v>593.29044145399973</v>
      </c>
      <c r="CK633" s="344">
        <f>[6]Sheet2!H27</f>
        <v>543438.06297823996</v>
      </c>
      <c r="CL633" s="344">
        <f>'[7]Pivot Tables'!T93</f>
        <v>514908.40484750993</v>
      </c>
      <c r="CM633" s="344">
        <f>'[8]Pivot Tables'!T97</f>
        <v>493646.8342993001</v>
      </c>
      <c r="CO633" s="27"/>
      <c r="CQ633">
        <v>0</v>
      </c>
      <c r="CR633">
        <v>1991</v>
      </c>
      <c r="CS633">
        <v>5630</v>
      </c>
      <c r="CT633">
        <v>512.81783792249371</v>
      </c>
      <c r="CU633">
        <v>1098.345990534795</v>
      </c>
      <c r="CV633">
        <v>2863.4346538184409</v>
      </c>
      <c r="CW633">
        <v>1155.4015177242889</v>
      </c>
      <c r="CX633">
        <v>0</v>
      </c>
      <c r="CY633">
        <v>0</v>
      </c>
      <c r="CZ633">
        <v>0</v>
      </c>
      <c r="DA633">
        <v>1991</v>
      </c>
      <c r="DB633" s="262">
        <v>9.10866497198035E-2</v>
      </c>
      <c r="DC633" s="262">
        <v>0.19508809778593161</v>
      </c>
      <c r="DD633" s="262">
        <v>0.50860295804945665</v>
      </c>
      <c r="DE633" s="262">
        <v>0.20522229444481152</v>
      </c>
      <c r="DJ633">
        <f t="shared" ref="DJ633:DJ658" si="466">DJ632+1</f>
        <v>1987</v>
      </c>
      <c r="DK633" s="23">
        <f>DB653</f>
        <v>9.9398299011692226E-2</v>
      </c>
      <c r="DL633" s="23">
        <f>DC653</f>
        <v>0.18991406671991357</v>
      </c>
      <c r="DM633" s="23">
        <f>DD653</f>
        <v>0.49061112572798099</v>
      </c>
      <c r="DN633" s="23">
        <f>DE653</f>
        <v>0.2200765085404135</v>
      </c>
      <c r="DO633">
        <f t="shared" si="465"/>
        <v>1.0000000000000002</v>
      </c>
    </row>
    <row r="634" spans="74:119" x14ac:dyDescent="0.2">
      <c r="BV634" t="s">
        <v>329</v>
      </c>
      <c r="BW634" s="2">
        <f>Stock_85to95!G94</f>
        <v>859.55330000000049</v>
      </c>
      <c r="BX634" s="2">
        <f>Stock_85to95!G84</f>
        <v>1048.0002300000012</v>
      </c>
      <c r="BY634" s="2">
        <f>Stock_85to95!G74</f>
        <v>1032.8265600000002</v>
      </c>
      <c r="BZ634" s="2">
        <f>Stock_85to95!G62</f>
        <v>1098.345990534795</v>
      </c>
      <c r="CA634" s="2">
        <f>Stock_85to95!G53</f>
        <v>1110.35778</v>
      </c>
      <c r="CB634" s="2">
        <f>Stock_85to95!G44</f>
        <v>1136.2595099999999</v>
      </c>
      <c r="CC634" s="2">
        <f>CF81</f>
        <v>1156.1491370627209</v>
      </c>
      <c r="CD634" s="2">
        <f>CR81</f>
        <v>1178.5373216290059</v>
      </c>
      <c r="CE634" s="2">
        <f>DC81</f>
        <v>1216.5077132451479</v>
      </c>
      <c r="CF634" s="2">
        <f>DN81</f>
        <v>1139.9744441540861</v>
      </c>
      <c r="CG634" s="2">
        <f>DY81</f>
        <v>1157.2124891189708</v>
      </c>
      <c r="CH634" s="2">
        <f>EJ81</f>
        <v>1151.8663313938905</v>
      </c>
      <c r="CI634" s="2">
        <f>EU81</f>
        <v>1144.7185270439293</v>
      </c>
      <c r="CJ634" s="282">
        <f>FI81</f>
        <v>1052.8837486807906</v>
      </c>
      <c r="CK634" s="344">
        <f>[6]Sheet2!H28</f>
        <v>1093605.2939086691</v>
      </c>
      <c r="CL634" s="344">
        <f>'[7]Pivot Tables'!T94</f>
        <v>989709.09104615997</v>
      </c>
      <c r="CM634" s="344">
        <f>'[8]Pivot Tables'!T98</f>
        <v>1015136.5755645899</v>
      </c>
      <c r="CO634" s="27"/>
      <c r="CQ634">
        <v>0</v>
      </c>
      <c r="CR634">
        <v>1993</v>
      </c>
      <c r="CS634">
        <v>5655.1145500000102</v>
      </c>
      <c r="CT634">
        <v>546.85523000000012</v>
      </c>
      <c r="CU634">
        <v>1110.35778</v>
      </c>
      <c r="CV634">
        <v>2765.8391799999958</v>
      </c>
      <c r="CW634">
        <v>1232.0623599999997</v>
      </c>
      <c r="CX634">
        <v>0</v>
      </c>
      <c r="CY634">
        <v>0</v>
      </c>
      <c r="CZ634">
        <v>0</v>
      </c>
      <c r="DA634">
        <v>1993</v>
      </c>
      <c r="DB634" s="262">
        <v>9.6700999628734158E-2</v>
      </c>
      <c r="DC634" s="262">
        <v>0.19634576279272681</v>
      </c>
      <c r="DD634" s="262">
        <v>0.48908632275185138</v>
      </c>
      <c r="DE634" s="262">
        <v>0.21786691482668508</v>
      </c>
      <c r="DJ634">
        <f t="shared" si="466"/>
        <v>1988</v>
      </c>
      <c r="DK634" s="260">
        <f>0.5*DK633+0.5*DK635</f>
        <v>9.524247436574787E-2</v>
      </c>
      <c r="DL634" s="260">
        <f>0.5*DL633+0.5*DL635</f>
        <v>0.19250108225292259</v>
      </c>
      <c r="DM634" s="260">
        <f>0.5*DM633+0.5*DM635</f>
        <v>0.49960704188871885</v>
      </c>
      <c r="DN634" s="260">
        <f>0.5*DN633+0.5*DN635</f>
        <v>0.21264940149261252</v>
      </c>
      <c r="DO634">
        <f t="shared" si="465"/>
        <v>1.0000000000000018</v>
      </c>
    </row>
    <row r="635" spans="74:119" x14ac:dyDescent="0.2">
      <c r="BV635" t="s">
        <v>330</v>
      </c>
      <c r="BW635" s="2">
        <f>Stock_85to95!G95</f>
        <v>2439.6133899999991</v>
      </c>
      <c r="BX635" s="2">
        <f>Stock_85to95!G85</f>
        <v>2582.7623199999994</v>
      </c>
      <c r="BY635" s="2">
        <f>Stock_85to95!G75</f>
        <v>2668.1341200000015</v>
      </c>
      <c r="BZ635" s="2">
        <f>Stock_85to95!G63</f>
        <v>2863.4346538184409</v>
      </c>
      <c r="CA635" s="2">
        <f>Stock_85to95!G54</f>
        <v>2765.8391799999958</v>
      </c>
      <c r="CB635" s="2">
        <f>Stock_85to95!G45</f>
        <v>3216.0212499999989</v>
      </c>
      <c r="CC635" s="2">
        <f>CF110</f>
        <v>3467.8681063862405</v>
      </c>
      <c r="CD635" s="2">
        <f>CR110</f>
        <v>3740.7235609514355</v>
      </c>
      <c r="CE635" s="2">
        <f>DC110</f>
        <v>4002.1137335311628</v>
      </c>
      <c r="CF635" s="2">
        <f>DN110</f>
        <v>3860.745976512193</v>
      </c>
      <c r="CG635" s="2">
        <f>DY110</f>
        <v>3938.7590588815838</v>
      </c>
      <c r="CH635" s="2">
        <f>EJ110</f>
        <v>3927.4087430276709</v>
      </c>
      <c r="CI635" s="2">
        <f>EU110</f>
        <v>3917.5381850288422</v>
      </c>
      <c r="CJ635" s="282">
        <f>FI110</f>
        <v>3968.6274886613051</v>
      </c>
      <c r="CK635" s="344">
        <f>[6]Sheet2!H29</f>
        <v>3906099.2330658161</v>
      </c>
      <c r="CL635" s="344">
        <f>'[7]Pivot Tables'!T95</f>
        <v>3928952.0941592809</v>
      </c>
      <c r="CM635" s="344">
        <f>'[8]Pivot Tables'!T99</f>
        <v>3749981.2067702403</v>
      </c>
      <c r="CO635" s="27"/>
      <c r="CQ635">
        <v>0</v>
      </c>
      <c r="CR635">
        <v>1995</v>
      </c>
      <c r="CS635">
        <v>6164.0563100000045</v>
      </c>
      <c r="CT635">
        <v>557.34513000000004</v>
      </c>
      <c r="CU635">
        <v>1136.2595099999999</v>
      </c>
      <c r="CV635">
        <v>3216.0212499999989</v>
      </c>
      <c r="CW635">
        <v>1254.430420000001</v>
      </c>
      <c r="CX635">
        <v>0</v>
      </c>
      <c r="CY635">
        <v>0</v>
      </c>
      <c r="CZ635">
        <v>0</v>
      </c>
      <c r="DA635">
        <v>1995</v>
      </c>
      <c r="DB635" s="262">
        <v>9.0418565627931394E-2</v>
      </c>
      <c r="DC635" s="262">
        <v>0.18433632868613412</v>
      </c>
      <c r="DD635" s="262">
        <v>0.52173781163916666</v>
      </c>
      <c r="DE635" s="262">
        <v>0.2035072940467671</v>
      </c>
      <c r="DJ635">
        <f t="shared" si="466"/>
        <v>1989</v>
      </c>
      <c r="DK635" s="23">
        <f>DB654</f>
        <v>9.10866497198035E-2</v>
      </c>
      <c r="DL635" s="23">
        <f>DC654</f>
        <v>0.19508809778593161</v>
      </c>
      <c r="DM635" s="23">
        <f>DD654</f>
        <v>0.50860295804945665</v>
      </c>
      <c r="DN635" s="23">
        <f>DE654</f>
        <v>0.20522229444481152</v>
      </c>
      <c r="DO635">
        <f t="shared" si="465"/>
        <v>1.0000000000000033</v>
      </c>
    </row>
    <row r="636" spans="74:119" x14ac:dyDescent="0.2">
      <c r="BV636" t="s">
        <v>331</v>
      </c>
      <c r="BW636" s="2">
        <f>Stock_85to95!G96</f>
        <v>1014.0346100000006</v>
      </c>
      <c r="BX636" s="2">
        <f>Stock_85to95!G86</f>
        <v>1139.9678899999997</v>
      </c>
      <c r="BY636" s="2">
        <f>Stock_85to95!G76</f>
        <v>1196.8616500000005</v>
      </c>
      <c r="BZ636" s="2">
        <f>Stock_85to95!G64</f>
        <v>1155.4015177242889</v>
      </c>
      <c r="CA636" s="2">
        <f>Stock_85to95!G55</f>
        <v>1232.0623599999997</v>
      </c>
      <c r="CB636" s="2">
        <f>Stock_85to95!G46</f>
        <v>1254.430420000001</v>
      </c>
      <c r="CC636" s="2">
        <f>CF139</f>
        <v>1316.8534544033125</v>
      </c>
      <c r="CD636" s="2">
        <f>CR139</f>
        <v>1297.5721451574573</v>
      </c>
      <c r="CE636" s="2">
        <f>DC139</f>
        <v>1415.7943742110597</v>
      </c>
      <c r="CF636" s="2">
        <f>DN139</f>
        <v>1285.5128391407288</v>
      </c>
      <c r="CG636" s="2">
        <f>DY139</f>
        <v>1338.3343358992288</v>
      </c>
      <c r="CH636" s="2">
        <f>EJ139</f>
        <v>1271.1511605682961</v>
      </c>
      <c r="CI636" s="2">
        <f>EU139</f>
        <v>1236.0515147623366</v>
      </c>
      <c r="CJ636" s="282">
        <f>FI139</f>
        <v>1398.5647122630435</v>
      </c>
      <c r="CK636" s="344">
        <f>[6]Sheet2!H30</f>
        <v>1374023.7435572383</v>
      </c>
      <c r="CL636" s="344">
        <f>'[7]Pivot Tables'!T96</f>
        <v>1468168.5101162735</v>
      </c>
      <c r="CM636" s="344">
        <f>'[8]Pivot Tables'!T100</f>
        <v>1468659.0604477117</v>
      </c>
      <c r="CO636" s="27"/>
      <c r="CQ636">
        <v>0</v>
      </c>
      <c r="CR636">
        <v>1997</v>
      </c>
      <c r="CS636">
        <v>6532.7113192044417</v>
      </c>
      <c r="CT636">
        <v>591.84062135216209</v>
      </c>
      <c r="CU636">
        <v>1156.1491370627209</v>
      </c>
      <c r="CV636">
        <v>3467.8681063862405</v>
      </c>
      <c r="CW636">
        <v>1316.8534544033125</v>
      </c>
      <c r="CX636">
        <v>0</v>
      </c>
      <c r="CY636">
        <v>0</v>
      </c>
      <c r="CZ636" t="str">
        <v>All vintages</v>
      </c>
      <c r="DA636">
        <v>1997</v>
      </c>
      <c r="DB636" s="262">
        <v>9.0596475557140774E-2</v>
      </c>
      <c r="DC636" s="262">
        <v>0.17697845206536963</v>
      </c>
      <c r="DD636" s="262">
        <v>0.5308466786511179</v>
      </c>
      <c r="DE636" s="262">
        <v>0.20157839372637085</v>
      </c>
      <c r="DJ636">
        <f t="shared" si="466"/>
        <v>1990</v>
      </c>
      <c r="DK636" s="260">
        <f>0.5*DK635+0.5*DK637</f>
        <v>9.3893824674268822E-2</v>
      </c>
      <c r="DL636" s="260">
        <f>0.5*DL635+0.5*DL637</f>
        <v>0.19571693028932921</v>
      </c>
      <c r="DM636" s="260">
        <f>0.5*DM635+0.5*DM637</f>
        <v>0.49884464040065402</v>
      </c>
      <c r="DN636" s="260">
        <f>0.5*DN635+0.5*DN637</f>
        <v>0.21154460463574831</v>
      </c>
      <c r="DO636">
        <f t="shared" si="465"/>
        <v>1.0000000000000004</v>
      </c>
    </row>
    <row r="637" spans="74:119" x14ac:dyDescent="0.2">
      <c r="CC637" s="2"/>
      <c r="CG637"/>
      <c r="CO637" s="27"/>
      <c r="CQ637">
        <v>0</v>
      </c>
      <c r="CR637">
        <v>1999</v>
      </c>
      <c r="CS637">
        <v>6779.4300190765834</v>
      </c>
      <c r="CT637">
        <v>562.59699133867605</v>
      </c>
      <c r="CU637">
        <v>1178.5373216290059</v>
      </c>
      <c r="CV637">
        <v>3740.7235609514355</v>
      </c>
      <c r="CW637">
        <v>1297.5721451574573</v>
      </c>
      <c r="CX637">
        <v>0</v>
      </c>
      <c r="CY637">
        <v>0</v>
      </c>
      <c r="CZ637">
        <v>0</v>
      </c>
      <c r="DA637">
        <v>1999</v>
      </c>
      <c r="DB637" s="262">
        <v>8.2985883732937568E-2</v>
      </c>
      <c r="DC637" s="262">
        <v>0.17384017805519478</v>
      </c>
      <c r="DD637" s="262">
        <v>0.55177552543878228</v>
      </c>
      <c r="DE637" s="262">
        <v>0.19139841277308409</v>
      </c>
      <c r="DJ637">
        <f t="shared" si="466"/>
        <v>1991</v>
      </c>
      <c r="DK637" s="23">
        <f>DB655</f>
        <v>9.6700999628734158E-2</v>
      </c>
      <c r="DL637" s="23">
        <f>DC655</f>
        <v>0.19634576279272681</v>
      </c>
      <c r="DM637" s="23">
        <f>DD655</f>
        <v>0.48908632275185138</v>
      </c>
      <c r="DN637" s="23">
        <f>DE655</f>
        <v>0.21786691482668508</v>
      </c>
      <c r="DO637">
        <f t="shared" si="465"/>
        <v>0.99999999999999745</v>
      </c>
    </row>
    <row r="638" spans="74:119" x14ac:dyDescent="0.2">
      <c r="CG638"/>
      <c r="CO638" s="27"/>
      <c r="CQ638">
        <v>0</v>
      </c>
      <c r="CR638">
        <v>2001</v>
      </c>
      <c r="CS638">
        <v>7218.7005156834057</v>
      </c>
      <c r="CT638">
        <v>584.28469469603715</v>
      </c>
      <c r="CU638">
        <v>1216.5077132451479</v>
      </c>
      <c r="CV638">
        <v>4002.1137335311628</v>
      </c>
      <c r="CW638">
        <v>1415.7943742110597</v>
      </c>
      <c r="CX638">
        <v>0</v>
      </c>
      <c r="CY638">
        <v>0</v>
      </c>
      <c r="CZ638">
        <v>0</v>
      </c>
      <c r="DA638">
        <v>2001</v>
      </c>
      <c r="DB638" s="262">
        <v>8.0940425970936966E-2</v>
      </c>
      <c r="DC638" s="262">
        <v>0.16852170423224425</v>
      </c>
      <c r="DD638" s="262">
        <v>0.55440916614231872</v>
      </c>
      <c r="DE638" s="262">
        <v>0.19612870365450036</v>
      </c>
      <c r="DJ638">
        <f t="shared" si="466"/>
        <v>1992</v>
      </c>
      <c r="DK638" s="260">
        <f>0.5*DK637+0.5*DK639</f>
        <v>9.105978262833278E-2</v>
      </c>
      <c r="DL638" s="260">
        <f>0.5*DL637+0.5*DL639</f>
        <v>0.18934104573943045</v>
      </c>
      <c r="DM638" s="260">
        <f>0.5*DM637+0.5*DM639</f>
        <v>0.51141206719550902</v>
      </c>
      <c r="DN638" s="260">
        <f>0.5*DN637+0.5*DN639</f>
        <v>0.20818710443672608</v>
      </c>
      <c r="DO638">
        <f t="shared" si="465"/>
        <v>0.99999999999999833</v>
      </c>
    </row>
    <row r="639" spans="74:119" x14ac:dyDescent="0.2">
      <c r="BV639" t="s">
        <v>326</v>
      </c>
      <c r="CC639" t="s">
        <v>327</v>
      </c>
      <c r="CG639"/>
      <c r="CO639" s="27"/>
      <c r="CQ639">
        <v>0</v>
      </c>
      <c r="CR639">
        <v>2003</v>
      </c>
      <c r="CS639">
        <v>6853.9366128595948</v>
      </c>
      <c r="CT639">
        <v>567.70335305260733</v>
      </c>
      <c r="CU639">
        <v>1139.9744441540861</v>
      </c>
      <c r="CV639">
        <v>3860.745976512193</v>
      </c>
      <c r="CW639">
        <v>1285.5128391407288</v>
      </c>
      <c r="CX639">
        <v>0</v>
      </c>
      <c r="CY639">
        <v>0</v>
      </c>
      <c r="CZ639">
        <v>0</v>
      </c>
      <c r="DA639">
        <v>2003</v>
      </c>
      <c r="DB639" s="262">
        <v>8.2828801186673143E-2</v>
      </c>
      <c r="DC639" s="262">
        <v>0.16632404245105306</v>
      </c>
      <c r="DD639" s="262">
        <v>0.56328883597617851</v>
      </c>
      <c r="DE639" s="262">
        <v>0.18755832038609824</v>
      </c>
      <c r="DJ639">
        <f t="shared" si="466"/>
        <v>1993</v>
      </c>
      <c r="DK639" s="23">
        <f>DB656</f>
        <v>8.5418565627931389E-2</v>
      </c>
      <c r="DL639" s="23">
        <f>DC656</f>
        <v>0.18233632868613411</v>
      </c>
      <c r="DM639" s="23">
        <f>DD656</f>
        <v>0.53373781163916667</v>
      </c>
      <c r="DN639" s="23">
        <f>DE656</f>
        <v>0.19850729404676709</v>
      </c>
      <c r="DO639">
        <f t="shared" si="465"/>
        <v>0.99999999999999933</v>
      </c>
    </row>
    <row r="640" spans="74:119" x14ac:dyDescent="0.2">
      <c r="BV640" t="s">
        <v>340</v>
      </c>
      <c r="BW640">
        <v>1985</v>
      </c>
      <c r="BX640">
        <v>1987</v>
      </c>
      <c r="BY640">
        <v>1989</v>
      </c>
      <c r="BZ640">
        <v>1991</v>
      </c>
      <c r="CA640">
        <v>1993</v>
      </c>
      <c r="CB640">
        <v>1995</v>
      </c>
      <c r="CC640">
        <v>1997</v>
      </c>
      <c r="CD640">
        <v>1999</v>
      </c>
      <c r="CE640">
        <v>2001</v>
      </c>
      <c r="CF640">
        <v>2003</v>
      </c>
      <c r="CG640">
        <v>2005</v>
      </c>
      <c r="CH640">
        <v>2007</v>
      </c>
      <c r="CI640">
        <v>2009</v>
      </c>
      <c r="CJ640">
        <v>2011</v>
      </c>
      <c r="CK640">
        <v>2013</v>
      </c>
      <c r="CL640">
        <v>2015</v>
      </c>
      <c r="CM640">
        <v>2017</v>
      </c>
      <c r="CO640" s="27"/>
      <c r="CQ640">
        <v>0</v>
      </c>
      <c r="CR640">
        <v>2005</v>
      </c>
      <c r="CS640">
        <v>6928.8955659718604</v>
      </c>
      <c r="CT640">
        <v>494.58968207207022</v>
      </c>
      <c r="CU640">
        <v>1157.2124891189708</v>
      </c>
      <c r="CV640">
        <v>3938.7590588815838</v>
      </c>
      <c r="CW640">
        <v>1338.3343358992288</v>
      </c>
      <c r="CX640">
        <v>0</v>
      </c>
      <c r="CY640">
        <v>0</v>
      </c>
      <c r="CZ640">
        <v>0</v>
      </c>
      <c r="DA640">
        <v>2005</v>
      </c>
      <c r="DB640" s="262">
        <v>7.1380738439907207E-2</v>
      </c>
      <c r="DC640" s="262">
        <v>0.16701254595351342</v>
      </c>
      <c r="DD640" s="262">
        <v>0.56845409508335198</v>
      </c>
      <c r="DE640" s="262">
        <v>0.1931526205232264</v>
      </c>
      <c r="DJ640">
        <f t="shared" si="466"/>
        <v>1994</v>
      </c>
      <c r="DK640" s="260">
        <f>0.5*DK639+0.5*DK641</f>
        <v>8.8007520592536082E-2</v>
      </c>
      <c r="DL640" s="260">
        <f>0.5*DL639+0.5*DL641</f>
        <v>0.17965739037575187</v>
      </c>
      <c r="DM640" s="260">
        <f>0.5*DM639+0.5*DM641</f>
        <v>0.53229224514514228</v>
      </c>
      <c r="DN640" s="260">
        <f>0.5*DN639+0.5*DN641</f>
        <v>0.20004284388656896</v>
      </c>
      <c r="DO640">
        <f t="shared" si="465"/>
        <v>0.99999999999999911</v>
      </c>
    </row>
    <row r="641" spans="74:119" x14ac:dyDescent="0.2">
      <c r="BV641" t="s">
        <v>328</v>
      </c>
      <c r="BW641" s="23">
        <f t="shared" ref="BW641:CJ641" si="467">BW633/BW$632</f>
        <v>9.2641074359093648E-2</v>
      </c>
      <c r="BX641" s="23">
        <f t="shared" si="467"/>
        <v>9.4256073975091614E-2</v>
      </c>
      <c r="BY641" s="23">
        <f t="shared" si="467"/>
        <v>9.9398299011692226E-2</v>
      </c>
      <c r="BZ641" s="23">
        <f t="shared" si="467"/>
        <v>9.10866497198035E-2</v>
      </c>
      <c r="CA641" s="23">
        <f t="shared" si="467"/>
        <v>9.6700999628734158E-2</v>
      </c>
      <c r="CB641" s="23">
        <f t="shared" si="467"/>
        <v>9.0418565627931394E-2</v>
      </c>
      <c r="CC641" s="23">
        <f t="shared" si="467"/>
        <v>9.0596475557140774E-2</v>
      </c>
      <c r="CD641" s="23">
        <f t="shared" si="467"/>
        <v>8.2985883732937568E-2</v>
      </c>
      <c r="CE641" s="23">
        <f t="shared" si="467"/>
        <v>8.0940425970936966E-2</v>
      </c>
      <c r="CF641" s="23">
        <f t="shared" si="467"/>
        <v>8.2828801186673143E-2</v>
      </c>
      <c r="CG641" s="23">
        <f t="shared" si="467"/>
        <v>7.1380738439907207E-2</v>
      </c>
      <c r="CH641" s="23">
        <f t="shared" si="467"/>
        <v>7.9387103281350388E-2</v>
      </c>
      <c r="CI641" s="23">
        <f t="shared" si="467"/>
        <v>7.9029799559948072E-2</v>
      </c>
      <c r="CJ641" s="23">
        <f t="shared" si="467"/>
        <v>8.4594245954459871E-2</v>
      </c>
      <c r="CK641" s="23">
        <f t="shared" ref="CK641:CL641" si="468">CK633/CK$632</f>
        <v>7.8563682984688951E-2</v>
      </c>
      <c r="CL641" s="23">
        <f t="shared" si="468"/>
        <v>7.4605613451904945E-2</v>
      </c>
      <c r="CM641" s="23">
        <f t="shared" ref="CM641" si="469">CM633/CM$632</f>
        <v>7.3378288330642125E-2</v>
      </c>
      <c r="CO641" s="27"/>
      <c r="CQ641">
        <v>0</v>
      </c>
      <c r="CR641">
        <v>2007</v>
      </c>
      <c r="CS641">
        <v>6898.041791098909</v>
      </c>
      <c r="CT641">
        <v>547.61555610904031</v>
      </c>
      <c r="CU641">
        <v>1151.8663313938905</v>
      </c>
      <c r="CV641">
        <v>3927.4087430276709</v>
      </c>
      <c r="CW641">
        <v>1271.1511605682961</v>
      </c>
      <c r="CX641">
        <v>0</v>
      </c>
      <c r="CY641">
        <v>0</v>
      </c>
      <c r="CZ641">
        <v>0</v>
      </c>
      <c r="DA641">
        <v>2007</v>
      </c>
      <c r="DB641" s="262">
        <v>7.9387103281350388E-2</v>
      </c>
      <c r="DC641" s="262">
        <v>0.16698453942106223</v>
      </c>
      <c r="DD641" s="262">
        <v>0.56935125387258723</v>
      </c>
      <c r="DE641" s="262">
        <v>0.18427710342499856</v>
      </c>
      <c r="DJ641">
        <f t="shared" si="466"/>
        <v>1995</v>
      </c>
      <c r="DK641" s="23">
        <f>DB657</f>
        <v>9.0596475557140774E-2</v>
      </c>
      <c r="DL641" s="23">
        <f>DC657</f>
        <v>0.17697845206536963</v>
      </c>
      <c r="DM641" s="23">
        <f>DD657</f>
        <v>0.5308466786511179</v>
      </c>
      <c r="DN641" s="23">
        <f>DE657</f>
        <v>0.20157839372637085</v>
      </c>
      <c r="DO641">
        <f t="shared" si="465"/>
        <v>0.99999999999999911</v>
      </c>
    </row>
    <row r="642" spans="74:119" x14ac:dyDescent="0.2">
      <c r="BV642" t="s">
        <v>329</v>
      </c>
      <c r="BW642" s="23">
        <f t="shared" ref="BW642:CJ642" si="470">BW634/BW$632</f>
        <v>0.18082238796021366</v>
      </c>
      <c r="BX642" s="23">
        <f t="shared" si="470"/>
        <v>0.19896740231569371</v>
      </c>
      <c r="BY642" s="23">
        <f t="shared" si="470"/>
        <v>0.18991406671991357</v>
      </c>
      <c r="BZ642" s="23">
        <f t="shared" si="470"/>
        <v>0.19508809778593161</v>
      </c>
      <c r="CA642" s="23">
        <f t="shared" si="470"/>
        <v>0.19634576279272681</v>
      </c>
      <c r="CB642" s="23">
        <f t="shared" si="470"/>
        <v>0.18433632868613412</v>
      </c>
      <c r="CC642" s="23">
        <f t="shared" si="470"/>
        <v>0.17697845206536963</v>
      </c>
      <c r="CD642" s="23">
        <f t="shared" si="470"/>
        <v>0.17384017805519478</v>
      </c>
      <c r="CE642" s="23">
        <f t="shared" si="470"/>
        <v>0.16852170423224425</v>
      </c>
      <c r="CF642" s="23">
        <f t="shared" si="470"/>
        <v>0.16632404245105306</v>
      </c>
      <c r="CG642" s="23">
        <f t="shared" si="470"/>
        <v>0.16701254595351342</v>
      </c>
      <c r="CH642" s="23">
        <f t="shared" si="470"/>
        <v>0.16698453942106223</v>
      </c>
      <c r="CI642" s="23">
        <f t="shared" si="470"/>
        <v>0.1673864811517565</v>
      </c>
      <c r="CJ642" s="23">
        <f t="shared" si="470"/>
        <v>0.15012530216916081</v>
      </c>
      <c r="CK642" s="23">
        <f t="shared" ref="CK642:CL642" si="471">CK634/CK$632</f>
        <v>0.15810018744391582</v>
      </c>
      <c r="CL642" s="23">
        <f t="shared" si="471"/>
        <v>0.14339997790149314</v>
      </c>
      <c r="CM642" s="23">
        <f t="shared" ref="CM642" si="472">CM634/CM$632</f>
        <v>0.15089529428967466</v>
      </c>
      <c r="CO642" s="27"/>
      <c r="CQ642">
        <v>0</v>
      </c>
      <c r="CR642">
        <v>2009</v>
      </c>
      <c r="CS642">
        <v>6838.7752652862127</v>
      </c>
      <c r="CT642">
        <v>540.46703845110005</v>
      </c>
      <c r="CU642">
        <v>1144.7185270439293</v>
      </c>
      <c r="CV642">
        <v>3917.5381850288422</v>
      </c>
      <c r="CW642">
        <v>1236.0515147623366</v>
      </c>
      <c r="CX642">
        <v>0</v>
      </c>
      <c r="CY642">
        <v>0</v>
      </c>
      <c r="CZ642">
        <v>0</v>
      </c>
      <c r="DA642">
        <v>2009</v>
      </c>
      <c r="DB642" s="262">
        <v>7.9029799559948072E-2</v>
      </c>
      <c r="DC642" s="262">
        <v>0.1673864811517565</v>
      </c>
      <c r="DD642" s="262">
        <v>0.57284207084773786</v>
      </c>
      <c r="DE642" s="262">
        <v>0.18074164844055685</v>
      </c>
      <c r="DJ642">
        <f t="shared" si="466"/>
        <v>1996</v>
      </c>
      <c r="DK642" s="260">
        <f>0.5*DK641+0.5*DK643</f>
        <v>8.6791179645039171E-2</v>
      </c>
      <c r="DL642" s="260">
        <f>0.5*DL641+0.5*DL643</f>
        <v>0.17540931506028221</v>
      </c>
      <c r="DM642" s="260">
        <f>0.5*DM641+0.5*DM643</f>
        <v>0.54131110204495014</v>
      </c>
      <c r="DN642" s="260">
        <f>0.5*DN641+0.5*DN643</f>
        <v>0.19648840324972747</v>
      </c>
      <c r="DO642">
        <f t="shared" si="465"/>
        <v>0.999999999999999</v>
      </c>
    </row>
    <row r="643" spans="74:119" x14ac:dyDescent="0.2">
      <c r="BV643" t="s">
        <v>330</v>
      </c>
      <c r="BW643" s="23">
        <f t="shared" ref="BW643:CJ643" si="473">BW635/BW$632</f>
        <v>0.51321624718270709</v>
      </c>
      <c r="BX643" s="23">
        <f t="shared" si="473"/>
        <v>0.49034866109643288</v>
      </c>
      <c r="BY643" s="23">
        <f t="shared" si="473"/>
        <v>0.49061112572798099</v>
      </c>
      <c r="BZ643" s="23">
        <f t="shared" si="473"/>
        <v>0.50860295804945665</v>
      </c>
      <c r="CA643" s="23">
        <f t="shared" si="473"/>
        <v>0.48908632275185138</v>
      </c>
      <c r="CB643" s="23">
        <f t="shared" si="473"/>
        <v>0.52173781163916666</v>
      </c>
      <c r="CC643" s="23">
        <f t="shared" si="473"/>
        <v>0.5308466786511179</v>
      </c>
      <c r="CD643" s="23">
        <f t="shared" si="473"/>
        <v>0.55177552543878228</v>
      </c>
      <c r="CE643" s="23">
        <f t="shared" si="473"/>
        <v>0.55440916614231872</v>
      </c>
      <c r="CF643" s="23">
        <f t="shared" si="473"/>
        <v>0.56328883597617851</v>
      </c>
      <c r="CG643" s="23">
        <f t="shared" si="473"/>
        <v>0.56845409508335198</v>
      </c>
      <c r="CH643" s="23">
        <f t="shared" si="473"/>
        <v>0.56935125387258723</v>
      </c>
      <c r="CI643" s="23">
        <f t="shared" si="473"/>
        <v>0.57284207084773786</v>
      </c>
      <c r="CJ643" s="23">
        <f t="shared" si="473"/>
        <v>0.56586627125607392</v>
      </c>
      <c r="CK643" s="23">
        <f t="shared" ref="CK643:CL643" si="474">CK635/CK$632</f>
        <v>0.56469644428569821</v>
      </c>
      <c r="CL643" s="23">
        <f t="shared" si="474"/>
        <v>0.56926994869059822</v>
      </c>
      <c r="CM643" s="23">
        <f t="shared" ref="CM643" si="475">CM635/CM$632</f>
        <v>0.55741713124820924</v>
      </c>
      <c r="CO643" s="27"/>
      <c r="CQ643">
        <v>0</v>
      </c>
      <c r="CR643">
        <v>2011</v>
      </c>
      <c r="CS643">
        <v>7013.3663910591431</v>
      </c>
      <c r="CT643">
        <v>593.29044145399973</v>
      </c>
      <c r="CU643">
        <v>1052.8837486807906</v>
      </c>
      <c r="CV643">
        <v>3968.6274886613051</v>
      </c>
      <c r="CW643">
        <v>1398.5647122630435</v>
      </c>
      <c r="CX643">
        <v>0</v>
      </c>
      <c r="CY643">
        <v>0</v>
      </c>
      <c r="CZ643">
        <v>0</v>
      </c>
      <c r="DA643">
        <v>2011</v>
      </c>
      <c r="DB643" s="262">
        <v>8.4594245954459871E-2</v>
      </c>
      <c r="DC643" s="262">
        <v>0.15012530216916081</v>
      </c>
      <c r="DD643" s="262">
        <v>0.56586627125607392</v>
      </c>
      <c r="DE643" s="262">
        <v>0.19941418062030483</v>
      </c>
      <c r="DJ643">
        <f t="shared" si="466"/>
        <v>1997</v>
      </c>
      <c r="DK643" s="23">
        <f>DB658</f>
        <v>8.2985883732937568E-2</v>
      </c>
      <c r="DL643" s="23">
        <f>DC658</f>
        <v>0.17384017805519478</v>
      </c>
      <c r="DM643" s="23">
        <f>DD658</f>
        <v>0.55177552543878228</v>
      </c>
      <c r="DN643" s="23">
        <f>DE658</f>
        <v>0.19139841277308409</v>
      </c>
      <c r="DO643">
        <f t="shared" si="465"/>
        <v>0.99999999999999867</v>
      </c>
    </row>
    <row r="644" spans="74:119" x14ac:dyDescent="0.2">
      <c r="BV644" t="s">
        <v>331</v>
      </c>
      <c r="BW644" s="23">
        <f t="shared" ref="BW644:CJ644" si="476">BW636/BW$632</f>
        <v>0.2133202904979877</v>
      </c>
      <c r="BX644" s="23">
        <f t="shared" si="476"/>
        <v>0.21642786261278027</v>
      </c>
      <c r="BY644" s="23">
        <f t="shared" si="476"/>
        <v>0.2200765085404135</v>
      </c>
      <c r="BZ644" s="23">
        <f t="shared" si="476"/>
        <v>0.20522229444481152</v>
      </c>
      <c r="CA644" s="23">
        <f t="shared" si="476"/>
        <v>0.21786691482668508</v>
      </c>
      <c r="CB644" s="23">
        <f t="shared" si="476"/>
        <v>0.2035072940467671</v>
      </c>
      <c r="CC644" s="23">
        <f t="shared" si="476"/>
        <v>0.20157839372637085</v>
      </c>
      <c r="CD644" s="23">
        <f t="shared" si="476"/>
        <v>0.19139841277308409</v>
      </c>
      <c r="CE644" s="23">
        <f t="shared" si="476"/>
        <v>0.19612870365450036</v>
      </c>
      <c r="CF644" s="23">
        <f t="shared" si="476"/>
        <v>0.18755832038609824</v>
      </c>
      <c r="CG644" s="23">
        <f t="shared" si="476"/>
        <v>0.1931526205232264</v>
      </c>
      <c r="CH644" s="23">
        <f t="shared" si="476"/>
        <v>0.18427710342499856</v>
      </c>
      <c r="CI644" s="23">
        <f t="shared" si="476"/>
        <v>0.18074164844055685</v>
      </c>
      <c r="CJ644" s="23">
        <f t="shared" si="476"/>
        <v>0.19941418062030483</v>
      </c>
      <c r="CK644" s="23">
        <f t="shared" ref="CK644:CL644" si="477">CK636/CK$632</f>
        <v>0.19863968528569709</v>
      </c>
      <c r="CL644" s="23">
        <f t="shared" si="477"/>
        <v>0.21272445995600375</v>
      </c>
      <c r="CM644" s="23">
        <f t="shared" ref="CM644" si="478">CM636/CM$632</f>
        <v>0.21830928613147382</v>
      </c>
      <c r="CQ644">
        <v>0</v>
      </c>
      <c r="CR644">
        <v>2013</v>
      </c>
      <c r="CS644">
        <v>6917166.333509963</v>
      </c>
      <c r="CT644">
        <v>543438.06297823996</v>
      </c>
      <c r="CU644">
        <v>1093605.2939086691</v>
      </c>
      <c r="CV644">
        <v>3906099.2330658161</v>
      </c>
      <c r="CW644">
        <v>1374023.7435572383</v>
      </c>
      <c r="CX644">
        <v>0</v>
      </c>
      <c r="CY644">
        <v>0</v>
      </c>
      <c r="CZ644">
        <v>0</v>
      </c>
      <c r="DA644">
        <v>2013</v>
      </c>
      <c r="DB644" s="262">
        <v>7.8563682984688951E-2</v>
      </c>
      <c r="DC644" s="262">
        <v>0.15810018744391582</v>
      </c>
      <c r="DD644" s="262">
        <v>0.56469644428569821</v>
      </c>
      <c r="DE644" s="262">
        <v>0.19863968528569709</v>
      </c>
      <c r="DJ644">
        <f t="shared" si="466"/>
        <v>1998</v>
      </c>
      <c r="DK644" s="260">
        <f>0.5*DK643+0.5*DK645</f>
        <v>8.1963154851937267E-2</v>
      </c>
      <c r="DL644" s="260">
        <f>0.5*DL643+0.5*DL645</f>
        <v>0.17118094114371951</v>
      </c>
      <c r="DM644" s="260">
        <f>0.5*DM643+0.5*DM645</f>
        <v>0.55309234579055055</v>
      </c>
      <c r="DN644" s="260">
        <f>0.5*DN643+0.5*DN645</f>
        <v>0.19376355821379221</v>
      </c>
      <c r="DO644">
        <f t="shared" si="465"/>
        <v>0.99999999999999956</v>
      </c>
    </row>
    <row r="645" spans="74:119" x14ac:dyDescent="0.2">
      <c r="CQ645">
        <v>0</v>
      </c>
      <c r="CR645">
        <v>2015</v>
      </c>
      <c r="CS645">
        <v>6901738.1001692237</v>
      </c>
      <c r="CT645">
        <v>514908.40484750993</v>
      </c>
      <c r="CU645">
        <v>989709.09104615997</v>
      </c>
      <c r="CV645">
        <v>3928952.0941592809</v>
      </c>
      <c r="CW645">
        <v>1468168.5101162735</v>
      </c>
      <c r="CX645">
        <v>0</v>
      </c>
      <c r="CY645">
        <v>0</v>
      </c>
      <c r="CZ645">
        <v>0</v>
      </c>
      <c r="DA645">
        <v>2015</v>
      </c>
      <c r="DB645" s="262">
        <v>7.4605613451904945E-2</v>
      </c>
      <c r="DC645" s="262">
        <v>0.14339997790149314</v>
      </c>
      <c r="DD645" s="262">
        <v>0.56926994869059822</v>
      </c>
      <c r="DE645" s="262">
        <v>0.21272445995600375</v>
      </c>
      <c r="DJ645">
        <f t="shared" si="466"/>
        <v>1999</v>
      </c>
      <c r="DK645" s="23">
        <f>DB659</f>
        <v>8.0940425970936966E-2</v>
      </c>
      <c r="DL645" s="23">
        <f>DC659</f>
        <v>0.16852170423224425</v>
      </c>
      <c r="DM645" s="23">
        <f>DD659</f>
        <v>0.55440916614231872</v>
      </c>
      <c r="DN645" s="23">
        <f>DE659</f>
        <v>0.19612870365450036</v>
      </c>
      <c r="DO645">
        <f t="shared" si="465"/>
        <v>1.0000000000000002</v>
      </c>
    </row>
    <row r="646" spans="74:119" x14ac:dyDescent="0.2">
      <c r="CQ646">
        <v>0</v>
      </c>
      <c r="CR646">
        <v>2017</v>
      </c>
      <c r="CS646">
        <v>6727423.6770818429</v>
      </c>
      <c r="CT646">
        <v>493646.8342993001</v>
      </c>
      <c r="CU646">
        <v>1015136.5755645899</v>
      </c>
      <c r="CV646">
        <v>3749981.2067702403</v>
      </c>
      <c r="CW646">
        <v>1468659.0604477117</v>
      </c>
      <c r="CX646">
        <v>0</v>
      </c>
      <c r="CY646">
        <v>0</v>
      </c>
      <c r="CZ646">
        <v>0</v>
      </c>
      <c r="DA646">
        <v>2017</v>
      </c>
      <c r="DB646" s="262">
        <v>7.3378288330642125E-2</v>
      </c>
      <c r="DC646" s="262">
        <v>0.15089529428967466</v>
      </c>
      <c r="DD646" s="262">
        <v>0.55741713124820924</v>
      </c>
      <c r="DE646" s="408">
        <v>0.21830928613147382</v>
      </c>
      <c r="DJ646">
        <f t="shared" si="466"/>
        <v>2000</v>
      </c>
      <c r="DK646" s="260">
        <f>0.5*DK645+0.5*DK647</f>
        <v>8.1884613578805054E-2</v>
      </c>
      <c r="DL646" s="260">
        <f>0.5*DL645+0.5*DL647</f>
        <v>0.16742287334164865</v>
      </c>
      <c r="DM646" s="260">
        <f>0.5*DM645+0.5*DM647</f>
        <v>0.55884900105924862</v>
      </c>
      <c r="DN646" s="260">
        <f>0.5*DN645+0.5*DN647</f>
        <v>0.19184351202029931</v>
      </c>
      <c r="DO646">
        <f t="shared" si="465"/>
        <v>1.0000000000000016</v>
      </c>
    </row>
    <row r="647" spans="74:119" x14ac:dyDescent="0.2">
      <c r="DJ647">
        <f t="shared" si="466"/>
        <v>2001</v>
      </c>
      <c r="DK647" s="23">
        <f>DB660</f>
        <v>8.2828801186673143E-2</v>
      </c>
      <c r="DL647" s="23">
        <f>DC660</f>
        <v>0.16632404245105306</v>
      </c>
      <c r="DM647" s="23">
        <f>DD660</f>
        <v>0.56328883597617851</v>
      </c>
      <c r="DN647" s="23">
        <f>DE660</f>
        <v>0.18755832038609824</v>
      </c>
      <c r="DO647">
        <f t="shared" si="465"/>
        <v>1.0000000000000029</v>
      </c>
    </row>
    <row r="648" spans="74:119" x14ac:dyDescent="0.2">
      <c r="DJ648">
        <f t="shared" si="466"/>
        <v>2002</v>
      </c>
      <c r="DK648" s="260">
        <f>0.5*DK647+0.5*DK649</f>
        <v>7.7104769813290175E-2</v>
      </c>
      <c r="DL648" s="260">
        <f>0.5*DL647+0.5*DL649</f>
        <v>0.16666829420228324</v>
      </c>
      <c r="DM648" s="260">
        <f>0.5*DM647+0.5*DM649</f>
        <v>0.56587146552976519</v>
      </c>
      <c r="DN648" s="260">
        <f>0.5*DN647+0.5*DN649</f>
        <v>0.19035547045466233</v>
      </c>
      <c r="DO648">
        <f t="shared" si="465"/>
        <v>1.0000000000000009</v>
      </c>
    </row>
    <row r="649" spans="74:119" x14ac:dyDescent="0.2">
      <c r="DJ649">
        <f t="shared" si="466"/>
        <v>2003</v>
      </c>
      <c r="DK649" s="23">
        <f>DB661</f>
        <v>7.1380738439907207E-2</v>
      </c>
      <c r="DL649" s="23">
        <f>DC661</f>
        <v>0.16701254595351342</v>
      </c>
      <c r="DM649" s="23">
        <f>DD661</f>
        <v>0.56845409508335198</v>
      </c>
      <c r="DN649" s="23">
        <f>DE661</f>
        <v>0.1931526205232264</v>
      </c>
      <c r="DO649">
        <f t="shared" si="465"/>
        <v>0.99999999999999889</v>
      </c>
    </row>
    <row r="650" spans="74:119" x14ac:dyDescent="0.2">
      <c r="DJ650">
        <f t="shared" si="466"/>
        <v>2004</v>
      </c>
      <c r="DK650" s="260">
        <f>0.5*DK649+0.5*DK651</f>
        <v>7.9383920860628787E-2</v>
      </c>
      <c r="DL650" s="260">
        <f>0.5*DL649+0.5*DL651</f>
        <v>0.16699854268728781</v>
      </c>
      <c r="DM650" s="260">
        <f>0.5*DM649+0.5*DM651</f>
        <v>0.56740267447796966</v>
      </c>
      <c r="DN650" s="260">
        <f>0.5*DN649+0.5*DN651</f>
        <v>0.18621486197411247</v>
      </c>
      <c r="DO650">
        <f t="shared" si="465"/>
        <v>0.99999999999999867</v>
      </c>
    </row>
    <row r="651" spans="74:119" x14ac:dyDescent="0.2">
      <c r="DB651" s="23" t="s">
        <v>328</v>
      </c>
      <c r="DC651" s="23" t="s">
        <v>329</v>
      </c>
      <c r="DD651" s="23" t="s">
        <v>330</v>
      </c>
      <c r="DE651" s="23" t="s">
        <v>331</v>
      </c>
      <c r="DJ651">
        <f t="shared" si="466"/>
        <v>2005</v>
      </c>
      <c r="DK651" s="23">
        <f>DB662</f>
        <v>8.7387103281350381E-2</v>
      </c>
      <c r="DL651" s="23">
        <f>DC662</f>
        <v>0.16698453942106223</v>
      </c>
      <c r="DM651" s="23">
        <f>DD662</f>
        <v>0.56635125387258722</v>
      </c>
      <c r="DN651" s="23">
        <f>DE662</f>
        <v>0.17927710342499856</v>
      </c>
      <c r="DO651">
        <f t="shared" si="465"/>
        <v>0.99999999999999845</v>
      </c>
    </row>
    <row r="652" spans="74:119" x14ac:dyDescent="0.2">
      <c r="DA652">
        <f t="shared" ref="DA652:DB655" si="479">DA631</f>
        <v>1987</v>
      </c>
      <c r="DB652" s="23">
        <f t="shared" si="479"/>
        <v>9.4256073975091614E-2</v>
      </c>
      <c r="DC652" s="261">
        <f>DC631+0.02</f>
        <v>0.2189674023156937</v>
      </c>
      <c r="DD652" s="261">
        <f>DD631-0.02</f>
        <v>0.47034866109643286</v>
      </c>
      <c r="DE652" s="23">
        <f>DE631</f>
        <v>0.21642786261278027</v>
      </c>
      <c r="DJ652">
        <f t="shared" si="466"/>
        <v>2006</v>
      </c>
      <c r="DK652" s="260">
        <f>0.5*DK651+0.5*DK653</f>
        <v>8.3208451420649227E-2</v>
      </c>
      <c r="DL652" s="260">
        <f>0.5*DL651+0.5*DL653</f>
        <v>0.16718551028640938</v>
      </c>
      <c r="DM652" s="260">
        <f>0.5*DM651+0.5*DM653</f>
        <v>0.56959666236016249</v>
      </c>
      <c r="DN652" s="260">
        <f>0.5*DN651+0.5*DN653</f>
        <v>0.18000937593277772</v>
      </c>
      <c r="DO652">
        <f t="shared" si="465"/>
        <v>0.99999999999999889</v>
      </c>
    </row>
    <row r="653" spans="74:119" x14ac:dyDescent="0.2">
      <c r="DA653">
        <f t="shared" si="479"/>
        <v>1989</v>
      </c>
      <c r="DB653" s="23">
        <f t="shared" si="479"/>
        <v>9.9398299011692226E-2</v>
      </c>
      <c r="DC653" s="23">
        <f t="shared" ref="DC653:DD655" si="480">DC632</f>
        <v>0.18991406671991357</v>
      </c>
      <c r="DD653" s="23">
        <f t="shared" si="480"/>
        <v>0.49061112572798099</v>
      </c>
      <c r="DE653" s="23">
        <f>DE632</f>
        <v>0.2200765085404135</v>
      </c>
      <c r="DJ653">
        <f t="shared" si="466"/>
        <v>2007</v>
      </c>
      <c r="DK653" s="23">
        <f>DB663</f>
        <v>7.9029799559948072E-2</v>
      </c>
      <c r="DL653" s="23">
        <f>DC663</f>
        <v>0.1673864811517565</v>
      </c>
      <c r="DM653" s="23">
        <f>DD663</f>
        <v>0.57284207084773786</v>
      </c>
      <c r="DN653" s="23">
        <f>DE663</f>
        <v>0.18074164844055685</v>
      </c>
      <c r="DO653">
        <f t="shared" si="465"/>
        <v>0.99999999999999933</v>
      </c>
    </row>
    <row r="654" spans="74:119" x14ac:dyDescent="0.2">
      <c r="DA654">
        <f t="shared" si="479"/>
        <v>1991</v>
      </c>
      <c r="DB654" s="23">
        <f t="shared" si="479"/>
        <v>9.10866497198035E-2</v>
      </c>
      <c r="DC654" s="23">
        <f t="shared" si="480"/>
        <v>0.19508809778593161</v>
      </c>
      <c r="DD654" s="23">
        <f t="shared" si="480"/>
        <v>0.50860295804945665</v>
      </c>
      <c r="DE654" s="23">
        <f>DE633</f>
        <v>0.20522229444481152</v>
      </c>
      <c r="DJ654">
        <f t="shared" si="466"/>
        <v>2008</v>
      </c>
      <c r="DK654" s="260">
        <f>0.5*DK653+0.5*DK655</f>
        <v>8.1812022757203978E-2</v>
      </c>
      <c r="DL654" s="260">
        <f>0.5*DL653+0.5*DL655</f>
        <v>0.15875589166045867</v>
      </c>
      <c r="DM654" s="260">
        <f>0.5*DM653+0.5*DM655</f>
        <v>0.56935417105190589</v>
      </c>
      <c r="DN654" s="260">
        <f>0.5*DN653+0.5*DN655</f>
        <v>0.19007791453043082</v>
      </c>
      <c r="DO654">
        <f t="shared" si="465"/>
        <v>0.99999999999999933</v>
      </c>
    </row>
    <row r="655" spans="74:119" x14ac:dyDescent="0.2">
      <c r="DA655">
        <f t="shared" si="479"/>
        <v>1993</v>
      </c>
      <c r="DB655" s="23">
        <f t="shared" si="479"/>
        <v>9.6700999628734158E-2</v>
      </c>
      <c r="DC655" s="23">
        <f t="shared" si="480"/>
        <v>0.19634576279272681</v>
      </c>
      <c r="DD655" s="23">
        <f t="shared" si="480"/>
        <v>0.48908632275185138</v>
      </c>
      <c r="DE655" s="23">
        <f>DE634</f>
        <v>0.21786691482668508</v>
      </c>
      <c r="DJ655">
        <f t="shared" si="466"/>
        <v>2009</v>
      </c>
      <c r="DK655" s="23">
        <f>DB664</f>
        <v>8.4594245954459871E-2</v>
      </c>
      <c r="DL655" s="23">
        <f>DC664</f>
        <v>0.15012530216916081</v>
      </c>
      <c r="DM655" s="23">
        <f>DD664</f>
        <v>0.56586627125607392</v>
      </c>
      <c r="DN655" s="23">
        <f>DE664</f>
        <v>0.19941418062030483</v>
      </c>
      <c r="DO655">
        <f t="shared" si="465"/>
        <v>0.99999999999999944</v>
      </c>
    </row>
    <row r="656" spans="74:119" x14ac:dyDescent="0.2">
      <c r="DA656">
        <f t="shared" ref="DA656:DA667" si="481">DA635</f>
        <v>1995</v>
      </c>
      <c r="DB656" s="261">
        <f>DB635-0.005</f>
        <v>8.5418565627931389E-2</v>
      </c>
      <c r="DC656" s="261">
        <f>DC635-0.002</f>
        <v>0.18233632868613411</v>
      </c>
      <c r="DD656" s="261">
        <f>DD635+0.012</f>
        <v>0.53373781163916667</v>
      </c>
      <c r="DE656" s="261">
        <f>DE635-0.005</f>
        <v>0.19850729404676709</v>
      </c>
      <c r="DJ656">
        <f t="shared" si="466"/>
        <v>2010</v>
      </c>
      <c r="DK656" s="260">
        <f>0.5*DK655+0.5*DK657</f>
        <v>8.4594245954459871E-2</v>
      </c>
      <c r="DL656" s="260">
        <f>0.5*DL655+0.5*DL657</f>
        <v>0.15012530216916081</v>
      </c>
      <c r="DM656" s="260">
        <f>0.5*DM655+0.5*DM657</f>
        <v>0.56586627125607392</v>
      </c>
      <c r="DN656" s="260">
        <f>0.5*DN655+0.5*DN657</f>
        <v>0.19941418062030483</v>
      </c>
      <c r="DO656">
        <f>SUM(DK657:DN657)</f>
        <v>0.99999999999999944</v>
      </c>
    </row>
    <row r="657" spans="105:119" x14ac:dyDescent="0.2">
      <c r="DA657">
        <f t="shared" si="481"/>
        <v>1997</v>
      </c>
      <c r="DB657" s="272">
        <f t="shared" ref="DB657:DE661" si="482">DB636</f>
        <v>9.0596475557140774E-2</v>
      </c>
      <c r="DC657" s="272">
        <f t="shared" si="482"/>
        <v>0.17697845206536963</v>
      </c>
      <c r="DD657" s="272">
        <f t="shared" si="482"/>
        <v>0.5308466786511179</v>
      </c>
      <c r="DE657" s="272">
        <f t="shared" si="482"/>
        <v>0.20157839372637085</v>
      </c>
      <c r="DJ657">
        <v>2011</v>
      </c>
      <c r="DK657" s="23">
        <f>DB664</f>
        <v>8.4594245954459871E-2</v>
      </c>
      <c r="DL657" s="23">
        <f>DC664</f>
        <v>0.15012530216916081</v>
      </c>
      <c r="DM657" s="23">
        <f>DD664</f>
        <v>0.56586627125607392</v>
      </c>
      <c r="DN657" s="23">
        <f>DE664</f>
        <v>0.19941418062030483</v>
      </c>
      <c r="DO657" s="341">
        <f t="shared" ref="DO657:DO658" si="483">SUM(DK658:DN658)</f>
        <v>0.99999999999999978</v>
      </c>
    </row>
    <row r="658" spans="105:119" x14ac:dyDescent="0.2">
      <c r="DA658">
        <f t="shared" si="481"/>
        <v>1999</v>
      </c>
      <c r="DB658" s="272">
        <f t="shared" si="482"/>
        <v>8.2985883732937568E-2</v>
      </c>
      <c r="DC658" s="272">
        <f t="shared" si="482"/>
        <v>0.17384017805519478</v>
      </c>
      <c r="DD658" s="272">
        <f t="shared" si="482"/>
        <v>0.55177552543878228</v>
      </c>
      <c r="DE658" s="272">
        <f t="shared" si="482"/>
        <v>0.19139841277308409</v>
      </c>
      <c r="DJ658" s="341">
        <f t="shared" si="466"/>
        <v>2012</v>
      </c>
      <c r="DK658" s="260">
        <f>0.5*DK657+0.5*DK659</f>
        <v>8.1578964469574411E-2</v>
      </c>
      <c r="DL658" s="260">
        <f>0.5*DL657+0.5*DL659</f>
        <v>0.1541127448065383</v>
      </c>
      <c r="DM658" s="260">
        <f>0.5*DM657+0.5*DM659</f>
        <v>0.56528135777088606</v>
      </c>
      <c r="DN658" s="260">
        <f>0.5*DN657+0.5*DN659</f>
        <v>0.19902693295300095</v>
      </c>
      <c r="DO658" s="341">
        <f t="shared" si="483"/>
        <v>1</v>
      </c>
    </row>
    <row r="659" spans="105:119" x14ac:dyDescent="0.2">
      <c r="DA659">
        <f t="shared" si="481"/>
        <v>2001</v>
      </c>
      <c r="DB659" s="272">
        <f t="shared" si="482"/>
        <v>8.0940425970936966E-2</v>
      </c>
      <c r="DC659" s="272">
        <f t="shared" si="482"/>
        <v>0.16852170423224425</v>
      </c>
      <c r="DD659" s="272">
        <f t="shared" si="482"/>
        <v>0.55440916614231872</v>
      </c>
      <c r="DE659" s="272">
        <f t="shared" si="482"/>
        <v>0.19612870365450036</v>
      </c>
      <c r="DJ659" s="341">
        <v>2013</v>
      </c>
      <c r="DK659" s="23">
        <f>DB665</f>
        <v>7.8563682984688951E-2</v>
      </c>
      <c r="DL659" s="23">
        <f>DC665</f>
        <v>0.15810018744391582</v>
      </c>
      <c r="DM659" s="23">
        <f>DD665</f>
        <v>0.56469644428569821</v>
      </c>
      <c r="DN659" s="23">
        <f>DE665</f>
        <v>0.19863968528569709</v>
      </c>
      <c r="DO659" s="23">
        <f>SUM(DK659:DN659)</f>
        <v>1</v>
      </c>
    </row>
    <row r="660" spans="105:119" x14ac:dyDescent="0.2">
      <c r="DA660">
        <f t="shared" si="481"/>
        <v>2003</v>
      </c>
      <c r="DB660" s="272">
        <f t="shared" si="482"/>
        <v>8.2828801186673143E-2</v>
      </c>
      <c r="DC660" s="272">
        <f t="shared" si="482"/>
        <v>0.16632404245105306</v>
      </c>
      <c r="DD660" s="272">
        <f t="shared" si="482"/>
        <v>0.56328883597617851</v>
      </c>
      <c r="DE660" s="272">
        <f t="shared" si="482"/>
        <v>0.18755832038609824</v>
      </c>
      <c r="DJ660">
        <v>2014</v>
      </c>
      <c r="DK660" s="260">
        <f>0.5*DK659+0.5*DK661</f>
        <v>7.6584648218296941E-2</v>
      </c>
      <c r="DL660" s="260">
        <f>0.5*DL659+0.5*DL661</f>
        <v>0.15075008267270448</v>
      </c>
      <c r="DM660" s="260">
        <f>0.5*DM659+0.5*DM661</f>
        <v>0.56698319648814821</v>
      </c>
      <c r="DN660" s="260">
        <f>0.5*DN659+0.5*DN661</f>
        <v>0.20568207262085042</v>
      </c>
    </row>
    <row r="661" spans="105:119" x14ac:dyDescent="0.2">
      <c r="DA661">
        <f t="shared" si="481"/>
        <v>2005</v>
      </c>
      <c r="DB661" s="272">
        <f t="shared" si="482"/>
        <v>7.1380738439907207E-2</v>
      </c>
      <c r="DC661" s="272">
        <f t="shared" si="482"/>
        <v>0.16701254595351342</v>
      </c>
      <c r="DD661" s="272">
        <f t="shared" si="482"/>
        <v>0.56845409508335198</v>
      </c>
      <c r="DE661" s="272">
        <f t="shared" si="482"/>
        <v>0.1931526205232264</v>
      </c>
      <c r="DJ661">
        <v>2015</v>
      </c>
      <c r="DK661" s="23">
        <f>DB666</f>
        <v>7.4605613451904945E-2</v>
      </c>
      <c r="DL661" s="23">
        <f t="shared" ref="DL661:DN661" si="484">DC666</f>
        <v>0.14339997790149314</v>
      </c>
      <c r="DM661" s="23">
        <f t="shared" si="484"/>
        <v>0.56926994869059822</v>
      </c>
      <c r="DN661" s="23">
        <f t="shared" si="484"/>
        <v>0.21272445995600375</v>
      </c>
    </row>
    <row r="662" spans="105:119" x14ac:dyDescent="0.2">
      <c r="DA662">
        <f t="shared" si="481"/>
        <v>2007</v>
      </c>
      <c r="DB662" s="261">
        <f>DB641+0.008</f>
        <v>8.7387103281350381E-2</v>
      </c>
      <c r="DC662" s="272">
        <f t="shared" ref="DC662:DC667" si="485">DC641</f>
        <v>0.16698453942106223</v>
      </c>
      <c r="DD662" s="261">
        <f>DD641-0.003</f>
        <v>0.56635125387258722</v>
      </c>
      <c r="DE662" s="261">
        <f>DE641-0.005</f>
        <v>0.17927710342499856</v>
      </c>
      <c r="DJ662">
        <v>2016</v>
      </c>
      <c r="DK662" s="260">
        <f>0.5*DK661+0.5*DK663</f>
        <v>7.3991950891273528E-2</v>
      </c>
      <c r="DL662" s="260">
        <f>0.5*DL661+0.5*DL663</f>
        <v>0.1471476360955839</v>
      </c>
      <c r="DM662" s="260">
        <f>0.5*DM661+0.5*DM663</f>
        <v>0.56334353996940378</v>
      </c>
      <c r="DN662" s="260">
        <f>0.5*DN661+0.5*DN663</f>
        <v>0.21551687304373879</v>
      </c>
    </row>
    <row r="663" spans="105:119" x14ac:dyDescent="0.2">
      <c r="DA663">
        <f t="shared" si="481"/>
        <v>2009</v>
      </c>
      <c r="DB663" s="272">
        <f>DB642</f>
        <v>7.9029799559948072E-2</v>
      </c>
      <c r="DC663" s="272">
        <f t="shared" si="485"/>
        <v>0.1673864811517565</v>
      </c>
      <c r="DD663" s="272">
        <f t="shared" ref="DD663:DE667" si="486">DD642</f>
        <v>0.57284207084773786</v>
      </c>
      <c r="DE663" s="272">
        <f t="shared" si="486"/>
        <v>0.18074164844055685</v>
      </c>
      <c r="DJ663">
        <v>2017</v>
      </c>
      <c r="DK663" s="23">
        <f>DB667</f>
        <v>7.3378288330642125E-2</v>
      </c>
      <c r="DL663" s="23">
        <f t="shared" ref="DL663:DN663" si="487">DC667</f>
        <v>0.15089529428967466</v>
      </c>
      <c r="DM663" s="23">
        <f t="shared" si="487"/>
        <v>0.55741713124820924</v>
      </c>
      <c r="DN663" s="23">
        <f t="shared" si="487"/>
        <v>0.21830928613147382</v>
      </c>
    </row>
    <row r="664" spans="105:119" x14ac:dyDescent="0.2">
      <c r="DA664">
        <f t="shared" si="481"/>
        <v>2011</v>
      </c>
      <c r="DB664" s="23">
        <f>DB643</f>
        <v>8.4594245954459871E-2</v>
      </c>
      <c r="DC664" s="23">
        <f t="shared" si="485"/>
        <v>0.15012530216916081</v>
      </c>
      <c r="DD664" s="23">
        <f t="shared" si="486"/>
        <v>0.56586627125607392</v>
      </c>
      <c r="DE664" s="23">
        <f t="shared" si="486"/>
        <v>0.19941418062030483</v>
      </c>
      <c r="DJ664">
        <v>2018</v>
      </c>
      <c r="DK664" s="23">
        <f>DK663</f>
        <v>7.3378288330642125E-2</v>
      </c>
      <c r="DL664" s="23">
        <f t="shared" ref="DL664:DN664" si="488">DL663</f>
        <v>0.15089529428967466</v>
      </c>
      <c r="DM664" s="23">
        <f t="shared" si="488"/>
        <v>0.55741713124820924</v>
      </c>
      <c r="DN664" s="23">
        <f t="shared" si="488"/>
        <v>0.21830928613147382</v>
      </c>
    </row>
    <row r="665" spans="105:119" x14ac:dyDescent="0.2">
      <c r="DA665" s="280">
        <f t="shared" si="481"/>
        <v>2013</v>
      </c>
      <c r="DB665" s="272">
        <f>DB644</f>
        <v>7.8563682984688951E-2</v>
      </c>
      <c r="DC665" s="272">
        <f t="shared" si="485"/>
        <v>0.15810018744391582</v>
      </c>
      <c r="DD665" s="272">
        <f t="shared" si="486"/>
        <v>0.56469644428569821</v>
      </c>
      <c r="DE665" s="272">
        <f t="shared" si="486"/>
        <v>0.19863968528569709</v>
      </c>
    </row>
    <row r="666" spans="105:119" x14ac:dyDescent="0.2">
      <c r="DA666" s="341">
        <f t="shared" si="481"/>
        <v>2015</v>
      </c>
      <c r="DB666" s="272">
        <f>DB645</f>
        <v>7.4605613451904945E-2</v>
      </c>
      <c r="DC666" s="272">
        <f t="shared" si="485"/>
        <v>0.14339997790149314</v>
      </c>
      <c r="DD666" s="272">
        <f t="shared" si="486"/>
        <v>0.56926994869059822</v>
      </c>
      <c r="DE666" s="272">
        <f t="shared" si="486"/>
        <v>0.21272445995600375</v>
      </c>
    </row>
    <row r="667" spans="105:119" x14ac:dyDescent="0.2">
      <c r="DA667" s="341">
        <f t="shared" si="481"/>
        <v>2017</v>
      </c>
      <c r="DB667" s="272">
        <f>DB646</f>
        <v>7.3378288330642125E-2</v>
      </c>
      <c r="DC667" s="272">
        <f t="shared" si="485"/>
        <v>0.15089529428967466</v>
      </c>
      <c r="DD667" s="272">
        <f t="shared" si="486"/>
        <v>0.55741713124820924</v>
      </c>
      <c r="DE667" s="272">
        <f t="shared" si="486"/>
        <v>0.21830928613147382</v>
      </c>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C204"/>
  <sheetViews>
    <sheetView topLeftCell="AX1" workbookViewId="0">
      <selection activeCell="BE26" sqref="BE26"/>
    </sheetView>
  </sheetViews>
  <sheetFormatPr defaultRowHeight="12.75" x14ac:dyDescent="0.2"/>
  <cols>
    <col min="1" max="1" width="10.85546875" customWidth="1"/>
    <col min="4" max="4" width="12.85546875" customWidth="1"/>
    <col min="5" max="5" width="10.7109375" customWidth="1"/>
    <col min="6" max="6" width="11.42578125" customWidth="1"/>
    <col min="25" max="25" width="10.85546875" customWidth="1"/>
    <col min="26" max="26" width="5.140625" style="263" customWidth="1"/>
    <col min="47" max="47" width="9.5703125" bestFit="1" customWidth="1"/>
  </cols>
  <sheetData>
    <row r="1" spans="1:47" ht="20.25" x14ac:dyDescent="0.3">
      <c r="A1" s="266" t="s">
        <v>473</v>
      </c>
      <c r="AA1" s="267" t="s">
        <v>455</v>
      </c>
    </row>
    <row r="2" spans="1:47" x14ac:dyDescent="0.2">
      <c r="A2" s="342" t="s">
        <v>769</v>
      </c>
    </row>
    <row r="4" spans="1:47" ht="18" x14ac:dyDescent="0.25">
      <c r="C4" s="209" t="s">
        <v>454</v>
      </c>
      <c r="Q4" s="209" t="s">
        <v>8</v>
      </c>
      <c r="U4" s="8" t="s">
        <v>453</v>
      </c>
      <c r="V4" s="8"/>
      <c r="W4" s="8"/>
      <c r="X4" s="8"/>
    </row>
    <row r="5" spans="1:47" x14ac:dyDescent="0.2">
      <c r="C5" s="1"/>
    </row>
    <row r="6" spans="1:47" ht="15.75" x14ac:dyDescent="0.25">
      <c r="C6" s="6" t="s">
        <v>472</v>
      </c>
      <c r="AF6" t="s">
        <v>457</v>
      </c>
      <c r="AJ6" t="s">
        <v>459</v>
      </c>
    </row>
    <row r="7" spans="1:47" x14ac:dyDescent="0.2">
      <c r="A7" t="s">
        <v>142</v>
      </c>
      <c r="D7" t="s">
        <v>767</v>
      </c>
      <c r="I7" t="s">
        <v>361</v>
      </c>
      <c r="M7" t="s">
        <v>362</v>
      </c>
      <c r="Q7" t="s">
        <v>446</v>
      </c>
      <c r="U7" t="s">
        <v>370</v>
      </c>
      <c r="AB7" t="s">
        <v>450</v>
      </c>
      <c r="AF7" t="s">
        <v>458</v>
      </c>
      <c r="AJ7" t="s">
        <v>460</v>
      </c>
      <c r="AO7" t="s">
        <v>452</v>
      </c>
    </row>
    <row r="8" spans="1:47" x14ac:dyDescent="0.2">
      <c r="A8" t="s">
        <v>448</v>
      </c>
      <c r="D8" s="268" t="s">
        <v>444</v>
      </c>
      <c r="E8" s="268" t="s">
        <v>32</v>
      </c>
      <c r="F8" s="268" t="s">
        <v>445</v>
      </c>
      <c r="AP8" s="438" t="s">
        <v>466</v>
      </c>
      <c r="AQ8" s="438"/>
      <c r="AR8" s="438"/>
      <c r="AS8" s="438"/>
    </row>
    <row r="9" spans="1:47" ht="13.5" thickBot="1" x14ac:dyDescent="0.25">
      <c r="A9" s="255" t="s">
        <v>449</v>
      </c>
      <c r="D9" s="16" t="s">
        <v>356</v>
      </c>
      <c r="E9" s="16" t="s">
        <v>357</v>
      </c>
      <c r="F9" s="16" t="s">
        <v>358</v>
      </c>
      <c r="G9" s="16" t="s">
        <v>363</v>
      </c>
      <c r="I9" s="16" t="s">
        <v>356</v>
      </c>
      <c r="J9" s="16" t="s">
        <v>357</v>
      </c>
      <c r="K9" s="16" t="s">
        <v>358</v>
      </c>
      <c r="M9" s="16" t="s">
        <v>356</v>
      </c>
      <c r="N9" s="16" t="s">
        <v>357</v>
      </c>
      <c r="O9" s="16" t="s">
        <v>358</v>
      </c>
      <c r="Q9" s="16" t="s">
        <v>356</v>
      </c>
      <c r="R9" s="16" t="s">
        <v>357</v>
      </c>
      <c r="S9" s="16" t="s">
        <v>358</v>
      </c>
      <c r="U9" s="16" t="s">
        <v>356</v>
      </c>
      <c r="V9" s="16" t="s">
        <v>357</v>
      </c>
      <c r="W9" s="16" t="s">
        <v>358</v>
      </c>
      <c r="X9" s="264" t="s">
        <v>91</v>
      </c>
      <c r="AB9" s="16" t="s">
        <v>356</v>
      </c>
      <c r="AC9" s="16" t="s">
        <v>357</v>
      </c>
      <c r="AD9" s="16" t="s">
        <v>358</v>
      </c>
      <c r="AF9" s="16" t="s">
        <v>356</v>
      </c>
      <c r="AG9" s="16" t="s">
        <v>357</v>
      </c>
      <c r="AH9" s="16" t="s">
        <v>358</v>
      </c>
      <c r="AJ9" s="16" t="s">
        <v>356</v>
      </c>
      <c r="AK9" s="16" t="s">
        <v>357</v>
      </c>
      <c r="AL9" s="16" t="s">
        <v>358</v>
      </c>
      <c r="AO9" s="16" t="s">
        <v>465</v>
      </c>
      <c r="AP9" s="16" t="s">
        <v>461</v>
      </c>
      <c r="AQ9" s="16" t="s">
        <v>462</v>
      </c>
      <c r="AR9" s="16" t="s">
        <v>463</v>
      </c>
      <c r="AS9" s="16" t="s">
        <v>464</v>
      </c>
      <c r="AU9" s="16" t="s">
        <v>376</v>
      </c>
    </row>
    <row r="10" spans="1:47" x14ac:dyDescent="0.2">
      <c r="C10" s="437">
        <v>1985</v>
      </c>
      <c r="D10" s="432">
        <f>Total_stock_SF!AX15</f>
        <v>58427.381489841988</v>
      </c>
      <c r="E10" s="432">
        <f>Total_stock_MF!AX15</f>
        <v>23493.564494662111</v>
      </c>
      <c r="F10" s="432">
        <f>Total_stock_MH!AX15</f>
        <v>4923.216689740555</v>
      </c>
      <c r="G10" s="257">
        <f>SUM(D10:F10)</f>
        <v>86844.162674244653</v>
      </c>
      <c r="H10" s="257"/>
      <c r="I10" s="257">
        <f t="shared" ref="I10:I36" si="0">D49+D90+D131+D171</f>
        <v>58427.381489843137</v>
      </c>
      <c r="J10" s="257">
        <f t="shared" ref="J10:J36" si="1">E49+E90+E131+E171</f>
        <v>23493.564494661889</v>
      </c>
      <c r="K10" s="257">
        <f t="shared" ref="K10:K36" si="2">F49+F90+F131+F171</f>
        <v>4923.2166897405477</v>
      </c>
      <c r="L10" s="257"/>
      <c r="M10" s="258">
        <f>D10/$G10</f>
        <v>0.67278421128896182</v>
      </c>
      <c r="N10" s="258">
        <f>E10/$G10</f>
        <v>0.27052554565799952</v>
      </c>
      <c r="O10" s="258">
        <f>F10/$G10</f>
        <v>5.6690243053038637E-2</v>
      </c>
      <c r="P10" s="257"/>
      <c r="Q10" s="432">
        <f>Total_stock_SF!BX15</f>
        <v>1849.0897575916233</v>
      </c>
      <c r="R10" s="432">
        <f>Total_stock_MF!CT15</f>
        <v>847.17455014596089</v>
      </c>
      <c r="S10" s="432">
        <f>Total_stock_MH!CD16</f>
        <v>857.51633986928107</v>
      </c>
      <c r="U10" s="436">
        <f>D10*Q10*0.000001</f>
        <v>108.03747267576522</v>
      </c>
      <c r="V10" s="436">
        <f>E10*R10*0.000001</f>
        <v>19.903149932090489</v>
      </c>
      <c r="W10" s="436">
        <f>F10*S10*0.000001</f>
        <v>4.2217387561696782</v>
      </c>
      <c r="X10" s="436">
        <f>SUM(U10:W10)</f>
        <v>132.16236136402537</v>
      </c>
      <c r="AB10" s="24">
        <f t="shared" ref="AB10:AD36" si="3">AB49+AB90+AB131+AB171</f>
        <v>107.51961470364833</v>
      </c>
      <c r="AC10" s="24">
        <f t="shared" si="3"/>
        <v>20.197430743848187</v>
      </c>
      <c r="AD10" s="24">
        <f t="shared" si="3"/>
        <v>4.1984597687033958</v>
      </c>
      <c r="AF10" s="262">
        <f>U10/AB10</f>
        <v>1.0048164046489958</v>
      </c>
      <c r="AG10" s="262">
        <f>V10/AC10</f>
        <v>0.98542978978416196</v>
      </c>
      <c r="AH10" s="262">
        <f>W10/AD10</f>
        <v>1.0055446494068636</v>
      </c>
      <c r="AJ10" s="24">
        <f t="shared" ref="AJ10:AJ43" si="4">U49+U90+U131+U171</f>
        <v>108.03747267576523</v>
      </c>
      <c r="AK10" s="24">
        <f t="shared" ref="AK10:AK38" si="5">V49+V90+V131+V171</f>
        <v>19.903149932090489</v>
      </c>
      <c r="AL10" s="24">
        <f t="shared" ref="AL10:AL38" si="6">W49+W90+W131+W171</f>
        <v>4.2217387561696782</v>
      </c>
      <c r="AO10" s="5">
        <f>X10/G10*1000000</f>
        <v>1521.8335613387258</v>
      </c>
      <c r="AP10">
        <f>AO10/AO$10</f>
        <v>1</v>
      </c>
      <c r="AQ10">
        <f>Q10/Q$10</f>
        <v>1</v>
      </c>
      <c r="AR10">
        <f>R10/R$10</f>
        <v>1</v>
      </c>
      <c r="AS10">
        <f>S10/S$10</f>
        <v>1</v>
      </c>
      <c r="AU10">
        <f>G10/G$10</f>
        <v>1</v>
      </c>
    </row>
    <row r="11" spans="1:47" x14ac:dyDescent="0.2">
      <c r="A11" s="214">
        <f>G11/G10-1</f>
        <v>1.5332287632207509E-2</v>
      </c>
      <c r="C11">
        <f>C10+1</f>
        <v>1986</v>
      </c>
      <c r="D11" s="432">
        <f>Total_stock_SF!AX16</f>
        <v>59466.637275510206</v>
      </c>
      <c r="E11" s="432">
        <f>Total_stock_MF!AX16</f>
        <v>23631.361313561716</v>
      </c>
      <c r="F11" s="432">
        <f>Total_stock_MH!AX16</f>
        <v>5077.6837664724553</v>
      </c>
      <c r="G11" s="257">
        <f t="shared" ref="G11:G35" si="7">SUM(D11:F11)</f>
        <v>88175.682355544384</v>
      </c>
      <c r="H11" s="257"/>
      <c r="I11" s="257">
        <f t="shared" si="0"/>
        <v>59466.637275510868</v>
      </c>
      <c r="J11" s="257">
        <f t="shared" si="1"/>
        <v>23631.361313561647</v>
      </c>
      <c r="K11" s="257">
        <f t="shared" si="2"/>
        <v>5077.6837664724517</v>
      </c>
      <c r="L11" s="257"/>
      <c r="M11" s="258">
        <f t="shared" ref="M11:M35" si="8">D11/$G11</f>
        <v>0.67441085440912396</v>
      </c>
      <c r="N11" s="258">
        <f t="shared" ref="N11:N35" si="9">E11/$G11</f>
        <v>0.26800315781254402</v>
      </c>
      <c r="O11" s="258">
        <f t="shared" ref="O11:O35" si="10">F11/$G11</f>
        <v>5.7585987778331904E-2</v>
      </c>
      <c r="P11" s="257"/>
      <c r="Q11" s="432">
        <f>Total_stock_SF!BX16</f>
        <v>1845.3032226028363</v>
      </c>
      <c r="R11" s="432">
        <f>Total_stock_MF!CT16</f>
        <v>867.25899899585625</v>
      </c>
      <c r="S11" s="432">
        <f>Total_stock_MH!CD17</f>
        <v>864.70588235294122</v>
      </c>
      <c r="U11" s="436">
        <f t="shared" ref="U11:U35" si="11">D11*Q11*0.000001</f>
        <v>109.73397740185293</v>
      </c>
      <c r="V11" s="436">
        <f t="shared" ref="V11:V35" si="12">E11*R11*0.000001</f>
        <v>20.494510757708937</v>
      </c>
      <c r="W11" s="436">
        <f t="shared" ref="W11:W35" si="13">F11*S11*0.000001</f>
        <v>4.3907030215967708</v>
      </c>
      <c r="X11" s="436">
        <f t="shared" ref="X11:X36" si="14">SUM(U11:W11)</f>
        <v>134.61919118115864</v>
      </c>
      <c r="AB11" s="24">
        <f t="shared" si="3"/>
        <v>109.22357033740552</v>
      </c>
      <c r="AC11" s="24">
        <f t="shared" si="3"/>
        <v>20.791314543328891</v>
      </c>
      <c r="AD11" s="24">
        <f t="shared" si="3"/>
        <v>4.3709151340812573</v>
      </c>
      <c r="AF11" s="262">
        <f t="shared" ref="AF11:AF35" si="15">U11/AB11</f>
        <v>1.0046730487098223</v>
      </c>
      <c r="AG11" s="262">
        <f t="shared" ref="AG11:AG35" si="16">V11/AC11</f>
        <v>0.98572462626153734</v>
      </c>
      <c r="AH11" s="262">
        <f t="shared" ref="AH11:AH35" si="17">W11/AD11</f>
        <v>1.0045271726648779</v>
      </c>
      <c r="AJ11" s="24">
        <f t="shared" si="4"/>
        <v>109.73397740185291</v>
      </c>
      <c r="AK11" s="24">
        <f t="shared" si="5"/>
        <v>20.494510757708937</v>
      </c>
      <c r="AL11" s="24">
        <f t="shared" si="6"/>
        <v>4.3907030215967708</v>
      </c>
      <c r="AO11" s="5">
        <f t="shared" ref="AO11:AO35" si="18">X11/G11*1000000</f>
        <v>1526.7156157447523</v>
      </c>
      <c r="AP11" s="23">
        <f t="shared" ref="AP11:AP35" si="19">AO11/AO$10</f>
        <v>1.0032080081094623</v>
      </c>
      <c r="AQ11" s="23">
        <f t="shared" ref="AQ11:AQ35" si="20">Q11/Q$10</f>
        <v>0.99795221677409596</v>
      </c>
      <c r="AR11" s="23">
        <f t="shared" ref="AR11:AR25" si="21">R11/R$10</f>
        <v>1.0237075687016743</v>
      </c>
      <c r="AS11" s="23">
        <f t="shared" ref="AS11:AS25" si="22">S11/S$10</f>
        <v>1.0083841463414633</v>
      </c>
      <c r="AU11" s="23">
        <f t="shared" ref="AU11:AU43" si="23">G11/G$10</f>
        <v>1.0153322876322075</v>
      </c>
    </row>
    <row r="12" spans="1:47" x14ac:dyDescent="0.2">
      <c r="A12" s="214">
        <f t="shared" ref="A12:A43" si="24">G12/G11-1</f>
        <v>1.4860067081968742E-2</v>
      </c>
      <c r="C12">
        <f t="shared" ref="C12:C36" si="25">C11+1</f>
        <v>1987</v>
      </c>
      <c r="D12" s="432">
        <f>Total_stock_SF!AX17</f>
        <v>60530.0834442751</v>
      </c>
      <c r="E12" s="432">
        <f>Total_stock_MF!AX17</f>
        <v>23739.275414345375</v>
      </c>
      <c r="F12" s="432">
        <f>Total_stock_MH!AX17</f>
        <v>5216.6200517256621</v>
      </c>
      <c r="G12" s="257">
        <f t="shared" si="7"/>
        <v>89485.978910346137</v>
      </c>
      <c r="H12" s="257"/>
      <c r="I12" s="257">
        <f t="shared" si="0"/>
        <v>60530.08344427526</v>
      </c>
      <c r="J12" s="257">
        <f t="shared" si="1"/>
        <v>23739.275414345466</v>
      </c>
      <c r="K12" s="257">
        <f t="shared" si="2"/>
        <v>5216.620051725663</v>
      </c>
      <c r="L12" s="257"/>
      <c r="M12" s="258">
        <f t="shared" si="8"/>
        <v>0.67641974956678685</v>
      </c>
      <c r="N12" s="258">
        <f t="shared" si="9"/>
        <v>0.26528486030341342</v>
      </c>
      <c r="O12" s="258">
        <f t="shared" si="10"/>
        <v>5.8295390129799764E-2</v>
      </c>
      <c r="P12" s="257"/>
      <c r="Q12" s="432">
        <f>Total_stock_SF!BX17</f>
        <v>1858.8984015399869</v>
      </c>
      <c r="R12" s="432">
        <f>Total_stock_MF!CT17</f>
        <v>883.13736990518328</v>
      </c>
      <c r="S12" s="432">
        <f>Total_stock_MH!CD17</f>
        <v>864.70588235294122</v>
      </c>
      <c r="U12" s="436">
        <f t="shared" si="11"/>
        <v>112.51927535964501</v>
      </c>
      <c r="V12" s="436">
        <f t="shared" si="12"/>
        <v>20.965041252879754</v>
      </c>
      <c r="W12" s="436">
        <f t="shared" si="13"/>
        <v>4.5108420447274842</v>
      </c>
      <c r="X12" s="436">
        <f t="shared" si="14"/>
        <v>137.99515865725226</v>
      </c>
      <c r="AB12" s="24">
        <f t="shared" si="3"/>
        <v>112.0138280809897</v>
      </c>
      <c r="AC12" s="24">
        <f t="shared" si="3"/>
        <v>21.262116872412129</v>
      </c>
      <c r="AD12" s="24">
        <f t="shared" si="3"/>
        <v>4.4950565167788277</v>
      </c>
      <c r="AF12" s="262">
        <f t="shared" si="15"/>
        <v>1.004512365011665</v>
      </c>
      <c r="AG12" s="262">
        <f t="shared" si="16"/>
        <v>0.98602793779589115</v>
      </c>
      <c r="AH12" s="262">
        <f t="shared" si="17"/>
        <v>1.0035117529423119</v>
      </c>
      <c r="AJ12" s="24">
        <f t="shared" si="4"/>
        <v>112.51927535964502</v>
      </c>
      <c r="AK12" s="24">
        <f t="shared" si="5"/>
        <v>20.96504125287975</v>
      </c>
      <c r="AL12" s="24">
        <f t="shared" si="6"/>
        <v>4.5108420447274842</v>
      </c>
      <c r="AO12" s="5">
        <f t="shared" si="18"/>
        <v>1542.0869318030964</v>
      </c>
      <c r="AP12" s="23">
        <f t="shared" si="19"/>
        <v>1.0133085318781865</v>
      </c>
      <c r="AQ12" s="23">
        <f t="shared" si="20"/>
        <v>1.0053045796766182</v>
      </c>
      <c r="AR12" s="23">
        <f t="shared" si="21"/>
        <v>1.0424503070270776</v>
      </c>
      <c r="AS12" s="23">
        <f t="shared" si="22"/>
        <v>1.0083841463414633</v>
      </c>
      <c r="AU12" s="23">
        <f t="shared" si="23"/>
        <v>1.0304201935369108</v>
      </c>
    </row>
    <row r="13" spans="1:47" x14ac:dyDescent="0.2">
      <c r="A13" s="214">
        <f t="shared" si="24"/>
        <v>1.592723871690338E-2</v>
      </c>
      <c r="C13">
        <f t="shared" si="25"/>
        <v>1988</v>
      </c>
      <c r="D13" s="432">
        <f>Total_stock_SF!AX18</f>
        <v>61448.589449929605</v>
      </c>
      <c r="E13" s="432">
        <f>Total_stock_MF!AX18</f>
        <v>24144.40229464239</v>
      </c>
      <c r="F13" s="432">
        <f>Total_stock_MH!AX18</f>
        <v>5318.2517136950164</v>
      </c>
      <c r="G13" s="257">
        <f t="shared" si="7"/>
        <v>90911.24345826701</v>
      </c>
      <c r="H13" s="257"/>
      <c r="I13" s="257">
        <f t="shared" si="0"/>
        <v>61448.589449929481</v>
      </c>
      <c r="J13" s="257">
        <f t="shared" si="1"/>
        <v>24144.402294642354</v>
      </c>
      <c r="K13" s="257">
        <f t="shared" si="2"/>
        <v>5318.2517136950264</v>
      </c>
      <c r="L13" s="257"/>
      <c r="M13" s="258">
        <f t="shared" si="8"/>
        <v>0.67591847952379736</v>
      </c>
      <c r="N13" s="258">
        <f t="shared" si="9"/>
        <v>0.26558213677635956</v>
      </c>
      <c r="O13" s="258">
        <f t="shared" si="10"/>
        <v>5.8499383699843137E-2</v>
      </c>
      <c r="P13" s="257"/>
      <c r="Q13" s="432">
        <f>Total_stock_SF!BX18</f>
        <v>1873.0173648555019</v>
      </c>
      <c r="R13" s="432">
        <f>Total_stock_MF!CT18</f>
        <v>894.45311193939119</v>
      </c>
      <c r="S13" s="432">
        <f>Total_stock_MH!CD18</f>
        <v>890.57315233785823</v>
      </c>
      <c r="U13" s="436">
        <f t="shared" si="11"/>
        <v>115.09427508559475</v>
      </c>
      <c r="V13" s="436">
        <f t="shared" si="12"/>
        <v>21.596035768359464</v>
      </c>
      <c r="W13" s="436">
        <f t="shared" si="13"/>
        <v>4.7362921935915869</v>
      </c>
      <c r="X13" s="436">
        <f t="shared" si="14"/>
        <v>141.4266030475458</v>
      </c>
      <c r="AB13" s="24">
        <f t="shared" si="3"/>
        <v>114.68202707551353</v>
      </c>
      <c r="AC13" s="24">
        <f t="shared" si="3"/>
        <v>21.893777208377518</v>
      </c>
      <c r="AD13" s="24">
        <f t="shared" si="3"/>
        <v>4.7205942909429375</v>
      </c>
      <c r="AF13" s="262">
        <f t="shared" si="15"/>
        <v>1.0035947045983915</v>
      </c>
      <c r="AG13" s="262">
        <f t="shared" si="16"/>
        <v>0.98640063625457353</v>
      </c>
      <c r="AH13" s="262">
        <f t="shared" si="17"/>
        <v>1.0033254081332021</v>
      </c>
      <c r="AJ13" s="24">
        <f t="shared" si="4"/>
        <v>115.09427508559472</v>
      </c>
      <c r="AK13" s="24">
        <f t="shared" si="5"/>
        <v>21.596035768359464</v>
      </c>
      <c r="AL13" s="24">
        <f t="shared" si="6"/>
        <v>4.7362921935915869</v>
      </c>
      <c r="AO13" s="5">
        <f t="shared" si="18"/>
        <v>1555.6557986413195</v>
      </c>
      <c r="AP13" s="23">
        <f t="shared" si="19"/>
        <v>1.0222246625135807</v>
      </c>
      <c r="AQ13" s="23">
        <f t="shared" si="20"/>
        <v>1.0129402086435455</v>
      </c>
      <c r="AR13" s="23">
        <f t="shared" si="21"/>
        <v>1.0558073442896563</v>
      </c>
      <c r="AS13" s="23">
        <f t="shared" si="22"/>
        <v>1.0385494840525329</v>
      </c>
      <c r="AU13" s="23">
        <f t="shared" si="23"/>
        <v>1.0468319419380909</v>
      </c>
    </row>
    <row r="14" spans="1:47" x14ac:dyDescent="0.2">
      <c r="A14" s="214">
        <f t="shared" si="24"/>
        <v>1.4641380402172999E-2</v>
      </c>
      <c r="C14">
        <f t="shared" si="25"/>
        <v>1989</v>
      </c>
      <c r="D14" s="432">
        <f>Total_stock_SF!AX19</f>
        <v>62324.111633229644</v>
      </c>
      <c r="E14" s="432">
        <f>Total_stock_MF!AX19</f>
        <v>24511.519850790752</v>
      </c>
      <c r="F14" s="432">
        <f>Total_stock_MH!AX19</f>
        <v>5406.6780725536564</v>
      </c>
      <c r="G14" s="257">
        <f t="shared" si="7"/>
        <v>92242.309556574051</v>
      </c>
      <c r="H14" s="257"/>
      <c r="I14" s="257">
        <f t="shared" si="0"/>
        <v>62324.1116332292</v>
      </c>
      <c r="J14" s="257">
        <f t="shared" si="1"/>
        <v>24511.519850790584</v>
      </c>
      <c r="K14" s="257">
        <f t="shared" si="2"/>
        <v>5406.6780725536737</v>
      </c>
      <c r="L14" s="257"/>
      <c r="M14" s="258">
        <f t="shared" si="8"/>
        <v>0.67565645236804295</v>
      </c>
      <c r="N14" s="258">
        <f t="shared" si="9"/>
        <v>0.26572968487695275</v>
      </c>
      <c r="O14" s="258">
        <f t="shared" si="10"/>
        <v>5.861386275500434E-2</v>
      </c>
      <c r="P14" s="257"/>
      <c r="Q14" s="432">
        <f>Total_stock_SF!BX19</f>
        <v>1886.7306152316403</v>
      </c>
      <c r="R14" s="432">
        <f>Total_stock_MF!CT19</f>
        <v>903.78044777109062</v>
      </c>
      <c r="S14" s="432">
        <f>Total_stock_MH!CD19</f>
        <v>916.44042232277525</v>
      </c>
      <c r="U14" s="436">
        <f t="shared" si="11"/>
        <v>117.58880948552878</v>
      </c>
      <c r="V14" s="436">
        <f t="shared" si="12"/>
        <v>22.153032386297642</v>
      </c>
      <c r="W14" s="436">
        <f t="shared" si="13"/>
        <v>4.9548983361743613</v>
      </c>
      <c r="X14" s="436">
        <f t="shared" si="14"/>
        <v>144.69674020800079</v>
      </c>
      <c r="AB14" s="24">
        <f t="shared" si="3"/>
        <v>117.27428604964437</v>
      </c>
      <c r="AC14" s="24">
        <f t="shared" si="3"/>
        <v>22.449669307465207</v>
      </c>
      <c r="AD14" s="24">
        <f t="shared" si="3"/>
        <v>4.9393929272223449</v>
      </c>
      <c r="AF14" s="262">
        <f t="shared" si="15"/>
        <v>1.0026819471384483</v>
      </c>
      <c r="AG14" s="262">
        <f t="shared" si="16"/>
        <v>0.98678657947674431</v>
      </c>
      <c r="AH14" s="262">
        <f t="shared" si="17"/>
        <v>1.0031391325169865</v>
      </c>
      <c r="AJ14" s="24">
        <f t="shared" si="4"/>
        <v>117.5888094855288</v>
      </c>
      <c r="AK14" s="24">
        <f t="shared" si="5"/>
        <v>22.153032386297642</v>
      </c>
      <c r="AL14" s="24">
        <f t="shared" si="6"/>
        <v>4.9548983361743613</v>
      </c>
      <c r="AO14" s="5">
        <f t="shared" si="18"/>
        <v>1568.6591207829135</v>
      </c>
      <c r="AP14" s="23">
        <f t="shared" si="19"/>
        <v>1.0307691725519552</v>
      </c>
      <c r="AQ14" s="23">
        <f t="shared" si="20"/>
        <v>1.0203564253630624</v>
      </c>
      <c r="AR14" s="23">
        <f t="shared" si="21"/>
        <v>1.0668172782284089</v>
      </c>
      <c r="AS14" s="23">
        <f t="shared" si="22"/>
        <v>1.0687148217636022</v>
      </c>
      <c r="AU14" s="23">
        <f t="shared" si="23"/>
        <v>1.062159006617152</v>
      </c>
    </row>
    <row r="15" spans="1:47" x14ac:dyDescent="0.2">
      <c r="A15" s="214">
        <f t="shared" si="24"/>
        <v>6.1153031044784978E-3</v>
      </c>
      <c r="C15">
        <f t="shared" si="25"/>
        <v>1990</v>
      </c>
      <c r="D15" s="432">
        <f>Total_stock_SF!AX20</f>
        <v>62786.919234947789</v>
      </c>
      <c r="E15" s="432">
        <f>Total_stock_MF!AX20</f>
        <v>24467.291491390042</v>
      </c>
      <c r="F15" s="432">
        <f>Total_stock_MH!AX20</f>
        <v>5552.1885122318099</v>
      </c>
      <c r="G15" s="257">
        <f t="shared" si="7"/>
        <v>92806.399238569633</v>
      </c>
      <c r="H15" s="257"/>
      <c r="I15" s="257">
        <f t="shared" si="0"/>
        <v>62786.919234946785</v>
      </c>
      <c r="J15" s="257">
        <f t="shared" si="1"/>
        <v>24467.291491389857</v>
      </c>
      <c r="K15" s="257">
        <f t="shared" si="2"/>
        <v>5552.1885122318126</v>
      </c>
      <c r="L15" s="257"/>
      <c r="M15" s="258">
        <f t="shared" si="8"/>
        <v>0.67653652927043018</v>
      </c>
      <c r="N15" s="258">
        <f t="shared" si="9"/>
        <v>0.26363797854600551</v>
      </c>
      <c r="O15" s="258">
        <f t="shared" si="10"/>
        <v>5.9825492183564456E-2</v>
      </c>
      <c r="P15" s="257"/>
      <c r="Q15" s="432">
        <f>Total_stock_SF!BX20</f>
        <v>1900.3434366128959</v>
      </c>
      <c r="R15" s="432">
        <f>Total_stock_MF!CT20</f>
        <v>910.86068802259297</v>
      </c>
      <c r="S15" s="432">
        <f>Total_stock_MH!CD20</f>
        <v>942.30769230769226</v>
      </c>
      <c r="U15" s="436">
        <f t="shared" si="11"/>
        <v>119.31670987327701</v>
      </c>
      <c r="V15" s="436">
        <f t="shared" si="12"/>
        <v>22.28629396189687</v>
      </c>
      <c r="W15" s="436">
        <f t="shared" si="13"/>
        <v>5.2318699442184364</v>
      </c>
      <c r="X15" s="436">
        <f t="shared" si="14"/>
        <v>146.8348737793923</v>
      </c>
      <c r="AB15" s="24">
        <f t="shared" si="3"/>
        <v>119.04293816390768</v>
      </c>
      <c r="AC15" s="24">
        <f t="shared" si="3"/>
        <v>22.579104557987513</v>
      </c>
      <c r="AD15" s="24">
        <f t="shared" si="3"/>
        <v>5.2136425773548947</v>
      </c>
      <c r="AF15" s="262">
        <f t="shared" si="15"/>
        <v>1.0022997727844416</v>
      </c>
      <c r="AG15" s="262">
        <f t="shared" si="16"/>
        <v>0.98703178882321707</v>
      </c>
      <c r="AH15" s="262">
        <f t="shared" si="17"/>
        <v>1.0034960906109505</v>
      </c>
      <c r="AJ15" s="24">
        <f t="shared" si="4"/>
        <v>119.31670987327701</v>
      </c>
      <c r="AK15" s="24">
        <f t="shared" si="5"/>
        <v>22.286293961896867</v>
      </c>
      <c r="AL15" s="24">
        <f t="shared" si="6"/>
        <v>5.2318699442184364</v>
      </c>
      <c r="AO15" s="5">
        <f t="shared" si="18"/>
        <v>1582.1632450358966</v>
      </c>
      <c r="AP15" s="23">
        <f t="shared" si="19"/>
        <v>1.0396427606998626</v>
      </c>
      <c r="AQ15" s="23">
        <f t="shared" si="20"/>
        <v>1.0277183294163226</v>
      </c>
      <c r="AR15" s="23">
        <f t="shared" si="21"/>
        <v>1.0751747533795244</v>
      </c>
      <c r="AS15" s="23">
        <f t="shared" si="22"/>
        <v>1.0988801594746715</v>
      </c>
      <c r="AU15" s="23">
        <f t="shared" si="23"/>
        <v>1.0686544308877677</v>
      </c>
    </row>
    <row r="16" spans="1:47" x14ac:dyDescent="0.2">
      <c r="A16" s="214">
        <f t="shared" si="24"/>
        <v>4.5713409774761349E-3</v>
      </c>
      <c r="C16">
        <f t="shared" si="25"/>
        <v>1991</v>
      </c>
      <c r="D16" s="432">
        <f>Total_stock_SF!AX21</f>
        <v>63159.113829139533</v>
      </c>
      <c r="E16" s="432">
        <f>Total_stock_MF!AX21</f>
        <v>24382.03054261408</v>
      </c>
      <c r="F16" s="432">
        <f>Total_stock_MH!AX21</f>
        <v>5689.5045626273059</v>
      </c>
      <c r="G16" s="257">
        <f t="shared" si="7"/>
        <v>93230.648934380923</v>
      </c>
      <c r="H16" s="257"/>
      <c r="I16" s="257">
        <f t="shared" si="0"/>
        <v>63159.113829137968</v>
      </c>
      <c r="J16" s="257">
        <f t="shared" si="1"/>
        <v>24382.030542613884</v>
      </c>
      <c r="K16" s="257">
        <f t="shared" si="2"/>
        <v>5689.5045626272922</v>
      </c>
      <c r="L16" s="257"/>
      <c r="M16" s="258">
        <f t="shared" si="8"/>
        <v>0.67745011486075979</v>
      </c>
      <c r="N16" s="258">
        <f t="shared" si="9"/>
        <v>0.26152376735868299</v>
      </c>
      <c r="O16" s="258">
        <f t="shared" si="10"/>
        <v>6.1026117780557158E-2</v>
      </c>
      <c r="P16" s="257"/>
      <c r="Q16" s="432">
        <f>Total_stock_SF!BX21</f>
        <v>1911.5195446207103</v>
      </c>
      <c r="R16" s="432">
        <f>Total_stock_MF!CT21</f>
        <v>914.03321049776605</v>
      </c>
      <c r="S16" s="432">
        <f>Total_stock_MH!CD21</f>
        <v>957.90209790209792</v>
      </c>
      <c r="U16" s="436">
        <f t="shared" si="11"/>
        <v>120.7298805053244</v>
      </c>
      <c r="V16" s="436">
        <f t="shared" si="12"/>
        <v>22.285985655320136</v>
      </c>
      <c r="W16" s="436">
        <f t="shared" si="13"/>
        <v>5.449988356564254</v>
      </c>
      <c r="X16" s="436">
        <f t="shared" si="14"/>
        <v>148.46585451720881</v>
      </c>
      <c r="AB16" s="24">
        <f t="shared" si="3"/>
        <v>120.49827896004983</v>
      </c>
      <c r="AC16" s="24">
        <f t="shared" si="3"/>
        <v>22.573027750678634</v>
      </c>
      <c r="AD16" s="24">
        <f t="shared" si="3"/>
        <v>5.4290685114719501</v>
      </c>
      <c r="AF16" s="262">
        <f t="shared" si="15"/>
        <v>1.0019220319765012</v>
      </c>
      <c r="AG16" s="262">
        <f t="shared" si="16"/>
        <v>0.98728384607820863</v>
      </c>
      <c r="AH16" s="262">
        <f t="shared" si="17"/>
        <v>1.0038533028360388</v>
      </c>
      <c r="AJ16" s="24">
        <f t="shared" si="4"/>
        <v>120.7298805053244</v>
      </c>
      <c r="AK16" s="24">
        <f t="shared" si="5"/>
        <v>22.285985655320136</v>
      </c>
      <c r="AL16" s="24">
        <f t="shared" si="6"/>
        <v>5.449988356564254</v>
      </c>
      <c r="AO16" s="5">
        <f t="shared" si="18"/>
        <v>1592.4575900110319</v>
      </c>
      <c r="AP16" s="23">
        <f t="shared" si="19"/>
        <v>1.0464071962049382</v>
      </c>
      <c r="AQ16" s="23">
        <f t="shared" si="20"/>
        <v>1.0337624427223044</v>
      </c>
      <c r="AR16" s="23">
        <f t="shared" si="21"/>
        <v>1.0789195807880276</v>
      </c>
      <c r="AS16" s="23">
        <f t="shared" si="22"/>
        <v>1.1170657086815623</v>
      </c>
      <c r="AU16" s="23">
        <f t="shared" si="23"/>
        <v>1.0735396146784464</v>
      </c>
    </row>
    <row r="17" spans="1:55" x14ac:dyDescent="0.2">
      <c r="A17" s="214">
        <f t="shared" si="24"/>
        <v>1.6596854326186961E-2</v>
      </c>
      <c r="C17">
        <f t="shared" si="25"/>
        <v>1992</v>
      </c>
      <c r="D17" s="432">
        <f>Total_stock_SF!AX22</f>
        <v>64332.192168461639</v>
      </c>
      <c r="E17" s="432">
        <f>Total_stock_MF!AX22</f>
        <v>24704.927760009377</v>
      </c>
      <c r="F17" s="432">
        <f>Total_stock_MH!AX22</f>
        <v>5740.8645050097111</v>
      </c>
      <c r="G17" s="257">
        <f t="shared" si="7"/>
        <v>94777.984433480728</v>
      </c>
      <c r="H17" s="257"/>
      <c r="I17" s="257">
        <f t="shared" si="0"/>
        <v>64332.192168460329</v>
      </c>
      <c r="J17" s="257">
        <f t="shared" si="1"/>
        <v>24704.927760009297</v>
      </c>
      <c r="K17" s="257">
        <f t="shared" si="2"/>
        <v>5740.864505009702</v>
      </c>
      <c r="L17" s="257"/>
      <c r="M17" s="258">
        <f t="shared" si="8"/>
        <v>0.67876725331305965</v>
      </c>
      <c r="N17" s="258">
        <f t="shared" si="9"/>
        <v>0.2606610375571804</v>
      </c>
      <c r="O17" s="258">
        <f t="shared" si="10"/>
        <v>6.0571709129759954E-2</v>
      </c>
      <c r="P17" s="257"/>
      <c r="Q17" s="432">
        <f>Total_stock_SF!BX22</f>
        <v>1927.3581296870789</v>
      </c>
      <c r="R17" s="432">
        <f>Total_stock_MF!CT22</f>
        <v>914.61950593224753</v>
      </c>
      <c r="S17" s="432">
        <f>Total_stock_MH!CD22</f>
        <v>973.49650349650358</v>
      </c>
      <c r="U17" s="436">
        <f t="shared" si="11"/>
        <v>123.99117357647596</v>
      </c>
      <c r="V17" s="436">
        <f t="shared" si="12"/>
        <v>22.595608821951643</v>
      </c>
      <c r="W17" s="436">
        <f t="shared" si="13"/>
        <v>5.5887115226741395</v>
      </c>
      <c r="X17" s="436">
        <f t="shared" si="14"/>
        <v>152.17549392110175</v>
      </c>
      <c r="AB17" s="24">
        <f t="shared" si="3"/>
        <v>123.79083616814124</v>
      </c>
      <c r="AC17" s="24">
        <f t="shared" si="3"/>
        <v>22.884014904901246</v>
      </c>
      <c r="AD17" s="24">
        <f t="shared" si="3"/>
        <v>5.5733284435946775</v>
      </c>
      <c r="AF17" s="262">
        <f t="shared" si="15"/>
        <v>1.0016183541087209</v>
      </c>
      <c r="AG17" s="262">
        <f t="shared" si="16"/>
        <v>0.98739705055480309</v>
      </c>
      <c r="AH17" s="262">
        <f t="shared" si="17"/>
        <v>1.0027601242659836</v>
      </c>
      <c r="AJ17" s="24">
        <f t="shared" si="4"/>
        <v>123.99117357647594</v>
      </c>
      <c r="AK17" s="24">
        <f t="shared" si="5"/>
        <v>22.595608821951643</v>
      </c>
      <c r="AL17" s="24">
        <f t="shared" si="6"/>
        <v>5.5887115226741404</v>
      </c>
      <c r="AO17" s="5">
        <f t="shared" si="18"/>
        <v>1605.5996002732584</v>
      </c>
      <c r="AP17" s="23">
        <f t="shared" si="19"/>
        <v>1.055042838495982</v>
      </c>
      <c r="AQ17" s="23">
        <f t="shared" si="20"/>
        <v>1.0423280545328408</v>
      </c>
      <c r="AR17" s="23">
        <f t="shared" si="21"/>
        <v>1.0796116405700176</v>
      </c>
      <c r="AS17" s="23">
        <f t="shared" si="22"/>
        <v>1.135251257888453</v>
      </c>
      <c r="AU17" s="23">
        <f t="shared" si="23"/>
        <v>1.0913569952766555</v>
      </c>
    </row>
    <row r="18" spans="1:55" x14ac:dyDescent="0.2">
      <c r="A18" s="214">
        <f t="shared" si="24"/>
        <v>1.7287299287831459E-2</v>
      </c>
      <c r="C18">
        <f t="shared" si="25"/>
        <v>1993</v>
      </c>
      <c r="D18" s="432">
        <f>Total_stock_SF!AX23</f>
        <v>65600.901694012136</v>
      </c>
      <c r="E18" s="432">
        <f>Total_stock_MF!AX23</f>
        <v>25003.987841095812</v>
      </c>
      <c r="F18" s="432">
        <f>Total_stock_MH!AX23</f>
        <v>5811.5502811718106</v>
      </c>
      <c r="G18" s="257">
        <f t="shared" si="7"/>
        <v>96416.439816279744</v>
      </c>
      <c r="H18" s="257"/>
      <c r="I18" s="257">
        <f t="shared" si="0"/>
        <v>65600.901694011074</v>
      </c>
      <c r="J18" s="257">
        <f t="shared" si="1"/>
        <v>25003.987841095848</v>
      </c>
      <c r="K18" s="257">
        <f t="shared" si="2"/>
        <v>5811.5502811718061</v>
      </c>
      <c r="L18" s="257"/>
      <c r="M18" s="258">
        <f t="shared" si="8"/>
        <v>0.68039124675225293</v>
      </c>
      <c r="N18" s="258">
        <f t="shared" si="9"/>
        <v>0.259333241185223</v>
      </c>
      <c r="O18" s="258">
        <f t="shared" si="10"/>
        <v>6.0275512062524225E-2</v>
      </c>
      <c r="P18" s="257"/>
      <c r="Q18" s="432">
        <f>Total_stock_SF!BX23</f>
        <v>1942.5931442659185</v>
      </c>
      <c r="R18" s="432">
        <f>Total_stock_MF!CT23</f>
        <v>913.45934998677967</v>
      </c>
      <c r="S18" s="432">
        <f>Total_stock_MH!CD23</f>
        <v>989.09090909090912</v>
      </c>
      <c r="U18" s="436">
        <f t="shared" si="11"/>
        <v>127.43586188845045</v>
      </c>
      <c r="V18" s="436">
        <f t="shared" si="12"/>
        <v>22.840126480404724</v>
      </c>
      <c r="W18" s="436">
        <f t="shared" si="13"/>
        <v>5.7481515508317544</v>
      </c>
      <c r="X18" s="436">
        <f t="shared" si="14"/>
        <v>156.02413991968692</v>
      </c>
      <c r="AB18" s="24">
        <f t="shared" si="3"/>
        <v>127.27123164501023</v>
      </c>
      <c r="AC18" s="24">
        <f t="shared" si="3"/>
        <v>23.128922092039573</v>
      </c>
      <c r="AD18" s="24">
        <f t="shared" si="3"/>
        <v>5.738572014782001</v>
      </c>
      <c r="AF18" s="262">
        <f t="shared" si="15"/>
        <v>1.001293538542154</v>
      </c>
      <c r="AG18" s="262">
        <f t="shared" si="16"/>
        <v>0.98751365885164855</v>
      </c>
      <c r="AH18" s="262">
        <f t="shared" si="17"/>
        <v>1.001669324010412</v>
      </c>
      <c r="AJ18" s="24">
        <f t="shared" si="4"/>
        <v>127.43586188845046</v>
      </c>
      <c r="AK18" s="24">
        <f t="shared" si="5"/>
        <v>22.84012648040472</v>
      </c>
      <c r="AL18" s="24">
        <f t="shared" si="6"/>
        <v>5.7481515508317553</v>
      </c>
      <c r="AO18" s="5">
        <f t="shared" si="18"/>
        <v>1618.2317063043279</v>
      </c>
      <c r="AP18" s="23">
        <f t="shared" si="19"/>
        <v>1.0633434216556525</v>
      </c>
      <c r="AQ18" s="23">
        <f t="shared" si="20"/>
        <v>1.05056725142217</v>
      </c>
      <c r="AR18" s="23">
        <f t="shared" si="21"/>
        <v>1.0782421991187041</v>
      </c>
      <c r="AS18" s="23">
        <f t="shared" si="22"/>
        <v>1.1534368070953438</v>
      </c>
      <c r="AU18" s="23">
        <f t="shared" si="23"/>
        <v>1.1102236102838716</v>
      </c>
    </row>
    <row r="19" spans="1:55" x14ac:dyDescent="0.2">
      <c r="A19" s="214">
        <f t="shared" si="24"/>
        <v>1.3887950615962152E-2</v>
      </c>
      <c r="C19">
        <f t="shared" si="25"/>
        <v>1994</v>
      </c>
      <c r="D19" s="432">
        <f>Total_stock_SF!AX24</f>
        <v>66626.762165794571</v>
      </c>
      <c r="E19" s="432">
        <f>Total_stock_MF!AX24</f>
        <v>25175.615309624442</v>
      </c>
      <c r="F19" s="432">
        <f>Total_stock_MH!AX24</f>
        <v>5953.0890955961122</v>
      </c>
      <c r="G19" s="257">
        <f t="shared" si="7"/>
        <v>97755.466571015117</v>
      </c>
      <c r="H19" s="257"/>
      <c r="I19" s="257">
        <f t="shared" si="0"/>
        <v>66626.762165794949</v>
      </c>
      <c r="J19" s="257">
        <f t="shared" si="1"/>
        <v>25175.615309624452</v>
      </c>
      <c r="K19" s="257">
        <f t="shared" si="2"/>
        <v>5953.0890955961077</v>
      </c>
      <c r="L19" s="257"/>
      <c r="M19" s="258">
        <f t="shared" si="8"/>
        <v>0.68156558914680343</v>
      </c>
      <c r="N19" s="258">
        <f t="shared" si="9"/>
        <v>0.25753664928124964</v>
      </c>
      <c r="O19" s="258">
        <f t="shared" si="10"/>
        <v>6.0897761571946984E-2</v>
      </c>
      <c r="P19" s="257"/>
      <c r="Q19" s="432">
        <f>Total_stock_SF!BX24</f>
        <v>1958.9665470585048</v>
      </c>
      <c r="R19" s="432">
        <f>Total_stock_MF!CT24</f>
        <v>914.16276925399563</v>
      </c>
      <c r="S19" s="432">
        <f>Total_stock_MH!CD24</f>
        <v>998.20392109726617</v>
      </c>
      <c r="U19" s="436">
        <f t="shared" si="11"/>
        <v>130.51959822161481</v>
      </c>
      <c r="V19" s="436">
        <f t="shared" si="12"/>
        <v>23.014610209119567</v>
      </c>
      <c r="W19" s="436">
        <f t="shared" si="13"/>
        <v>5.9423968778654164</v>
      </c>
      <c r="X19" s="436">
        <f t="shared" si="14"/>
        <v>159.4766053085998</v>
      </c>
      <c r="AB19" s="24">
        <f t="shared" si="3"/>
        <v>130.43022432078018</v>
      </c>
      <c r="AC19" s="24">
        <f t="shared" si="3"/>
        <v>23.293263634302974</v>
      </c>
      <c r="AD19" s="24">
        <f t="shared" si="3"/>
        <v>5.9328579347211265</v>
      </c>
      <c r="AF19" s="262">
        <f t="shared" si="15"/>
        <v>1.0006852238528305</v>
      </c>
      <c r="AG19" s="262">
        <f t="shared" si="16"/>
        <v>0.98803716690120458</v>
      </c>
      <c r="AH19" s="262">
        <f t="shared" si="17"/>
        <v>1.0016078158704027</v>
      </c>
      <c r="AJ19" s="24">
        <f t="shared" si="4"/>
        <v>130.51959822161481</v>
      </c>
      <c r="AK19" s="24">
        <f t="shared" si="5"/>
        <v>23.014610209119567</v>
      </c>
      <c r="AL19" s="24">
        <f t="shared" si="6"/>
        <v>5.9423968778654155</v>
      </c>
      <c r="AO19" s="5">
        <f t="shared" si="18"/>
        <v>1631.3829896433153</v>
      </c>
      <c r="AP19" s="23">
        <f t="shared" si="19"/>
        <v>1.0719851573047325</v>
      </c>
      <c r="AQ19" s="23">
        <f t="shared" si="20"/>
        <v>1.0594220962047793</v>
      </c>
      <c r="AR19" s="23">
        <f t="shared" si="21"/>
        <v>1.0790725112038519</v>
      </c>
      <c r="AS19" s="23">
        <f t="shared" si="22"/>
        <v>1.164064023840562</v>
      </c>
      <c r="AU19" s="23">
        <f t="shared" si="23"/>
        <v>1.1256423409561691</v>
      </c>
    </row>
    <row r="20" spans="1:55" x14ac:dyDescent="0.2">
      <c r="A20" s="214">
        <f t="shared" si="24"/>
        <v>1.4323188098023465E-2</v>
      </c>
      <c r="C20">
        <f t="shared" si="25"/>
        <v>1995</v>
      </c>
      <c r="D20" s="432">
        <f>Total_stock_SF!AX25</f>
        <v>67665.606899906808</v>
      </c>
      <c r="E20" s="432">
        <f>Total_stock_MF!AX25</f>
        <v>25371.686638554533</v>
      </c>
      <c r="F20" s="432">
        <f>Total_stock_MH!AX25</f>
        <v>6118.3429678604789</v>
      </c>
      <c r="G20" s="257">
        <f t="shared" si="7"/>
        <v>99155.636506321811</v>
      </c>
      <c r="H20" s="257"/>
      <c r="I20" s="257">
        <f t="shared" si="0"/>
        <v>67665.606899908671</v>
      </c>
      <c r="J20" s="257">
        <f t="shared" si="1"/>
        <v>25371.686638554525</v>
      </c>
      <c r="K20" s="257">
        <f t="shared" si="2"/>
        <v>6118.3429678604734</v>
      </c>
      <c r="L20" s="257"/>
      <c r="M20" s="258">
        <f t="shared" si="8"/>
        <v>0.682418158806259</v>
      </c>
      <c r="N20" s="258">
        <f t="shared" si="9"/>
        <v>0.25587740175453288</v>
      </c>
      <c r="O20" s="258">
        <f t="shared" si="10"/>
        <v>6.1704439439208232E-2</v>
      </c>
      <c r="P20" s="257"/>
      <c r="Q20" s="432">
        <f>Total_stock_SF!BX25</f>
        <v>1971.0324425429283</v>
      </c>
      <c r="R20" s="432">
        <f>Total_stock_MF!CT25</f>
        <v>918.17019983377509</v>
      </c>
      <c r="S20" s="432">
        <f>Total_stock_MH!CD25</f>
        <v>1007.3169331036232</v>
      </c>
      <c r="U20" s="436">
        <f t="shared" si="11"/>
        <v>133.37110644407292</v>
      </c>
      <c r="V20" s="436">
        <f t="shared" si="12"/>
        <v>23.295526591041533</v>
      </c>
      <c r="W20" s="436">
        <f t="shared" si="13"/>
        <v>6.1631104740613374</v>
      </c>
      <c r="X20" s="436">
        <f t="shared" si="14"/>
        <v>162.82974350917578</v>
      </c>
      <c r="AB20" s="24">
        <f t="shared" si="3"/>
        <v>133.3627995410946</v>
      </c>
      <c r="AC20" s="24">
        <f t="shared" si="3"/>
        <v>23.564784477336364</v>
      </c>
      <c r="AD20" s="24">
        <f t="shared" si="3"/>
        <v>6.1535950759449456</v>
      </c>
      <c r="AF20" s="262">
        <f t="shared" si="15"/>
        <v>1.0000622880069023</v>
      </c>
      <c r="AG20" s="262">
        <f t="shared" si="16"/>
        <v>0.98857371742339539</v>
      </c>
      <c r="AH20" s="262">
        <f t="shared" si="17"/>
        <v>1.0015463152838231</v>
      </c>
      <c r="AJ20" s="24">
        <f t="shared" si="4"/>
        <v>133.37110644407292</v>
      </c>
      <c r="AK20" s="24">
        <f t="shared" si="5"/>
        <v>23.295526591041533</v>
      </c>
      <c r="AL20" s="24">
        <f t="shared" si="6"/>
        <v>6.1631104740613383</v>
      </c>
      <c r="AO20" s="5">
        <f t="shared" si="18"/>
        <v>1642.1632621842364</v>
      </c>
      <c r="AP20" s="23">
        <f t="shared" si="19"/>
        <v>1.0790688968244722</v>
      </c>
      <c r="AQ20" s="23">
        <f t="shared" si="20"/>
        <v>1.0659474124772239</v>
      </c>
      <c r="AR20" s="23">
        <f t="shared" si="21"/>
        <v>1.0838028593701052</v>
      </c>
      <c r="AS20" s="23">
        <f t="shared" si="22"/>
        <v>1.1746912405857801</v>
      </c>
      <c r="AU20" s="23">
        <f t="shared" si="23"/>
        <v>1.1417651279367838</v>
      </c>
    </row>
    <row r="21" spans="1:55" x14ac:dyDescent="0.2">
      <c r="A21" s="214">
        <f t="shared" si="24"/>
        <v>8.0699540175963591E-3</v>
      </c>
      <c r="C21">
        <f t="shared" si="25"/>
        <v>1996</v>
      </c>
      <c r="D21" s="432">
        <f>Total_stock_SF!AX26</f>
        <v>68233.504719449251</v>
      </c>
      <c r="E21" s="432">
        <f>Total_stock_MF!AX26</f>
        <v>25519.031420159285</v>
      </c>
      <c r="F21" s="432">
        <f>Total_stock_MH!AX26</f>
        <v>6203.2817939047827</v>
      </c>
      <c r="G21" s="257">
        <f t="shared" si="7"/>
        <v>99955.817933513317</v>
      </c>
      <c r="H21" s="257"/>
      <c r="I21" s="257">
        <f t="shared" si="0"/>
        <v>68233.504719450168</v>
      </c>
      <c r="J21" s="257">
        <f t="shared" si="1"/>
        <v>25519.03142015931</v>
      </c>
      <c r="K21" s="257">
        <f t="shared" si="2"/>
        <v>6203.2817939047764</v>
      </c>
      <c r="L21" s="257"/>
      <c r="M21" s="258">
        <f t="shared" si="8"/>
        <v>0.68263665017313446</v>
      </c>
      <c r="N21" s="258">
        <f t="shared" si="9"/>
        <v>0.25530311239245262</v>
      </c>
      <c r="O21" s="258">
        <f t="shared" si="10"/>
        <v>6.2060237434412892E-2</v>
      </c>
      <c r="P21" s="257"/>
      <c r="Q21" s="432">
        <f>Total_stock_SF!BX26</f>
        <v>1985.8302610578116</v>
      </c>
      <c r="R21" s="432">
        <f>Total_stock_MF!CT26</f>
        <v>924.51141197744323</v>
      </c>
      <c r="S21" s="432">
        <f>Total_stock_MH!CD26</f>
        <v>1016.4299451099803</v>
      </c>
      <c r="U21" s="436">
        <f t="shared" si="11"/>
        <v>135.5001584899133</v>
      </c>
      <c r="V21" s="436">
        <f t="shared" si="12"/>
        <v>23.592635770548199</v>
      </c>
      <c r="W21" s="436">
        <f t="shared" si="13"/>
        <v>6.3052013732803776</v>
      </c>
      <c r="X21" s="436">
        <f t="shared" si="14"/>
        <v>165.39799563374189</v>
      </c>
      <c r="AB21" s="24">
        <f t="shared" si="3"/>
        <v>135.61060197649485</v>
      </c>
      <c r="AC21" s="24">
        <f t="shared" si="3"/>
        <v>23.852744132039504</v>
      </c>
      <c r="AD21" s="24">
        <f t="shared" si="3"/>
        <v>6.2982174170739746</v>
      </c>
      <c r="AF21" s="262">
        <f t="shared" si="15"/>
        <v>0.99918558368614363</v>
      </c>
      <c r="AG21" s="262">
        <f t="shared" si="16"/>
        <v>0.98909524371487634</v>
      </c>
      <c r="AH21" s="262">
        <f t="shared" si="17"/>
        <v>1.0011088782339381</v>
      </c>
      <c r="AJ21" s="24">
        <f t="shared" si="4"/>
        <v>135.5001584899133</v>
      </c>
      <c r="AK21" s="24">
        <f t="shared" si="5"/>
        <v>23.592635770548199</v>
      </c>
      <c r="AL21" s="24">
        <f t="shared" si="6"/>
        <v>6.3052013732803776</v>
      </c>
      <c r="AO21" s="5">
        <f t="shared" si="18"/>
        <v>1654.7110418701004</v>
      </c>
      <c r="AP21" s="23">
        <f t="shared" si="19"/>
        <v>1.08731406896723</v>
      </c>
      <c r="AQ21" s="23">
        <f t="shared" si="20"/>
        <v>1.0739501708366435</v>
      </c>
      <c r="AR21" s="23">
        <f t="shared" si="21"/>
        <v>1.091287989964002</v>
      </c>
      <c r="AS21" s="23">
        <f t="shared" si="22"/>
        <v>1.1853184573309983</v>
      </c>
      <c r="AU21" s="23">
        <f t="shared" si="23"/>
        <v>1.1509791200181285</v>
      </c>
    </row>
    <row r="22" spans="1:55" x14ac:dyDescent="0.2">
      <c r="A22" s="214">
        <f t="shared" si="24"/>
        <v>8.2022770449072802E-3</v>
      </c>
      <c r="C22">
        <f t="shared" si="25"/>
        <v>1997</v>
      </c>
      <c r="D22" s="432">
        <f>Total_stock_SF!AX27</f>
        <v>68812.537661046954</v>
      </c>
      <c r="E22" s="432">
        <f>Total_stock_MF!AX27</f>
        <v>25675.973436289958</v>
      </c>
      <c r="F22" s="432">
        <f>Total_stock_MH!AX27</f>
        <v>6287.1721471173805</v>
      </c>
      <c r="G22" s="257">
        <f t="shared" si="7"/>
        <v>100775.6832444543</v>
      </c>
      <c r="H22" s="257"/>
      <c r="I22" s="257">
        <f t="shared" si="0"/>
        <v>68812.537661046925</v>
      </c>
      <c r="J22" s="257">
        <f t="shared" si="1"/>
        <v>25675.97343629002</v>
      </c>
      <c r="K22" s="257">
        <f t="shared" si="2"/>
        <v>6287.1721471173723</v>
      </c>
      <c r="L22" s="257"/>
      <c r="M22" s="258">
        <f t="shared" si="8"/>
        <v>0.68282878811276848</v>
      </c>
      <c r="N22" s="258">
        <f t="shared" si="9"/>
        <v>0.25478342204842269</v>
      </c>
      <c r="O22" s="258">
        <f t="shared" si="10"/>
        <v>6.2387789838808806E-2</v>
      </c>
      <c r="P22" s="257"/>
      <c r="Q22" s="432">
        <f>Total_stock_SF!BX27</f>
        <v>1999.5975694016099</v>
      </c>
      <c r="R22" s="432">
        <f>Total_stock_MF!CT27</f>
        <v>931.19828673268592</v>
      </c>
      <c r="S22" s="432">
        <f>Total_stock_MH!CD27</f>
        <v>1025.5429571163374</v>
      </c>
      <c r="U22" s="436">
        <f t="shared" si="11"/>
        <v>137.59738305138623</v>
      </c>
      <c r="V22" s="436">
        <f t="shared" si="12"/>
        <v>23.90942247406716</v>
      </c>
      <c r="W22" s="436">
        <f t="shared" si="13"/>
        <v>6.4477651156542306</v>
      </c>
      <c r="X22" s="436">
        <f t="shared" si="14"/>
        <v>167.95457064110761</v>
      </c>
      <c r="AB22" s="24">
        <f t="shared" si="3"/>
        <v>137.82861490028102</v>
      </c>
      <c r="AC22" s="24">
        <f t="shared" si="3"/>
        <v>24.159960616510062</v>
      </c>
      <c r="AD22" s="24">
        <f t="shared" si="3"/>
        <v>6.4434362661422337</v>
      </c>
      <c r="AF22" s="262">
        <f t="shared" si="15"/>
        <v>0.99832232335018323</v>
      </c>
      <c r="AG22" s="262">
        <f t="shared" si="16"/>
        <v>0.98963002686884793</v>
      </c>
      <c r="AH22" s="262">
        <f t="shared" si="17"/>
        <v>1.0006718231287153</v>
      </c>
      <c r="AJ22" s="24">
        <f t="shared" si="4"/>
        <v>137.59738305138623</v>
      </c>
      <c r="AK22" s="24">
        <f t="shared" si="5"/>
        <v>23.909422474067156</v>
      </c>
      <c r="AL22" s="24">
        <f t="shared" si="6"/>
        <v>6.4477651156542315</v>
      </c>
      <c r="AO22" s="5">
        <f t="shared" si="18"/>
        <v>1666.6180296063653</v>
      </c>
      <c r="AP22" s="23">
        <f t="shared" si="19"/>
        <v>1.0951381753864566</v>
      </c>
      <c r="AQ22" s="23">
        <f t="shared" si="20"/>
        <v>1.0813956224634644</v>
      </c>
      <c r="AR22" s="23">
        <f t="shared" si="21"/>
        <v>1.0991811387302044</v>
      </c>
      <c r="AS22" s="23">
        <f t="shared" si="22"/>
        <v>1.1959456740762167</v>
      </c>
      <c r="AU22" s="23">
        <f t="shared" si="23"/>
        <v>1.1604197696334206</v>
      </c>
    </row>
    <row r="23" spans="1:55" x14ac:dyDescent="0.2">
      <c r="A23" s="214">
        <f t="shared" si="24"/>
        <v>1.1905525881972689E-2</v>
      </c>
      <c r="C23">
        <f t="shared" si="25"/>
        <v>1998</v>
      </c>
      <c r="D23" s="432">
        <f>Total_stock_SF!AX28</f>
        <v>69936.588812178394</v>
      </c>
      <c r="E23" s="432">
        <f>Total_stock_MF!AX28</f>
        <v>25524.063196632847</v>
      </c>
      <c r="F23" s="432">
        <f>Total_stock_MH!AX28</f>
        <v>6514.8187407833957</v>
      </c>
      <c r="G23" s="257">
        <f t="shared" si="7"/>
        <v>101975.47074959463</v>
      </c>
      <c r="H23" s="257"/>
      <c r="I23" s="257">
        <f t="shared" si="0"/>
        <v>69936.588812178379</v>
      </c>
      <c r="J23" s="257">
        <f t="shared" si="1"/>
        <v>25524.063196632855</v>
      </c>
      <c r="K23" s="257">
        <f t="shared" si="2"/>
        <v>6514.8187407833921</v>
      </c>
      <c r="L23" s="257"/>
      <c r="M23" s="258">
        <f t="shared" si="8"/>
        <v>0.68581775889920471</v>
      </c>
      <c r="N23" s="258">
        <f t="shared" si="9"/>
        <v>0.25029610561257754</v>
      </c>
      <c r="O23" s="258">
        <f t="shared" si="10"/>
        <v>6.388613548821781E-2</v>
      </c>
      <c r="P23" s="257"/>
      <c r="Q23" s="432">
        <f>Total_stock_SF!BX28</f>
        <v>2014.7570219038193</v>
      </c>
      <c r="R23" s="432">
        <f>Total_stock_MF!CT28</f>
        <v>936.21496110839507</v>
      </c>
      <c r="S23" s="432">
        <f>Total_stock_MH!CD28</f>
        <v>1034.6559691226946</v>
      </c>
      <c r="U23" s="436">
        <f t="shared" si="11"/>
        <v>140.9052333973365</v>
      </c>
      <c r="V23" s="436">
        <f t="shared" si="12"/>
        <v>23.896009832963838</v>
      </c>
      <c r="W23" s="436">
        <f t="shared" si="13"/>
        <v>6.7405960979039365</v>
      </c>
      <c r="X23" s="436">
        <f t="shared" si="14"/>
        <v>171.54183932820428</v>
      </c>
      <c r="AB23" s="24">
        <f t="shared" si="3"/>
        <v>141.25213385506368</v>
      </c>
      <c r="AC23" s="24">
        <f t="shared" si="3"/>
        <v>24.144891013988122</v>
      </c>
      <c r="AD23" s="24">
        <f t="shared" si="3"/>
        <v>6.7373368878952284</v>
      </c>
      <c r="AF23" s="262">
        <f t="shared" si="15"/>
        <v>0.99754410465697374</v>
      </c>
      <c r="AG23" s="262">
        <f t="shared" si="16"/>
        <v>0.98969218039211293</v>
      </c>
      <c r="AH23" s="262">
        <f t="shared" si="17"/>
        <v>1.000483753456735</v>
      </c>
      <c r="AJ23" s="24">
        <f t="shared" si="4"/>
        <v>140.9052333973365</v>
      </c>
      <c r="AK23" s="24">
        <f t="shared" si="5"/>
        <v>23.896009832963834</v>
      </c>
      <c r="AL23" s="24">
        <f t="shared" si="6"/>
        <v>6.7405960979039365</v>
      </c>
      <c r="AO23" s="5">
        <f t="shared" si="18"/>
        <v>1682.1872756972409</v>
      </c>
      <c r="AP23" s="23">
        <f t="shared" si="19"/>
        <v>1.1053687593914379</v>
      </c>
      <c r="AQ23" s="23">
        <f t="shared" si="20"/>
        <v>1.0895939548807907</v>
      </c>
      <c r="AR23" s="23">
        <f t="shared" si="21"/>
        <v>1.1051027925084544</v>
      </c>
      <c r="AS23" s="23">
        <f t="shared" si="22"/>
        <v>1.206572890821435</v>
      </c>
      <c r="AU23" s="23">
        <f t="shared" si="23"/>
        <v>1.1742351772347444</v>
      </c>
    </row>
    <row r="24" spans="1:55" x14ac:dyDescent="0.2">
      <c r="A24" s="214">
        <f t="shared" si="24"/>
        <v>1.2542613644521694E-2</v>
      </c>
      <c r="C24">
        <f t="shared" si="25"/>
        <v>1999</v>
      </c>
      <c r="D24" s="432">
        <f>Total_stock_SF!AX29</f>
        <v>71130.12073205215</v>
      </c>
      <c r="E24" s="432">
        <f>Total_stock_MF!AX29</f>
        <v>25381.415968516019</v>
      </c>
      <c r="F24" s="432">
        <f>Total_stock_MH!AX29</f>
        <v>6742.9729798568551</v>
      </c>
      <c r="G24" s="257">
        <f t="shared" si="7"/>
        <v>103254.50968042502</v>
      </c>
      <c r="H24" s="257"/>
      <c r="I24" s="257">
        <f t="shared" si="0"/>
        <v>71130.120732052135</v>
      </c>
      <c r="J24" s="257">
        <f t="shared" si="1"/>
        <v>25381.415968515972</v>
      </c>
      <c r="K24" s="257">
        <f t="shared" si="2"/>
        <v>6742.9729798568569</v>
      </c>
      <c r="L24" s="257"/>
      <c r="M24" s="258">
        <f t="shared" si="8"/>
        <v>0.68888149246169916</v>
      </c>
      <c r="N24" s="258">
        <f t="shared" si="9"/>
        <v>0.24581411550035015</v>
      </c>
      <c r="O24" s="258">
        <f t="shared" si="10"/>
        <v>6.5304392037950743E-2</v>
      </c>
      <c r="P24" s="257"/>
      <c r="Q24" s="432">
        <f>Total_stock_SF!BX29</f>
        <v>2031.8227956659466</v>
      </c>
      <c r="R24" s="432">
        <f>Total_stock_MF!CT29</f>
        <v>942.66151268699832</v>
      </c>
      <c r="S24" s="432">
        <f>Total_stock_MH!CD29</f>
        <v>1043.7689811290518</v>
      </c>
      <c r="U24" s="436">
        <f t="shared" si="11"/>
        <v>144.52380076185449</v>
      </c>
      <c r="V24" s="436">
        <f t="shared" si="12"/>
        <v>23.926083971019246</v>
      </c>
      <c r="W24" s="436">
        <f t="shared" si="13"/>
        <v>7.0381060369659156</v>
      </c>
      <c r="X24" s="436">
        <f t="shared" si="14"/>
        <v>175.48799076983966</v>
      </c>
      <c r="AB24" s="24">
        <f t="shared" si="3"/>
        <v>144.99078618873358</v>
      </c>
      <c r="AC24" s="24">
        <f t="shared" si="3"/>
        <v>24.173724231979133</v>
      </c>
      <c r="AD24" s="24">
        <f t="shared" si="3"/>
        <v>7.0360251011307584</v>
      </c>
      <c r="AF24" s="262">
        <f t="shared" si="15"/>
        <v>0.99677920618851446</v>
      </c>
      <c r="AG24" s="262">
        <f t="shared" si="16"/>
        <v>0.98975580847272648</v>
      </c>
      <c r="AH24" s="262">
        <f t="shared" si="17"/>
        <v>1.0002957544643811</v>
      </c>
      <c r="AJ24" s="24">
        <f t="shared" si="4"/>
        <v>144.52380076185452</v>
      </c>
      <c r="AK24" s="24">
        <f t="shared" si="5"/>
        <v>23.926083971019246</v>
      </c>
      <c r="AL24" s="24">
        <f t="shared" si="6"/>
        <v>7.0381060369659139</v>
      </c>
      <c r="AO24" s="5">
        <f t="shared" si="18"/>
        <v>1699.5673245941398</v>
      </c>
      <c r="AP24" s="23">
        <f t="shared" si="19"/>
        <v>1.1167892256884289</v>
      </c>
      <c r="AQ24" s="23">
        <f t="shared" si="20"/>
        <v>1.0988232384740084</v>
      </c>
      <c r="AR24" s="23">
        <f t="shared" si="21"/>
        <v>1.1127122651696582</v>
      </c>
      <c r="AS24" s="23">
        <f t="shared" si="22"/>
        <v>1.2172001075666534</v>
      </c>
      <c r="AU24" s="23">
        <f t="shared" si="23"/>
        <v>1.1889631553906062</v>
      </c>
    </row>
    <row r="25" spans="1:55" x14ac:dyDescent="0.2">
      <c r="A25" s="214">
        <f t="shared" si="24"/>
        <v>1.1630432976519556E-2</v>
      </c>
      <c r="C25">
        <f t="shared" si="25"/>
        <v>2000</v>
      </c>
      <c r="D25" s="432">
        <f>Total_stock_SF!AX30</f>
        <v>72060.05632791204</v>
      </c>
      <c r="E25" s="432">
        <f>Total_stock_MF!AX30</f>
        <v>25486.320106072621</v>
      </c>
      <c r="F25" s="432">
        <f>Total_stock_MH!AX30</f>
        <v>6909.0279008019343</v>
      </c>
      <c r="G25" s="257">
        <f t="shared" si="7"/>
        <v>104455.4043347866</v>
      </c>
      <c r="H25" s="257"/>
      <c r="I25" s="257">
        <f t="shared" si="0"/>
        <v>72060.056327911894</v>
      </c>
      <c r="J25" s="257">
        <f t="shared" si="1"/>
        <v>25486.320106072653</v>
      </c>
      <c r="K25" s="257">
        <f t="shared" si="2"/>
        <v>6909.0279008019461</v>
      </c>
      <c r="L25" s="257"/>
      <c r="M25" s="258">
        <f t="shared" si="8"/>
        <v>0.68986431852730867</v>
      </c>
      <c r="N25" s="258">
        <f t="shared" si="9"/>
        <v>0.2439923550952639</v>
      </c>
      <c r="O25" s="258">
        <f t="shared" si="10"/>
        <v>6.6143326377427397E-2</v>
      </c>
      <c r="P25" s="257"/>
      <c r="Q25" s="432">
        <f>Total_stock_SF!BX30</f>
        <v>2047.063356998982</v>
      </c>
      <c r="R25" s="432">
        <f>Total_stock_MF!CT30</f>
        <v>951.64999479274809</v>
      </c>
      <c r="S25" s="432">
        <f>Total_stock_MH!CD30</f>
        <v>1052.8819931354089</v>
      </c>
      <c r="U25" s="436">
        <f t="shared" si="11"/>
        <v>147.51150081215135</v>
      </c>
      <c r="V25" s="436">
        <f t="shared" si="12"/>
        <v>24.254056396230322</v>
      </c>
      <c r="W25" s="436">
        <f t="shared" si="13"/>
        <v>7.2743910668244904</v>
      </c>
      <c r="X25" s="436">
        <f t="shared" si="14"/>
        <v>179.03994827520614</v>
      </c>
      <c r="AB25" s="24">
        <f t="shared" si="3"/>
        <v>147.94737001040534</v>
      </c>
      <c r="AC25" s="24">
        <f t="shared" si="3"/>
        <v>24.483319293727877</v>
      </c>
      <c r="AD25" s="24">
        <f t="shared" si="3"/>
        <v>7.2735082497533714</v>
      </c>
      <c r="AF25" s="262">
        <f t="shared" si="15"/>
        <v>0.99705389018930635</v>
      </c>
      <c r="AG25" s="262">
        <f t="shared" si="16"/>
        <v>0.99063595524989589</v>
      </c>
      <c r="AH25" s="262">
        <f t="shared" si="17"/>
        <v>1.0001213743135782</v>
      </c>
      <c r="AJ25" s="24">
        <f t="shared" si="4"/>
        <v>147.51150081215138</v>
      </c>
      <c r="AK25" s="24">
        <f t="shared" si="5"/>
        <v>24.254056396230318</v>
      </c>
      <c r="AL25" s="24">
        <f t="shared" si="6"/>
        <v>7.2743910668244913</v>
      </c>
      <c r="AO25" s="5">
        <f t="shared" si="18"/>
        <v>1714.0324085230773</v>
      </c>
      <c r="AP25" s="23">
        <f t="shared" si="19"/>
        <v>1.1262942624391055</v>
      </c>
      <c r="AQ25" s="23">
        <f t="shared" si="20"/>
        <v>1.1070654350847806</v>
      </c>
      <c r="AR25" s="23">
        <f t="shared" si="21"/>
        <v>1.1233222181058047</v>
      </c>
      <c r="AS25" s="23">
        <f t="shared" si="22"/>
        <v>1.2278273243118716</v>
      </c>
      <c r="AU25" s="23">
        <f t="shared" si="23"/>
        <v>1.2027913116809277</v>
      </c>
    </row>
    <row r="26" spans="1:55" x14ac:dyDescent="0.2">
      <c r="A26" s="214">
        <f t="shared" si="24"/>
        <v>1.0901973205795334E-2</v>
      </c>
      <c r="C26">
        <f t="shared" si="25"/>
        <v>2001</v>
      </c>
      <c r="D26" s="432">
        <f>Total_stock_SF!AX31</f>
        <v>72979.057339432169</v>
      </c>
      <c r="E26" s="432">
        <f>Total_stock_MF!AX31</f>
        <v>25585.15288751293</v>
      </c>
      <c r="F26" s="432">
        <f>Total_stock_MH!AX31</f>
        <v>7029.9641270998618</v>
      </c>
      <c r="G26" s="257">
        <f t="shared" si="7"/>
        <v>105594.17435404495</v>
      </c>
      <c r="H26" s="257"/>
      <c r="I26" s="257">
        <f t="shared" si="0"/>
        <v>72979.057339431893</v>
      </c>
      <c r="J26" s="257">
        <f t="shared" si="1"/>
        <v>25585.152887513046</v>
      </c>
      <c r="K26" s="257">
        <f t="shared" si="2"/>
        <v>7029.9641270998827</v>
      </c>
      <c r="L26" s="257"/>
      <c r="M26" s="258">
        <f t="shared" si="8"/>
        <v>0.69112768564998572</v>
      </c>
      <c r="N26" s="258">
        <f t="shared" si="9"/>
        <v>0.2422970115920306</v>
      </c>
      <c r="O26" s="258">
        <f t="shared" si="10"/>
        <v>6.6575302757983706E-2</v>
      </c>
      <c r="P26" s="257"/>
      <c r="Q26" s="432">
        <f>Total_stock_SF!BX31</f>
        <v>2063.6263714567831</v>
      </c>
      <c r="R26" s="432">
        <f>Total_stock_MF!CT31</f>
        <v>960.01747310049757</v>
      </c>
      <c r="S26" s="432">
        <f>Total_stock_MH!CD31</f>
        <v>1061.9950051417659</v>
      </c>
      <c r="U26" s="436">
        <f t="shared" si="11"/>
        <v>150.60150728970891</v>
      </c>
      <c r="V26" s="436">
        <f t="shared" si="12"/>
        <v>24.562193823960062</v>
      </c>
      <c r="W26" s="436">
        <f t="shared" si="13"/>
        <v>7.4657867893058469</v>
      </c>
      <c r="X26" s="436">
        <f t="shared" si="14"/>
        <v>182.6294879029748</v>
      </c>
      <c r="AB26" s="24">
        <f t="shared" si="3"/>
        <v>151.00943736209405</v>
      </c>
      <c r="AC26" s="24">
        <f t="shared" si="3"/>
        <v>24.771742000910589</v>
      </c>
      <c r="AD26" s="24">
        <f t="shared" si="3"/>
        <v>7.4661820866817443</v>
      </c>
      <c r="AF26" s="262">
        <f t="shared" si="15"/>
        <v>0.99729864517402977</v>
      </c>
      <c r="AG26" s="262">
        <f t="shared" si="16"/>
        <v>0.99154083806690607</v>
      </c>
      <c r="AH26" s="262">
        <f t="shared" si="17"/>
        <v>0.99994705495107028</v>
      </c>
      <c r="AJ26" s="24">
        <f t="shared" si="4"/>
        <v>150.60150728970893</v>
      </c>
      <c r="AK26" s="24">
        <f t="shared" si="5"/>
        <v>24.562193823960062</v>
      </c>
      <c r="AL26" s="24">
        <f t="shared" si="6"/>
        <v>7.4657867893058469</v>
      </c>
      <c r="AO26" s="5">
        <f t="shared" si="18"/>
        <v>1729.5413219543668</v>
      </c>
      <c r="AP26" s="23">
        <f t="shared" si="19"/>
        <v>1.1364852017279241</v>
      </c>
      <c r="AQ26" s="23">
        <f t="shared" si="20"/>
        <v>1.1160228231130254</v>
      </c>
      <c r="AR26" s="23">
        <f t="shared" ref="AR26:AR35" si="26">R26/R$10</f>
        <v>1.1331991417059151</v>
      </c>
      <c r="AS26" s="23">
        <f t="shared" ref="AS26:AS35" si="27">S26/S$10</f>
        <v>1.2384545410570897</v>
      </c>
      <c r="AU26" s="23">
        <f t="shared" si="23"/>
        <v>1.2159041103330366</v>
      </c>
    </row>
    <row r="27" spans="1:55" x14ac:dyDescent="0.2">
      <c r="A27" s="214">
        <f t="shared" si="24"/>
        <v>7.980221749417149E-3</v>
      </c>
      <c r="C27">
        <f t="shared" si="25"/>
        <v>2002</v>
      </c>
      <c r="D27" s="432">
        <f>Total_stock_SF!AX32</f>
        <v>73712.550896338653</v>
      </c>
      <c r="E27" s="432">
        <f>Total_stock_MF!AX32</f>
        <v>25857.8459560583</v>
      </c>
      <c r="F27" s="432">
        <f>Total_stock_MH!AX32</f>
        <v>6866.4424284398992</v>
      </c>
      <c r="G27" s="257">
        <f t="shared" si="7"/>
        <v>106436.83928083685</v>
      </c>
      <c r="H27" s="257"/>
      <c r="I27" s="257">
        <f t="shared" si="0"/>
        <v>73712.550896337954</v>
      </c>
      <c r="J27" s="257">
        <f t="shared" si="1"/>
        <v>25857.84595605838</v>
      </c>
      <c r="K27" s="257">
        <f t="shared" si="2"/>
        <v>6866.4424284399056</v>
      </c>
      <c r="L27" s="257"/>
      <c r="M27" s="258">
        <f t="shared" si="8"/>
        <v>0.69254734915460836</v>
      </c>
      <c r="N27" s="258">
        <f t="shared" si="9"/>
        <v>0.24294075369742599</v>
      </c>
      <c r="O27" s="258">
        <f t="shared" si="10"/>
        <v>6.4511897147965666E-2</v>
      </c>
      <c r="P27" s="257"/>
      <c r="Q27" s="432">
        <f>Total_stock_SF!BX32</f>
        <v>2080.8927473426156</v>
      </c>
      <c r="R27" s="432">
        <f>Total_stock_MF!CT32</f>
        <v>969.41461258826155</v>
      </c>
      <c r="S27" s="432">
        <f>Total_stock_MH!CD32</f>
        <v>1061.9984984170167</v>
      </c>
      <c r="U27" s="436">
        <f t="shared" si="11"/>
        <v>153.38791254831452</v>
      </c>
      <c r="V27" s="436">
        <f t="shared" si="12"/>
        <v>25.066973719859199</v>
      </c>
      <c r="W27" s="436">
        <f t="shared" si="13"/>
        <v>7.2921515484700654</v>
      </c>
      <c r="X27" s="436">
        <f t="shared" si="14"/>
        <v>185.74703781664377</v>
      </c>
      <c r="AB27" s="24">
        <f t="shared" si="3"/>
        <v>153.77054400264956</v>
      </c>
      <c r="AC27" s="24">
        <f t="shared" si="3"/>
        <v>25.265358080558062</v>
      </c>
      <c r="AD27" s="24">
        <f t="shared" si="3"/>
        <v>7.2934992838441826</v>
      </c>
      <c r="AF27" s="262">
        <f t="shared" si="15"/>
        <v>0.99751167262353935</v>
      </c>
      <c r="AG27" s="262">
        <f t="shared" si="16"/>
        <v>0.99214796956107576</v>
      </c>
      <c r="AH27" s="262">
        <f t="shared" si="17"/>
        <v>0.99981521416241137</v>
      </c>
      <c r="AJ27" s="24">
        <f t="shared" si="4"/>
        <v>153.38791254831452</v>
      </c>
      <c r="AK27" s="24">
        <f t="shared" si="5"/>
        <v>25.066973719859199</v>
      </c>
      <c r="AL27" s="24">
        <f t="shared" si="6"/>
        <v>7.2921515484700645</v>
      </c>
      <c r="AO27" s="5">
        <f t="shared" si="18"/>
        <v>1745.1386105758415</v>
      </c>
      <c r="AP27" s="23">
        <f t="shared" si="19"/>
        <v>1.1467342125381168</v>
      </c>
      <c r="AQ27" s="23">
        <f t="shared" si="20"/>
        <v>1.1253605936646947</v>
      </c>
      <c r="AR27" s="23">
        <f t="shared" si="26"/>
        <v>1.1442914714815733</v>
      </c>
      <c r="AS27" s="23">
        <f t="shared" si="27"/>
        <v>1.2384586147698442</v>
      </c>
      <c r="AU27" s="23">
        <f t="shared" si="23"/>
        <v>1.225607294759522</v>
      </c>
    </row>
    <row r="28" spans="1:55" x14ac:dyDescent="0.2">
      <c r="A28" s="214">
        <f t="shared" si="24"/>
        <v>8.1113453846186623E-3</v>
      </c>
      <c r="C28">
        <f t="shared" si="25"/>
        <v>2003</v>
      </c>
      <c r="D28" s="432">
        <f>Total_stock_SF!AX33</f>
        <v>74489.873021846855</v>
      </c>
      <c r="E28" s="432">
        <f>Total_stock_MF!AX33</f>
        <v>26125.809563159324</v>
      </c>
      <c r="F28" s="432">
        <f>Total_stock_MH!AX33</f>
        <v>6684.5026608846902</v>
      </c>
      <c r="G28" s="257">
        <f t="shared" si="7"/>
        <v>107300.18524589087</v>
      </c>
      <c r="H28" s="257"/>
      <c r="I28" s="257">
        <f t="shared" si="0"/>
        <v>74489.873021845706</v>
      </c>
      <c r="J28" s="257">
        <f t="shared" si="1"/>
        <v>26125.809563159375</v>
      </c>
      <c r="K28" s="257">
        <f t="shared" si="2"/>
        <v>6684.5026608846838</v>
      </c>
      <c r="L28" s="257"/>
      <c r="M28" s="258">
        <f t="shared" si="8"/>
        <v>0.69421942610019394</v>
      </c>
      <c r="N28" s="258">
        <f t="shared" si="9"/>
        <v>0.24348335935570836</v>
      </c>
      <c r="O28" s="258">
        <f t="shared" si="10"/>
        <v>6.2297214544097701E-2</v>
      </c>
      <c r="P28" s="257"/>
      <c r="Q28" s="432">
        <f>Total_stock_SF!BX33</f>
        <v>2098.1730969428168</v>
      </c>
      <c r="R28" s="432">
        <f>Total_stock_MF!CT33</f>
        <v>977.25919521001674</v>
      </c>
      <c r="S28" s="432">
        <f>Total_stock_MH!CD33</f>
        <v>1062.0019916922674</v>
      </c>
      <c r="U28" s="436">
        <f t="shared" si="11"/>
        <v>156.29264756912559</v>
      </c>
      <c r="V28" s="436">
        <f t="shared" si="12"/>
        <v>25.531687627903242</v>
      </c>
      <c r="W28" s="436">
        <f t="shared" si="13"/>
        <v>7.0989551393318022</v>
      </c>
      <c r="X28" s="436">
        <f t="shared" si="14"/>
        <v>188.92329033636062</v>
      </c>
      <c r="AB28" s="24">
        <f t="shared" si="3"/>
        <v>156.65196489728569</v>
      </c>
      <c r="AC28" s="24">
        <f t="shared" si="3"/>
        <v>25.71779282546461</v>
      </c>
      <c r="AD28" s="24">
        <f t="shared" si="3"/>
        <v>7.1012033225354489</v>
      </c>
      <c r="AF28" s="262">
        <f t="shared" si="15"/>
        <v>0.99770626989329048</v>
      </c>
      <c r="AG28" s="262">
        <f t="shared" si="16"/>
        <v>0.99276356261113141</v>
      </c>
      <c r="AH28" s="262">
        <f t="shared" si="17"/>
        <v>0.99968340813499701</v>
      </c>
      <c r="AJ28" s="24">
        <f t="shared" si="4"/>
        <v>156.29264756912556</v>
      </c>
      <c r="AK28" s="24">
        <f t="shared" si="5"/>
        <v>25.531687627903242</v>
      </c>
      <c r="AL28" s="24">
        <f t="shared" si="6"/>
        <v>7.0989551393318031</v>
      </c>
      <c r="AO28" s="5">
        <f t="shared" si="18"/>
        <v>1760.6986409522119</v>
      </c>
      <c r="AP28" s="23">
        <f t="shared" si="19"/>
        <v>1.1569587408779194</v>
      </c>
      <c r="AQ28" s="23">
        <f t="shared" si="20"/>
        <v>1.1347059212937376</v>
      </c>
      <c r="AR28" s="23">
        <f t="shared" si="26"/>
        <v>1.1535511720006737</v>
      </c>
      <c r="AS28" s="23">
        <f t="shared" si="27"/>
        <v>1.2384626884825984</v>
      </c>
      <c r="AU28" s="23">
        <f t="shared" si="23"/>
        <v>1.2355486188332248</v>
      </c>
    </row>
    <row r="29" spans="1:55" x14ac:dyDescent="0.2">
      <c r="A29" s="214">
        <f t="shared" si="24"/>
        <v>1.1815825040928374E-2</v>
      </c>
      <c r="C29">
        <f t="shared" si="25"/>
        <v>2004</v>
      </c>
      <c r="D29" s="432">
        <f>Total_stock_SF!AX34</f>
        <v>75572.203911669072</v>
      </c>
      <c r="E29" s="432">
        <f>Total_stock_MF!AX34</f>
        <v>26115.169561377345</v>
      </c>
      <c r="F29" s="432">
        <f>Total_stock_MH!AX34</f>
        <v>6880.6519885691141</v>
      </c>
      <c r="G29" s="257">
        <f t="shared" si="7"/>
        <v>108568.02546161553</v>
      </c>
      <c r="H29" s="257"/>
      <c r="I29" s="257">
        <f t="shared" si="0"/>
        <v>75572.203911668301</v>
      </c>
      <c r="J29" s="257">
        <f t="shared" si="1"/>
        <v>26115.16956137737</v>
      </c>
      <c r="K29" s="257">
        <f t="shared" si="2"/>
        <v>6880.651988569105</v>
      </c>
      <c r="L29" s="257"/>
      <c r="M29" s="258">
        <f t="shared" si="8"/>
        <v>0.69608159115307666</v>
      </c>
      <c r="N29" s="258">
        <f t="shared" si="9"/>
        <v>0.2405419961387289</v>
      </c>
      <c r="O29" s="258">
        <f t="shared" si="10"/>
        <v>6.3376412708194496E-2</v>
      </c>
      <c r="P29" s="257"/>
      <c r="Q29" s="432">
        <f>Total_stock_SF!BX34</f>
        <v>2117.5026549267072</v>
      </c>
      <c r="R29" s="432">
        <f>Total_stock_MF!CT34</f>
        <v>986.73207856651766</v>
      </c>
      <c r="S29" s="432">
        <f>Total_stock_MH!CD34</f>
        <v>1062.0054849675182</v>
      </c>
      <c r="U29" s="436">
        <f t="shared" si="11"/>
        <v>160.02434242162172</v>
      </c>
      <c r="V29" s="436">
        <f t="shared" si="12"/>
        <v>25.768675543414918</v>
      </c>
      <c r="W29" s="436">
        <f t="shared" si="13"/>
        <v>7.30729015201306</v>
      </c>
      <c r="X29" s="436">
        <f t="shared" si="14"/>
        <v>193.10030811704971</v>
      </c>
      <c r="AB29" s="24">
        <f t="shared" si="3"/>
        <v>160.33622360312972</v>
      </c>
      <c r="AC29" s="24">
        <f t="shared" si="3"/>
        <v>25.942280179055711</v>
      </c>
      <c r="AD29" s="24">
        <f t="shared" si="3"/>
        <v>7.3086309800493643</v>
      </c>
      <c r="AF29" s="262">
        <f t="shared" si="15"/>
        <v>0.99805483019058761</v>
      </c>
      <c r="AG29" s="262">
        <f t="shared" si="16"/>
        <v>0.99330804252970217</v>
      </c>
      <c r="AH29" s="262">
        <f t="shared" si="17"/>
        <v>0.99981654183389956</v>
      </c>
      <c r="AJ29" s="24">
        <f t="shared" si="4"/>
        <v>160.02434242162172</v>
      </c>
      <c r="AK29" s="24">
        <f t="shared" si="5"/>
        <v>25.768675543414922</v>
      </c>
      <c r="AL29" s="24">
        <f t="shared" si="6"/>
        <v>7.3072901520130591</v>
      </c>
      <c r="AO29" s="5">
        <f t="shared" si="18"/>
        <v>1778.6112190584213</v>
      </c>
      <c r="AP29" s="23">
        <f t="shared" si="19"/>
        <v>1.1687291332265097</v>
      </c>
      <c r="AQ29" s="23">
        <f t="shared" si="20"/>
        <v>1.1451594744025204</v>
      </c>
      <c r="AR29" s="23">
        <f t="shared" si="26"/>
        <v>1.1647329094063463</v>
      </c>
      <c r="AS29" s="23">
        <f t="shared" si="27"/>
        <v>1.2384667621953527</v>
      </c>
      <c r="AU29" s="23">
        <f t="shared" si="23"/>
        <v>1.250147645142919</v>
      </c>
    </row>
    <row r="30" spans="1:55" x14ac:dyDescent="0.2">
      <c r="A30" s="214">
        <f t="shared" si="24"/>
        <v>1.255207157092042E-2</v>
      </c>
      <c r="C30">
        <f t="shared" si="25"/>
        <v>2005</v>
      </c>
      <c r="D30" s="432">
        <f>Total_stock_SF!AX35</f>
        <v>76754.012785466839</v>
      </c>
      <c r="E30" s="432">
        <f>Total_stock_MF!AX35</f>
        <v>26103.369037650591</v>
      </c>
      <c r="F30" s="432">
        <f>Total_stock_MH!AX35</f>
        <v>7073.3972644057931</v>
      </c>
      <c r="G30" s="257">
        <f t="shared" si="7"/>
        <v>109930.77908752323</v>
      </c>
      <c r="H30" s="257"/>
      <c r="I30" s="257">
        <f t="shared" si="0"/>
        <v>76754.012785466446</v>
      </c>
      <c r="J30" s="257">
        <f t="shared" si="1"/>
        <v>26103.369037650598</v>
      </c>
      <c r="K30" s="257">
        <f t="shared" si="2"/>
        <v>7073.3972644057812</v>
      </c>
      <c r="L30" s="257"/>
      <c r="M30" s="258">
        <f t="shared" si="8"/>
        <v>0.69820311856752915</v>
      </c>
      <c r="N30" s="258">
        <f t="shared" si="9"/>
        <v>0.23745277941556256</v>
      </c>
      <c r="O30" s="258">
        <f t="shared" si="10"/>
        <v>6.4344102016908197E-2</v>
      </c>
      <c r="P30" s="257"/>
      <c r="Q30" s="432">
        <f>Total_stock_SF!BX35</f>
        <v>2138.3776791572573</v>
      </c>
      <c r="R30" s="432">
        <f>Total_stock_MF!CT35</f>
        <v>995.71121877915243</v>
      </c>
      <c r="S30" s="432">
        <f>Total_stock_MH!CD35</f>
        <v>1062.008978242769</v>
      </c>
      <c r="U30" s="436">
        <f t="shared" si="11"/>
        <v>164.12906772619303</v>
      </c>
      <c r="V30" s="436">
        <f t="shared" si="12"/>
        <v>25.991417398721062</v>
      </c>
      <c r="W30" s="436">
        <f t="shared" si="13"/>
        <v>7.5120114014767934</v>
      </c>
      <c r="X30" s="436">
        <f t="shared" si="14"/>
        <v>197.6324965263909</v>
      </c>
      <c r="AB30" s="24">
        <f t="shared" si="3"/>
        <v>164.39863847567054</v>
      </c>
      <c r="AC30" s="24">
        <f t="shared" si="3"/>
        <v>26.152121230291066</v>
      </c>
      <c r="AD30" s="24">
        <f t="shared" si="3"/>
        <v>7.5123891920325319</v>
      </c>
      <c r="AF30" s="262">
        <f t="shared" si="15"/>
        <v>0.99836026166653802</v>
      </c>
      <c r="AG30" s="262">
        <f t="shared" si="16"/>
        <v>0.99385503645555662</v>
      </c>
      <c r="AH30" s="262">
        <f t="shared" si="17"/>
        <v>0.99994971099791541</v>
      </c>
      <c r="AJ30" s="24">
        <f t="shared" si="4"/>
        <v>164.129067726193</v>
      </c>
      <c r="AK30" s="24">
        <f t="shared" si="5"/>
        <v>25.991417398721065</v>
      </c>
      <c r="AL30" s="24">
        <f t="shared" si="6"/>
        <v>7.5120114014767925</v>
      </c>
      <c r="AO30" s="5">
        <f t="shared" si="18"/>
        <v>1797.7903746960847</v>
      </c>
      <c r="AP30" s="23">
        <f t="shared" si="19"/>
        <v>1.1813317963066903</v>
      </c>
      <c r="AQ30" s="23">
        <f t="shared" si="20"/>
        <v>1.1564488259036283</v>
      </c>
      <c r="AR30" s="23">
        <f t="shared" si="26"/>
        <v>1.17533183522522</v>
      </c>
      <c r="AS30" s="23">
        <f t="shared" si="27"/>
        <v>1.2384708359081071</v>
      </c>
      <c r="AU30" s="23">
        <f t="shared" si="23"/>
        <v>1.2658395878589703</v>
      </c>
    </row>
    <row r="31" spans="1:55" x14ac:dyDescent="0.2">
      <c r="A31" s="214">
        <f t="shared" si="24"/>
        <v>7.3900345717796689E-3</v>
      </c>
      <c r="C31">
        <f t="shared" si="25"/>
        <v>2006</v>
      </c>
      <c r="D31" s="432">
        <f>Total_stock_SF!AX36</f>
        <v>77519.517603069209</v>
      </c>
      <c r="E31" s="432">
        <f>Total_stock_MF!AX36</f>
        <v>26177.961703561221</v>
      </c>
      <c r="F31" s="432">
        <f>Total_stock_MH!AX36</f>
        <v>7045.6920388522722</v>
      </c>
      <c r="G31" s="257">
        <f t="shared" si="7"/>
        <v>110743.1713454827</v>
      </c>
      <c r="H31" s="257"/>
      <c r="I31" s="257">
        <f t="shared" si="0"/>
        <v>77519.517603069835</v>
      </c>
      <c r="J31" s="257">
        <f t="shared" si="1"/>
        <v>26177.96170356121</v>
      </c>
      <c r="K31" s="257">
        <f t="shared" si="2"/>
        <v>7045.6920388522631</v>
      </c>
      <c r="L31" s="257"/>
      <c r="M31" s="258">
        <f t="shared" si="8"/>
        <v>0.69999365794964918</v>
      </c>
      <c r="N31" s="258">
        <f t="shared" si="9"/>
        <v>0.23638443242603635</v>
      </c>
      <c r="O31" s="258">
        <f t="shared" si="10"/>
        <v>6.3621909624314466E-2</v>
      </c>
      <c r="P31" s="257"/>
      <c r="Q31" s="432">
        <f>Total_stock_SF!BX36</f>
        <v>2158.3309177961414</v>
      </c>
      <c r="R31" s="432">
        <f>Total_stock_MF!CT36</f>
        <v>1007.0899704272231</v>
      </c>
      <c r="S31" s="432">
        <f>Total_stock_MH!CD36</f>
        <v>1068.2567336820766</v>
      </c>
      <c r="U31" s="436">
        <f t="shared" si="11"/>
        <v>167.31277157534649</v>
      </c>
      <c r="V31" s="436">
        <f t="shared" si="12"/>
        <v>26.363562677884445</v>
      </c>
      <c r="W31" s="436">
        <f t="shared" si="13"/>
        <v>7.526607963954139</v>
      </c>
      <c r="X31" s="436">
        <f t="shared" si="14"/>
        <v>201.2029422171851</v>
      </c>
      <c r="AB31" s="24">
        <f t="shared" si="3"/>
        <v>167.55922643823175</v>
      </c>
      <c r="AC31" s="24">
        <f t="shared" si="3"/>
        <v>26.502017585523589</v>
      </c>
      <c r="AD31" s="24">
        <f t="shared" si="3"/>
        <v>7.528030757390809</v>
      </c>
      <c r="AF31" s="262">
        <f t="shared" si="15"/>
        <v>0.99852914776390356</v>
      </c>
      <c r="AG31" s="262">
        <f t="shared" si="16"/>
        <v>0.99477568425904395</v>
      </c>
      <c r="AH31" s="262">
        <f t="shared" si="17"/>
        <v>0.99981100058135752</v>
      </c>
      <c r="AJ31" s="24">
        <f t="shared" si="4"/>
        <v>167.31277157534649</v>
      </c>
      <c r="AK31" s="24">
        <f t="shared" si="5"/>
        <v>26.363562677884445</v>
      </c>
      <c r="AL31" s="24">
        <f t="shared" si="6"/>
        <v>7.5266079639541399</v>
      </c>
      <c r="AO31" s="5">
        <f t="shared" si="18"/>
        <v>1816.8428786412239</v>
      </c>
      <c r="AP31" s="23">
        <f t="shared" si="19"/>
        <v>1.1938512362961589</v>
      </c>
      <c r="AQ31" s="23">
        <f t="shared" si="20"/>
        <v>1.1672396696455094</v>
      </c>
      <c r="AR31" s="23">
        <f t="shared" si="26"/>
        <v>1.1887632486760964</v>
      </c>
      <c r="AS31" s="23">
        <f t="shared" si="27"/>
        <v>1.2457567092481534</v>
      </c>
      <c r="AU31" s="23">
        <f t="shared" si="23"/>
        <v>1.2751941861755753</v>
      </c>
    </row>
    <row r="32" spans="1:55" x14ac:dyDescent="0.2">
      <c r="A32" s="214">
        <f t="shared" si="24"/>
        <v>5.480492624376998E-3</v>
      </c>
      <c r="C32">
        <f t="shared" si="25"/>
        <v>2007</v>
      </c>
      <c r="D32" s="432">
        <f>Total_stock_SF!AX37</f>
        <v>78090.231920634731</v>
      </c>
      <c r="E32" s="432">
        <f>Total_stock_MF!AX37</f>
        <v>26248.683306408911</v>
      </c>
      <c r="F32" s="432">
        <f>Total_stock_MH!AX37</f>
        <v>7011.1832521981005</v>
      </c>
      <c r="G32" s="257">
        <f t="shared" si="7"/>
        <v>111350.09847924174</v>
      </c>
      <c r="H32" s="257"/>
      <c r="I32" s="257">
        <f t="shared" si="0"/>
        <v>78090.231920636375</v>
      </c>
      <c r="J32" s="257">
        <f t="shared" si="1"/>
        <v>26248.683306408879</v>
      </c>
      <c r="K32" s="257">
        <f t="shared" si="2"/>
        <v>7011.1832521980959</v>
      </c>
      <c r="L32" s="257"/>
      <c r="M32" s="258">
        <f t="shared" si="8"/>
        <v>0.70130366283593881</v>
      </c>
      <c r="N32" s="258">
        <f t="shared" si="9"/>
        <v>0.23573111892040471</v>
      </c>
      <c r="O32" s="258">
        <f t="shared" si="10"/>
        <v>6.2965218243656501E-2</v>
      </c>
      <c r="P32" s="257"/>
      <c r="Q32" s="432">
        <f>Total_stock_SF!BX37</f>
        <v>2168.9358849751275</v>
      </c>
      <c r="R32" s="432">
        <f>Total_stock_MF!CT37</f>
        <v>1016.2657695437792</v>
      </c>
      <c r="S32" s="432">
        <f>Total_stock_MH!CD37</f>
        <v>1074.5044891213843</v>
      </c>
      <c r="U32" s="436">
        <f t="shared" si="11"/>
        <v>169.37270627869484</v>
      </c>
      <c r="V32" s="436">
        <f t="shared" si="12"/>
        <v>26.675638339898605</v>
      </c>
      <c r="W32" s="436">
        <f t="shared" si="13"/>
        <v>7.5335478785395242</v>
      </c>
      <c r="X32" s="436">
        <f t="shared" si="14"/>
        <v>203.58189249713297</v>
      </c>
      <c r="AB32" s="24">
        <f t="shared" si="3"/>
        <v>169.60000420744015</v>
      </c>
      <c r="AC32" s="24">
        <f t="shared" si="3"/>
        <v>26.79029349264286</v>
      </c>
      <c r="AD32" s="24">
        <f t="shared" si="3"/>
        <v>7.5360172155302561</v>
      </c>
      <c r="AF32" s="262">
        <f t="shared" si="15"/>
        <v>0.9986597999816833</v>
      </c>
      <c r="AG32" s="262">
        <f t="shared" si="16"/>
        <v>0.99572027261382035</v>
      </c>
      <c r="AH32" s="262">
        <f t="shared" si="17"/>
        <v>0.99967232864255628</v>
      </c>
      <c r="AJ32" s="24">
        <f t="shared" si="4"/>
        <v>169.37270627869481</v>
      </c>
      <c r="AK32" s="24">
        <f t="shared" si="5"/>
        <v>26.675638339898605</v>
      </c>
      <c r="AL32" s="24">
        <f t="shared" si="6"/>
        <v>7.5335478785395233</v>
      </c>
      <c r="AO32" s="5">
        <f t="shared" si="18"/>
        <v>1828.3045572257431</v>
      </c>
      <c r="AP32" s="23">
        <f t="shared" si="19"/>
        <v>1.2013827291451118</v>
      </c>
      <c r="AQ32" s="23">
        <f t="shared" si="20"/>
        <v>1.1729749062047117</v>
      </c>
      <c r="AR32" s="23">
        <f t="shared" si="26"/>
        <v>1.1995943095418593</v>
      </c>
      <c r="AS32" s="23">
        <f t="shared" si="27"/>
        <v>1.2530425825881997</v>
      </c>
      <c r="AU32" s="23">
        <f t="shared" si="23"/>
        <v>1.2821828785075593</v>
      </c>
      <c r="AY32" s="5">
        <f>X73</f>
        <v>39.534348268440539</v>
      </c>
      <c r="AZ32" s="5">
        <f>X114</f>
        <v>47.806505942247668</v>
      </c>
      <c r="BA32" s="5">
        <f>X155</f>
        <v>77.198891989558163</v>
      </c>
      <c r="BB32" s="5">
        <f>X195</f>
        <v>42.433246394288012</v>
      </c>
      <c r="BC32" s="5">
        <f>SUM(AY32:BB32)</f>
        <v>206.97299259453439</v>
      </c>
    </row>
    <row r="33" spans="1:55" x14ac:dyDescent="0.2">
      <c r="A33" s="214">
        <f t="shared" si="24"/>
        <v>5.0974606383340504E-3</v>
      </c>
      <c r="C33">
        <f t="shared" si="25"/>
        <v>2008</v>
      </c>
      <c r="D33" s="432">
        <f>Total_stock_SF!AX38</f>
        <v>78796.867200672961</v>
      </c>
      <c r="E33" s="432">
        <f>Total_stock_MF!AX38</f>
        <v>26175.800568742241</v>
      </c>
      <c r="F33" s="432">
        <f>Total_stock_MH!AX38</f>
        <v>6945.033453899091</v>
      </c>
      <c r="G33" s="257">
        <f t="shared" si="7"/>
        <v>111917.70122331429</v>
      </c>
      <c r="H33" s="257"/>
      <c r="I33" s="257">
        <f t="shared" si="0"/>
        <v>78796.867200673703</v>
      </c>
      <c r="J33" s="257">
        <f t="shared" si="1"/>
        <v>26175.800568742183</v>
      </c>
      <c r="K33" s="257">
        <f t="shared" si="2"/>
        <v>6945.0334538990865</v>
      </c>
      <c r="L33" s="257"/>
      <c r="M33" s="258">
        <f t="shared" si="8"/>
        <v>0.70406080842784757</v>
      </c>
      <c r="N33" s="258">
        <f t="shared" si="9"/>
        <v>0.23388436576723928</v>
      </c>
      <c r="O33" s="258">
        <f t="shared" si="10"/>
        <v>6.2054825804913213E-2</v>
      </c>
      <c r="P33" s="257"/>
      <c r="Q33" s="432">
        <f>Total_stock_SF!BX38</f>
        <v>2176.1427273015274</v>
      </c>
      <c r="R33" s="432">
        <f>Total_stock_MF!CT38</f>
        <v>1020.6068117505304</v>
      </c>
      <c r="S33" s="432">
        <f>Total_stock_MH!CD38</f>
        <v>1080.7522445606919</v>
      </c>
      <c r="U33" s="436">
        <f t="shared" si="11"/>
        <v>171.47322949288872</v>
      </c>
      <c r="V33" s="436">
        <f t="shared" si="12"/>
        <v>26.715200363481735</v>
      </c>
      <c r="W33" s="436">
        <f t="shared" si="13"/>
        <v>7.5058604938505376</v>
      </c>
      <c r="X33" s="436">
        <f t="shared" si="14"/>
        <v>205.694290350221</v>
      </c>
      <c r="AB33" s="24">
        <f t="shared" si="3"/>
        <v>171.72599605276247</v>
      </c>
      <c r="AC33" s="24">
        <f t="shared" si="3"/>
        <v>26.811892231604681</v>
      </c>
      <c r="AD33" s="24">
        <f t="shared" si="3"/>
        <v>7.5105980087717743</v>
      </c>
      <c r="AF33" s="262">
        <f t="shared" si="15"/>
        <v>0.99852808214432431</v>
      </c>
      <c r="AG33" s="262">
        <f t="shared" si="16"/>
        <v>0.99639369473486961</v>
      </c>
      <c r="AH33" s="262">
        <f t="shared" si="17"/>
        <v>0.99936922267498496</v>
      </c>
      <c r="AJ33" s="24">
        <f t="shared" si="4"/>
        <v>171.47322949288869</v>
      </c>
      <c r="AK33" s="24">
        <f t="shared" si="5"/>
        <v>26.715200363481731</v>
      </c>
      <c r="AL33" s="24">
        <f t="shared" si="6"/>
        <v>7.5058604938505376</v>
      </c>
      <c r="AO33" s="5">
        <f t="shared" si="18"/>
        <v>1837.906676976774</v>
      </c>
      <c r="AP33" s="23">
        <f t="shared" si="19"/>
        <v>1.207692302014949</v>
      </c>
      <c r="AQ33" s="23">
        <f t="shared" si="20"/>
        <v>1.1768724143147489</v>
      </c>
      <c r="AR33" s="23">
        <f t="shared" si="26"/>
        <v>1.2047184509670275</v>
      </c>
      <c r="AS33" s="23">
        <f t="shared" si="27"/>
        <v>1.2603284559282459</v>
      </c>
      <c r="AU33" s="23">
        <f t="shared" si="23"/>
        <v>1.2887187552618973</v>
      </c>
      <c r="AY33">
        <f>AY32/$BC32</f>
        <v>0.19101211115930175</v>
      </c>
      <c r="AZ33">
        <f>AZ32/$BC32</f>
        <v>0.2309794400852187</v>
      </c>
      <c r="BA33">
        <f>BA32/$BC32</f>
        <v>0.37299017143165558</v>
      </c>
      <c r="BB33">
        <f>BB32/$BC32</f>
        <v>0.20501827732382394</v>
      </c>
      <c r="BC33">
        <f>BC32/$BC32</f>
        <v>1</v>
      </c>
    </row>
    <row r="34" spans="1:55" x14ac:dyDescent="0.2">
      <c r="A34" s="214">
        <f t="shared" si="24"/>
        <v>2.402546985627918E-3</v>
      </c>
      <c r="C34">
        <f t="shared" si="25"/>
        <v>2009</v>
      </c>
      <c r="D34" s="432">
        <f>Total_stock_SF!AX39</f>
        <v>79217.303349530834</v>
      </c>
      <c r="E34" s="432">
        <f>Total_stock_MF!AX39</f>
        <v>26098.065262214976</v>
      </c>
      <c r="F34" s="432">
        <f>Total_stock_MH!AX39</f>
        <v>6871.220147280952</v>
      </c>
      <c r="G34" s="257">
        <f t="shared" si="7"/>
        <v>112186.58875902677</v>
      </c>
      <c r="H34" s="257"/>
      <c r="I34" s="257">
        <f t="shared" si="0"/>
        <v>79217.303349530674</v>
      </c>
      <c r="J34" s="257">
        <f t="shared" si="1"/>
        <v>26098.065262214885</v>
      </c>
      <c r="K34" s="257">
        <f t="shared" si="2"/>
        <v>6871.2201472809475</v>
      </c>
      <c r="L34" s="257"/>
      <c r="M34" s="258">
        <f t="shared" si="8"/>
        <v>0.70612097422524445</v>
      </c>
      <c r="N34" s="258">
        <f t="shared" si="9"/>
        <v>0.23263088352095981</v>
      </c>
      <c r="O34" s="258">
        <f t="shared" si="10"/>
        <v>6.1248142253795726E-2</v>
      </c>
      <c r="P34" s="257"/>
      <c r="Q34" s="432">
        <f>Total_stock_SF!BX39</f>
        <v>2181.3182757931095</v>
      </c>
      <c r="R34" s="432">
        <f>Total_stock_MF!CT39</f>
        <v>1023.2875299659321</v>
      </c>
      <c r="S34" s="432">
        <f>Total_stock_MH!CD39</f>
        <v>1087</v>
      </c>
      <c r="U34" s="436">
        <f t="shared" si="11"/>
        <v>172.7981515553783</v>
      </c>
      <c r="V34" s="436">
        <f t="shared" si="12"/>
        <v>26.705824739061658</v>
      </c>
      <c r="W34" s="436">
        <f t="shared" si="13"/>
        <v>7.4690163000943945</v>
      </c>
      <c r="X34" s="436">
        <f t="shared" si="14"/>
        <v>206.97299259453433</v>
      </c>
      <c r="AB34" s="24">
        <f t="shared" si="3"/>
        <v>173.07586028381715</v>
      </c>
      <c r="AC34" s="24">
        <f t="shared" si="3"/>
        <v>26.784068210299711</v>
      </c>
      <c r="AD34" s="24">
        <f t="shared" si="3"/>
        <v>7.4759966347253739</v>
      </c>
      <c r="AF34" s="262">
        <f t="shared" si="15"/>
        <v>0.99839545082726466</v>
      </c>
      <c r="AG34" s="262">
        <f t="shared" si="16"/>
        <v>0.99707873088495325</v>
      </c>
      <c r="AH34" s="262">
        <f t="shared" si="17"/>
        <v>0.99906630045838218</v>
      </c>
      <c r="AJ34" s="24">
        <f t="shared" si="4"/>
        <v>172.7981515553783</v>
      </c>
      <c r="AK34" s="24">
        <f t="shared" si="5"/>
        <v>26.705824739061654</v>
      </c>
      <c r="AL34" s="24">
        <f t="shared" si="6"/>
        <v>7.4690163000943937</v>
      </c>
      <c r="AO34" s="5">
        <f t="shared" si="18"/>
        <v>1844.8995988201918</v>
      </c>
      <c r="AP34" s="23">
        <f t="shared" si="19"/>
        <v>1.2122873655101096</v>
      </c>
      <c r="AQ34" s="23">
        <f t="shared" si="20"/>
        <v>1.1796713852518455</v>
      </c>
      <c r="AR34" s="23">
        <f t="shared" si="26"/>
        <v>1.2078827554364429</v>
      </c>
      <c r="AS34" s="23">
        <f t="shared" si="27"/>
        <v>1.2676143292682926</v>
      </c>
      <c r="AU34" s="23">
        <f t="shared" si="23"/>
        <v>1.2918149626226738</v>
      </c>
      <c r="AX34">
        <v>2009</v>
      </c>
      <c r="AY34" s="24">
        <f>[1]National!P75</f>
        <v>54.616392054628285</v>
      </c>
      <c r="AZ34" s="24">
        <f>[1]National!Q75</f>
        <v>70.050330941663006</v>
      </c>
      <c r="BA34" s="24">
        <f>[1]National!R75</f>
        <v>89.796580476807478</v>
      </c>
      <c r="BB34" s="24">
        <f>[1]National!S75</f>
        <v>50.575960519135343</v>
      </c>
      <c r="BC34" s="24">
        <f>[1]National!T75</f>
        <v>265.03926399223411</v>
      </c>
    </row>
    <row r="35" spans="1:55" x14ac:dyDescent="0.2">
      <c r="A35" s="214">
        <f t="shared" si="24"/>
        <v>9.2232374912091242E-3</v>
      </c>
      <c r="C35">
        <f t="shared" si="25"/>
        <v>2010</v>
      </c>
      <c r="D35" s="432">
        <f>Total_stock_SF!AX40</f>
        <v>79803.413980724203</v>
      </c>
      <c r="E35" s="432">
        <f>Total_stock_MF!AX40</f>
        <v>26494.946427234518</v>
      </c>
      <c r="F35" s="432">
        <f>Total_stock_MH!AX40</f>
        <v>6922.9519025211648</v>
      </c>
      <c r="G35" s="257">
        <f t="shared" si="7"/>
        <v>113221.31231047989</v>
      </c>
      <c r="H35" s="257"/>
      <c r="I35" s="257">
        <f t="shared" si="0"/>
        <v>79803.413980724363</v>
      </c>
      <c r="J35" s="257">
        <f t="shared" si="1"/>
        <v>26494.946427234448</v>
      </c>
      <c r="K35" s="257">
        <f t="shared" si="2"/>
        <v>6922.9519025211612</v>
      </c>
      <c r="L35" s="257"/>
      <c r="M35" s="258">
        <f t="shared" si="8"/>
        <v>0.70484445332945955</v>
      </c>
      <c r="N35" s="258">
        <f t="shared" si="9"/>
        <v>0.23401023964974937</v>
      </c>
      <c r="O35" s="258">
        <f t="shared" si="10"/>
        <v>6.1145307020791073E-2</v>
      </c>
      <c r="P35" s="257"/>
      <c r="Q35" s="432">
        <f>Total_stock_SF!BX40</f>
        <v>2184.4367550310162</v>
      </c>
      <c r="R35" s="432">
        <f>Total_stock_MF!CT40</f>
        <v>1027</v>
      </c>
      <c r="S35" s="432">
        <f>Total_stock_MH!CD40</f>
        <v>1104.3627450980393</v>
      </c>
      <c r="U35" s="436">
        <f t="shared" si="11"/>
        <v>174.32551067644999</v>
      </c>
      <c r="V35" s="436">
        <f t="shared" si="12"/>
        <v>27.21030998076985</v>
      </c>
      <c r="W35" s="436">
        <f t="shared" si="13"/>
        <v>7.6454501672499671</v>
      </c>
      <c r="X35" s="436">
        <f t="shared" si="14"/>
        <v>209.18127082446983</v>
      </c>
      <c r="AB35" s="24">
        <f t="shared" si="3"/>
        <v>174.6329229805622</v>
      </c>
      <c r="AC35" s="24">
        <f t="shared" si="3"/>
        <v>27.262423526160227</v>
      </c>
      <c r="AD35" s="24">
        <f t="shared" si="3"/>
        <v>7.6525953920597187</v>
      </c>
      <c r="AF35" s="262">
        <f t="shared" si="15"/>
        <v>0.99823966581521162</v>
      </c>
      <c r="AG35" s="262">
        <f t="shared" si="16"/>
        <v>0.99808844781021133</v>
      </c>
      <c r="AH35" s="262">
        <f t="shared" si="17"/>
        <v>0.99906630045838229</v>
      </c>
      <c r="AJ35" s="24">
        <f t="shared" si="4"/>
        <v>174.32551067644997</v>
      </c>
      <c r="AK35" s="24">
        <f t="shared" si="5"/>
        <v>27.210309980769853</v>
      </c>
      <c r="AL35" s="24">
        <f t="shared" si="6"/>
        <v>7.6454501672499671</v>
      </c>
      <c r="AO35" s="5">
        <f t="shared" si="18"/>
        <v>1847.5432456642509</v>
      </c>
      <c r="AP35" s="23">
        <f t="shared" si="19"/>
        <v>1.2140245113526114</v>
      </c>
      <c r="AQ35" s="23">
        <f t="shared" si="20"/>
        <v>1.1813578794985977</v>
      </c>
      <c r="AR35" s="23">
        <f t="shared" si="26"/>
        <v>1.212264933859329</v>
      </c>
      <c r="AS35" s="23">
        <f t="shared" si="27"/>
        <v>1.287862042682927</v>
      </c>
      <c r="AU35" s="23">
        <f t="shared" si="23"/>
        <v>1.3037296788176402</v>
      </c>
      <c r="AY35">
        <f>AY34/$BC34</f>
        <v>0.20606906022885951</v>
      </c>
      <c r="AZ35">
        <f>AZ34/$BC34</f>
        <v>0.26430171094844102</v>
      </c>
      <c r="BA35">
        <f>BA34/$BC34</f>
        <v>0.3388048213091876</v>
      </c>
      <c r="BB35">
        <f>BB34/$BC34</f>
        <v>0.1908244075135119</v>
      </c>
      <c r="BC35">
        <f>BC34/$BC34</f>
        <v>1</v>
      </c>
    </row>
    <row r="36" spans="1:55" x14ac:dyDescent="0.2">
      <c r="A36" s="214">
        <f t="shared" si="24"/>
        <v>8.611930990616079E-3</v>
      </c>
      <c r="C36" s="280">
        <f t="shared" si="25"/>
        <v>2011</v>
      </c>
      <c r="D36" s="432">
        <f>Total_stock_SF!AX41</f>
        <v>80361.696537413271</v>
      </c>
      <c r="E36" s="432">
        <f>Total_stock_MF!AX41</f>
        <v>26861.106301050586</v>
      </c>
      <c r="F36" s="432">
        <f>Total_stock_MH!AX41</f>
        <v>6973.5636003008722</v>
      </c>
      <c r="G36" s="257">
        <f>SUM(D36:F36)</f>
        <v>114196.36643876473</v>
      </c>
      <c r="I36" s="257">
        <f t="shared" si="0"/>
        <v>80361.69653741378</v>
      </c>
      <c r="J36" s="257">
        <f t="shared" si="1"/>
        <v>26861.106301050539</v>
      </c>
      <c r="K36" s="257">
        <f t="shared" si="2"/>
        <v>6973.5636003008685</v>
      </c>
      <c r="M36" s="258">
        <f t="shared" ref="M36:O38" si="28">D36/$G36</f>
        <v>0.70371500463200332</v>
      </c>
      <c r="N36" s="258">
        <f t="shared" si="28"/>
        <v>0.23521857252309564</v>
      </c>
      <c r="O36" s="258">
        <f t="shared" si="28"/>
        <v>6.1066422844901033E-2</v>
      </c>
      <c r="Q36" s="432">
        <f>Total_stock_SF!BX41</f>
        <v>2188.3259705873934</v>
      </c>
      <c r="R36" s="432">
        <f>Total_stock_MF!CT41</f>
        <v>1032.1483018307779</v>
      </c>
      <c r="S36" s="432">
        <f>Total_stock_MH!CD41</f>
        <v>1121.7254901960787</v>
      </c>
      <c r="U36" s="436">
        <f t="shared" ref="U36:W36" si="29">D36*Q36*0.000001</f>
        <v>175.85758757328446</v>
      </c>
      <c r="V36" s="436">
        <f t="shared" si="29"/>
        <v>27.724645253925367</v>
      </c>
      <c r="W36" s="436">
        <f t="shared" si="29"/>
        <v>7.822424047961027</v>
      </c>
      <c r="X36" s="436">
        <f t="shared" si="14"/>
        <v>211.40465687517084</v>
      </c>
      <c r="AB36" s="24">
        <f t="shared" si="3"/>
        <v>176.22377491477363</v>
      </c>
      <c r="AC36" s="24">
        <f t="shared" si="3"/>
        <v>27.74796125364211</v>
      </c>
      <c r="AD36" s="24">
        <f t="shared" si="3"/>
        <v>7.8297346676311816</v>
      </c>
      <c r="AF36" s="262">
        <f t="shared" ref="AF36:AH43" si="30">U36/AB36</f>
        <v>0.99792203213405084</v>
      </c>
      <c r="AG36" s="262">
        <f t="shared" si="30"/>
        <v>0.99915972206016823</v>
      </c>
      <c r="AH36" s="262">
        <f t="shared" si="30"/>
        <v>0.99906630045838241</v>
      </c>
      <c r="AJ36" s="24">
        <f t="shared" si="4"/>
        <v>175.85758757328446</v>
      </c>
      <c r="AK36" s="24">
        <f t="shared" si="5"/>
        <v>27.724645253925367</v>
      </c>
      <c r="AL36" s="24">
        <f t="shared" si="6"/>
        <v>7.8224240479610287</v>
      </c>
      <c r="AO36" s="345">
        <f t="shared" ref="AO36:AO43" si="31">X36/G36*1000000</f>
        <v>1851.2380338172309</v>
      </c>
      <c r="AP36" s="23">
        <f t="shared" ref="AP36:AP43" si="32">AO36/AO$10</f>
        <v>1.216452364336567</v>
      </c>
      <c r="AQ36" s="23">
        <f t="shared" ref="AQ36:AQ43" si="33">Q36/Q$10</f>
        <v>1.183461193056206</v>
      </c>
      <c r="AR36" s="23">
        <f t="shared" ref="AR36:AR43" si="34">R36/R$10</f>
        <v>1.2183419599336969</v>
      </c>
      <c r="AS36" s="23">
        <f t="shared" ref="AS36:AS43" si="35">S36/S$10</f>
        <v>1.3081097560975612</v>
      </c>
      <c r="AU36" s="23">
        <f t="shared" si="23"/>
        <v>1.3149573088420359</v>
      </c>
    </row>
    <row r="37" spans="1:55" s="341" customFormat="1" x14ac:dyDescent="0.2">
      <c r="A37" s="214">
        <f t="shared" si="24"/>
        <v>6.0258409183002737E-3</v>
      </c>
      <c r="C37" s="341">
        <v>2012</v>
      </c>
      <c r="D37" s="432">
        <f>Total_stock_SF!AX42</f>
        <v>80821.662745193869</v>
      </c>
      <c r="E37" s="432">
        <f>Total_stock_MF!AX42</f>
        <v>27061.270315630409</v>
      </c>
      <c r="F37" s="432">
        <f>Total_stock_MH!AX42</f>
        <v>7001.5625155483849</v>
      </c>
      <c r="G37" s="257">
        <f>SUM(D37:F37)</f>
        <v>114884.49557637266</v>
      </c>
      <c r="I37" s="257">
        <f t="shared" ref="I37:K37" si="36">D76+D117+D158+D198</f>
        <v>80821.662745194131</v>
      </c>
      <c r="J37" s="257">
        <f t="shared" si="36"/>
        <v>27061.270315630383</v>
      </c>
      <c r="K37" s="257">
        <f t="shared" si="36"/>
        <v>7001.5625155483831</v>
      </c>
      <c r="M37" s="258">
        <f t="shared" si="28"/>
        <v>0.70350365677904225</v>
      </c>
      <c r="N37" s="258">
        <f t="shared" si="28"/>
        <v>0.23555197922804716</v>
      </c>
      <c r="O37" s="258">
        <f t="shared" si="28"/>
        <v>6.0944363992910616E-2</v>
      </c>
      <c r="Q37" s="432">
        <f>Total_stock_SF!BX42</f>
        <v>2195.6739625779692</v>
      </c>
      <c r="R37" s="432">
        <f>Total_stock_MF!CT42</f>
        <v>1032.1483018307779</v>
      </c>
      <c r="S37" s="432">
        <f>Total_stock_MH!CD42</f>
        <v>1139.088235294118</v>
      </c>
      <c r="U37" s="436">
        <f t="shared" ref="U37:U38" si="37">D37*Q37*0.000001</f>
        <v>177.45802050188004</v>
      </c>
      <c r="V37" s="436">
        <f t="shared" ref="V37:V38" si="38">E37*R37*0.000001</f>
        <v>27.931244201661563</v>
      </c>
      <c r="W37" s="436">
        <f t="shared" ref="W37:W38" si="39">F37*S37*0.000001</f>
        <v>7.975397490137456</v>
      </c>
      <c r="X37" s="436">
        <f t="shared" ref="X37:X38" si="40">SUM(U37:W37)</f>
        <v>213.36466219367907</v>
      </c>
      <c r="Z37" s="350"/>
      <c r="AB37" s="24">
        <f t="shared" ref="AB37:AD37" si="41">AB76+AB117+AB158+AB198</f>
        <v>177.93834444490943</v>
      </c>
      <c r="AC37" s="24">
        <f t="shared" si="41"/>
        <v>27.923436312214562</v>
      </c>
      <c r="AD37" s="24">
        <f t="shared" si="41"/>
        <v>7.981396930783796</v>
      </c>
      <c r="AF37" s="262">
        <f t="shared" si="30"/>
        <v>0.99730061587047025</v>
      </c>
      <c r="AG37" s="262">
        <f t="shared" si="30"/>
        <v>1.0002796177862818</v>
      </c>
      <c r="AH37" s="262">
        <f t="shared" si="30"/>
        <v>0.99924832197942692</v>
      </c>
      <c r="AJ37" s="24">
        <f t="shared" si="4"/>
        <v>177.45802050188007</v>
      </c>
      <c r="AK37" s="24">
        <f t="shared" si="5"/>
        <v>27.931244201661567</v>
      </c>
      <c r="AL37" s="24">
        <f t="shared" si="6"/>
        <v>7.9753974901374578</v>
      </c>
      <c r="AO37" s="345">
        <f t="shared" si="31"/>
        <v>1857.2102451530457</v>
      </c>
      <c r="AP37" s="23">
        <f t="shared" si="32"/>
        <v>1.2203767168331443</v>
      </c>
      <c r="AQ37" s="23">
        <f t="shared" si="33"/>
        <v>1.1874350358404235</v>
      </c>
      <c r="AR37" s="23">
        <f t="shared" si="34"/>
        <v>1.2183419599336969</v>
      </c>
      <c r="AS37" s="23">
        <f t="shared" si="35"/>
        <v>1.3283574695121956</v>
      </c>
      <c r="AU37" s="23">
        <f t="shared" si="23"/>
        <v>1.3228810323994744</v>
      </c>
    </row>
    <row r="38" spans="1:55" s="341" customFormat="1" x14ac:dyDescent="0.2">
      <c r="A38" s="214">
        <f t="shared" si="24"/>
        <v>6.5592040812771923E-3</v>
      </c>
      <c r="C38" s="341">
        <v>2013</v>
      </c>
      <c r="D38" s="432">
        <f>Total_stock_SF!AX43</f>
        <v>81331.498689036074</v>
      </c>
      <c r="E38" s="432">
        <f>Total_stock_MF!AX43</f>
        <v>27275.736058638759</v>
      </c>
      <c r="F38" s="432">
        <f>Total_stock_MH!AX43</f>
        <v>7030.8116809578314</v>
      </c>
      <c r="G38" s="257">
        <f>SUM(D38:F38)</f>
        <v>115638.04642863268</v>
      </c>
      <c r="I38" s="257">
        <f t="shared" ref="I38:K43" si="42">D77+D118+D159+D199</f>
        <v>81331.498689036074</v>
      </c>
      <c r="J38" s="257">
        <f t="shared" si="42"/>
        <v>27275.736058638759</v>
      </c>
      <c r="K38" s="257">
        <f t="shared" si="42"/>
        <v>7030.8116809578314</v>
      </c>
      <c r="M38" s="258">
        <f>D38/$G38</f>
        <v>0.7033281969116516</v>
      </c>
      <c r="N38" s="258">
        <f t="shared" si="28"/>
        <v>0.23587164346876344</v>
      </c>
      <c r="O38" s="258">
        <f t="shared" si="28"/>
        <v>6.0800159619584855E-2</v>
      </c>
      <c r="Q38" s="432">
        <f>Total_stock_SF!BX43</f>
        <v>2204.949636600667</v>
      </c>
      <c r="R38" s="432">
        <f>Total_stock_MF!CT43</f>
        <v>1032.1483018307779</v>
      </c>
      <c r="S38" s="432">
        <f>Total_stock_MH!CD43</f>
        <v>1156.4509803921574</v>
      </c>
      <c r="U38" s="436">
        <f t="shared" si="37"/>
        <v>179.33185847857769</v>
      </c>
      <c r="V38" s="436">
        <f t="shared" si="38"/>
        <v>28.152604654108508</v>
      </c>
      <c r="W38" s="436">
        <f t="shared" si="39"/>
        <v>8.1307890613963156</v>
      </c>
      <c r="X38" s="436">
        <f t="shared" si="40"/>
        <v>215.6152521940825</v>
      </c>
      <c r="Z38" s="350"/>
      <c r="AB38" s="24">
        <f t="shared" ref="AB38:AD38" si="43">AB77+AB118+AB159+AB199</f>
        <v>179.93241576193779</v>
      </c>
      <c r="AC38" s="24">
        <f t="shared" si="43"/>
        <v>28.112165878153053</v>
      </c>
      <c r="AD38" s="24">
        <f t="shared" si="43"/>
        <v>8.1354229182530151</v>
      </c>
      <c r="AF38" s="262">
        <f t="shared" si="30"/>
        <v>0.99666231745504552</v>
      </c>
      <c r="AG38" s="262">
        <f t="shared" si="30"/>
        <v>1.0014384795583069</v>
      </c>
      <c r="AH38" s="262">
        <f t="shared" si="30"/>
        <v>0.99943040983815323</v>
      </c>
      <c r="AJ38" s="24">
        <f t="shared" si="4"/>
        <v>179.33185847857766</v>
      </c>
      <c r="AK38" s="24">
        <f t="shared" si="5"/>
        <v>28.152604654108512</v>
      </c>
      <c r="AL38" s="24">
        <f t="shared" si="6"/>
        <v>8.1307890613963156</v>
      </c>
      <c r="AO38" s="345">
        <f t="shared" si="31"/>
        <v>1864.5701726477355</v>
      </c>
      <c r="AP38" s="23">
        <f t="shared" si="32"/>
        <v>1.2252129405054724</v>
      </c>
      <c r="AQ38" s="23">
        <f t="shared" si="33"/>
        <v>1.192451381847758</v>
      </c>
      <c r="AR38" s="23">
        <f t="shared" si="34"/>
        <v>1.2183419599336969</v>
      </c>
      <c r="AS38" s="23">
        <f t="shared" si="35"/>
        <v>1.3486051829268297</v>
      </c>
      <c r="AU38" s="23">
        <f t="shared" si="23"/>
        <v>1.3315580790662331</v>
      </c>
    </row>
    <row r="39" spans="1:55" s="341" customFormat="1" x14ac:dyDescent="0.2">
      <c r="A39" s="214">
        <f t="shared" si="24"/>
        <v>7.6642352021261129E-3</v>
      </c>
      <c r="C39" s="341">
        <v>2014</v>
      </c>
      <c r="D39" s="432">
        <f>Total_stock_SF!AX44</f>
        <v>82055.941885399545</v>
      </c>
      <c r="E39" s="432">
        <f>Total_stock_MF!AX44</f>
        <v>27492.383995206194</v>
      </c>
      <c r="F39" s="432">
        <f>Total_stock_MH!AX44</f>
        <v>6975.997734170347</v>
      </c>
      <c r="G39" s="257">
        <f t="shared" ref="G39:G43" si="44">SUM(D39:F39)</f>
        <v>116524.32361477609</v>
      </c>
      <c r="I39" s="257">
        <f t="shared" si="42"/>
        <v>82055.941885399545</v>
      </c>
      <c r="J39" s="257">
        <f t="shared" ref="J39:J43" si="45">E78+E119+E160+E200</f>
        <v>27492.383995206197</v>
      </c>
      <c r="K39" s="257">
        <f t="shared" ref="K39:K43" si="46">F78+F119+F160+F200</f>
        <v>6975.997734170347</v>
      </c>
      <c r="M39" s="258">
        <f t="shared" ref="M39:M43" si="47">D39/$G39</f>
        <v>0.70419582229606081</v>
      </c>
      <c r="N39" s="258">
        <f t="shared" ref="N39:N43" si="48">E39/$G39</f>
        <v>0.23593686830652386</v>
      </c>
      <c r="O39" s="258">
        <f t="shared" ref="O39:O43" si="49">F39/$G39</f>
        <v>5.9867309397415309E-2</v>
      </c>
      <c r="Q39" s="432">
        <f>Total_stock_SF!BX44</f>
        <v>2216.5775967088935</v>
      </c>
      <c r="R39" s="432">
        <f>Total_stock_MF!CT44</f>
        <v>1032.1483018307779</v>
      </c>
      <c r="S39" s="432">
        <f>Total_stock_MH!CD44</f>
        <v>1173.8137254901967</v>
      </c>
      <c r="U39" s="436">
        <f t="shared" ref="U39:U43" si="50">D39*Q39*0.000001</f>
        <v>181.88336246002353</v>
      </c>
      <c r="V39" s="436">
        <f t="shared" ref="V39:V43" si="51">E39*R39*0.000001</f>
        <v>28.37621745393173</v>
      </c>
      <c r="W39" s="436">
        <f t="shared" ref="W39:W43" si="52">F39*S39*0.000001</f>
        <v>8.1885218893576646</v>
      </c>
      <c r="X39" s="436">
        <f t="shared" ref="X39:X43" si="53">SUM(U39:W39)</f>
        <v>218.44810180331294</v>
      </c>
      <c r="Z39" s="350"/>
      <c r="AB39" s="24">
        <f t="shared" ref="AB39:AD39" si="54">AB78+AB119+AB160+AB200</f>
        <v>182.52524348806759</v>
      </c>
      <c r="AC39" s="24">
        <f t="shared" si="54"/>
        <v>28.34342052101449</v>
      </c>
      <c r="AD39" s="24">
        <f t="shared" si="54"/>
        <v>8.197025903774195</v>
      </c>
      <c r="AF39" s="262">
        <f t="shared" si="30"/>
        <v>0.99648333010942669</v>
      </c>
      <c r="AG39" s="262">
        <f t="shared" ref="AG39:AG43" si="55">V39/AC39</f>
        <v>1.0011571268504069</v>
      </c>
      <c r="AH39" s="262">
        <f t="shared" ref="AH39:AH43" si="56">W39/AD39</f>
        <v>0.99896254879314028</v>
      </c>
      <c r="AJ39" s="24">
        <f t="shared" si="4"/>
        <v>181.88336246002353</v>
      </c>
      <c r="AK39" s="24">
        <f t="shared" ref="AK39:AK43" si="57">V78+V119+V160+V200</f>
        <v>28.37621745393173</v>
      </c>
      <c r="AL39" s="24">
        <f t="shared" ref="AL39:AL43" si="58">W78+W119+W160+W200</f>
        <v>8.1885218893576646</v>
      </c>
      <c r="AO39" s="345">
        <f t="shared" si="31"/>
        <v>1874.6995908381502</v>
      </c>
      <c r="AP39" s="23">
        <f t="shared" si="32"/>
        <v>1.2318690022771055</v>
      </c>
      <c r="AQ39" s="23">
        <f t="shared" si="33"/>
        <v>1.1987398597653316</v>
      </c>
      <c r="AR39" s="23">
        <f t="shared" si="34"/>
        <v>1.2183419599336969</v>
      </c>
      <c r="AS39" s="23">
        <f t="shared" si="35"/>
        <v>1.3688528963414641</v>
      </c>
      <c r="AU39" s="23">
        <f t="shared" si="23"/>
        <v>1.341763453369488</v>
      </c>
    </row>
    <row r="40" spans="1:55" s="341" customFormat="1" x14ac:dyDescent="0.2">
      <c r="A40" s="214">
        <f t="shared" si="24"/>
        <v>8.1674430890457117E-3</v>
      </c>
      <c r="C40" s="341">
        <v>2015</v>
      </c>
      <c r="D40" s="432">
        <f>Total_stock_SF!AX45</f>
        <v>82815.001895465495</v>
      </c>
      <c r="E40" s="432">
        <f>Total_stock_MF!AX45</f>
        <v>27741.028842075051</v>
      </c>
      <c r="F40" s="432">
        <f>Total_stock_MH!AX45</f>
        <v>6919.9986588487882</v>
      </c>
      <c r="G40" s="257">
        <f t="shared" si="44"/>
        <v>117476.02939638932</v>
      </c>
      <c r="I40" s="257">
        <f t="shared" si="42"/>
        <v>82815.00189546551</v>
      </c>
      <c r="J40" s="257">
        <f t="shared" si="45"/>
        <v>27741.028842075055</v>
      </c>
      <c r="K40" s="257">
        <f t="shared" si="46"/>
        <v>6919.9986588487882</v>
      </c>
      <c r="M40" s="258">
        <f t="shared" si="47"/>
        <v>0.70495234066883483</v>
      </c>
      <c r="N40" s="258">
        <f t="shared" si="48"/>
        <v>0.2361420366743148</v>
      </c>
      <c r="O40" s="258">
        <f t="shared" si="49"/>
        <v>5.8905622656850516E-2</v>
      </c>
      <c r="Q40" s="432">
        <f>Total_stock_SF!BX45</f>
        <v>2228.3029555662597</v>
      </c>
      <c r="R40" s="432">
        <f>Total_stock_MF!CT45</f>
        <v>1032.1483018307779</v>
      </c>
      <c r="S40" s="432">
        <f>Total_stock_MH!CD45</f>
        <v>1191.1764705882354</v>
      </c>
      <c r="U40" s="436">
        <f t="shared" si="50"/>
        <v>184.53691348889114</v>
      </c>
      <c r="V40" s="436">
        <f t="shared" si="51"/>
        <v>28.632855810386392</v>
      </c>
      <c r="W40" s="436">
        <f t="shared" si="52"/>
        <v>8.2429395789228224</v>
      </c>
      <c r="X40" s="436">
        <f t="shared" si="53"/>
        <v>221.41270887820036</v>
      </c>
      <c r="Z40" s="350"/>
      <c r="AB40" s="24">
        <f t="shared" ref="AB40:AD40" si="59">AB79+AB120+AB161+AB201</f>
        <v>185.19555893545845</v>
      </c>
      <c r="AC40" s="24">
        <f t="shared" si="59"/>
        <v>28.613079139581821</v>
      </c>
      <c r="AD40" s="24">
        <f t="shared" si="59"/>
        <v>8.2553628633188367</v>
      </c>
      <c r="AF40" s="262">
        <f t="shared" si="30"/>
        <v>0.99644351381667395</v>
      </c>
      <c r="AG40" s="262">
        <f t="shared" si="55"/>
        <v>1.0006911759027435</v>
      </c>
      <c r="AH40" s="262">
        <f t="shared" si="56"/>
        <v>0.99849512558058295</v>
      </c>
      <c r="AJ40" s="24">
        <f t="shared" si="4"/>
        <v>184.53691348889112</v>
      </c>
      <c r="AK40" s="24">
        <f t="shared" si="57"/>
        <v>28.632855810386392</v>
      </c>
      <c r="AL40" s="24">
        <f t="shared" si="58"/>
        <v>8.2429395789228224</v>
      </c>
      <c r="AO40" s="345">
        <f t="shared" si="31"/>
        <v>1884.747978084162</v>
      </c>
      <c r="AP40" s="23">
        <f t="shared" si="32"/>
        <v>1.2384718184465506</v>
      </c>
      <c r="AQ40" s="23">
        <f t="shared" si="33"/>
        <v>1.2050810115721742</v>
      </c>
      <c r="AR40" s="23">
        <f t="shared" si="34"/>
        <v>1.2183419599336969</v>
      </c>
      <c r="AS40" s="23">
        <f t="shared" si="35"/>
        <v>1.3891006097560976</v>
      </c>
      <c r="AU40" s="23">
        <f t="shared" si="23"/>
        <v>1.3527222300138446</v>
      </c>
    </row>
    <row r="41" spans="1:55" s="341" customFormat="1" x14ac:dyDescent="0.2">
      <c r="A41" s="214">
        <f t="shared" si="24"/>
        <v>9.7066445223741304E-3</v>
      </c>
      <c r="C41" s="341">
        <v>2016</v>
      </c>
      <c r="D41" s="432">
        <f>Total_stock_SF!AX46</f>
        <v>83766.246687142877</v>
      </c>
      <c r="E41" s="432">
        <f>Total_stock_MF!AX46</f>
        <v>27916.130985269752</v>
      </c>
      <c r="F41" s="432">
        <f>Total_stock_MH!AX46</f>
        <v>6933.9497812274094</v>
      </c>
      <c r="G41" s="257">
        <f t="shared" si="44"/>
        <v>118616.32745364004</v>
      </c>
      <c r="I41" s="257">
        <f t="shared" si="42"/>
        <v>83766.246687142877</v>
      </c>
      <c r="J41" s="257">
        <f t="shared" si="45"/>
        <v>27916.130985269752</v>
      </c>
      <c r="K41" s="257">
        <f t="shared" si="46"/>
        <v>6933.9497812274094</v>
      </c>
      <c r="M41" s="258">
        <f t="shared" si="47"/>
        <v>0.70619490997040046</v>
      </c>
      <c r="N41" s="258">
        <f t="shared" si="48"/>
        <v>0.23534813110935746</v>
      </c>
      <c r="O41" s="258">
        <f t="shared" si="49"/>
        <v>5.8456958920242004E-2</v>
      </c>
      <c r="Q41" s="432">
        <f>Total_stock_SF!BX46</f>
        <v>2241.0865690417086</v>
      </c>
      <c r="R41" s="432">
        <f>Total_stock_MF!CT46</f>
        <v>1032.1483018307779</v>
      </c>
      <c r="S41" s="432">
        <f>Total_stock_MH!CD46</f>
        <v>1196</v>
      </c>
      <c r="U41" s="436">
        <f t="shared" si="50"/>
        <v>187.7274103895904</v>
      </c>
      <c r="V41" s="436">
        <f t="shared" si="51"/>
        <v>28.813587190131734</v>
      </c>
      <c r="W41" s="436">
        <f t="shared" si="52"/>
        <v>8.2930039383479812</v>
      </c>
      <c r="X41" s="436">
        <f t="shared" si="53"/>
        <v>224.83400151807012</v>
      </c>
      <c r="Z41" s="350"/>
      <c r="AB41" s="24">
        <f t="shared" ref="AB41:AD41" si="60">AB80+AB121+AB162+AB202</f>
        <v>188.40290918648222</v>
      </c>
      <c r="AC41" s="24">
        <f t="shared" si="60"/>
        <v>28.774721211534413</v>
      </c>
      <c r="AD41" s="24">
        <f t="shared" si="60"/>
        <v>8.3025363304898736</v>
      </c>
      <c r="AF41" s="262">
        <f t="shared" si="30"/>
        <v>0.99641460527436332</v>
      </c>
      <c r="AG41" s="262">
        <f t="shared" si="55"/>
        <v>1.0013506987022256</v>
      </c>
      <c r="AH41" s="262">
        <f t="shared" si="56"/>
        <v>0.99885186986693619</v>
      </c>
      <c r="AJ41" s="24">
        <f t="shared" si="4"/>
        <v>187.72741038959043</v>
      </c>
      <c r="AK41" s="24">
        <f t="shared" si="57"/>
        <v>28.813587190131734</v>
      </c>
      <c r="AL41" s="24">
        <f t="shared" si="58"/>
        <v>8.2930039383479812</v>
      </c>
      <c r="AO41" s="345">
        <f t="shared" si="31"/>
        <v>1895.472624592463</v>
      </c>
      <c r="AP41" s="23">
        <f t="shared" si="32"/>
        <v>1.2455190059845012</v>
      </c>
      <c r="AQ41" s="23">
        <f t="shared" si="33"/>
        <v>1.2119944744924918</v>
      </c>
      <c r="AR41" s="23">
        <f t="shared" si="34"/>
        <v>1.2183419599336969</v>
      </c>
      <c r="AS41" s="23">
        <f t="shared" si="35"/>
        <v>1.3947256097560976</v>
      </c>
      <c r="AU41" s="23">
        <f t="shared" si="23"/>
        <v>1.3658526238381024</v>
      </c>
    </row>
    <row r="42" spans="1:55" s="341" customFormat="1" x14ac:dyDescent="0.2">
      <c r="A42" s="214">
        <f t="shared" si="24"/>
        <v>1.0255413033355198E-2</v>
      </c>
      <c r="C42" s="341">
        <v>2017</v>
      </c>
      <c r="D42" s="432">
        <f>Total_stock_SF!AX47</f>
        <v>84783.038875318991</v>
      </c>
      <c r="E42" s="432">
        <f>Total_stock_MF!AX47</f>
        <v>28100.630436154421</v>
      </c>
      <c r="F42" s="432">
        <f>Total_stock_MH!AX47</f>
        <v>6949.1175727034151</v>
      </c>
      <c r="G42" s="257">
        <f t="shared" si="44"/>
        <v>119832.78688417682</v>
      </c>
      <c r="I42" s="257">
        <f t="shared" si="42"/>
        <v>84783.038875318976</v>
      </c>
      <c r="J42" s="257">
        <f t="shared" si="45"/>
        <v>28100.630436154413</v>
      </c>
      <c r="K42" s="257">
        <f t="shared" si="46"/>
        <v>6949.1175727034142</v>
      </c>
      <c r="M42" s="258">
        <f t="shared" si="47"/>
        <v>0.70751120022991021</v>
      </c>
      <c r="N42" s="258">
        <f t="shared" si="48"/>
        <v>0.23449868076017294</v>
      </c>
      <c r="O42" s="258">
        <f t="shared" si="49"/>
        <v>5.7990119009916838E-2</v>
      </c>
      <c r="Q42" s="432">
        <f>Total_stock_SF!BX47</f>
        <v>2253.6687918388634</v>
      </c>
      <c r="R42" s="432">
        <f>Total_stock_MF!CT47</f>
        <v>1032.1483018307779</v>
      </c>
      <c r="S42" s="432">
        <f>Total_stock_MH!CD47</f>
        <v>1201</v>
      </c>
      <c r="U42" s="436">
        <f t="shared" si="50"/>
        <v>191.07288879056753</v>
      </c>
      <c r="V42" s="436">
        <f t="shared" si="51"/>
        <v>29.004017985051057</v>
      </c>
      <c r="W42" s="436">
        <f t="shared" si="52"/>
        <v>8.3458902048168007</v>
      </c>
      <c r="X42" s="436">
        <f t="shared" si="53"/>
        <v>228.42279698043541</v>
      </c>
      <c r="Z42" s="350"/>
      <c r="AB42" s="24">
        <f t="shared" ref="AB42:AD42" si="61">AB81+AB122+AB163+AB203</f>
        <v>191.7590212897218</v>
      </c>
      <c r="AC42" s="24">
        <f t="shared" si="61"/>
        <v>28.948389592863606</v>
      </c>
      <c r="AD42" s="24">
        <f t="shared" si="61"/>
        <v>8.3524981236652192</v>
      </c>
      <c r="AF42" s="262">
        <f t="shared" si="30"/>
        <v>0.9964219023723655</v>
      </c>
      <c r="AG42" s="262">
        <f t="shared" si="55"/>
        <v>1.0019216403043423</v>
      </c>
      <c r="AH42" s="262">
        <f t="shared" si="56"/>
        <v>0.99920886916098839</v>
      </c>
      <c r="AJ42" s="24">
        <f t="shared" si="4"/>
        <v>191.07288879056756</v>
      </c>
      <c r="AK42" s="24">
        <f t="shared" si="57"/>
        <v>29.00401798505105</v>
      </c>
      <c r="AL42" s="24">
        <f t="shared" si="58"/>
        <v>8.3458902048168007</v>
      </c>
      <c r="AO42" s="345">
        <f t="shared" si="31"/>
        <v>1906.1794598936865</v>
      </c>
      <c r="AP42" s="23">
        <f t="shared" si="32"/>
        <v>1.2525544897412169</v>
      </c>
      <c r="AQ42" s="23">
        <f t="shared" si="33"/>
        <v>1.2187990239988082</v>
      </c>
      <c r="AR42" s="23">
        <f t="shared" si="34"/>
        <v>1.2183419599336969</v>
      </c>
      <c r="AS42" s="23">
        <f t="shared" si="35"/>
        <v>1.4005564024390245</v>
      </c>
      <c r="AU42" s="23">
        <f t="shared" si="23"/>
        <v>1.3798600066382538</v>
      </c>
    </row>
    <row r="43" spans="1:55" s="341" customFormat="1" x14ac:dyDescent="0.2">
      <c r="A43" s="214">
        <f t="shared" si="24"/>
        <v>6.6842366467276815E-3</v>
      </c>
      <c r="C43" s="341">
        <v>2018</v>
      </c>
      <c r="D43" s="432">
        <f>Total_stock_SF!AX48</f>
        <v>85431.498774209555</v>
      </c>
      <c r="E43" s="432">
        <f>Total_stock_MF!AX48</f>
        <v>28264.746910432346</v>
      </c>
      <c r="F43" s="432">
        <f>Total_stock_MH!AX48</f>
        <v>6937.531905105634</v>
      </c>
      <c r="G43" s="257">
        <f t="shared" si="44"/>
        <v>120633.77758974754</v>
      </c>
      <c r="I43" s="257">
        <f t="shared" si="42"/>
        <v>85431.49877420954</v>
      </c>
      <c r="J43" s="257">
        <f t="shared" si="45"/>
        <v>28264.746910432343</v>
      </c>
      <c r="K43" s="257">
        <f t="shared" si="46"/>
        <v>6937.5319051056331</v>
      </c>
      <c r="M43" s="258">
        <f t="shared" si="47"/>
        <v>0.70818887115303464</v>
      </c>
      <c r="N43" s="258">
        <f t="shared" si="48"/>
        <v>0.234302095774165</v>
      </c>
      <c r="O43" s="258">
        <f t="shared" si="49"/>
        <v>5.7509033072800357E-2</v>
      </c>
      <c r="Q43" s="432">
        <f>Total_stock_SF!BX48</f>
        <v>2265.8145288234605</v>
      </c>
      <c r="R43" s="432">
        <f>Total_stock_MF!CT48</f>
        <v>1032.1483018307779</v>
      </c>
      <c r="S43" s="433">
        <f>S42</f>
        <v>1201</v>
      </c>
      <c r="U43" s="436">
        <f t="shared" si="50"/>
        <v>193.57193114176764</v>
      </c>
      <c r="V43" s="436">
        <f t="shared" si="51"/>
        <v>29.173410525279472</v>
      </c>
      <c r="W43" s="436">
        <f t="shared" si="52"/>
        <v>8.3319758180318662</v>
      </c>
      <c r="X43" s="436">
        <f t="shared" si="53"/>
        <v>231.07731748507899</v>
      </c>
      <c r="Z43" s="350"/>
      <c r="AB43" s="24">
        <f t="shared" ref="AB43:AD43" si="62">AB82+AB123+AB164+AB204</f>
        <v>194.27071087403738</v>
      </c>
      <c r="AC43" s="24">
        <f t="shared" si="62"/>
        <v>29.111308339970684</v>
      </c>
      <c r="AD43" s="24">
        <f t="shared" si="62"/>
        <v>8.3385727200640503</v>
      </c>
      <c r="AF43" s="262">
        <f t="shared" si="30"/>
        <v>0.99640306184537086</v>
      </c>
      <c r="AG43" s="262">
        <f t="shared" si="55"/>
        <v>1.0021332667217679</v>
      </c>
      <c r="AH43" s="262">
        <f t="shared" si="56"/>
        <v>0.99920886916098828</v>
      </c>
      <c r="AJ43" s="24">
        <f t="shared" si="4"/>
        <v>193.57193114176761</v>
      </c>
      <c r="AK43" s="24">
        <f t="shared" si="57"/>
        <v>29.173410525279465</v>
      </c>
      <c r="AL43" s="24">
        <f t="shared" si="58"/>
        <v>8.3319758180318644</v>
      </c>
      <c r="AO43" s="345">
        <f t="shared" si="31"/>
        <v>1915.5274923987613</v>
      </c>
      <c r="AP43" s="23">
        <f t="shared" si="32"/>
        <v>1.2586971013529962</v>
      </c>
      <c r="AQ43" s="23">
        <f t="shared" si="33"/>
        <v>1.22536751908388</v>
      </c>
      <c r="AR43" s="23">
        <f t="shared" si="34"/>
        <v>1.2183419599336969</v>
      </c>
      <c r="AS43" s="23">
        <f t="shared" si="35"/>
        <v>1.4005564024390245</v>
      </c>
      <c r="AU43" s="23">
        <f t="shared" si="23"/>
        <v>1.389083317461979</v>
      </c>
    </row>
    <row r="44" spans="1:55" s="280" customFormat="1" x14ac:dyDescent="0.2">
      <c r="U44" s="24"/>
      <c r="V44" s="24"/>
      <c r="W44" s="24"/>
      <c r="X44" s="24"/>
      <c r="Z44" s="263"/>
    </row>
    <row r="45" spans="1:55" x14ac:dyDescent="0.2">
      <c r="Q45" s="344" t="s">
        <v>467</v>
      </c>
      <c r="R45" s="344"/>
      <c r="S45" s="344"/>
      <c r="U45" s="24"/>
      <c r="V45" s="24"/>
      <c r="W45" s="24"/>
      <c r="X45" s="24"/>
    </row>
    <row r="46" spans="1:55" ht="15.75" x14ac:dyDescent="0.25">
      <c r="C46" s="6" t="s">
        <v>20</v>
      </c>
      <c r="E46" t="s">
        <v>364</v>
      </c>
      <c r="I46" t="s">
        <v>474</v>
      </c>
      <c r="M46" t="s">
        <v>362</v>
      </c>
      <c r="Q46" s="341" t="s">
        <v>470</v>
      </c>
      <c r="R46" s="344"/>
      <c r="S46" s="344"/>
      <c r="U46" s="24"/>
      <c r="V46" s="24"/>
      <c r="W46" s="24"/>
      <c r="X46" s="24"/>
      <c r="AB46" t="s">
        <v>471</v>
      </c>
      <c r="AF46" t="s">
        <v>456</v>
      </c>
      <c r="AJ46" t="s">
        <v>365</v>
      </c>
    </row>
    <row r="47" spans="1:55" x14ac:dyDescent="0.2">
      <c r="C47" s="1"/>
      <c r="U47" s="24"/>
      <c r="V47" s="24"/>
      <c r="W47" s="24"/>
      <c r="X47" s="24"/>
      <c r="AJ47" t="s">
        <v>739</v>
      </c>
    </row>
    <row r="48" spans="1:55" ht="13.5" thickBot="1" x14ac:dyDescent="0.25">
      <c r="D48" s="16" t="s">
        <v>444</v>
      </c>
      <c r="E48" s="16" t="s">
        <v>32</v>
      </c>
      <c r="F48" s="16" t="s">
        <v>445</v>
      </c>
      <c r="G48" s="16" t="s">
        <v>363</v>
      </c>
      <c r="I48" s="17" t="s">
        <v>110</v>
      </c>
      <c r="J48" s="17" t="s">
        <v>261</v>
      </c>
      <c r="K48" s="17" t="s">
        <v>360</v>
      </c>
      <c r="M48" s="16" t="s">
        <v>356</v>
      </c>
      <c r="N48" s="16" t="s">
        <v>357</v>
      </c>
      <c r="O48" s="16" t="s">
        <v>358</v>
      </c>
      <c r="Q48" s="16" t="s">
        <v>356</v>
      </c>
      <c r="R48" s="16" t="s">
        <v>357</v>
      </c>
      <c r="S48" s="16" t="s">
        <v>358</v>
      </c>
      <c r="U48" s="16" t="s">
        <v>356</v>
      </c>
      <c r="V48" s="16" t="s">
        <v>357</v>
      </c>
      <c r="W48" s="16" t="s">
        <v>358</v>
      </c>
      <c r="X48" s="264" t="s">
        <v>91</v>
      </c>
      <c r="AB48" s="16" t="s">
        <v>356</v>
      </c>
      <c r="AC48" s="16" t="s">
        <v>357</v>
      </c>
      <c r="AD48" s="16" t="s">
        <v>358</v>
      </c>
      <c r="AE48" t="s">
        <v>26</v>
      </c>
      <c r="AF48" s="16" t="s">
        <v>356</v>
      </c>
      <c r="AG48" s="16" t="s">
        <v>357</v>
      </c>
      <c r="AH48" s="16" t="s">
        <v>358</v>
      </c>
      <c r="AJ48" s="16" t="s">
        <v>356</v>
      </c>
      <c r="AK48" s="16" t="s">
        <v>357</v>
      </c>
      <c r="AL48" s="16" t="s">
        <v>358</v>
      </c>
    </row>
    <row r="49" spans="3:41" x14ac:dyDescent="0.2">
      <c r="C49" s="437">
        <f t="shared" ref="C49:C75" si="63">C10</f>
        <v>1985</v>
      </c>
      <c r="D49" s="257">
        <f t="shared" ref="D49:D82" si="64">D10*I49</f>
        <v>10661.946838373824</v>
      </c>
      <c r="E49" s="257">
        <f t="shared" ref="E49:E82" si="65">E10*J49</f>
        <v>7184.2602261481088</v>
      </c>
      <c r="F49" s="257">
        <f t="shared" ref="F49:F82" si="66">F10*K49</f>
        <v>464.04307650359141</v>
      </c>
      <c r="G49" s="257">
        <f>SUM(D49:F49)</f>
        <v>18310.250141025524</v>
      </c>
      <c r="H49" s="257"/>
      <c r="I49" s="435">
        <f>AHS_tables!EG508</f>
        <v>0.18248202412130138</v>
      </c>
      <c r="J49" s="435">
        <f>AHS_tables!DL566</f>
        <v>0.30579694400057594</v>
      </c>
      <c r="K49" s="435">
        <f>AHS_tables!DK631</f>
        <v>9.4256073975091614E-2</v>
      </c>
      <c r="M49" s="258">
        <f>D49/$G49</f>
        <v>0.58229389310662183</v>
      </c>
      <c r="N49" s="258">
        <f t="shared" ref="N49:N74" si="67">E49/$G49</f>
        <v>0.39236275697027323</v>
      </c>
      <c r="O49" s="258">
        <f t="shared" ref="O49:O74" si="68">F49/$G49</f>
        <v>2.5343349923104937E-2</v>
      </c>
      <c r="Q49" s="2">
        <f t="shared" ref="Q49:Q76" si="69">AF10*AF49</f>
        <v>2210.8753731937936</v>
      </c>
      <c r="R49" s="2">
        <f t="shared" ref="R49:R76" si="70">AG10*AG49</f>
        <v>881.17623091966152</v>
      </c>
      <c r="S49" s="2">
        <f t="shared" ref="S49:S76" si="71">AH10*AH49</f>
        <v>845.21973168316833</v>
      </c>
      <c r="U49" s="436">
        <f>D49*Q49*0.000001</f>
        <v>23.572235695262115</v>
      </c>
      <c r="V49" s="436">
        <f t="shared" ref="V49:V74" si="72">E49*R49*0.000001</f>
        <v>6.3305993480232257</v>
      </c>
      <c r="W49" s="436">
        <f t="shared" ref="W49:W74" si="73">F49*S49*0.000001</f>
        <v>0.39221836461179749</v>
      </c>
      <c r="X49" s="436">
        <f>SUM(U49:W49)</f>
        <v>30.295053407897139</v>
      </c>
      <c r="AA49">
        <f>C49</f>
        <v>1985</v>
      </c>
      <c r="AB49" s="7">
        <f>D49*AF49*0.000001</f>
        <v>23.459246471494868</v>
      </c>
      <c r="AC49" s="7">
        <f>E49*AG49*0.000001</f>
        <v>6.4242013116021299</v>
      </c>
      <c r="AD49" s="7">
        <f>F49*AH49*0.000001</f>
        <v>0.39005564282317418</v>
      </c>
      <c r="AF49" s="2">
        <f t="shared" ref="AF49:AF82" si="74">Q10*AJ49</f>
        <v>2200.2779442739097</v>
      </c>
      <c r="AG49" s="2">
        <f t="shared" ref="AG49:AG77" si="75">R10*AK49</f>
        <v>894.20498553495622</v>
      </c>
      <c r="AH49" s="2">
        <f t="shared" ref="AH49:AH77" si="76">S10*AL49</f>
        <v>840.55912602362764</v>
      </c>
      <c r="AJ49" s="434">
        <f>AHS_tables!CI188</f>
        <v>1.189924899665064</v>
      </c>
      <c r="AK49" s="434">
        <f>AHS_tables!CI302</f>
        <v>1.0555144572991391</v>
      </c>
      <c r="AL49" s="434">
        <f>AHS_tables!$CK$460</f>
        <v>0.98022520031718774</v>
      </c>
    </row>
    <row r="50" spans="3:41" x14ac:dyDescent="0.2">
      <c r="C50">
        <f t="shared" si="63"/>
        <v>1986</v>
      </c>
      <c r="D50" s="257">
        <f t="shared" si="64"/>
        <v>10765.150022483866</v>
      </c>
      <c r="E50" s="257">
        <f t="shared" si="65"/>
        <v>7236.9094652954536</v>
      </c>
      <c r="F50" s="257">
        <f t="shared" si="66"/>
        <v>491.65783301069712</v>
      </c>
      <c r="G50" s="257">
        <f t="shared" ref="G50:G74" si="77">SUM(D50:F50)</f>
        <v>18493.717320790016</v>
      </c>
      <c r="H50" s="257"/>
      <c r="I50" s="435">
        <f>AHS_tables!EG509</f>
        <v>0.18102839702552365</v>
      </c>
      <c r="J50" s="435">
        <f>AHS_tables!DL567</f>
        <v>0.30624175092030309</v>
      </c>
      <c r="K50" s="435">
        <f>AHS_tables!DK632</f>
        <v>9.682718649339192E-2</v>
      </c>
      <c r="M50" s="258">
        <f t="shared" ref="M50:M74" si="78">D50/$G50</f>
        <v>0.58209768408117957</v>
      </c>
      <c r="N50" s="258">
        <f t="shared" si="67"/>
        <v>0.39131718841403307</v>
      </c>
      <c r="O50" s="258">
        <f t="shared" si="68"/>
        <v>2.6585127504787365E-2</v>
      </c>
      <c r="Q50" s="2">
        <f t="shared" si="69"/>
        <v>2200.5827262593102</v>
      </c>
      <c r="R50" s="2">
        <f t="shared" si="70"/>
        <v>903.0171667026591</v>
      </c>
      <c r="S50" s="2">
        <f t="shared" si="71"/>
        <v>851.44375770749866</v>
      </c>
      <c r="U50" s="436">
        <f t="shared" ref="U50:U74" si="79">D50*Q50*0.000001</f>
        <v>23.689603185068016</v>
      </c>
      <c r="V50" s="436">
        <f t="shared" si="72"/>
        <v>6.5350534810347556</v>
      </c>
      <c r="W50" s="436">
        <f t="shared" si="73"/>
        <v>0.4186189928449538</v>
      </c>
      <c r="X50" s="436">
        <f t="shared" ref="X50:X74" si="80">SUM(U50:W50)</f>
        <v>30.643275658947726</v>
      </c>
      <c r="AA50" s="341">
        <f t="shared" ref="AA50:AA82" si="81">C50</f>
        <v>1986</v>
      </c>
      <c r="AB50" s="7">
        <f t="shared" ref="AB50:AB74" si="82">D50*AF50*0.000001</f>
        <v>23.579415428222795</v>
      </c>
      <c r="AC50" s="7">
        <f t="shared" ref="AC50:AC74" si="83">E50*AG50*0.000001</f>
        <v>6.6296948528308794</v>
      </c>
      <c r="AD50" s="7">
        <f t="shared" ref="AD50:AD74" si="84">F50*AH50*0.000001</f>
        <v>0.41673237343536751</v>
      </c>
      <c r="AF50" s="2">
        <f t="shared" si="74"/>
        <v>2190.3471274413573</v>
      </c>
      <c r="AG50" s="2">
        <f t="shared" si="75"/>
        <v>916.09476180730633</v>
      </c>
      <c r="AH50" s="2">
        <f t="shared" si="76"/>
        <v>847.6064967448624</v>
      </c>
      <c r="AJ50" s="434">
        <f>AHS_tables!CI189</f>
        <v>1.1869849359238802</v>
      </c>
      <c r="AK50" s="434">
        <f>AHS_tables!CI303</f>
        <v>1.0563104711141584</v>
      </c>
      <c r="AL50" s="434">
        <f>AHS_tables!$CK$460</f>
        <v>0.98022520031718774</v>
      </c>
    </row>
    <row r="51" spans="3:41" x14ac:dyDescent="0.2">
      <c r="C51">
        <f t="shared" si="63"/>
        <v>1987</v>
      </c>
      <c r="D51" s="257">
        <f t="shared" si="64"/>
        <v>10869.675808334023</v>
      </c>
      <c r="E51" s="257">
        <f t="shared" si="65"/>
        <v>7280.5166624420408</v>
      </c>
      <c r="F51" s="257">
        <f t="shared" si="66"/>
        <v>518.52315973181669</v>
      </c>
      <c r="G51" s="257">
        <f t="shared" si="77"/>
        <v>18668.715630507879</v>
      </c>
      <c r="H51" s="257"/>
      <c r="I51" s="435">
        <f>AHS_tables!EG510</f>
        <v>0.17957476992974591</v>
      </c>
      <c r="J51" s="435">
        <f>AHS_tables!DL568</f>
        <v>0.30668655784003024</v>
      </c>
      <c r="K51" s="435">
        <f>AHS_tables!DK633</f>
        <v>9.9398299011692226E-2</v>
      </c>
      <c r="M51" s="258">
        <f t="shared" si="78"/>
        <v>0.58224015103487414</v>
      </c>
      <c r="N51" s="258">
        <f t="shared" si="67"/>
        <v>0.38998487129690002</v>
      </c>
      <c r="O51" s="258">
        <f t="shared" si="68"/>
        <v>2.7774977668225929E-2</v>
      </c>
      <c r="Q51" s="2">
        <f t="shared" si="69"/>
        <v>2210.9511086489065</v>
      </c>
      <c r="R51" s="2">
        <f t="shared" si="70"/>
        <v>920.52633933356401</v>
      </c>
      <c r="S51" s="2">
        <f t="shared" si="71"/>
        <v>850.58308135372886</v>
      </c>
      <c r="U51" s="436">
        <f t="shared" si="79"/>
        <v>24.032321779090307</v>
      </c>
      <c r="V51" s="436">
        <f t="shared" si="72"/>
        <v>6.7019073517347891</v>
      </c>
      <c r="W51" s="436">
        <f t="shared" si="73"/>
        <v>0.44104702695796039</v>
      </c>
      <c r="X51" s="436">
        <f t="shared" si="80"/>
        <v>31.175276157783056</v>
      </c>
      <c r="AA51" s="341">
        <f t="shared" si="81"/>
        <v>1987</v>
      </c>
      <c r="AB51" s="7">
        <f t="shared" si="82"/>
        <v>23.924366305646448</v>
      </c>
      <c r="AC51" s="7">
        <f t="shared" si="83"/>
        <v>6.7968736937777221</v>
      </c>
      <c r="AD51" s="7">
        <f t="shared" si="84"/>
        <v>0.43950359890136187</v>
      </c>
      <c r="AF51" s="2">
        <f t="shared" si="74"/>
        <v>2201.0193061418727</v>
      </c>
      <c r="AG51" s="2">
        <f t="shared" si="75"/>
        <v>933.57024081006716</v>
      </c>
      <c r="AH51" s="2">
        <f t="shared" si="76"/>
        <v>847.6064967448624</v>
      </c>
      <c r="AJ51" s="434">
        <f>AHS_tables!CI190</f>
        <v>1.1840449721826964</v>
      </c>
      <c r="AK51" s="434">
        <f>AHS_tables!CI304</f>
        <v>1.0571064849291776</v>
      </c>
      <c r="AL51" s="434">
        <f>AHS_tables!$CK$460</f>
        <v>0.98022520031718774</v>
      </c>
    </row>
    <row r="52" spans="3:41" x14ac:dyDescent="0.2">
      <c r="C52">
        <f t="shared" si="63"/>
        <v>1988</v>
      </c>
      <c r="D52" s="257">
        <f t="shared" si="64"/>
        <v>11075.257528735498</v>
      </c>
      <c r="E52" s="257">
        <f t="shared" si="65"/>
        <v>7277.1893741698768</v>
      </c>
      <c r="F52" s="257">
        <f t="shared" si="66"/>
        <v>506.52345251219231</v>
      </c>
      <c r="G52" s="257">
        <f t="shared" si="77"/>
        <v>18858.970355417565</v>
      </c>
      <c r="H52" s="257"/>
      <c r="I52" s="435">
        <f>AHS_tables!EG511</f>
        <v>0.18023615558759071</v>
      </c>
      <c r="J52" s="435">
        <f>AHS_tables!DL569</f>
        <v>0.30140275519616716</v>
      </c>
      <c r="K52" s="435">
        <f>AHS_tables!DK634</f>
        <v>9.524247436574787E-2</v>
      </c>
      <c r="M52" s="258">
        <f t="shared" si="78"/>
        <v>0.58726734917179291</v>
      </c>
      <c r="N52" s="258">
        <f t="shared" si="67"/>
        <v>0.38587416158058591</v>
      </c>
      <c r="O52" s="258">
        <f t="shared" si="68"/>
        <v>2.6858489247621343E-2</v>
      </c>
      <c r="Q52" s="2">
        <f t="shared" si="69"/>
        <v>2220.1825045673518</v>
      </c>
      <c r="R52" s="2">
        <f t="shared" si="70"/>
        <v>933.37586330542263</v>
      </c>
      <c r="S52" s="2">
        <f t="shared" si="71"/>
        <v>875.86520240246648</v>
      </c>
      <c r="U52" s="436">
        <f t="shared" si="79"/>
        <v>24.589092998876396</v>
      </c>
      <c r="V52" s="436">
        <f t="shared" si="72"/>
        <v>6.7923529145528567</v>
      </c>
      <c r="W52" s="436">
        <f t="shared" si="73"/>
        <v>0.44364626625618742</v>
      </c>
      <c r="X52" s="436">
        <f t="shared" si="80"/>
        <v>31.825092179685441</v>
      </c>
      <c r="AA52" s="341">
        <f t="shared" si="81"/>
        <v>1988</v>
      </c>
      <c r="AB52" s="7">
        <f t="shared" si="82"/>
        <v>24.501019072949589</v>
      </c>
      <c r="AC52" s="7">
        <f t="shared" si="83"/>
        <v>6.8859981075679926</v>
      </c>
      <c r="AD52" s="7">
        <f t="shared" si="84"/>
        <v>0.44217585108468482</v>
      </c>
      <c r="AF52" s="2">
        <f t="shared" si="74"/>
        <v>2212.2301905287577</v>
      </c>
      <c r="AG52" s="2">
        <f t="shared" si="75"/>
        <v>946.24418213020488</v>
      </c>
      <c r="AH52" s="2">
        <f t="shared" si="76"/>
        <v>872.9622466474865</v>
      </c>
      <c r="AJ52" s="434">
        <f>AHS_tables!CI191</f>
        <v>1.1811050084415129</v>
      </c>
      <c r="AK52" s="434">
        <f>AHS_tables!CI305</f>
        <v>1.057902498744197</v>
      </c>
      <c r="AL52" s="434">
        <f>AHS_tables!$CK$460</f>
        <v>0.98022520031718774</v>
      </c>
    </row>
    <row r="53" spans="3:41" x14ac:dyDescent="0.2">
      <c r="C53">
        <f t="shared" si="63"/>
        <v>1989</v>
      </c>
      <c r="D53" s="257">
        <f t="shared" si="64"/>
        <v>11274.278554757284</v>
      </c>
      <c r="E53" s="257">
        <f t="shared" si="65"/>
        <v>7258.3255836811659</v>
      </c>
      <c r="F53" s="257">
        <f t="shared" si="66"/>
        <v>492.47619174243727</v>
      </c>
      <c r="G53" s="257">
        <f t="shared" si="77"/>
        <v>19025.080330180888</v>
      </c>
      <c r="H53" s="257"/>
      <c r="I53" s="435">
        <f>AHS_tables!EG512</f>
        <v>0.18089754124543547</v>
      </c>
      <c r="J53" s="435">
        <f>AHS_tables!DL570</f>
        <v>0.29611895255230408</v>
      </c>
      <c r="K53" s="435">
        <f>AHS_tables!DK635</f>
        <v>9.10866497198035E-2</v>
      </c>
      <c r="M53" s="258">
        <f t="shared" si="78"/>
        <v>0.59260083842442779</v>
      </c>
      <c r="N53" s="258">
        <f t="shared" si="67"/>
        <v>0.38151353149173034</v>
      </c>
      <c r="O53" s="258">
        <f t="shared" si="68"/>
        <v>2.5885630083841798E-2</v>
      </c>
      <c r="Q53" s="2">
        <f t="shared" si="69"/>
        <v>2228.8417064469086</v>
      </c>
      <c r="R53" s="2">
        <f t="shared" si="70"/>
        <v>944.18800515475073</v>
      </c>
      <c r="S53" s="2">
        <f t="shared" si="71"/>
        <v>901.13793578367506</v>
      </c>
      <c r="U53" s="436">
        <f t="shared" si="79"/>
        <v>25.128582252943009</v>
      </c>
      <c r="V53" s="436">
        <f t="shared" si="72"/>
        <v>6.8532239536196116</v>
      </c>
      <c r="W53" s="436">
        <f t="shared" si="73"/>
        <v>0.44378897884938528</v>
      </c>
      <c r="X53" s="436">
        <f t="shared" si="80"/>
        <v>32.425595185412007</v>
      </c>
      <c r="AA53" s="341">
        <f t="shared" si="81"/>
        <v>1989</v>
      </c>
      <c r="AB53" s="7">
        <f t="shared" si="82"/>
        <v>25.061368986105126</v>
      </c>
      <c r="AC53" s="7">
        <f t="shared" si="83"/>
        <v>6.94499104077157</v>
      </c>
      <c r="AD53" s="7">
        <f t="shared" si="84"/>
        <v>0.4424002259146943</v>
      </c>
      <c r="AF53" s="2">
        <f t="shared" si="74"/>
        <v>2222.8800596318652</v>
      </c>
      <c r="AG53" s="2">
        <f t="shared" si="75"/>
        <v>956.83101573535589</v>
      </c>
      <c r="AH53" s="2">
        <f t="shared" si="76"/>
        <v>898.31799655011048</v>
      </c>
      <c r="AJ53" s="434">
        <f>AHS_tables!CI192</f>
        <v>1.1781650447003291</v>
      </c>
      <c r="AK53" s="434">
        <f>AHS_tables!CI306</f>
        <v>1.0586985125592161</v>
      </c>
      <c r="AL53" s="434">
        <f>AHS_tables!$CK$460</f>
        <v>0.98022520031718774</v>
      </c>
    </row>
    <row r="54" spans="3:41" x14ac:dyDescent="0.2">
      <c r="C54">
        <f t="shared" si="63"/>
        <v>1990</v>
      </c>
      <c r="D54" s="257">
        <f t="shared" si="64"/>
        <v>11323.682417035505</v>
      </c>
      <c r="E54" s="257">
        <f t="shared" si="65"/>
        <v>7182.2265373233122</v>
      </c>
      <c r="F54" s="257">
        <f t="shared" si="66"/>
        <v>521.31621472598306</v>
      </c>
      <c r="G54" s="257">
        <f t="shared" si="77"/>
        <v>19027.225169084799</v>
      </c>
      <c r="H54" s="257"/>
      <c r="I54" s="435">
        <f>AHS_tables!EG513</f>
        <v>0.18035098002917521</v>
      </c>
      <c r="J54" s="435">
        <f>AHS_tables!DL571</f>
        <v>0.29354399688460464</v>
      </c>
      <c r="K54" s="435">
        <f>AHS_tables!DK636</f>
        <v>9.3893824674268822E-2</v>
      </c>
      <c r="M54" s="258">
        <f t="shared" si="78"/>
        <v>0.59513052042050174</v>
      </c>
      <c r="N54" s="258">
        <f t="shared" si="67"/>
        <v>0.37747104338644738</v>
      </c>
      <c r="O54" s="258">
        <f t="shared" si="68"/>
        <v>2.7398436193050955E-2</v>
      </c>
      <c r="Q54" s="2">
        <f t="shared" si="69"/>
        <v>2238.4674236149899</v>
      </c>
      <c r="R54" s="2">
        <f t="shared" si="70"/>
        <v>952.53691624183045</v>
      </c>
      <c r="S54" s="2">
        <f t="shared" si="71"/>
        <v>926.90299356528942</v>
      </c>
      <c r="U54" s="436">
        <f t="shared" si="79"/>
        <v>25.347694205895827</v>
      </c>
      <c r="V54" s="436">
        <f t="shared" si="72"/>
        <v>6.8413359176121871</v>
      </c>
      <c r="W54" s="436">
        <f t="shared" si="73"/>
        <v>0.48320956002363885</v>
      </c>
      <c r="X54" s="436">
        <f t="shared" si="80"/>
        <v>32.67223968353165</v>
      </c>
      <c r="AA54" s="341">
        <f t="shared" si="81"/>
        <v>1990</v>
      </c>
      <c r="AB54" s="7">
        <f t="shared" si="82"/>
        <v>25.289534023816643</v>
      </c>
      <c r="AC54" s="7">
        <f t="shared" si="83"/>
        <v>6.9312214612345278</v>
      </c>
      <c r="AD54" s="7">
        <f t="shared" si="84"/>
        <v>0.48152610114250699</v>
      </c>
      <c r="AF54" s="2">
        <f t="shared" si="74"/>
        <v>2233.3312691435713</v>
      </c>
      <c r="AG54" s="2">
        <f t="shared" si="75"/>
        <v>965.05191324940722</v>
      </c>
      <c r="AH54" s="2">
        <f t="shared" si="76"/>
        <v>923.67374645273458</v>
      </c>
      <c r="AJ54" s="434">
        <f>AHS_tables!CI193</f>
        <v>1.1752250809591454</v>
      </c>
      <c r="AK54" s="434">
        <f>AHS_tables!CI307</f>
        <v>1.0594945263742352</v>
      </c>
      <c r="AL54" s="434">
        <f>AHS_tables!$CK$460</f>
        <v>0.98022520031718774</v>
      </c>
      <c r="AO54" t="s">
        <v>451</v>
      </c>
    </row>
    <row r="55" spans="3:41" x14ac:dyDescent="0.2">
      <c r="C55">
        <f t="shared" si="63"/>
        <v>1991</v>
      </c>
      <c r="D55" s="257">
        <f t="shared" si="64"/>
        <v>11356.287754787172</v>
      </c>
      <c r="E55" s="257">
        <f t="shared" si="65"/>
        <v>7094.4160499057189</v>
      </c>
      <c r="F55" s="257">
        <f t="shared" si="66"/>
        <v>550.18077859830441</v>
      </c>
      <c r="G55" s="257">
        <f t="shared" si="77"/>
        <v>19000.884583291194</v>
      </c>
      <c r="H55" s="257"/>
      <c r="I55" s="435">
        <f>AHS_tables!EG514</f>
        <v>0.17980441881291495</v>
      </c>
      <c r="J55" s="435">
        <f>AHS_tables!DL572</f>
        <v>0.29096904121690526</v>
      </c>
      <c r="K55" s="435">
        <f>AHS_tables!DK637</f>
        <v>9.6700999628734158E-2</v>
      </c>
      <c r="M55" s="258">
        <f t="shared" si="78"/>
        <v>0.59767152971254556</v>
      </c>
      <c r="N55" s="258">
        <f t="shared" si="67"/>
        <v>0.37337293528662002</v>
      </c>
      <c r="O55" s="258">
        <f t="shared" si="68"/>
        <v>2.8955535000834479E-2</v>
      </c>
      <c r="Q55" s="2">
        <f t="shared" si="69"/>
        <v>2245.1528909301387</v>
      </c>
      <c r="R55" s="2">
        <f t="shared" si="70"/>
        <v>956.81702335077614</v>
      </c>
      <c r="S55" s="2">
        <f t="shared" si="71"/>
        <v>942.57787216735608</v>
      </c>
      <c r="U55" s="436">
        <f t="shared" si="79"/>
        <v>25.496602282894951</v>
      </c>
      <c r="V55" s="436">
        <f t="shared" si="72"/>
        <v>6.7880580472827603</v>
      </c>
      <c r="W55" s="436">
        <f t="shared" si="73"/>
        <v>0.51858822759856893</v>
      </c>
      <c r="X55" s="436">
        <f t="shared" si="80"/>
        <v>32.803248557776286</v>
      </c>
      <c r="AA55" s="341">
        <f t="shared" si="81"/>
        <v>1991</v>
      </c>
      <c r="AB55" s="7">
        <f t="shared" si="82"/>
        <v>25.447691007051276</v>
      </c>
      <c r="AC55" s="7">
        <f t="shared" si="83"/>
        <v>6.8754878085436006</v>
      </c>
      <c r="AD55" s="7">
        <f t="shared" si="84"/>
        <v>0.5165976205223195</v>
      </c>
      <c r="AF55" s="2">
        <f t="shared" si="74"/>
        <v>2240.8459134301138</v>
      </c>
      <c r="AG55" s="2">
        <f t="shared" si="75"/>
        <v>969.14076650959498</v>
      </c>
      <c r="AH55" s="2">
        <f t="shared" si="76"/>
        <v>938.95977580033832</v>
      </c>
      <c r="AJ55" s="434">
        <f>AHS_tables!CI194</f>
        <v>1.1722851172179616</v>
      </c>
      <c r="AK55" s="434">
        <f>AHS_tables!CI308</f>
        <v>1.0602905401892546</v>
      </c>
      <c r="AL55" s="434">
        <f>AHS_tables!$CK$460</f>
        <v>0.98022520031718774</v>
      </c>
    </row>
    <row r="56" spans="3:41" x14ac:dyDescent="0.2">
      <c r="C56">
        <f t="shared" si="63"/>
        <v>1992</v>
      </c>
      <c r="D56" s="257">
        <f t="shared" si="64"/>
        <v>11428.553626159308</v>
      </c>
      <c r="E56" s="257">
        <f t="shared" si="65"/>
        <v>7122.1208649558721</v>
      </c>
      <c r="F56" s="257">
        <f t="shared" si="66"/>
        <v>522.76187392489555</v>
      </c>
      <c r="G56" s="257">
        <f t="shared" si="77"/>
        <v>19073.436365040077</v>
      </c>
      <c r="H56" s="257"/>
      <c r="I56" s="435">
        <f>AHS_tables!EG515</f>
        <v>0.17764906248231455</v>
      </c>
      <c r="J56" s="435">
        <f>AHS_tables!DL573</f>
        <v>0.288287459657529</v>
      </c>
      <c r="K56" s="435">
        <f>AHS_tables!DK638</f>
        <v>9.105978262833278E-2</v>
      </c>
      <c r="M56" s="258">
        <f t="shared" si="78"/>
        <v>0.59918692192807144</v>
      </c>
      <c r="N56" s="258">
        <f t="shared" si="67"/>
        <v>0.37340522854130731</v>
      </c>
      <c r="O56" s="258">
        <f t="shared" si="68"/>
        <v>2.7407849530621125E-2</v>
      </c>
      <c r="Q56" s="2">
        <f t="shared" si="69"/>
        <v>2257.3942484998056</v>
      </c>
      <c r="R56" s="2">
        <f t="shared" si="70"/>
        <v>958.25941757315297</v>
      </c>
      <c r="S56" s="2">
        <f t="shared" si="71"/>
        <v>956.87964215044394</v>
      </c>
      <c r="U56" s="436">
        <f t="shared" si="79"/>
        <v>25.798751224363617</v>
      </c>
      <c r="V56" s="436">
        <f t="shared" si="72"/>
        <v>6.8248393919382142</v>
      </c>
      <c r="W56" s="436">
        <f t="shared" si="73"/>
        <v>0.50022019485114955</v>
      </c>
      <c r="X56" s="436">
        <f t="shared" si="80"/>
        <v>33.123810811152985</v>
      </c>
      <c r="AA56" s="341">
        <f t="shared" si="81"/>
        <v>1992</v>
      </c>
      <c r="AB56" s="7">
        <f t="shared" si="82"/>
        <v>25.757067168882259</v>
      </c>
      <c r="AC56" s="7">
        <f t="shared" si="83"/>
        <v>6.9119503528022932</v>
      </c>
      <c r="AD56" s="7">
        <f t="shared" si="84"/>
        <v>0.49884332528410891</v>
      </c>
      <c r="AF56" s="2">
        <f t="shared" si="74"/>
        <v>2253.7468879636526</v>
      </c>
      <c r="AG56" s="2">
        <f t="shared" si="75"/>
        <v>970.49045977473997</v>
      </c>
      <c r="AH56" s="2">
        <f t="shared" si="76"/>
        <v>954.24580514794206</v>
      </c>
      <c r="AJ56" s="434">
        <f>AHS_tables!CI195</f>
        <v>1.1693451534767778</v>
      </c>
      <c r="AK56" s="434">
        <f>AHS_tables!CI309</f>
        <v>1.0610865540042738</v>
      </c>
      <c r="AL56" s="434">
        <f>AHS_tables!$CK$460</f>
        <v>0.98022520031718774</v>
      </c>
    </row>
    <row r="57" spans="3:41" x14ac:dyDescent="0.2">
      <c r="C57">
        <f t="shared" si="63"/>
        <v>1993</v>
      </c>
      <c r="D57" s="257">
        <f t="shared" si="64"/>
        <v>11512.545365176451</v>
      </c>
      <c r="E57" s="257">
        <f t="shared" si="65"/>
        <v>7141.2859033117056</v>
      </c>
      <c r="F57" s="257">
        <f t="shared" si="66"/>
        <v>496.41428909229745</v>
      </c>
      <c r="G57" s="257">
        <f t="shared" si="77"/>
        <v>19150.245557580452</v>
      </c>
      <c r="H57" s="257"/>
      <c r="I57" s="435">
        <f>AHS_tables!EG516</f>
        <v>0.17549370615171411</v>
      </c>
      <c r="J57" s="435">
        <f>AHS_tables!DL574</f>
        <v>0.2856058780981528</v>
      </c>
      <c r="K57" s="435">
        <f>AHS_tables!DK639</f>
        <v>8.5418565627931389E-2</v>
      </c>
      <c r="M57" s="258">
        <f t="shared" si="78"/>
        <v>0.60116959495693323</v>
      </c>
      <c r="N57" s="258">
        <f t="shared" si="67"/>
        <v>0.37290832025309939</v>
      </c>
      <c r="O57" s="258">
        <f t="shared" si="68"/>
        <v>2.5922084789967423E-2</v>
      </c>
      <c r="Q57" s="2">
        <f t="shared" si="69"/>
        <v>2268.7816902601294</v>
      </c>
      <c r="R57" s="2">
        <f t="shared" si="70"/>
        <v>957.87497706299905</v>
      </c>
      <c r="S57" s="2">
        <f t="shared" si="71"/>
        <v>971.15029726572789</v>
      </c>
      <c r="U57" s="436">
        <f t="shared" si="79"/>
        <v>26.119452132801445</v>
      </c>
      <c r="V57" s="436">
        <f t="shared" si="72"/>
        <v>6.8404590708350179</v>
      </c>
      <c r="W57" s="436">
        <f t="shared" si="73"/>
        <v>0.4820928844189396</v>
      </c>
      <c r="X57" s="436">
        <f t="shared" si="80"/>
        <v>33.442004088055405</v>
      </c>
      <c r="AA57" s="341">
        <f t="shared" si="81"/>
        <v>1993</v>
      </c>
      <c r="AB57" s="7">
        <f t="shared" si="82"/>
        <v>26.085709262471021</v>
      </c>
      <c r="AC57" s="7">
        <f t="shared" si="83"/>
        <v>6.9269513484903014</v>
      </c>
      <c r="AD57" s="7">
        <f t="shared" si="84"/>
        <v>0.48128945637345733</v>
      </c>
      <c r="AF57" s="2">
        <f t="shared" si="74"/>
        <v>2265.850725016553</v>
      </c>
      <c r="AG57" s="2">
        <f t="shared" si="75"/>
        <v>969.98656016250402</v>
      </c>
      <c r="AH57" s="2">
        <f t="shared" si="76"/>
        <v>969.5318344955457</v>
      </c>
      <c r="AJ57" s="434">
        <f>AHS_tables!CI196</f>
        <v>1.1664051897355943</v>
      </c>
      <c r="AK57" s="434">
        <f>AHS_tables!CI310</f>
        <v>1.0618825678192931</v>
      </c>
      <c r="AL57" s="434">
        <f>AHS_tables!$CK$460</f>
        <v>0.98022520031718774</v>
      </c>
    </row>
    <row r="58" spans="3:41" x14ac:dyDescent="0.2">
      <c r="C58">
        <f t="shared" si="63"/>
        <v>1994</v>
      </c>
      <c r="D58" s="257">
        <f t="shared" si="64"/>
        <v>11562.432278319018</v>
      </c>
      <c r="E58" s="257">
        <f t="shared" si="65"/>
        <v>7199.4876601438691</v>
      </c>
      <c r="F58" s="257">
        <f t="shared" si="66"/>
        <v>523.91661116987689</v>
      </c>
      <c r="G58" s="257">
        <f t="shared" si="77"/>
        <v>19285.836549632764</v>
      </c>
      <c r="H58" s="257"/>
      <c r="I58" s="435">
        <f>AHS_tables!EG517</f>
        <v>0.17354035979636784</v>
      </c>
      <c r="J58" s="435">
        <f>AHS_tables!DL575</f>
        <v>0.28597067327254405</v>
      </c>
      <c r="K58" s="435">
        <f>AHS_tables!DK640</f>
        <v>8.8007520592536082E-2</v>
      </c>
      <c r="M58" s="258">
        <f t="shared" si="78"/>
        <v>0.5995297247574769</v>
      </c>
      <c r="N58" s="258">
        <f t="shared" si="67"/>
        <v>0.37330440095848266</v>
      </c>
      <c r="O58" s="258">
        <f t="shared" si="68"/>
        <v>2.7165874284040489E-2</v>
      </c>
      <c r="Q58" s="2">
        <f t="shared" si="69"/>
        <v>2280.7512113695507</v>
      </c>
      <c r="R58" s="2">
        <f t="shared" si="70"/>
        <v>959.8397668758256</v>
      </c>
      <c r="S58" s="2">
        <f t="shared" si="71"/>
        <v>980.03782948940227</v>
      </c>
      <c r="U58" s="436">
        <f t="shared" si="79"/>
        <v>26.371031425154495</v>
      </c>
      <c r="V58" s="436">
        <f t="shared" si="72"/>
        <v>6.9103545573378744</v>
      </c>
      <c r="W58" s="436">
        <f t="shared" si="73"/>
        <v>0.51345809844436929</v>
      </c>
      <c r="X58" s="436">
        <f t="shared" si="80"/>
        <v>33.794844080936734</v>
      </c>
      <c r="AA58" s="341">
        <f t="shared" si="81"/>
        <v>1994</v>
      </c>
      <c r="AB58" s="7">
        <f t="shared" si="82"/>
        <v>26.352973738955544</v>
      </c>
      <c r="AC58" s="7">
        <f t="shared" si="83"/>
        <v>6.994022885809974</v>
      </c>
      <c r="AD58" s="7">
        <f t="shared" si="84"/>
        <v>0.51263387756032164</v>
      </c>
      <c r="AF58" s="2">
        <f t="shared" si="74"/>
        <v>2279.1894563889132</v>
      </c>
      <c r="AG58" s="2">
        <f t="shared" si="75"/>
        <v>971.46119501373119</v>
      </c>
      <c r="AH58" s="2">
        <f t="shared" si="76"/>
        <v>978.46463851497003</v>
      </c>
      <c r="AJ58" s="434">
        <f>AHS_tables!CI197</f>
        <v>1.1634652259944105</v>
      </c>
      <c r="AK58" s="434">
        <f>AHS_tables!CI311</f>
        <v>1.0626785816343123</v>
      </c>
      <c r="AL58" s="434">
        <f>AHS_tables!$CK$460</f>
        <v>0.98022520031718774</v>
      </c>
    </row>
    <row r="59" spans="3:41" x14ac:dyDescent="0.2">
      <c r="C59">
        <f t="shared" si="63"/>
        <v>1995</v>
      </c>
      <c r="D59" s="257">
        <f t="shared" si="64"/>
        <v>11610.539400629194</v>
      </c>
      <c r="E59" s="257">
        <f t="shared" si="65"/>
        <v>7264.8137789393613</v>
      </c>
      <c r="F59" s="257">
        <f t="shared" si="66"/>
        <v>554.300309137976</v>
      </c>
      <c r="G59" s="257">
        <f t="shared" si="77"/>
        <v>19429.653488706532</v>
      </c>
      <c r="H59" s="257"/>
      <c r="I59" s="435">
        <f>AHS_tables!EG518</f>
        <v>0.17158701344102159</v>
      </c>
      <c r="J59" s="435">
        <f>AHS_tables!DL576</f>
        <v>0.2863354684469353</v>
      </c>
      <c r="K59" s="435">
        <f>AHS_tables!DK641</f>
        <v>9.0596475557140774E-2</v>
      </c>
      <c r="M59" s="258">
        <f t="shared" si="78"/>
        <v>0.59756801156427253</v>
      </c>
      <c r="N59" s="258">
        <f t="shared" si="67"/>
        <v>0.37390341434354596</v>
      </c>
      <c r="O59" s="258">
        <f t="shared" si="68"/>
        <v>2.8528574092181444E-2</v>
      </c>
      <c r="Q59" s="2">
        <f t="shared" si="69"/>
        <v>2287.5754219306482</v>
      </c>
      <c r="R59" s="2">
        <f t="shared" si="70"/>
        <v>965.29348040924094</v>
      </c>
      <c r="S59" s="2">
        <f t="shared" si="71"/>
        <v>988.92427029099304</v>
      </c>
      <c r="U59" s="436">
        <f t="shared" si="79"/>
        <v>26.559984568236739</v>
      </c>
      <c r="V59" s="436">
        <f t="shared" si="72"/>
        <v>7.0126773771973854</v>
      </c>
      <c r="W59" s="436">
        <f t="shared" si="73"/>
        <v>0.54816102873634476</v>
      </c>
      <c r="X59" s="436">
        <f t="shared" si="80"/>
        <v>34.120822974170473</v>
      </c>
      <c r="AA59" s="341">
        <f t="shared" si="81"/>
        <v>1995</v>
      </c>
      <c r="AB59" s="7">
        <f t="shared" si="82"/>
        <v>26.558330302775527</v>
      </c>
      <c r="AC59" s="7">
        <f t="shared" si="83"/>
        <v>7.0937323677541508</v>
      </c>
      <c r="AD59" s="7">
        <f t="shared" si="84"/>
        <v>0.54731470763886159</v>
      </c>
      <c r="AF59" s="2">
        <f t="shared" si="74"/>
        <v>2287.4329422917499</v>
      </c>
      <c r="AG59" s="2">
        <f t="shared" si="75"/>
        <v>976.45068182185571</v>
      </c>
      <c r="AH59" s="2">
        <f t="shared" si="76"/>
        <v>987.39744253439426</v>
      </c>
      <c r="AJ59" s="434">
        <f>AHS_tables!CI198</f>
        <v>1.1605252622532267</v>
      </c>
      <c r="AK59" s="434">
        <f>AHS_tables!CI312</f>
        <v>1.0634745954493314</v>
      </c>
      <c r="AL59" s="434">
        <f>AHS_tables!$CK$460</f>
        <v>0.98022520031718774</v>
      </c>
    </row>
    <row r="60" spans="3:41" x14ac:dyDescent="0.2">
      <c r="C60">
        <f t="shared" si="63"/>
        <v>1996</v>
      </c>
      <c r="D60" s="257">
        <f t="shared" si="64"/>
        <v>11790.626557823442</v>
      </c>
      <c r="E60" s="257">
        <f t="shared" si="65"/>
        <v>7261.4451196645268</v>
      </c>
      <c r="F60" s="257">
        <f t="shared" si="66"/>
        <v>538.39014456359087</v>
      </c>
      <c r="G60" s="257">
        <f t="shared" si="77"/>
        <v>19590.461822051559</v>
      </c>
      <c r="H60" s="257"/>
      <c r="I60" s="435">
        <f>AHS_tables!EG519</f>
        <v>0.17279819652093359</v>
      </c>
      <c r="J60" s="435">
        <f>AHS_tables!DL577</f>
        <v>0.28455018531495668</v>
      </c>
      <c r="K60" s="435">
        <f>AHS_tables!DK642</f>
        <v>8.6791179645039171E-2</v>
      </c>
      <c r="M60" s="258">
        <f t="shared" si="78"/>
        <v>0.60185546746792817</v>
      </c>
      <c r="N60" s="258">
        <f t="shared" si="67"/>
        <v>0.37066227359126602</v>
      </c>
      <c r="O60" s="258">
        <f t="shared" si="68"/>
        <v>2.7482258940805786E-2</v>
      </c>
      <c r="Q60" s="2">
        <f t="shared" si="69"/>
        <v>2296.895761448669</v>
      </c>
      <c r="R60" s="2">
        <f t="shared" si="70"/>
        <v>973.20080331561928</v>
      </c>
      <c r="S60" s="2">
        <f t="shared" si="71"/>
        <v>997.43505547803636</v>
      </c>
      <c r="U60" s="436">
        <f t="shared" si="79"/>
        <v>27.081840165488771</v>
      </c>
      <c r="V60" s="436">
        <f t="shared" si="72"/>
        <v>7.0668442236898006</v>
      </c>
      <c r="W60" s="436">
        <f t="shared" si="73"/>
        <v>0.53700920371161331</v>
      </c>
      <c r="X60" s="436">
        <f t="shared" si="80"/>
        <v>34.685693592890182</v>
      </c>
      <c r="AA60" s="341">
        <f t="shared" si="81"/>
        <v>1996</v>
      </c>
      <c r="AB60" s="7">
        <f t="shared" si="82"/>
        <v>27.10391403524844</v>
      </c>
      <c r="AC60" s="7">
        <f t="shared" si="83"/>
        <v>7.1447560471000902</v>
      </c>
      <c r="AD60" s="7">
        <f t="shared" si="84"/>
        <v>0.53641438547518849</v>
      </c>
      <c r="AF60" s="2">
        <f t="shared" si="74"/>
        <v>2298.767915540855</v>
      </c>
      <c r="AG60" s="2">
        <f t="shared" si="75"/>
        <v>983.93032369707873</v>
      </c>
      <c r="AH60" s="2">
        <f t="shared" si="76"/>
        <v>996.3302465538186</v>
      </c>
      <c r="AJ60" s="434">
        <f>AHS_tables!CI199</f>
        <v>1.1575852985120429</v>
      </c>
      <c r="AK60" s="434">
        <f>AHS_tables!CI313</f>
        <v>1.0642706092643508</v>
      </c>
      <c r="AL60" s="434">
        <f>AHS_tables!$CK$460</f>
        <v>0.98022520031718774</v>
      </c>
    </row>
    <row r="61" spans="3:41" x14ac:dyDescent="0.2">
      <c r="C61">
        <f t="shared" si="63"/>
        <v>1997</v>
      </c>
      <c r="D61" s="257">
        <f t="shared" si="64"/>
        <v>11974.026987158602</v>
      </c>
      <c r="E61" s="257">
        <f t="shared" si="65"/>
        <v>7260.2641171652749</v>
      </c>
      <c r="F61" s="257">
        <f t="shared" si="66"/>
        <v>521.74653680964639</v>
      </c>
      <c r="G61" s="257">
        <f t="shared" si="77"/>
        <v>19756.037641133524</v>
      </c>
      <c r="H61" s="257"/>
      <c r="I61" s="435">
        <f>AHS_tables!EG520</f>
        <v>0.17400937960084559</v>
      </c>
      <c r="J61" s="435">
        <f>AHS_tables!DL578</f>
        <v>0.28276490218297812</v>
      </c>
      <c r="K61" s="435">
        <f>AHS_tables!DK643</f>
        <v>8.2985883732937568E-2</v>
      </c>
      <c r="M61" s="258">
        <f t="shared" si="78"/>
        <v>0.60609456231384162</v>
      </c>
      <c r="N61" s="258">
        <f t="shared" si="67"/>
        <v>0.36749596498281978</v>
      </c>
      <c r="O61" s="258">
        <f t="shared" si="68"/>
        <v>2.6409472703338634E-2</v>
      </c>
      <c r="Q61" s="2">
        <f t="shared" si="69"/>
        <v>2304.9525414517602</v>
      </c>
      <c r="R61" s="2">
        <f t="shared" si="70"/>
        <v>981.50339752977959</v>
      </c>
      <c r="S61" s="2">
        <f t="shared" si="71"/>
        <v>1005.9384095410609</v>
      </c>
      <c r="U61" s="436">
        <f t="shared" si="79"/>
        <v>27.599563935463181</v>
      </c>
      <c r="V61" s="436">
        <f t="shared" si="72"/>
        <v>7.1259738979612628</v>
      </c>
      <c r="W61" s="436">
        <f t="shared" si="73"/>
        <v>0.52484488142185226</v>
      </c>
      <c r="X61" s="436">
        <f t="shared" si="80"/>
        <v>35.250382714846289</v>
      </c>
      <c r="AA61" s="341">
        <f t="shared" si="81"/>
        <v>1997</v>
      </c>
      <c r="AB61" s="7">
        <f t="shared" si="82"/>
        <v>27.645944891670059</v>
      </c>
      <c r="AC61" s="7">
        <f t="shared" si="83"/>
        <v>7.2006443867791434</v>
      </c>
      <c r="AD61" s="7">
        <f t="shared" si="84"/>
        <v>0.52449251521928986</v>
      </c>
      <c r="AF61" s="2">
        <f t="shared" si="74"/>
        <v>2308.8260049287187</v>
      </c>
      <c r="AG61" s="2">
        <f t="shared" si="75"/>
        <v>991.7882146676767</v>
      </c>
      <c r="AH61" s="2">
        <f t="shared" si="76"/>
        <v>1005.2630505732429</v>
      </c>
      <c r="AJ61" s="434">
        <f>AHS_tables!CI200</f>
        <v>1.1546453347708594</v>
      </c>
      <c r="AK61" s="434">
        <f>AHS_tables!CI314</f>
        <v>1.0650666230793699</v>
      </c>
      <c r="AL61" s="434">
        <f>AHS_tables!$CK$460</f>
        <v>0.98022520031718774</v>
      </c>
    </row>
    <row r="62" spans="3:41" x14ac:dyDescent="0.2">
      <c r="C62">
        <f t="shared" si="63"/>
        <v>1998</v>
      </c>
      <c r="D62" s="257">
        <f t="shared" si="64"/>
        <v>12233.293258748883</v>
      </c>
      <c r="E62" s="257">
        <f t="shared" si="65"/>
        <v>7160.1786872791254</v>
      </c>
      <c r="F62" s="257">
        <f t="shared" si="66"/>
        <v>533.97509728313241</v>
      </c>
      <c r="G62" s="257">
        <f t="shared" si="77"/>
        <v>19927.447043311142</v>
      </c>
      <c r="H62" s="257"/>
      <c r="I62" s="435">
        <f>AHS_tables!EG521</f>
        <v>0.17491978757503598</v>
      </c>
      <c r="J62" s="435">
        <f>AHS_tables!DL579</f>
        <v>0.28052660080483194</v>
      </c>
      <c r="K62" s="435">
        <f>AHS_tables!DK644</f>
        <v>8.1963154851937267E-2</v>
      </c>
      <c r="M62" s="258">
        <f t="shared" si="78"/>
        <v>0.61389164563631937</v>
      </c>
      <c r="N62" s="258">
        <f t="shared" si="67"/>
        <v>0.35931239318899683</v>
      </c>
      <c r="O62" s="258">
        <f t="shared" si="68"/>
        <v>2.6795961174683778E-2</v>
      </c>
      <c r="Q62" s="2">
        <f t="shared" si="69"/>
        <v>2314.7078079697585</v>
      </c>
      <c r="R62" s="2">
        <f t="shared" si="70"/>
        <v>987.59061570803999</v>
      </c>
      <c r="S62" s="2">
        <f t="shared" si="71"/>
        <v>1014.6864753431329</v>
      </c>
      <c r="U62" s="436">
        <f t="shared" si="79"/>
        <v>28.316499423209848</v>
      </c>
      <c r="V62" s="436">
        <f t="shared" si="72"/>
        <v>7.0713252783495761</v>
      </c>
      <c r="W62" s="436">
        <f t="shared" si="73"/>
        <v>0.54181730938322803</v>
      </c>
      <c r="X62" s="436">
        <f t="shared" si="80"/>
        <v>35.929642010942651</v>
      </c>
      <c r="AA62" s="341">
        <f t="shared" si="81"/>
        <v>1998</v>
      </c>
      <c r="AB62" s="7">
        <f t="shared" si="82"/>
        <v>28.386212991501832</v>
      </c>
      <c r="AC62" s="7">
        <f t="shared" si="83"/>
        <v>7.1449743854174335</v>
      </c>
      <c r="AD62" s="7">
        <f t="shared" si="84"/>
        <v>0.54155533012026913</v>
      </c>
      <c r="AF62" s="2">
        <f t="shared" si="74"/>
        <v>2320.4064834463825</v>
      </c>
      <c r="AG62" s="2">
        <f t="shared" si="75"/>
        <v>997.87654714697214</v>
      </c>
      <c r="AH62" s="2">
        <f t="shared" si="76"/>
        <v>1014.1958545926674</v>
      </c>
      <c r="AJ62" s="434">
        <f>AHS_tables!CI201</f>
        <v>1.1517053710296756</v>
      </c>
      <c r="AK62" s="434">
        <f>AHS_tables!CI315</f>
        <v>1.0658626368943893</v>
      </c>
      <c r="AL62" s="434">
        <f>AHS_tables!$CK$460</f>
        <v>0.98022520031718774</v>
      </c>
    </row>
    <row r="63" spans="3:41" x14ac:dyDescent="0.2">
      <c r="C63">
        <f t="shared" si="63"/>
        <v>1999</v>
      </c>
      <c r="D63" s="257">
        <f t="shared" si="64"/>
        <v>12506.823037756811</v>
      </c>
      <c r="E63" s="257">
        <f t="shared" si="65"/>
        <v>7063.351086919648</v>
      </c>
      <c r="F63" s="257">
        <f t="shared" si="66"/>
        <v>545.77910530013207</v>
      </c>
      <c r="G63" s="257">
        <f t="shared" si="77"/>
        <v>20115.953229976589</v>
      </c>
      <c r="H63" s="257"/>
      <c r="I63" s="435">
        <f>AHS_tables!EG522</f>
        <v>0.17583019554922638</v>
      </c>
      <c r="J63" s="435">
        <f>AHS_tables!DL580</f>
        <v>0.2782882994266857</v>
      </c>
      <c r="K63" s="435">
        <f>AHS_tables!DK645</f>
        <v>8.0940425970936966E-2</v>
      </c>
      <c r="M63" s="258">
        <f t="shared" si="78"/>
        <v>0.62173653392270123</v>
      </c>
      <c r="N63" s="258">
        <f t="shared" si="67"/>
        <v>0.35113181096453905</v>
      </c>
      <c r="O63" s="258">
        <f t="shared" si="68"/>
        <v>2.7131655112759837E-2</v>
      </c>
      <c r="Q63" s="2">
        <f t="shared" si="69"/>
        <v>2326.5701260482642</v>
      </c>
      <c r="R63" s="2">
        <f t="shared" si="70"/>
        <v>995.19754252016173</v>
      </c>
      <c r="S63" s="2">
        <f t="shared" si="71"/>
        <v>1023.4312534805125</v>
      </c>
      <c r="U63" s="436">
        <f t="shared" si="79"/>
        <v>29.098000851417197</v>
      </c>
      <c r="V63" s="436">
        <f t="shared" si="72"/>
        <v>7.0294296436595465</v>
      </c>
      <c r="W63" s="436">
        <f t="shared" si="73"/>
        <v>0.5585673938607868</v>
      </c>
      <c r="X63" s="436">
        <f t="shared" si="80"/>
        <v>36.685997888937528</v>
      </c>
      <c r="AA63" s="341">
        <f t="shared" si="81"/>
        <v>1999</v>
      </c>
      <c r="AB63" s="7">
        <f t="shared" si="82"/>
        <v>29.192022336302706</v>
      </c>
      <c r="AC63" s="7">
        <f t="shared" si="83"/>
        <v>7.1021857952079381</v>
      </c>
      <c r="AD63" s="7">
        <f t="shared" si="84"/>
        <v>0.55840224390423165</v>
      </c>
      <c r="AF63" s="2">
        <f t="shared" si="74"/>
        <v>2334.0877414012334</v>
      </c>
      <c r="AG63" s="2">
        <f t="shared" si="75"/>
        <v>1005.4980571984036</v>
      </c>
      <c r="AH63" s="2">
        <f t="shared" si="76"/>
        <v>1023.1286586120917</v>
      </c>
      <c r="AJ63" s="434">
        <f>AHS_tables!CI202</f>
        <v>1.1487654072884919</v>
      </c>
      <c r="AK63" s="434">
        <f>AHS_tables!CI316</f>
        <v>1.0666586507094085</v>
      </c>
      <c r="AL63" s="434">
        <f>AHS_tables!$CK$460</f>
        <v>0.98022520031718774</v>
      </c>
    </row>
    <row r="64" spans="3:41" x14ac:dyDescent="0.2">
      <c r="C64">
        <f t="shared" si="63"/>
        <v>2000</v>
      </c>
      <c r="D64" s="257">
        <f t="shared" si="64"/>
        <v>12647.682758919735</v>
      </c>
      <c r="E64" s="257">
        <f t="shared" si="65"/>
        <v>7014.006190627073</v>
      </c>
      <c r="F64" s="257">
        <f t="shared" si="66"/>
        <v>565.74307986234908</v>
      </c>
      <c r="G64" s="257">
        <f t="shared" si="77"/>
        <v>20227.432029409156</v>
      </c>
      <c r="H64" s="257"/>
      <c r="I64" s="435">
        <f>AHS_tables!EG523</f>
        <v>0.17551586001218167</v>
      </c>
      <c r="J64" s="435">
        <f>AHS_tables!DL581</f>
        <v>0.27520670545748371</v>
      </c>
      <c r="K64" s="435">
        <f>AHS_tables!DK646</f>
        <v>8.1884613578805054E-2</v>
      </c>
      <c r="M64" s="258">
        <f t="shared" si="78"/>
        <v>0.62527377378062432</v>
      </c>
      <c r="N64" s="258">
        <f t="shared" si="67"/>
        <v>0.34675712569095468</v>
      </c>
      <c r="O64" s="258">
        <f t="shared" si="68"/>
        <v>2.7969100528421078E-2</v>
      </c>
      <c r="Q64" s="2">
        <f t="shared" si="69"/>
        <v>2332.666389273144</v>
      </c>
      <c r="R64" s="2">
        <f t="shared" si="70"/>
        <v>1007.0812575398804</v>
      </c>
      <c r="S64" s="2">
        <f t="shared" si="71"/>
        <v>1032.1867283831136</v>
      </c>
      <c r="U64" s="436">
        <f t="shared" si="79"/>
        <v>29.502824473921493</v>
      </c>
      <c r="V64" s="436">
        <f t="shared" si="72"/>
        <v>7.0636741748492184</v>
      </c>
      <c r="W64" s="436">
        <f t="shared" si="73"/>
        <v>0.58395249870850474</v>
      </c>
      <c r="X64" s="436">
        <f t="shared" si="80"/>
        <v>37.150451147479217</v>
      </c>
      <c r="AA64" s="341">
        <f t="shared" si="81"/>
        <v>2000</v>
      </c>
      <c r="AB64" s="7">
        <f t="shared" si="82"/>
        <v>29.589999862815759</v>
      </c>
      <c r="AC64" s="7">
        <f t="shared" si="83"/>
        <v>7.1304439712844365</v>
      </c>
      <c r="AD64" s="7">
        <f t="shared" si="84"/>
        <v>0.58388163047639463</v>
      </c>
      <c r="AF64" s="2">
        <f t="shared" si="74"/>
        <v>2339.5589869573155</v>
      </c>
      <c r="AG64" s="2">
        <f t="shared" si="75"/>
        <v>1016.6007524790841</v>
      </c>
      <c r="AH64" s="2">
        <f t="shared" si="76"/>
        <v>1032.0614626315162</v>
      </c>
      <c r="AJ64" s="434">
        <f>AHS_tables!CI203</f>
        <v>1.1428854798061234</v>
      </c>
      <c r="AK64" s="434">
        <f>AHS_tables!CI317</f>
        <v>1.0682506783394468</v>
      </c>
      <c r="AL64" s="434">
        <f>AHS_tables!$CK$460</f>
        <v>0.98022520031718774</v>
      </c>
    </row>
    <row r="65" spans="3:38" x14ac:dyDescent="0.2">
      <c r="C65">
        <f t="shared" si="63"/>
        <v>2001</v>
      </c>
      <c r="D65" s="257">
        <f t="shared" si="64"/>
        <v>12786.042100626948</v>
      </c>
      <c r="E65" s="257">
        <f t="shared" si="65"/>
        <v>6962.362581959188</v>
      </c>
      <c r="F65" s="257">
        <f t="shared" si="66"/>
        <v>582.28350103299863</v>
      </c>
      <c r="G65" s="257">
        <f t="shared" si="77"/>
        <v>20330.688183619135</v>
      </c>
      <c r="H65" s="257"/>
      <c r="I65" s="435">
        <f>AHS_tables!EG524</f>
        <v>0.17520152447513695</v>
      </c>
      <c r="J65" s="435">
        <f>AHS_tables!DL582</f>
        <v>0.27212511148828167</v>
      </c>
      <c r="K65" s="435">
        <f>AHS_tables!DK647</f>
        <v>8.2828801186673143E-2</v>
      </c>
      <c r="M65" s="258">
        <f t="shared" si="78"/>
        <v>0.62890355629618733</v>
      </c>
      <c r="N65" s="258">
        <f t="shared" si="67"/>
        <v>0.34245582437140082</v>
      </c>
      <c r="O65" s="258">
        <f t="shared" si="68"/>
        <v>2.8640619332411812E-2</v>
      </c>
      <c r="Q65" s="2">
        <f t="shared" si="69"/>
        <v>2340.0163058317612</v>
      </c>
      <c r="R65" s="2">
        <f t="shared" si="70"/>
        <v>1018.3795592837155</v>
      </c>
      <c r="S65" s="2">
        <f t="shared" si="71"/>
        <v>1040.9391511585568</v>
      </c>
      <c r="U65" s="436">
        <f t="shared" si="79"/>
        <v>29.919547002518438</v>
      </c>
      <c r="V65" s="436">
        <f t="shared" si="72"/>
        <v>7.0903277377890292</v>
      </c>
      <c r="W65" s="436">
        <f t="shared" si="73"/>
        <v>0.60612169329892229</v>
      </c>
      <c r="X65" s="436">
        <f t="shared" si="80"/>
        <v>37.615996433606391</v>
      </c>
      <c r="AA65" s="341">
        <f t="shared" si="81"/>
        <v>2001</v>
      </c>
      <c r="AB65" s="7">
        <f t="shared" si="82"/>
        <v>30.000589239041275</v>
      </c>
      <c r="AC65" s="7">
        <f t="shared" si="83"/>
        <v>7.1508176623488664</v>
      </c>
      <c r="AD65" s="7">
        <f t="shared" si="84"/>
        <v>0.60615378614078841</v>
      </c>
      <c r="AF65" s="2">
        <f t="shared" si="74"/>
        <v>2346.3546422680897</v>
      </c>
      <c r="AG65" s="2">
        <f t="shared" si="75"/>
        <v>1027.0676911998237</v>
      </c>
      <c r="AH65" s="2">
        <f t="shared" si="76"/>
        <v>1040.9942666509403</v>
      </c>
      <c r="AJ65" s="434">
        <f>AHS_tables!CI204</f>
        <v>1.1370055523237568</v>
      </c>
      <c r="AK65" s="434">
        <f>AHS_tables!CI318</f>
        <v>1.0698427059694851</v>
      </c>
      <c r="AL65" s="434">
        <f>AHS_tables!$CK$460</f>
        <v>0.98022520031718774</v>
      </c>
    </row>
    <row r="66" spans="3:38" x14ac:dyDescent="0.2">
      <c r="C66">
        <f t="shared" si="63"/>
        <v>2002</v>
      </c>
      <c r="D66" s="257">
        <f t="shared" si="64"/>
        <v>12839.174344722856</v>
      </c>
      <c r="E66" s="257">
        <f t="shared" si="65"/>
        <v>7013.1894708199261</v>
      </c>
      <c r="F66" s="257">
        <f t="shared" si="66"/>
        <v>529.43546288106768</v>
      </c>
      <c r="G66" s="257">
        <f t="shared" si="77"/>
        <v>20381.799278423852</v>
      </c>
      <c r="H66" s="257"/>
      <c r="I66" s="435">
        <f>AHS_tables!EG525</f>
        <v>0.17417894495034475</v>
      </c>
      <c r="J66" s="435">
        <f>AHS_tables!DL583</f>
        <v>0.2712209471252105</v>
      </c>
      <c r="K66" s="435">
        <f>AHS_tables!DK648</f>
        <v>7.7104769813290175E-2</v>
      </c>
      <c r="M66" s="258">
        <f t="shared" si="78"/>
        <v>0.62993331301787425</v>
      </c>
      <c r="N66" s="258">
        <f t="shared" si="67"/>
        <v>0.3440907927223128</v>
      </c>
      <c r="O66" s="258">
        <f t="shared" si="68"/>
        <v>2.5975894259812844E-2</v>
      </c>
      <c r="Q66" s="2">
        <f t="shared" si="69"/>
        <v>2347.8942057437698</v>
      </c>
      <c r="R66" s="2">
        <f t="shared" si="70"/>
        <v>1030.5088620167755</v>
      </c>
      <c r="S66" s="2">
        <f t="shared" si="71"/>
        <v>1040.8053292171417</v>
      </c>
      <c r="U66" s="436">
        <f t="shared" si="79"/>
        <v>30.145023050508854</v>
      </c>
      <c r="V66" s="436">
        <f t="shared" si="72"/>
        <v>7.2271539006826746</v>
      </c>
      <c r="W66" s="436">
        <f t="shared" si="73"/>
        <v>0.55103925124315933</v>
      </c>
      <c r="X66" s="436">
        <f t="shared" si="80"/>
        <v>37.923216202434688</v>
      </c>
      <c r="AA66" s="341">
        <f t="shared" si="81"/>
        <v>2002</v>
      </c>
      <c r="AB66" s="7">
        <f t="shared" si="82"/>
        <v>30.220220853381015</v>
      </c>
      <c r="AC66" s="7">
        <f t="shared" si="83"/>
        <v>7.2843508452473609</v>
      </c>
      <c r="AD66" s="7">
        <f t="shared" si="84"/>
        <v>0.55114109431190139</v>
      </c>
      <c r="AF66" s="2">
        <f t="shared" si="74"/>
        <v>2353.7511090658331</v>
      </c>
      <c r="AG66" s="2">
        <f t="shared" si="75"/>
        <v>1038.6644871859896</v>
      </c>
      <c r="AH66" s="2">
        <f t="shared" si="76"/>
        <v>1040.9976908473727</v>
      </c>
      <c r="AJ66" s="434">
        <f>AHS_tables!CI205</f>
        <v>1.1311256248413901</v>
      </c>
      <c r="AK66" s="434">
        <f>AHS_tables!CI319</f>
        <v>1.0714347335995238</v>
      </c>
      <c r="AL66" s="434">
        <f>AHS_tables!$CK$460</f>
        <v>0.98022520031718774</v>
      </c>
    </row>
    <row r="67" spans="3:38" x14ac:dyDescent="0.2">
      <c r="C67">
        <f t="shared" si="63"/>
        <v>2003</v>
      </c>
      <c r="D67" s="257">
        <f t="shared" si="64"/>
        <v>12898.395673473922</v>
      </c>
      <c r="E67" s="257">
        <f t="shared" si="65"/>
        <v>7062.2447881695625</v>
      </c>
      <c r="F67" s="257">
        <f t="shared" si="66"/>
        <v>477.14473603747382</v>
      </c>
      <c r="G67" s="257">
        <f t="shared" si="77"/>
        <v>20437.785197680958</v>
      </c>
      <c r="H67" s="257"/>
      <c r="I67" s="435">
        <f>AHS_tables!EG526</f>
        <v>0.17315636542555254</v>
      </c>
      <c r="J67" s="435">
        <f>AHS_tables!DL584</f>
        <v>0.27031678276213938</v>
      </c>
      <c r="K67" s="435">
        <f>AHS_tables!DK649</f>
        <v>7.1380738439907207E-2</v>
      </c>
      <c r="M67" s="258">
        <f t="shared" si="78"/>
        <v>0.63110535455365691</v>
      </c>
      <c r="N67" s="258">
        <f t="shared" si="67"/>
        <v>0.34554843980701511</v>
      </c>
      <c r="O67" s="258">
        <f t="shared" si="68"/>
        <v>2.3346205639328016E-2</v>
      </c>
      <c r="Q67" s="2">
        <f t="shared" si="69"/>
        <v>2355.5448440439927</v>
      </c>
      <c r="R67" s="2">
        <f t="shared" si="70"/>
        <v>1041.0369580136548</v>
      </c>
      <c r="S67" s="2">
        <f t="shared" si="71"/>
        <v>1040.6715425593231</v>
      </c>
      <c r="U67" s="436">
        <f t="shared" si="79"/>
        <v>30.382749425090839</v>
      </c>
      <c r="V67" s="436">
        <f t="shared" si="72"/>
        <v>7.3520578310238296</v>
      </c>
      <c r="W67" s="436">
        <f t="shared" si="73"/>
        <v>0.49655094847617892</v>
      </c>
      <c r="X67" s="436">
        <f t="shared" si="80"/>
        <v>38.231358204590848</v>
      </c>
      <c r="AA67" s="341">
        <f t="shared" si="81"/>
        <v>2003</v>
      </c>
      <c r="AB67" s="7">
        <f t="shared" si="82"/>
        <v>30.452599469321189</v>
      </c>
      <c r="AC67" s="7">
        <f t="shared" si="83"/>
        <v>7.4056483415715899</v>
      </c>
      <c r="AD67" s="7">
        <f t="shared" si="84"/>
        <v>0.49670820225229229</v>
      </c>
      <c r="AF67" s="2">
        <f t="shared" si="74"/>
        <v>2360.960249649358</v>
      </c>
      <c r="AG67" s="2">
        <f t="shared" si="75"/>
        <v>1048.6252691180127</v>
      </c>
      <c r="AH67" s="2">
        <f t="shared" si="76"/>
        <v>1041.0011150438052</v>
      </c>
      <c r="AJ67" s="434">
        <f>AHS_tables!CI206</f>
        <v>1.1252456973590217</v>
      </c>
      <c r="AK67" s="434">
        <f>AHS_tables!CI320</f>
        <v>1.0730267612295621</v>
      </c>
      <c r="AL67" s="434">
        <f>AHS_tables!$CK$460</f>
        <v>0.98022520031718774</v>
      </c>
    </row>
    <row r="68" spans="3:38" x14ac:dyDescent="0.2">
      <c r="C68">
        <f t="shared" si="63"/>
        <v>2004</v>
      </c>
      <c r="D68" s="257">
        <f t="shared" si="64"/>
        <v>12928.641250419496</v>
      </c>
      <c r="E68" s="257">
        <f t="shared" si="65"/>
        <v>7059.3982026130261</v>
      </c>
      <c r="F68" s="257">
        <f t="shared" si="66"/>
        <v>546.2131329300986</v>
      </c>
      <c r="G68" s="257">
        <f t="shared" si="77"/>
        <v>20534.252585962618</v>
      </c>
      <c r="H68" s="257"/>
      <c r="I68" s="435">
        <f>AHS_tables!EG527</f>
        <v>0.17107667344902178</v>
      </c>
      <c r="J68" s="435">
        <f>AHS_tables!DL585</f>
        <v>0.27031791564751784</v>
      </c>
      <c r="K68" s="435">
        <f>AHS_tables!DK650</f>
        <v>7.9383920860628787E-2</v>
      </c>
      <c r="M68" s="258">
        <f t="shared" si="78"/>
        <v>0.62961343230274769</v>
      </c>
      <c r="N68" s="258">
        <f t="shared" si="67"/>
        <v>0.34378646961023984</v>
      </c>
      <c r="O68" s="258">
        <f t="shared" si="68"/>
        <v>2.6600098087012639E-2</v>
      </c>
      <c r="Q68" s="2">
        <f t="shared" si="69"/>
        <v>2365.649431375768</v>
      </c>
      <c r="R68" s="2">
        <f t="shared" si="70"/>
        <v>1053.2649416125205</v>
      </c>
      <c r="S68" s="2">
        <f t="shared" si="71"/>
        <v>1040.8135584565664</v>
      </c>
      <c r="U68" s="436">
        <f t="shared" si="79"/>
        <v>30.584632822516181</v>
      </c>
      <c r="V68" s="436">
        <f t="shared" si="72"/>
        <v>7.4354166356947413</v>
      </c>
      <c r="W68" s="436">
        <f t="shared" si="73"/>
        <v>0.56850603456068538</v>
      </c>
      <c r="X68" s="436">
        <f t="shared" si="80"/>
        <v>38.588555492771604</v>
      </c>
      <c r="AA68" s="341">
        <f t="shared" si="81"/>
        <v>2004</v>
      </c>
      <c r="AB68" s="7">
        <f t="shared" si="82"/>
        <v>30.644241075087795</v>
      </c>
      <c r="AC68" s="7">
        <f t="shared" si="83"/>
        <v>7.4855093458808923</v>
      </c>
      <c r="AD68" s="7">
        <f t="shared" si="84"/>
        <v>0.56861035077286393</v>
      </c>
      <c r="AF68" s="2">
        <f t="shared" si="74"/>
        <v>2370.2599895478947</v>
      </c>
      <c r="AG68" s="2">
        <f t="shared" si="75"/>
        <v>1060.3608311980677</v>
      </c>
      <c r="AH68" s="2">
        <f t="shared" si="76"/>
        <v>1041.0045392402376</v>
      </c>
      <c r="AJ68" s="434">
        <f>AHS_tables!CI207</f>
        <v>1.119365769876655</v>
      </c>
      <c r="AK68" s="434">
        <f>AHS_tables!CI321</f>
        <v>1.0746187888596008</v>
      </c>
      <c r="AL68" s="434">
        <f>AHS_tables!$CK$460</f>
        <v>0.98022520031718774</v>
      </c>
    </row>
    <row r="69" spans="3:38" x14ac:dyDescent="0.2">
      <c r="C69">
        <f t="shared" si="63"/>
        <v>2005</v>
      </c>
      <c r="D69" s="257">
        <f t="shared" si="64"/>
        <v>12971.196476644878</v>
      </c>
      <c r="E69" s="257">
        <f t="shared" si="65"/>
        <v>7056.2378817607714</v>
      </c>
      <c r="F69" s="257">
        <f t="shared" si="66"/>
        <v>618.12369729465024</v>
      </c>
      <c r="G69" s="257">
        <f t="shared" si="77"/>
        <v>20645.558055700298</v>
      </c>
      <c r="H69" s="257"/>
      <c r="I69" s="435">
        <f>AHS_tables!EG528</f>
        <v>0.16899698147249101</v>
      </c>
      <c r="J69" s="435">
        <f>AHS_tables!DL586</f>
        <v>0.27031904853289623</v>
      </c>
      <c r="K69" s="435">
        <f>AHS_tables!DK651</f>
        <v>8.7387103281350381E-2</v>
      </c>
      <c r="M69" s="258">
        <f t="shared" si="78"/>
        <v>0.62828025484462469</v>
      </c>
      <c r="N69" s="258">
        <f t="shared" si="67"/>
        <v>0.34177995396024297</v>
      </c>
      <c r="O69" s="258">
        <f t="shared" si="68"/>
        <v>2.9939791195132383E-2</v>
      </c>
      <c r="Q69" s="2">
        <f t="shared" si="69"/>
        <v>2377.1489671103736</v>
      </c>
      <c r="R69" s="2">
        <f t="shared" si="70"/>
        <v>1065.0102704116591</v>
      </c>
      <c r="S69" s="2">
        <f t="shared" si="71"/>
        <v>1040.9556121850267</v>
      </c>
      <c r="U69" s="436">
        <f t="shared" si="79"/>
        <v>30.834466306642089</v>
      </c>
      <c r="V69" s="436">
        <f t="shared" si="72"/>
        <v>7.5149658145430314</v>
      </c>
      <c r="W69" s="436">
        <f t="shared" si="73"/>
        <v>0.64343933172342471</v>
      </c>
      <c r="X69" s="436">
        <f t="shared" si="80"/>
        <v>38.992871452908545</v>
      </c>
      <c r="AA69" s="341">
        <f t="shared" si="81"/>
        <v>2005</v>
      </c>
      <c r="AB69" s="7">
        <f t="shared" si="82"/>
        <v>30.885109805122728</v>
      </c>
      <c r="AC69" s="7">
        <f t="shared" si="83"/>
        <v>7.5614305294905924</v>
      </c>
      <c r="AD69" s="7">
        <f t="shared" si="84"/>
        <v>0.64347169127264847</v>
      </c>
      <c r="AF69" s="2">
        <f t="shared" si="74"/>
        <v>2381.0532714335582</v>
      </c>
      <c r="AG69" s="2">
        <f t="shared" si="75"/>
        <v>1071.5951837502053</v>
      </c>
      <c r="AH69" s="2">
        <f t="shared" si="76"/>
        <v>1041.00796343667</v>
      </c>
      <c r="AJ69" s="434">
        <f>AHS_tables!CI208</f>
        <v>1.1134858423942866</v>
      </c>
      <c r="AK69" s="434">
        <f>AHS_tables!CI322</f>
        <v>1.0762108164896391</v>
      </c>
      <c r="AL69" s="434">
        <f>AHS_tables!$CK$460</f>
        <v>0.98022520031718774</v>
      </c>
    </row>
    <row r="70" spans="3:38" x14ac:dyDescent="0.2">
      <c r="C70">
        <f t="shared" si="63"/>
        <v>2006</v>
      </c>
      <c r="D70" s="257">
        <f t="shared" si="64"/>
        <v>13021.749637110312</v>
      </c>
      <c r="E70" s="257">
        <f t="shared" si="65"/>
        <v>6977.8877261702655</v>
      </c>
      <c r="F70" s="257">
        <f t="shared" si="66"/>
        <v>586.26112373969431</v>
      </c>
      <c r="G70" s="257">
        <f t="shared" si="77"/>
        <v>20585.898487020273</v>
      </c>
      <c r="H70" s="257"/>
      <c r="I70" s="435">
        <f>AHS_tables!EG529</f>
        <v>0.16798027180441</v>
      </c>
      <c r="J70" s="435">
        <f>AHS_tables!DL587</f>
        <v>0.26655580771290538</v>
      </c>
      <c r="K70" s="435">
        <f>AHS_tables!DK652</f>
        <v>8.3208451420649227E-2</v>
      </c>
      <c r="M70" s="258">
        <f t="shared" si="78"/>
        <v>0.63255677887077533</v>
      </c>
      <c r="N70" s="258">
        <f t="shared" si="67"/>
        <v>0.3389644484339574</v>
      </c>
      <c r="O70" s="258">
        <f t="shared" si="68"/>
        <v>2.8478772695267152E-2</v>
      </c>
      <c r="Q70" s="2">
        <f t="shared" si="69"/>
        <v>2387.0639008160288</v>
      </c>
      <c r="R70" s="2">
        <f t="shared" si="70"/>
        <v>1079.7737299662372</v>
      </c>
      <c r="S70" s="2">
        <f t="shared" si="71"/>
        <v>1046.9342633921822</v>
      </c>
      <c r="U70" s="436">
        <f t="shared" si="79"/>
        <v>31.083748484210247</v>
      </c>
      <c r="V70" s="436">
        <f t="shared" si="72"/>
        <v>7.5345398573724918</v>
      </c>
      <c r="W70" s="436">
        <f t="shared" si="73"/>
        <v>0.61377685773788981</v>
      </c>
      <c r="X70" s="436">
        <f t="shared" si="80"/>
        <v>39.23206519932063</v>
      </c>
      <c r="AA70" s="341">
        <f t="shared" si="81"/>
        <v>2006</v>
      </c>
      <c r="AB70" s="7">
        <f t="shared" si="82"/>
        <v>31.129535431007586</v>
      </c>
      <c r="AC70" s="7">
        <f t="shared" si="83"/>
        <v>7.5741093963153849</v>
      </c>
      <c r="AD70" s="7">
        <f t="shared" si="84"/>
        <v>0.61389288313591117</v>
      </c>
      <c r="AF70" s="2">
        <f t="shared" si="74"/>
        <v>2390.5800908882793</v>
      </c>
      <c r="AG70" s="2">
        <f t="shared" si="75"/>
        <v>1085.4444344108629</v>
      </c>
      <c r="AH70" s="2">
        <f t="shared" si="76"/>
        <v>1047.1321707636982</v>
      </c>
      <c r="AJ70" s="434">
        <f>AHS_tables!CI209</f>
        <v>1.10760591491192</v>
      </c>
      <c r="AK70" s="434">
        <f>AHS_tables!CI323</f>
        <v>1.0778028441196774</v>
      </c>
      <c r="AL70" s="434">
        <f>AHS_tables!$CK$460</f>
        <v>0.98022520031718774</v>
      </c>
    </row>
    <row r="71" spans="3:38" x14ac:dyDescent="0.2">
      <c r="C71">
        <f t="shared" si="63"/>
        <v>2007</v>
      </c>
      <c r="D71" s="257">
        <f t="shared" si="64"/>
        <v>13038.223289521238</v>
      </c>
      <c r="E71" s="257">
        <f t="shared" si="65"/>
        <v>6897.9588636503922</v>
      </c>
      <c r="F71" s="257">
        <f t="shared" si="66"/>
        <v>554.09240709928076</v>
      </c>
      <c r="G71" s="257">
        <f t="shared" si="77"/>
        <v>20490.274560270911</v>
      </c>
      <c r="H71" s="257"/>
      <c r="I71" s="435">
        <f>AHS_tables!EG530</f>
        <v>0.16696356213632899</v>
      </c>
      <c r="J71" s="435">
        <f>AHS_tables!DL588</f>
        <v>0.26279256689291453</v>
      </c>
      <c r="K71" s="435">
        <f>AHS_tables!DK653</f>
        <v>7.9029799559948072E-2</v>
      </c>
      <c r="M71" s="258">
        <f t="shared" si="78"/>
        <v>0.63631276638924916</v>
      </c>
      <c r="N71" s="258">
        <f t="shared" si="67"/>
        <v>0.33664550679203742</v>
      </c>
      <c r="O71" s="258">
        <f t="shared" si="68"/>
        <v>2.7041726818713495E-2</v>
      </c>
      <c r="Q71" s="2">
        <f t="shared" si="69"/>
        <v>2386.3705237276445</v>
      </c>
      <c r="R71" s="2">
        <f t="shared" si="70"/>
        <v>1092.2574042079102</v>
      </c>
      <c r="S71" s="2">
        <f t="shared" si="71"/>
        <v>1052.9112561435811</v>
      </c>
      <c r="U71" s="436">
        <f t="shared" si="79"/>
        <v>31.11403173989277</v>
      </c>
      <c r="V71" s="436">
        <f t="shared" si="72"/>
        <v>7.5343466427437233</v>
      </c>
      <c r="W71" s="436">
        <f t="shared" si="73"/>
        <v>0.58341013237852424</v>
      </c>
      <c r="X71" s="436">
        <f t="shared" si="80"/>
        <v>39.231788515015019</v>
      </c>
      <c r="AA71" s="341">
        <f t="shared" si="81"/>
        <v>2007</v>
      </c>
      <c r="AB71" s="7">
        <f t="shared" si="82"/>
        <v>31.155786725833401</v>
      </c>
      <c r="AC71" s="7">
        <f t="shared" si="83"/>
        <v>7.5667301851409041</v>
      </c>
      <c r="AD71" s="7">
        <f t="shared" si="84"/>
        <v>0.58360136182896083</v>
      </c>
      <c r="AF71" s="2">
        <f t="shared" si="74"/>
        <v>2389.5730295456106</v>
      </c>
      <c r="AG71" s="2">
        <f t="shared" si="75"/>
        <v>1096.9520599803343</v>
      </c>
      <c r="AH71" s="2">
        <f t="shared" si="76"/>
        <v>1053.2563780907265</v>
      </c>
      <c r="AJ71" s="434">
        <f>AHS_tables!CI210</f>
        <v>1.1017259874295515</v>
      </c>
      <c r="AK71" s="434">
        <f>AHS_tables!CI324</f>
        <v>1.0793948717497162</v>
      </c>
      <c r="AL71" s="434">
        <f>AHS_tables!$CK$460</f>
        <v>0.98022520031718774</v>
      </c>
    </row>
    <row r="72" spans="3:38" x14ac:dyDescent="0.2">
      <c r="C72">
        <f t="shared" si="63"/>
        <v>2008</v>
      </c>
      <c r="D72" s="257">
        <f t="shared" si="64"/>
        <v>13176.872533616734</v>
      </c>
      <c r="E72" s="257">
        <f t="shared" si="65"/>
        <v>6808.5924913194467</v>
      </c>
      <c r="F72" s="257">
        <f t="shared" si="66"/>
        <v>568.1872349799354</v>
      </c>
      <c r="G72" s="257">
        <f t="shared" si="77"/>
        <v>20553.652259916114</v>
      </c>
      <c r="H72" s="257"/>
      <c r="I72" s="435">
        <f>AHS_tables!EG531</f>
        <v>0.16722584287594872</v>
      </c>
      <c r="J72" s="435">
        <f>AHS_tables!DL589</f>
        <v>0.26011019122180767</v>
      </c>
      <c r="K72" s="435">
        <f>AHS_tables!DK654</f>
        <v>8.1812022757203978E-2</v>
      </c>
      <c r="M72" s="258">
        <f t="shared" si="78"/>
        <v>0.64109640306187177</v>
      </c>
      <c r="N72" s="258">
        <f t="shared" si="67"/>
        <v>0.33125949613332784</v>
      </c>
      <c r="O72" s="258">
        <f t="shared" si="68"/>
        <v>2.7644100804800439E-2</v>
      </c>
      <c r="Q72" s="2">
        <f t="shared" si="69"/>
        <v>2381.2073254248489</v>
      </c>
      <c r="R72" s="2">
        <f t="shared" si="70"/>
        <v>1099.2838912223935</v>
      </c>
      <c r="S72" s="2">
        <f t="shared" si="71"/>
        <v>1058.7123521659119</v>
      </c>
      <c r="U72" s="436">
        <f t="shared" si="79"/>
        <v>31.376865403237655</v>
      </c>
      <c r="V72" s="436">
        <f t="shared" si="72"/>
        <v>7.4845760476052119</v>
      </c>
      <c r="W72" s="436">
        <f t="shared" si="73"/>
        <v>0.60154684401625302</v>
      </c>
      <c r="X72" s="436">
        <f t="shared" si="80"/>
        <v>39.462988294859123</v>
      </c>
      <c r="AA72" s="341">
        <f t="shared" si="81"/>
        <v>2008</v>
      </c>
      <c r="AB72" s="7">
        <f t="shared" si="82"/>
        <v>31.423117651189433</v>
      </c>
      <c r="AC72" s="7">
        <f t="shared" si="83"/>
        <v>7.5116654061091612</v>
      </c>
      <c r="AD72" s="7">
        <f t="shared" si="84"/>
        <v>0.6019265256199392</v>
      </c>
      <c r="AF72" s="2">
        <f t="shared" si="74"/>
        <v>2384.7174335960999</v>
      </c>
      <c r="AG72" s="2">
        <f t="shared" si="75"/>
        <v>1103.2625929200626</v>
      </c>
      <c r="AH72" s="2">
        <f t="shared" si="76"/>
        <v>1059.3805854177544</v>
      </c>
      <c r="AJ72" s="434">
        <f>AHS_tables!CI211</f>
        <v>1.0958460599471849</v>
      </c>
      <c r="AK72" s="434">
        <f>AHS_tables!CI325</f>
        <v>1.0809868993797545</v>
      </c>
      <c r="AL72" s="434">
        <f>AHS_tables!$CK$460</f>
        <v>0.98022520031718774</v>
      </c>
    </row>
    <row r="73" spans="3:38" x14ac:dyDescent="0.2">
      <c r="C73">
        <f t="shared" si="63"/>
        <v>2009</v>
      </c>
      <c r="D73" s="257">
        <f t="shared" si="64"/>
        <v>13267.957495898203</v>
      </c>
      <c r="E73" s="257">
        <f t="shared" si="65"/>
        <v>6718.367930551628</v>
      </c>
      <c r="F73" s="257">
        <f t="shared" si="66"/>
        <v>581.26568714632481</v>
      </c>
      <c r="G73" s="257">
        <f t="shared" si="77"/>
        <v>20567.591113596158</v>
      </c>
      <c r="H73" s="257"/>
      <c r="I73" s="435">
        <f>AHS_tables!EG532</f>
        <v>0.16748812361556842</v>
      </c>
      <c r="J73" s="435">
        <f>AHS_tables!DL590</f>
        <v>0.25742781555070077</v>
      </c>
      <c r="K73" s="435">
        <f>AHS_tables!DK655</f>
        <v>8.4594245954459871E-2</v>
      </c>
      <c r="M73" s="258">
        <f t="shared" si="78"/>
        <v>0.6450904932239464</v>
      </c>
      <c r="N73" s="258">
        <f t="shared" si="67"/>
        <v>0.32664826393356616</v>
      </c>
      <c r="O73" s="258">
        <f t="shared" si="68"/>
        <v>2.8261242842487301E-2</v>
      </c>
      <c r="Q73" s="2">
        <f t="shared" si="69"/>
        <v>2373.7481279244716</v>
      </c>
      <c r="R73" s="2">
        <f t="shared" si="70"/>
        <v>1104.5533649133347</v>
      </c>
      <c r="S73" s="2">
        <f t="shared" si="71"/>
        <v>1064.5099314082058</v>
      </c>
      <c r="U73" s="436">
        <f t="shared" si="79"/>
        <v>31.49478926726982</v>
      </c>
      <c r="V73" s="436">
        <f t="shared" si="72"/>
        <v>7.4207959044166367</v>
      </c>
      <c r="W73" s="436">
        <f t="shared" si="73"/>
        <v>0.61876309675407781</v>
      </c>
      <c r="X73" s="436">
        <f t="shared" si="80"/>
        <v>39.534348268440539</v>
      </c>
      <c r="AA73" s="341">
        <f t="shared" si="81"/>
        <v>2009</v>
      </c>
      <c r="AB73" s="7">
        <f t="shared" si="82"/>
        <v>31.545405421442396</v>
      </c>
      <c r="AC73" s="7">
        <f t="shared" si="83"/>
        <v>7.4425375595268575</v>
      </c>
      <c r="AD73" s="7">
        <f t="shared" si="84"/>
        <v>0.61934137551249879</v>
      </c>
      <c r="AF73" s="2">
        <f t="shared" si="74"/>
        <v>2377.5630447410372</v>
      </c>
      <c r="AG73" s="2">
        <f t="shared" si="75"/>
        <v>1107.7895162130203</v>
      </c>
      <c r="AH73" s="2">
        <f t="shared" si="76"/>
        <v>1065.5047927447831</v>
      </c>
      <c r="AJ73" s="434">
        <f>AHS_tables!CI212</f>
        <v>1.0899661324648164</v>
      </c>
      <c r="AK73" s="434">
        <f>AHS_tables!CI326</f>
        <v>1.0825789270097932</v>
      </c>
      <c r="AL73" s="434">
        <f>AHS_tables!$CK$460</f>
        <v>0.98022520031718774</v>
      </c>
    </row>
    <row r="74" spans="3:38" x14ac:dyDescent="0.2">
      <c r="C74">
        <f t="shared" si="63"/>
        <v>2010</v>
      </c>
      <c r="D74" s="257">
        <f t="shared" si="64"/>
        <v>13268.366090606991</v>
      </c>
      <c r="E74" s="257">
        <f t="shared" si="65"/>
        <v>6790.2961648840528</v>
      </c>
      <c r="F74" s="257">
        <f t="shared" si="66"/>
        <v>585.64189597277129</v>
      </c>
      <c r="G74" s="257">
        <f t="shared" si="77"/>
        <v>20644.304151463813</v>
      </c>
      <c r="H74" s="257"/>
      <c r="I74" s="435">
        <f>AHS_tables!EG533</f>
        <v>0.16626313874005247</v>
      </c>
      <c r="J74" s="435">
        <f>AHS_tables!DL591</f>
        <v>0.25628646517677856</v>
      </c>
      <c r="K74" s="435">
        <f>AHS_tables!DK656</f>
        <v>8.4594245954459871E-2</v>
      </c>
      <c r="M74" s="258">
        <f t="shared" si="78"/>
        <v>0.64271316646273002</v>
      </c>
      <c r="N74" s="258">
        <f t="shared" si="67"/>
        <v>0.3289186264194125</v>
      </c>
      <c r="O74" s="258">
        <f t="shared" si="68"/>
        <v>2.8368207117857518E-2</v>
      </c>
      <c r="Q74" s="282">
        <f t="shared" si="69"/>
        <v>2363.9490731536794</v>
      </c>
      <c r="R74" s="282">
        <f t="shared" si="70"/>
        <v>1110.4992214375932</v>
      </c>
      <c r="S74" s="282">
        <f t="shared" si="71"/>
        <v>1081.5134406937368</v>
      </c>
      <c r="U74" s="436">
        <f t="shared" si="79"/>
        <v>31.365741722154102</v>
      </c>
      <c r="V74" s="436">
        <f t="shared" si="72"/>
        <v>7.5406186044344157</v>
      </c>
      <c r="W74" s="436">
        <f t="shared" si="73"/>
        <v>0.63337958192791532</v>
      </c>
      <c r="X74" s="436">
        <f t="shared" si="80"/>
        <v>39.539739908516438</v>
      </c>
      <c r="AA74" s="341">
        <f t="shared" si="81"/>
        <v>2010</v>
      </c>
      <c r="AB74" s="7">
        <f t="shared" si="82"/>
        <v>31.421053276358531</v>
      </c>
      <c r="AC74" s="7">
        <f t="shared" si="83"/>
        <v>7.555060496871195</v>
      </c>
      <c r="AD74" s="7">
        <f t="shared" si="84"/>
        <v>0.63397152084632824</v>
      </c>
      <c r="AF74" s="2">
        <f t="shared" si="74"/>
        <v>2368.1177517857518</v>
      </c>
      <c r="AG74" s="2">
        <f t="shared" si="75"/>
        <v>1112.6260642270825</v>
      </c>
      <c r="AH74" s="2">
        <f t="shared" si="76"/>
        <v>1082.5241930365651</v>
      </c>
      <c r="AJ74" s="434">
        <f>AHS_tables!CI213</f>
        <v>1.0840862049824498</v>
      </c>
      <c r="AK74" s="434">
        <f>AHS_tables!CI327</f>
        <v>1.0833749408248126</v>
      </c>
      <c r="AL74" s="434">
        <f>AHS_tables!$CK$460</f>
        <v>0.98022520031718774</v>
      </c>
    </row>
    <row r="75" spans="3:38" s="280" customFormat="1" x14ac:dyDescent="0.2">
      <c r="C75" s="280">
        <f t="shared" si="63"/>
        <v>2011</v>
      </c>
      <c r="D75" s="257">
        <f t="shared" si="64"/>
        <v>13262.746037956804</v>
      </c>
      <c r="E75" s="257">
        <f t="shared" si="65"/>
        <v>6853.480050913281</v>
      </c>
      <c r="F75" s="257">
        <f t="shared" si="66"/>
        <v>589.92335438292071</v>
      </c>
      <c r="G75" s="257">
        <f>SUM(D75:F75)</f>
        <v>20706.149443253005</v>
      </c>
      <c r="H75" s="257"/>
      <c r="I75" s="435">
        <f>AHS_tables!EG534</f>
        <v>0.16503815386453652</v>
      </c>
      <c r="J75" s="435">
        <f>AHS_tables!DL592</f>
        <v>0.2551451148028564</v>
      </c>
      <c r="K75" s="435">
        <f>AHS_tables!DK657</f>
        <v>8.4594245954459871E-2</v>
      </c>
      <c r="M75" s="258">
        <f>D75/$G75</f>
        <v>0.64052208617080197</v>
      </c>
      <c r="N75" s="258">
        <f>E75/$G75</f>
        <v>0.33098766478508407</v>
      </c>
      <c r="O75" s="258">
        <f>F75/$G75</f>
        <v>2.8490249044114006E-2</v>
      </c>
      <c r="Q75" s="282">
        <f t="shared" si="69"/>
        <v>2354.5639025153091</v>
      </c>
      <c r="R75" s="282">
        <f t="shared" si="70"/>
        <v>1117.8796890450496</v>
      </c>
      <c r="S75" s="282">
        <f t="shared" si="71"/>
        <v>1098.5169499792676</v>
      </c>
      <c r="U75" s="436">
        <f>D75*Q75*0.000001</f>
        <v>31.227983069201024</v>
      </c>
      <c r="V75" s="436">
        <f>E75*R75*0.000001</f>
        <v>7.6613661481913891</v>
      </c>
      <c r="W75" s="436">
        <f>F75*S75*0.000001</f>
        <v>0.64804080397826469</v>
      </c>
      <c r="X75" s="436">
        <f>SUM(U75:W75)</f>
        <v>39.537390021370676</v>
      </c>
      <c r="Z75" s="263"/>
      <c r="AA75" s="341">
        <f t="shared" si="81"/>
        <v>2011</v>
      </c>
      <c r="AB75" s="7">
        <f>D75*AF75*0.000001</f>
        <v>31.29300893619931</v>
      </c>
      <c r="AC75" s="7">
        <f>E75*AG75*0.000001</f>
        <v>7.6678092391418788</v>
      </c>
      <c r="AD75" s="7">
        <f>F75*AH75*0.000001</f>
        <v>0.64864644486650835</v>
      </c>
      <c r="AF75" s="282">
        <f t="shared" si="74"/>
        <v>2359.4667987037897</v>
      </c>
      <c r="AG75" s="282">
        <f t="shared" si="75"/>
        <v>1118.8198086489042</v>
      </c>
      <c r="AH75" s="282">
        <f t="shared" si="76"/>
        <v>1099.5435933283468</v>
      </c>
      <c r="AJ75" s="434">
        <f>AHS_tables!CI214</f>
        <v>1.0782062775000831</v>
      </c>
      <c r="AK75" s="434">
        <f>AHS_tables!CI328</f>
        <v>1.083971951186077</v>
      </c>
      <c r="AL75" s="434">
        <f>AHS_tables!$CK$460</f>
        <v>0.98022520031718774</v>
      </c>
    </row>
    <row r="76" spans="3:38" s="341" customFormat="1" x14ac:dyDescent="0.2">
      <c r="C76" s="341">
        <v>2012</v>
      </c>
      <c r="D76" s="257">
        <f t="shared" si="64"/>
        <v>13403.29839551334</v>
      </c>
      <c r="E76" s="257">
        <f t="shared" si="65"/>
        <v>6873.6645303990972</v>
      </c>
      <c r="F76" s="257">
        <f t="shared" si="66"/>
        <v>571.18021968742573</v>
      </c>
      <c r="G76" s="257">
        <f t="shared" ref="G76:G82" si="85">SUM(D76:F76)</f>
        <v>20848.143145599865</v>
      </c>
      <c r="H76" s="257"/>
      <c r="I76" s="435">
        <f>AHS_tables!EG535</f>
        <v>0.16583794418793221</v>
      </c>
      <c r="J76" s="435">
        <f>AHS_tables!DL593</f>
        <v>0.25400376442893424</v>
      </c>
      <c r="K76" s="435">
        <f>AHS_tables!DK658</f>
        <v>8.1578964469574411E-2</v>
      </c>
      <c r="M76" s="258">
        <f t="shared" ref="M76:M77" si="86">D76/$G76</f>
        <v>0.64290130309960924</v>
      </c>
      <c r="N76" s="258">
        <f t="shared" ref="N76:N77" si="87">E76/$G76</f>
        <v>0.32970152221205506</v>
      </c>
      <c r="O76" s="258">
        <f t="shared" ref="O76:O77" si="88">F76/$G76</f>
        <v>2.739717468833559E-2</v>
      </c>
      <c r="Q76" s="344">
        <f t="shared" si="69"/>
        <v>2348.123402749759</v>
      </c>
      <c r="R76" s="344">
        <f t="shared" si="70"/>
        <v>1119.594932216</v>
      </c>
      <c r="S76" s="344">
        <f t="shared" si="71"/>
        <v>1115.7236977592393</v>
      </c>
      <c r="U76" s="436">
        <f t="shared" ref="U76:U77" si="89">D76*Q76*0.000001</f>
        <v>31.472598636543168</v>
      </c>
      <c r="V76" s="436">
        <f t="shared" ref="V76:V77" si="90">E76*R76*0.000001</f>
        <v>7.6957199739876998</v>
      </c>
      <c r="W76" s="436">
        <f t="shared" ref="W76:W77" si="91">F76*S76*0.000001</f>
        <v>0.63727930679658928</v>
      </c>
      <c r="X76" s="436">
        <f t="shared" ref="X76:X77" si="92">SUM(U76:W76)</f>
        <v>39.805597917327454</v>
      </c>
      <c r="Z76" s="350"/>
      <c r="AA76" s="341">
        <f t="shared" si="81"/>
        <v>2012</v>
      </c>
      <c r="AB76" s="7">
        <f t="shared" ref="AB76:AB82" si="93">D76*AF76*0.000001</f>
        <v>31.5577852211322</v>
      </c>
      <c r="AC76" s="7">
        <f t="shared" ref="AC76:AC82" si="94">E76*AG76*0.000001</f>
        <v>7.6935687153349113</v>
      </c>
      <c r="AD76" s="7">
        <f t="shared" ref="AD76:AD82" si="95">F76*AH76*0.000001</f>
        <v>0.63775869599079493</v>
      </c>
      <c r="AF76" s="344">
        <f t="shared" si="74"/>
        <v>2354.479046120166</v>
      </c>
      <c r="AG76" s="344">
        <f t="shared" si="75"/>
        <v>1119.28196107182</v>
      </c>
      <c r="AH76" s="344">
        <f t="shared" si="76"/>
        <v>1116.5629936201287</v>
      </c>
      <c r="AJ76" s="434">
        <f>AHS_tables!CI215</f>
        <v>1.0723263500177147</v>
      </c>
      <c r="AK76" s="434">
        <f>AHS_tables!CI329</f>
        <v>1.0844197089570253</v>
      </c>
      <c r="AL76" s="434">
        <f>AHS_tables!$CK$460</f>
        <v>0.98022520031718774</v>
      </c>
    </row>
    <row r="77" spans="3:38" s="341" customFormat="1" x14ac:dyDescent="0.2">
      <c r="C77" s="341">
        <v>2013</v>
      </c>
      <c r="D77" s="257">
        <f t="shared" si="64"/>
        <v>13552.896685952008</v>
      </c>
      <c r="E77" s="257">
        <f t="shared" si="65"/>
        <v>6897.0084649147357</v>
      </c>
      <c r="F77" s="257">
        <f t="shared" si="66"/>
        <v>552.36646002781913</v>
      </c>
      <c r="G77" s="257">
        <f t="shared" si="85"/>
        <v>21002.271610894564</v>
      </c>
      <c r="H77" s="257"/>
      <c r="I77" s="435">
        <f>AHS_tables!EG536</f>
        <v>0.16663773451132791</v>
      </c>
      <c r="J77" s="435">
        <f>AHS_tables!DL594</f>
        <v>0.25286241405501203</v>
      </c>
      <c r="K77" s="435">
        <f>AHS_tables!DK659</f>
        <v>7.8563682984688951E-2</v>
      </c>
      <c r="M77" s="258">
        <f t="shared" si="86"/>
        <v>0.64530622863298648</v>
      </c>
      <c r="N77" s="258">
        <f t="shared" si="87"/>
        <v>0.32839345156059369</v>
      </c>
      <c r="O77" s="258">
        <f t="shared" si="88"/>
        <v>2.6300319806419826E-2</v>
      </c>
      <c r="Q77" s="344">
        <f t="shared" ref="Q77:Q82" si="96">AF38*AF77</f>
        <v>2343.6122226506586</v>
      </c>
      <c r="R77" s="344">
        <f>AG38*AG77</f>
        <v>1121.2391382076003</v>
      </c>
      <c r="S77" s="344">
        <f>AH38*AH77</f>
        <v>1132.9367165326958</v>
      </c>
      <c r="U77" s="436">
        <f t="shared" si="89"/>
        <v>31.762734325518728</v>
      </c>
      <c r="V77" s="436">
        <f t="shared" si="90"/>
        <v>7.7331958274115218</v>
      </c>
      <c r="W77" s="436">
        <f t="shared" si="91"/>
        <v>0.62579624354670593</v>
      </c>
      <c r="X77" s="436">
        <f t="shared" si="92"/>
        <v>40.121726396476959</v>
      </c>
      <c r="Z77" s="350"/>
      <c r="AA77" s="341">
        <f t="shared" si="81"/>
        <v>2013</v>
      </c>
      <c r="AB77" s="7">
        <f t="shared" si="93"/>
        <v>31.869103275243862</v>
      </c>
      <c r="AC77" s="7">
        <f t="shared" si="94"/>
        <v>7.7220877620184076</v>
      </c>
      <c r="AD77" s="7">
        <f t="shared" si="95"/>
        <v>0.62615289407498298</v>
      </c>
      <c r="AF77" s="344">
        <f t="shared" si="74"/>
        <v>2351.4606518233968</v>
      </c>
      <c r="AG77" s="344">
        <f t="shared" si="75"/>
        <v>1119.628575389007</v>
      </c>
      <c r="AH77" s="344">
        <f t="shared" si="76"/>
        <v>1133.5823939119107</v>
      </c>
      <c r="AJ77" s="434">
        <f>AHS_tables!CI216</f>
        <v>1.066446422535348</v>
      </c>
      <c r="AK77" s="434">
        <f>AHS_tables!CI330</f>
        <v>1.0847555272852365</v>
      </c>
      <c r="AL77" s="434">
        <f>AHS_tables!$CK$460</f>
        <v>0.98022520031718774</v>
      </c>
    </row>
    <row r="78" spans="3:38" s="341" customFormat="1" x14ac:dyDescent="0.2">
      <c r="C78" s="341">
        <v>2014</v>
      </c>
      <c r="D78" s="257">
        <f t="shared" si="64"/>
        <v>13601.338168709615</v>
      </c>
      <c r="E78" s="257">
        <f t="shared" si="65"/>
        <v>7010.2804434498757</v>
      </c>
      <c r="F78" s="257">
        <f t="shared" si="66"/>
        <v>534.2543324430726</v>
      </c>
      <c r="G78" s="257">
        <f t="shared" si="85"/>
        <v>21145.872944602565</v>
      </c>
      <c r="H78" s="257"/>
      <c r="I78" s="435">
        <f>AHS_tables!EG537</f>
        <v>0.16575689531058496</v>
      </c>
      <c r="J78" s="435">
        <f>AHS_tables!DL595</f>
        <v>0.25498990719292469</v>
      </c>
      <c r="K78" s="435">
        <f>AHS_tables!DK660</f>
        <v>7.6584648218296941E-2</v>
      </c>
      <c r="M78" s="258">
        <f t="shared" ref="M78:M82" si="97">D78/$G78</f>
        <v>0.64321478731769854</v>
      </c>
      <c r="N78" s="258">
        <f t="shared" ref="N78:N82" si="98">E78/$G78</f>
        <v>0.33152003049555984</v>
      </c>
      <c r="O78" s="258">
        <f t="shared" ref="O78:O82" si="99">F78/$G78</f>
        <v>2.526518218674154E-2</v>
      </c>
      <c r="Q78" s="344">
        <f t="shared" si="96"/>
        <v>2349.0545877751733</v>
      </c>
      <c r="R78" s="344">
        <f t="shared" ref="R78:S78" si="100">AG39*AG78</f>
        <v>1121.1843892215122</v>
      </c>
      <c r="S78" s="344">
        <f t="shared" si="100"/>
        <v>1149.4081009836809</v>
      </c>
      <c r="U78" s="436">
        <f t="shared" ref="U78:U82" si="101">D78*Q78*0.000001</f>
        <v>31.950285825088894</v>
      </c>
      <c r="V78" s="436">
        <f t="shared" ref="V78:V82" si="102">E78*R78*0.000001</f>
        <v>7.8598169972608609</v>
      </c>
      <c r="W78" s="436">
        <f t="shared" ref="W78:W82" si="103">F78*S78*0.000001</f>
        <v>0.61407625769569618</v>
      </c>
      <c r="X78" s="436">
        <f t="shared" ref="X78:X82" si="104">SUM(U78:W78)</f>
        <v>40.424179080045448</v>
      </c>
      <c r="Z78" s="350"/>
      <c r="AA78" s="341">
        <f t="shared" si="81"/>
        <v>2014</v>
      </c>
      <c r="AB78" s="7">
        <f t="shared" si="93"/>
        <v>32.063040955818444</v>
      </c>
      <c r="AC78" s="7">
        <f t="shared" si="94"/>
        <v>7.8507327036540948</v>
      </c>
      <c r="AD78" s="7">
        <f t="shared" si="95"/>
        <v>0.61471399347009525</v>
      </c>
      <c r="AF78" s="344">
        <f t="shared" si="74"/>
        <v>2357.3445905183553</v>
      </c>
      <c r="AG78" s="344">
        <f t="shared" ref="AG78:AG82" si="105">R39*AK78</f>
        <v>1119.888536126897</v>
      </c>
      <c r="AH78" s="344">
        <f t="shared" ref="AH78:AH82" si="106">S39*AL78</f>
        <v>1150.6017942036924</v>
      </c>
      <c r="AJ78" s="434">
        <f>AHS_tables!CI217</f>
        <v>1.0635064587941647</v>
      </c>
      <c r="AK78" s="434">
        <f>AHS_tables!CI331</f>
        <v>1.0850073910313949</v>
      </c>
      <c r="AL78" s="434">
        <f>AHS_tables!$CK$460</f>
        <v>0.98022520031718774</v>
      </c>
    </row>
    <row r="79" spans="3:38" s="341" customFormat="1" x14ac:dyDescent="0.2">
      <c r="C79" s="341">
        <v>2015</v>
      </c>
      <c r="D79" s="257">
        <f t="shared" si="64"/>
        <v>13654.210899253439</v>
      </c>
      <c r="E79" s="257">
        <f t="shared" si="65"/>
        <v>7132.7012183771149</v>
      </c>
      <c r="F79" s="257">
        <f t="shared" si="66"/>
        <v>516.27074502977337</v>
      </c>
      <c r="G79" s="257">
        <f t="shared" si="85"/>
        <v>21303.182862660331</v>
      </c>
      <c r="H79" s="257"/>
      <c r="I79" s="435">
        <f>AHS_tables!EG538</f>
        <v>0.16487605610984199</v>
      </c>
      <c r="J79" s="435">
        <f>AHS_tables!DL596</f>
        <v>0.2571174003308373</v>
      </c>
      <c r="K79" s="435">
        <f>AHS_tables!DK661</f>
        <v>7.4605613451904945E-2</v>
      </c>
      <c r="M79" s="258">
        <f t="shared" si="97"/>
        <v>0.64094698840454434</v>
      </c>
      <c r="N79" s="258">
        <f t="shared" si="98"/>
        <v>0.33481856980531904</v>
      </c>
      <c r="O79" s="258">
        <f t="shared" si="99"/>
        <v>2.4234441790136414E-2</v>
      </c>
      <c r="Q79" s="344">
        <f t="shared" si="96"/>
        <v>2358.1224571194502</v>
      </c>
      <c r="R79" s="344">
        <f t="shared" ref="R79:S79" si="107">AG40*AG79</f>
        <v>1120.8576814091923</v>
      </c>
      <c r="S79" s="344">
        <f t="shared" si="107"/>
        <v>1165.8640712283081</v>
      </c>
      <c r="U79" s="436">
        <f t="shared" si="101"/>
        <v>32.198301355774696</v>
      </c>
      <c r="V79" s="436">
        <f t="shared" si="102"/>
        <v>7.994742949814694</v>
      </c>
      <c r="W79" s="436">
        <f t="shared" si="103"/>
        <v>0.6019015126564834</v>
      </c>
      <c r="X79" s="436">
        <f t="shared" si="104"/>
        <v>40.794945818245871</v>
      </c>
      <c r="Z79" s="350"/>
      <c r="AA79" s="341">
        <f t="shared" si="81"/>
        <v>2015</v>
      </c>
      <c r="AB79" s="7">
        <f t="shared" si="93"/>
        <v>32.313222886509301</v>
      </c>
      <c r="AC79" s="7">
        <f t="shared" si="94"/>
        <v>7.9892209927827897</v>
      </c>
      <c r="AD79" s="7">
        <f t="shared" si="95"/>
        <v>0.6028086639947321</v>
      </c>
      <c r="AF79" s="344">
        <f t="shared" si="74"/>
        <v>2366.5390204479754</v>
      </c>
      <c r="AG79" s="344">
        <f t="shared" si="105"/>
        <v>1120.0835066803145</v>
      </c>
      <c r="AH79" s="344">
        <f t="shared" si="106"/>
        <v>1167.6211944954737</v>
      </c>
      <c r="AJ79" s="434">
        <f>AHS_tables!CI218</f>
        <v>1.0620364769235731</v>
      </c>
      <c r="AK79" s="434">
        <f>AHS_tables!CI332</f>
        <v>1.0851962888410136</v>
      </c>
      <c r="AL79" s="434">
        <f>AHS_tables!$CK$460</f>
        <v>0.98022520031718774</v>
      </c>
    </row>
    <row r="80" spans="3:38" s="341" customFormat="1" x14ac:dyDescent="0.2">
      <c r="C80" s="341">
        <v>2016</v>
      </c>
      <c r="D80" s="257">
        <f t="shared" si="64"/>
        <v>13726.103784523679</v>
      </c>
      <c r="E80" s="257">
        <f t="shared" si="65"/>
        <v>7133.9820303176293</v>
      </c>
      <c r="F80" s="257">
        <f t="shared" si="66"/>
        <v>513.05647169513531</v>
      </c>
      <c r="G80" s="257">
        <f t="shared" si="85"/>
        <v>21373.142286536444</v>
      </c>
      <c r="H80" s="257"/>
      <c r="I80" s="435">
        <f>AHS_tables!EG539</f>
        <v>0.16386198889618475</v>
      </c>
      <c r="J80" s="435">
        <f>AHS_tables!DL597</f>
        <v>0.25555052862024297</v>
      </c>
      <c r="K80" s="435">
        <f>AHS_tables!DK662</f>
        <v>7.3991950891273528E-2</v>
      </c>
      <c r="M80" s="258">
        <f t="shared" si="97"/>
        <v>0.6422127172741533</v>
      </c>
      <c r="N80" s="258">
        <f t="shared" si="98"/>
        <v>0.33378255451055178</v>
      </c>
      <c r="O80" s="258">
        <f t="shared" si="99"/>
        <v>2.4004728215294965E-2</v>
      </c>
      <c r="Q80" s="344">
        <f t="shared" si="96"/>
        <v>2369.9407575160008</v>
      </c>
      <c r="R80" s="344">
        <f t="shared" ref="R80:S80" si="108">AG41*AG80</f>
        <v>1121.7428274440902</v>
      </c>
      <c r="S80" s="344">
        <f t="shared" si="108"/>
        <v>1171.003329976108</v>
      </c>
      <c r="U80" s="436">
        <f t="shared" si="101"/>
        <v>32.530052800837289</v>
      </c>
      <c r="V80" s="436">
        <f t="shared" si="102"/>
        <v>8.0024931736238276</v>
      </c>
      <c r="W80" s="436">
        <f t="shared" si="103"/>
        <v>0.60079083682079626</v>
      </c>
      <c r="X80" s="436">
        <f t="shared" si="104"/>
        <v>41.133336811281914</v>
      </c>
      <c r="Z80" s="350"/>
      <c r="AA80" s="341">
        <f t="shared" si="81"/>
        <v>2016</v>
      </c>
      <c r="AB80" s="7">
        <f t="shared" si="93"/>
        <v>32.647105560922732</v>
      </c>
      <c r="AC80" s="7">
        <f t="shared" si="94"/>
        <v>7.9916987964309119</v>
      </c>
      <c r="AD80" s="7">
        <f t="shared" si="95"/>
        <v>0.60148141575870673</v>
      </c>
      <c r="AF80" s="344">
        <f t="shared" si="74"/>
        <v>2378.4685059523354</v>
      </c>
      <c r="AG80" s="344">
        <f t="shared" si="105"/>
        <v>1120.2297345953777</v>
      </c>
      <c r="AH80" s="344">
        <f t="shared" si="106"/>
        <v>1172.3493395793566</v>
      </c>
      <c r="AJ80" s="434">
        <f>AHS_tables!CI219</f>
        <v>1.0613014859882772</v>
      </c>
      <c r="AK80" s="434">
        <f>AHS_tables!CI333</f>
        <v>1.0853379621982278</v>
      </c>
      <c r="AL80" s="434">
        <f>AHS_tables!$CK$460</f>
        <v>0.98022520031718774</v>
      </c>
    </row>
    <row r="81" spans="3:38" s="341" customFormat="1" x14ac:dyDescent="0.2">
      <c r="C81" s="341">
        <v>2017</v>
      </c>
      <c r="D81" s="257">
        <f t="shared" si="64"/>
        <v>13806.74167477463</v>
      </c>
      <c r="E81" s="257">
        <f t="shared" si="65"/>
        <v>7137.1008796410742</v>
      </c>
      <c r="F81" s="257">
        <f t="shared" si="66"/>
        <v>509.91435289336312</v>
      </c>
      <c r="G81" s="257">
        <f t="shared" si="85"/>
        <v>21453.756907309067</v>
      </c>
      <c r="H81" s="257"/>
      <c r="I81" s="435">
        <f>AHS_tables!EG540</f>
        <v>0.16284792168252749</v>
      </c>
      <c r="J81" s="435">
        <f>AHS_tables!DL598</f>
        <v>0.25398365690964864</v>
      </c>
      <c r="K81" s="435">
        <f>AHS_tables!DK663</f>
        <v>7.3378288330642125E-2</v>
      </c>
      <c r="M81" s="258">
        <f t="shared" si="97"/>
        <v>0.64355822313204358</v>
      </c>
      <c r="N81" s="258">
        <f t="shared" si="98"/>
        <v>0.33267370887425035</v>
      </c>
      <c r="O81" s="258">
        <f t="shared" si="99"/>
        <v>2.3768067993706069E-2</v>
      </c>
      <c r="Q81" s="344">
        <f t="shared" si="96"/>
        <v>2382.4386153057872</v>
      </c>
      <c r="R81" s="344">
        <f t="shared" ref="R81:S81" si="109">AG42*AG81</f>
        <v>1122.4922948878875</v>
      </c>
      <c r="S81" s="344">
        <f t="shared" si="109"/>
        <v>1176.3191064323807</v>
      </c>
      <c r="U81" s="436">
        <f t="shared" si="101"/>
        <v>32.893714517534775</v>
      </c>
      <c r="V81" s="436">
        <f t="shared" si="102"/>
        <v>8.0113407452346692</v>
      </c>
      <c r="W81" s="436">
        <f t="shared" si="103"/>
        <v>0.59982199595256658</v>
      </c>
      <c r="X81" s="436">
        <f t="shared" si="104"/>
        <v>41.504877258722011</v>
      </c>
      <c r="Z81" s="350"/>
      <c r="AA81" s="341">
        <f t="shared" si="81"/>
        <v>2017</v>
      </c>
      <c r="AB81" s="7">
        <f t="shared" si="93"/>
        <v>33.01183408275012</v>
      </c>
      <c r="AC81" s="7">
        <f t="shared" si="94"/>
        <v>7.9959753567166763</v>
      </c>
      <c r="AD81" s="7">
        <f t="shared" si="95"/>
        <v>0.6002969093501167</v>
      </c>
      <c r="AF81" s="344">
        <f t="shared" si="74"/>
        <v>2390.9938246374109</v>
      </c>
      <c r="AG81" s="344">
        <f t="shared" si="105"/>
        <v>1120.3394055316751</v>
      </c>
      <c r="AH81" s="344">
        <f t="shared" si="106"/>
        <v>1177.2504655809425</v>
      </c>
      <c r="AJ81" s="434">
        <f>AHS_tables!CI220</f>
        <v>1.0609339905206294</v>
      </c>
      <c r="AK81" s="434">
        <f>AHS_tables!CI334</f>
        <v>1.0854442172161383</v>
      </c>
      <c r="AL81" s="434">
        <f>AHS_tables!$CK$460</f>
        <v>0.98022520031718774</v>
      </c>
    </row>
    <row r="82" spans="3:38" s="341" customFormat="1" x14ac:dyDescent="0.2">
      <c r="C82" s="341">
        <v>2018</v>
      </c>
      <c r="D82" s="257">
        <f t="shared" si="64"/>
        <v>13912.342021603421</v>
      </c>
      <c r="E82" s="257">
        <f t="shared" si="65"/>
        <v>7178.7837819373008</v>
      </c>
      <c r="F82" s="257">
        <f t="shared" si="66"/>
        <v>509.06421643587015</v>
      </c>
      <c r="G82" s="257">
        <f t="shared" si="85"/>
        <v>21600.190019976591</v>
      </c>
      <c r="H82" s="257"/>
      <c r="I82" s="435">
        <f>AHS_tables!EG541</f>
        <v>0.16284792168252749</v>
      </c>
      <c r="J82" s="435">
        <f>AHS_tables!DL599</f>
        <v>0.25398365690964864</v>
      </c>
      <c r="K82" s="435">
        <f>AHS_tables!DK664</f>
        <v>7.3378288330642125E-2</v>
      </c>
      <c r="M82" s="258">
        <f t="shared" si="97"/>
        <v>0.64408424225605487</v>
      </c>
      <c r="N82" s="258">
        <f t="shared" si="98"/>
        <v>0.33234817727520533</v>
      </c>
      <c r="O82" s="258">
        <f t="shared" si="99"/>
        <v>2.3567580468739868E-2</v>
      </c>
      <c r="Q82" s="344">
        <f t="shared" si="96"/>
        <v>2394.8182026707577</v>
      </c>
      <c r="R82" s="344">
        <f t="shared" ref="R82:S82" si="110">AG43*AG82</f>
        <v>1122.8118169728232</v>
      </c>
      <c r="S82" s="344">
        <f t="shared" si="110"/>
        <v>1176.3191064323805</v>
      </c>
      <c r="U82" s="436">
        <f t="shared" si="101"/>
        <v>33.317529915117156</v>
      </c>
      <c r="V82" s="436">
        <f t="shared" si="102"/>
        <v>8.0604232618520548</v>
      </c>
      <c r="W82" s="436">
        <f t="shared" si="103"/>
        <v>0.5988219641945427</v>
      </c>
      <c r="X82" s="436">
        <f t="shared" si="104"/>
        <v>41.976775141163756</v>
      </c>
      <c r="Z82" s="350"/>
      <c r="AA82" s="341">
        <f t="shared" si="81"/>
        <v>2018</v>
      </c>
      <c r="AB82" s="7">
        <f t="shared" si="93"/>
        <v>33.437803626789353</v>
      </c>
      <c r="AC82" s="7">
        <f t="shared" si="94"/>
        <v>8.0432648326501965</v>
      </c>
      <c r="AD82" s="7">
        <f t="shared" si="95"/>
        <v>0.59929608580972582</v>
      </c>
      <c r="AF82" s="344">
        <f t="shared" si="74"/>
        <v>2403.463311559357</v>
      </c>
      <c r="AG82" s="344">
        <f t="shared" si="105"/>
        <v>1120.4216587338981</v>
      </c>
      <c r="AH82" s="344">
        <f t="shared" si="106"/>
        <v>1177.2504655809425</v>
      </c>
      <c r="AJ82" s="434">
        <f>AHS_tables!CI221</f>
        <v>1.0607502427868054</v>
      </c>
      <c r="AK82" s="434">
        <f>AHS_tables!CI335</f>
        <v>1.0855239084795711</v>
      </c>
      <c r="AL82" s="434">
        <f>AHS_tables!$CK$460</f>
        <v>0.98022520031718774</v>
      </c>
    </row>
    <row r="83" spans="3:38" x14ac:dyDescent="0.2">
      <c r="Q83" s="2"/>
      <c r="R83" s="2"/>
      <c r="S83" s="2"/>
      <c r="U83" s="24"/>
      <c r="V83" s="24"/>
      <c r="W83" s="24"/>
      <c r="X83" s="24"/>
      <c r="AB83" s="7"/>
      <c r="AC83" s="7"/>
      <c r="AD83" s="7"/>
      <c r="AF83" s="2"/>
      <c r="AG83" s="2"/>
      <c r="AH83" s="2"/>
      <c r="AJ83" s="23"/>
      <c r="AK83" s="23"/>
      <c r="AL83" s="23"/>
    </row>
    <row r="84" spans="3:38" s="341" customFormat="1" x14ac:dyDescent="0.2">
      <c r="Q84" s="344"/>
      <c r="R84" s="344"/>
      <c r="S84" s="344"/>
      <c r="U84" s="24"/>
      <c r="V84" s="24"/>
      <c r="W84" s="24"/>
      <c r="X84" s="24"/>
      <c r="Z84" s="350"/>
      <c r="AB84" s="7"/>
      <c r="AC84" s="7"/>
      <c r="AD84" s="7"/>
      <c r="AF84" s="344"/>
      <c r="AG84" s="344"/>
      <c r="AH84" s="344"/>
      <c r="AJ84" s="23"/>
      <c r="AK84" s="23"/>
      <c r="AL84" s="23"/>
    </row>
    <row r="85" spans="3:38" ht="15.75" x14ac:dyDescent="0.25">
      <c r="C85" s="6" t="s">
        <v>21</v>
      </c>
      <c r="AB85" s="6" t="s">
        <v>21</v>
      </c>
      <c r="AC85" s="7"/>
      <c r="AD85" s="7"/>
      <c r="AF85" s="2"/>
      <c r="AG85" s="2"/>
      <c r="AH85" s="2"/>
      <c r="AJ85" s="23"/>
      <c r="AK85" s="23"/>
      <c r="AL85" s="23"/>
    </row>
    <row r="86" spans="3:38" x14ac:dyDescent="0.2">
      <c r="Q86" s="2" t="s">
        <v>467</v>
      </c>
      <c r="R86" s="2"/>
      <c r="S86" s="2"/>
      <c r="U86" s="24" t="s">
        <v>468</v>
      </c>
      <c r="V86" s="24"/>
      <c r="W86" s="24"/>
      <c r="X86" s="24"/>
      <c r="AB86" s="7"/>
      <c r="AC86" s="7"/>
      <c r="AD86" s="7"/>
      <c r="AF86" s="2"/>
      <c r="AG86" s="2"/>
      <c r="AH86" s="2"/>
      <c r="AJ86" s="23"/>
      <c r="AK86" s="23"/>
      <c r="AL86" s="23"/>
    </row>
    <row r="87" spans="3:38" x14ac:dyDescent="0.2">
      <c r="C87" s="1"/>
      <c r="D87" s="341" t="s">
        <v>768</v>
      </c>
      <c r="E87" s="341"/>
      <c r="I87" t="s">
        <v>474</v>
      </c>
      <c r="M87" t="s">
        <v>362</v>
      </c>
      <c r="Q87" t="s">
        <v>470</v>
      </c>
      <c r="R87" s="2"/>
      <c r="S87" s="2"/>
      <c r="U87" s="24" t="s">
        <v>469</v>
      </c>
      <c r="V87" s="24"/>
      <c r="W87" s="24"/>
      <c r="X87" s="24"/>
      <c r="AB87" t="s">
        <v>471</v>
      </c>
      <c r="AF87" t="s">
        <v>456</v>
      </c>
      <c r="AJ87" s="23"/>
      <c r="AK87" s="23"/>
      <c r="AL87" s="23"/>
    </row>
    <row r="88" spans="3:38" x14ac:dyDescent="0.2">
      <c r="C88" s="1"/>
      <c r="R88" s="2"/>
      <c r="S88" s="2"/>
      <c r="U88" s="24"/>
      <c r="V88" s="24"/>
      <c r="W88" s="24"/>
      <c r="X88" s="24"/>
      <c r="AB88" s="7"/>
      <c r="AC88" s="7"/>
      <c r="AD88" s="7"/>
      <c r="AF88" s="2"/>
      <c r="AG88" s="2"/>
      <c r="AH88" s="2"/>
      <c r="AJ88" s="23"/>
      <c r="AK88" s="23"/>
      <c r="AL88" s="23"/>
    </row>
    <row r="89" spans="3:38" ht="13.5" thickBot="1" x14ac:dyDescent="0.25">
      <c r="D89" s="16" t="s">
        <v>444</v>
      </c>
      <c r="E89" s="16" t="s">
        <v>32</v>
      </c>
      <c r="F89" s="16" t="s">
        <v>445</v>
      </c>
      <c r="G89" s="16" t="s">
        <v>363</v>
      </c>
      <c r="I89" s="17" t="s">
        <v>110</v>
      </c>
      <c r="J89" s="17" t="s">
        <v>261</v>
      </c>
      <c r="K89" s="17" t="s">
        <v>360</v>
      </c>
      <c r="M89" s="16" t="s">
        <v>356</v>
      </c>
      <c r="N89" s="16" t="s">
        <v>357</v>
      </c>
      <c r="O89" s="16" t="s">
        <v>358</v>
      </c>
      <c r="Q89" s="16" t="s">
        <v>356</v>
      </c>
      <c r="R89" s="16" t="s">
        <v>357</v>
      </c>
      <c r="S89" s="16" t="s">
        <v>358</v>
      </c>
      <c r="U89" s="16" t="s">
        <v>356</v>
      </c>
      <c r="V89" s="16" t="s">
        <v>357</v>
      </c>
      <c r="W89" s="16" t="s">
        <v>358</v>
      </c>
      <c r="X89" s="265"/>
      <c r="AB89" s="16" t="s">
        <v>356</v>
      </c>
      <c r="AC89" s="16" t="s">
        <v>357</v>
      </c>
      <c r="AD89" s="16" t="s">
        <v>358</v>
      </c>
      <c r="AF89" s="16" t="s">
        <v>356</v>
      </c>
      <c r="AG89" s="16" t="s">
        <v>357</v>
      </c>
      <c r="AH89" s="16" t="s">
        <v>358</v>
      </c>
      <c r="AJ89" s="16" t="s">
        <v>356</v>
      </c>
      <c r="AK89" s="16" t="s">
        <v>357</v>
      </c>
      <c r="AL89" s="16" t="s">
        <v>358</v>
      </c>
    </row>
    <row r="90" spans="3:38" x14ac:dyDescent="0.2">
      <c r="C90" s="437">
        <f t="shared" ref="C90:C116" si="111">C10</f>
        <v>1985</v>
      </c>
      <c r="D90" s="257">
        <f t="shared" ref="D90:D116" si="112">D10*I90</f>
        <v>15571.196605823206</v>
      </c>
      <c r="E90" s="257">
        <f t="shared" ref="E90:E116" si="113">E10*J90</f>
        <v>5286.4120661769584</v>
      </c>
      <c r="F90" s="257">
        <f t="shared" ref="F90:F116" si="114">F10*K90</f>
        <v>1078.0239695897578</v>
      </c>
      <c r="G90" s="257">
        <f>SUM(D90:F90)</f>
        <v>21935.632641589924</v>
      </c>
      <c r="I90" s="435">
        <f>AHS_tables!EH508</f>
        <v>0.26650512497347445</v>
      </c>
      <c r="J90" s="435">
        <f>AHS_tables!DM566</f>
        <v>0.22501532568112706</v>
      </c>
      <c r="K90" s="435">
        <f>AHS_tables!DL631</f>
        <v>0.2189674023156937</v>
      </c>
      <c r="M90" s="258">
        <f>D90/$G90</f>
        <v>0.70985856028151395</v>
      </c>
      <c r="N90" s="258">
        <f t="shared" ref="N90:N115" si="115">E90/$G90</f>
        <v>0.2409965626500295</v>
      </c>
      <c r="O90" s="258">
        <f t="shared" ref="O90:O115" si="116">F90/$G90</f>
        <v>4.9144877068456466E-2</v>
      </c>
      <c r="Q90" s="2">
        <f t="shared" ref="Q90:Q118" si="117">AF10*AF90</f>
        <v>1863.4839380310086</v>
      </c>
      <c r="R90" s="2">
        <f t="shared" ref="R90:R118" si="118">AG10*AG90</f>
        <v>850.45869663083533</v>
      </c>
      <c r="S90" s="2">
        <f t="shared" ref="S90:S118" si="119">AH10*AH90</f>
        <v>812.20990421477688</v>
      </c>
      <c r="U90" s="436">
        <f>D90*Q90*0.000001</f>
        <v>29.016674770874502</v>
      </c>
      <c r="V90" s="436">
        <f t="shared" ref="V90:V115" si="120">E90*R90*0.000001</f>
        <v>4.4958751156543775</v>
      </c>
      <c r="W90" s="436">
        <f t="shared" ref="W90:W115" si="121">F90*S90*0.000001</f>
        <v>0.8755817450817307</v>
      </c>
      <c r="X90" s="436">
        <f>SUM(U90:W90)</f>
        <v>34.388131631610612</v>
      </c>
      <c r="AB90" s="7">
        <f>D90*AF90*0.000001</f>
        <v>28.87758861879913</v>
      </c>
      <c r="AC90" s="7">
        <f t="shared" ref="AC90:AC115" si="122">E90*AG90*0.000001</f>
        <v>4.5623495070502242</v>
      </c>
      <c r="AD90" s="7">
        <f t="shared" ref="AD90:AD115" si="123">F90*AH90*0.000001</f>
        <v>0.87075372097917925</v>
      </c>
      <c r="AF90" s="2">
        <f t="shared" ref="AF90:AF123" si="124">Q10*AJ90</f>
        <v>1854.5516667614161</v>
      </c>
      <c r="AG90" s="2">
        <f t="shared" ref="AG90:AG118" si="125">R10*AK90</f>
        <v>863.03327283936767</v>
      </c>
      <c r="AH90" s="2">
        <f t="shared" ref="AH90:AH118" si="126">S10*AL90</f>
        <v>807.73131724570533</v>
      </c>
      <c r="AJ90" s="434">
        <f>AHS_tables!CN188</f>
        <v>1.002953836690387</v>
      </c>
      <c r="AK90" s="434">
        <f>AHS_tables!CN302</f>
        <v>1.01871954568356</v>
      </c>
      <c r="AL90" s="434">
        <f>AHS_tables!$CP$460</f>
        <v>0.9419427708734216</v>
      </c>
    </row>
    <row r="91" spans="3:38" x14ac:dyDescent="0.2">
      <c r="C91">
        <f t="shared" si="111"/>
        <v>1986</v>
      </c>
      <c r="D91" s="257">
        <f t="shared" si="112"/>
        <v>15662.459601981938</v>
      </c>
      <c r="E91" s="257">
        <f t="shared" si="113"/>
        <v>5215.0971773341626</v>
      </c>
      <c r="F91" s="257">
        <f t="shared" si="114"/>
        <v>1038.0853988667566</v>
      </c>
      <c r="G91" s="257">
        <f t="shared" ref="G91:G115" si="127">SUM(D91:F91)</f>
        <v>21915.642178182858</v>
      </c>
      <c r="I91" s="435">
        <f>AHS_tables!EH509</f>
        <v>0.26338229837038585</v>
      </c>
      <c r="J91" s="435">
        <f>AHS_tables!DM567</f>
        <v>0.22068543187739631</v>
      </c>
      <c r="K91" s="435">
        <f>AHS_tables!DL632</f>
        <v>0.20444073451780365</v>
      </c>
      <c r="M91" s="258">
        <f t="shared" ref="M91:M115" si="128">D91/$G91</f>
        <v>0.71467034708086274</v>
      </c>
      <c r="N91" s="258">
        <f t="shared" si="115"/>
        <v>0.23796232549032126</v>
      </c>
      <c r="O91" s="258">
        <f t="shared" si="116"/>
        <v>4.7367327428815949E-2</v>
      </c>
      <c r="Q91" s="2">
        <f t="shared" si="117"/>
        <v>1861.4362465494105</v>
      </c>
      <c r="R91" s="2">
        <f t="shared" si="118"/>
        <v>870.88149077750643</v>
      </c>
      <c r="S91" s="2">
        <f t="shared" si="119"/>
        <v>818.19085259015924</v>
      </c>
      <c r="U91" s="436">
        <f t="shared" ref="U91:U115" si="129">D91*Q91*0.000001</f>
        <v>29.154670013245031</v>
      </c>
      <c r="V91" s="436">
        <f t="shared" si="120"/>
        <v>4.5417316043463414</v>
      </c>
      <c r="W91" s="436">
        <f t="shared" si="121"/>
        <v>0.8493519775601871</v>
      </c>
      <c r="X91" s="436">
        <f t="shared" ref="X91:X115" si="130">SUM(U91:W91)</f>
        <v>34.54575359515156</v>
      </c>
      <c r="AB91" s="7">
        <f t="shared" ref="AB91:AB115" si="131">D91*AF91*0.000001</f>
        <v>29.019062520573016</v>
      </c>
      <c r="AC91" s="7">
        <f t="shared" si="122"/>
        <v>4.6075054668881794</v>
      </c>
      <c r="AD91" s="7">
        <f t="shared" si="123"/>
        <v>0.84552414376902174</v>
      </c>
      <c r="AF91" s="2">
        <f t="shared" si="124"/>
        <v>1852.7781241268724</v>
      </c>
      <c r="AG91" s="2">
        <f t="shared" si="125"/>
        <v>883.49369344703769</v>
      </c>
      <c r="AH91" s="2">
        <f t="shared" si="126"/>
        <v>814.50345481407635</v>
      </c>
      <c r="AJ91" s="434">
        <f>AHS_tables!CN189</f>
        <v>1.0040507714030287</v>
      </c>
      <c r="AK91" s="434">
        <f>AHS_tables!CN303</f>
        <v>1.01871954568356</v>
      </c>
      <c r="AL91" s="434">
        <f>AHS_tables!$CP$460</f>
        <v>0.9419427708734216</v>
      </c>
    </row>
    <row r="92" spans="3:38" x14ac:dyDescent="0.2">
      <c r="C92">
        <f t="shared" si="111"/>
        <v>1987</v>
      </c>
      <c r="D92" s="257">
        <f t="shared" si="112"/>
        <v>15753.527543237458</v>
      </c>
      <c r="E92" s="257">
        <f t="shared" si="113"/>
        <v>5136.1237057496346</v>
      </c>
      <c r="F92" s="257">
        <f t="shared" si="114"/>
        <v>990.70952855586631</v>
      </c>
      <c r="G92" s="257">
        <f t="shared" si="127"/>
        <v>21880.360777542963</v>
      </c>
      <c r="I92" s="435">
        <f>AHS_tables!EH510</f>
        <v>0.26025947176729719</v>
      </c>
      <c r="J92" s="435">
        <f>AHS_tables!DM568</f>
        <v>0.21635553807366559</v>
      </c>
      <c r="K92" s="435">
        <f>AHS_tables!DL633</f>
        <v>0.18991406671991357</v>
      </c>
      <c r="M92" s="258">
        <f t="shared" si="128"/>
        <v>0.71998481667661463</v>
      </c>
      <c r="N92" s="258">
        <f t="shared" si="115"/>
        <v>0.23473670100637123</v>
      </c>
      <c r="O92" s="258">
        <f t="shared" si="116"/>
        <v>4.5278482317014028E-2</v>
      </c>
      <c r="Q92" s="2">
        <f t="shared" si="117"/>
        <v>1876.8986714209402</v>
      </c>
      <c r="R92" s="2">
        <f t="shared" si="118"/>
        <v>887.09906481981852</v>
      </c>
      <c r="S92" s="2">
        <f t="shared" si="119"/>
        <v>817.36378971804288</v>
      </c>
      <c r="U92" s="436">
        <f t="shared" si="129"/>
        <v>29.567774916095573</v>
      </c>
      <c r="V92" s="436">
        <f t="shared" si="120"/>
        <v>4.5562505361694008</v>
      </c>
      <c r="W92" s="436">
        <f t="shared" si="121"/>
        <v>0.80977009477019846</v>
      </c>
      <c r="X92" s="436">
        <f t="shared" si="130"/>
        <v>34.933795547035174</v>
      </c>
      <c r="AB92" s="7">
        <f t="shared" si="131"/>
        <v>29.434953661075355</v>
      </c>
      <c r="AC92" s="7">
        <f t="shared" si="122"/>
        <v>4.6208128203285757</v>
      </c>
      <c r="AD92" s="7">
        <f t="shared" si="123"/>
        <v>0.80693633372597784</v>
      </c>
      <c r="AF92" s="2">
        <f t="shared" si="124"/>
        <v>1868.4674642100047</v>
      </c>
      <c r="AG92" s="2">
        <f t="shared" si="125"/>
        <v>899.66930024598241</v>
      </c>
      <c r="AH92" s="2">
        <f t="shared" si="126"/>
        <v>814.50345481407635</v>
      </c>
      <c r="AJ92" s="434">
        <f>AHS_tables!CN190</f>
        <v>1.0051477061156706</v>
      </c>
      <c r="AK92" s="434">
        <f>AHS_tables!CN304</f>
        <v>1.01871954568356</v>
      </c>
      <c r="AL92" s="434">
        <f>AHS_tables!$CP$460</f>
        <v>0.9419427708734216</v>
      </c>
    </row>
    <row r="93" spans="3:38" x14ac:dyDescent="0.2">
      <c r="C93">
        <f t="shared" si="111"/>
        <v>1988</v>
      </c>
      <c r="D93" s="257">
        <f t="shared" si="112"/>
        <v>15959.481604125898</v>
      </c>
      <c r="E93" s="257">
        <f t="shared" si="113"/>
        <v>5241.7147107419714</v>
      </c>
      <c r="F93" s="257">
        <f t="shared" si="114"/>
        <v>1023.7692105797508</v>
      </c>
      <c r="G93" s="257">
        <f t="shared" si="127"/>
        <v>22224.96552544762</v>
      </c>
      <c r="I93" s="435">
        <f>AHS_tables!EH511</f>
        <v>0.25972087800534827</v>
      </c>
      <c r="J93" s="435">
        <f>AHS_tables!DM569</f>
        <v>0.21709854925276409</v>
      </c>
      <c r="K93" s="435">
        <f>AHS_tables!DL634</f>
        <v>0.19250108225292259</v>
      </c>
      <c r="M93" s="258">
        <f t="shared" si="128"/>
        <v>0.7180880251918621</v>
      </c>
      <c r="N93" s="258">
        <f t="shared" si="115"/>
        <v>0.23584804686154406</v>
      </c>
      <c r="O93" s="258">
        <f t="shared" si="116"/>
        <v>4.6063927946593822E-2</v>
      </c>
      <c r="Q93" s="2">
        <f t="shared" si="117"/>
        <v>1891.488674516366</v>
      </c>
      <c r="R93" s="2">
        <f t="shared" si="118"/>
        <v>898.80517018082764</v>
      </c>
      <c r="S93" s="2">
        <f t="shared" si="119"/>
        <v>841.65852438360662</v>
      </c>
      <c r="U93" s="436">
        <f t="shared" si="129"/>
        <v>30.18717870535642</v>
      </c>
      <c r="V93" s="436">
        <f t="shared" si="120"/>
        <v>4.7112802826277855</v>
      </c>
      <c r="W93" s="436">
        <f t="shared" si="121"/>
        <v>0.86166408308592279</v>
      </c>
      <c r="X93" s="436">
        <f t="shared" si="130"/>
        <v>35.760123071070126</v>
      </c>
      <c r="AB93" s="7">
        <f t="shared" si="131"/>
        <v>30.07905339380644</v>
      </c>
      <c r="AC93" s="7">
        <f t="shared" si="122"/>
        <v>4.776234026487268</v>
      </c>
      <c r="AD93" s="7">
        <f t="shared" si="123"/>
        <v>0.85880819532831743</v>
      </c>
      <c r="AF93" s="2">
        <f t="shared" si="124"/>
        <v>1884.713685564217</v>
      </c>
      <c r="AG93" s="2">
        <f t="shared" si="125"/>
        <v>911.19686783014311</v>
      </c>
      <c r="AH93" s="2">
        <f t="shared" si="126"/>
        <v>838.86894277859994</v>
      </c>
      <c r="AJ93" s="434">
        <f>AHS_tables!CN191</f>
        <v>1.0062446408283126</v>
      </c>
      <c r="AK93" s="434">
        <f>AHS_tables!CN305</f>
        <v>1.01871954568356</v>
      </c>
      <c r="AL93" s="434">
        <f>AHS_tables!$CP$460</f>
        <v>0.9419427708734216</v>
      </c>
    </row>
    <row r="94" spans="3:38" x14ac:dyDescent="0.2">
      <c r="C94">
        <f t="shared" si="111"/>
        <v>1989</v>
      </c>
      <c r="D94" s="257">
        <f t="shared" si="112"/>
        <v>16153.305616541074</v>
      </c>
      <c r="E94" s="257">
        <f t="shared" si="113"/>
        <v>5339.6277328528331</v>
      </c>
      <c r="F94" s="257">
        <f t="shared" si="114"/>
        <v>1054.7785405154</v>
      </c>
      <c r="G94" s="257">
        <f t="shared" si="127"/>
        <v>22547.711889909308</v>
      </c>
      <c r="I94" s="435">
        <f>AHS_tables!EH512</f>
        <v>0.25918228424339929</v>
      </c>
      <c r="J94" s="435">
        <f>AHS_tables!DM570</f>
        <v>0.21784156043186259</v>
      </c>
      <c r="K94" s="435">
        <f>AHS_tables!DL635</f>
        <v>0.19508809778593161</v>
      </c>
      <c r="M94" s="258">
        <f t="shared" si="128"/>
        <v>0.71640553575505383</v>
      </c>
      <c r="N94" s="258">
        <f t="shared" si="115"/>
        <v>0.23681461599846221</v>
      </c>
      <c r="O94" s="258">
        <f t="shared" si="116"/>
        <v>4.6779848246483985E-2</v>
      </c>
      <c r="Q94" s="2">
        <f t="shared" si="117"/>
        <v>1905.6794515361767</v>
      </c>
      <c r="R94" s="2">
        <f t="shared" si="118"/>
        <v>908.53322663690312</v>
      </c>
      <c r="S94" s="2">
        <f t="shared" si="119"/>
        <v>865.94423801445168</v>
      </c>
      <c r="U94" s="436">
        <f t="shared" si="129"/>
        <v>30.783022587826235</v>
      </c>
      <c r="V94" s="436">
        <f t="shared" si="120"/>
        <v>4.8512292131686756</v>
      </c>
      <c r="W94" s="436">
        <f t="shared" si="121"/>
        <v>0.91337939954060343</v>
      </c>
      <c r="X94" s="436">
        <f t="shared" si="130"/>
        <v>36.547631200535513</v>
      </c>
      <c r="AB94" s="7">
        <f t="shared" si="131"/>
        <v>30.700684973612852</v>
      </c>
      <c r="AC94" s="7">
        <f t="shared" si="122"/>
        <v>4.9161888842682675</v>
      </c>
      <c r="AD94" s="7">
        <f t="shared" si="123"/>
        <v>0.91052115298187397</v>
      </c>
      <c r="AF94" s="2">
        <f t="shared" si="124"/>
        <v>1900.5821905687949</v>
      </c>
      <c r="AG94" s="2">
        <f t="shared" si="125"/>
        <v>920.69880715104989</v>
      </c>
      <c r="AH94" s="2">
        <f t="shared" si="126"/>
        <v>863.23443074312365</v>
      </c>
      <c r="AJ94" s="434">
        <f>AHS_tables!CN192</f>
        <v>1.0073415755409545</v>
      </c>
      <c r="AK94" s="434">
        <f>AHS_tables!CN306</f>
        <v>1.01871954568356</v>
      </c>
      <c r="AL94" s="434">
        <f>AHS_tables!$CP$460</f>
        <v>0.9419427708734216</v>
      </c>
    </row>
    <row r="95" spans="3:38" x14ac:dyDescent="0.2">
      <c r="C95">
        <f t="shared" si="111"/>
        <v>1990</v>
      </c>
      <c r="D95" s="257">
        <f t="shared" si="112"/>
        <v>16115.33439296062</v>
      </c>
      <c r="E95" s="257">
        <f t="shared" si="113"/>
        <v>5392.9687188862044</v>
      </c>
      <c r="F95" s="257">
        <f t="shared" si="114"/>
        <v>1086.6572920016877</v>
      </c>
      <c r="G95" s="257">
        <f t="shared" si="127"/>
        <v>22594.960403848512</v>
      </c>
      <c r="I95" s="435">
        <f>AHS_tables!EH513</f>
        <v>0.25666706679232437</v>
      </c>
      <c r="J95" s="435">
        <f>AHS_tables!DM571</f>
        <v>0.22041543588034548</v>
      </c>
      <c r="K95" s="435">
        <f>AHS_tables!DL636</f>
        <v>0.19571693028932921</v>
      </c>
      <c r="M95" s="258">
        <f t="shared" si="128"/>
        <v>0.71322693666751269</v>
      </c>
      <c r="N95" s="258">
        <f t="shared" si="115"/>
        <v>0.23868015798636411</v>
      </c>
      <c r="O95" s="258">
        <f t="shared" si="116"/>
        <v>4.8092905346123177E-2</v>
      </c>
      <c r="Q95" s="2">
        <f t="shared" si="117"/>
        <v>1920.7867416165016</v>
      </c>
      <c r="R95" s="2">
        <f t="shared" si="118"/>
        <v>915.87823287908418</v>
      </c>
      <c r="S95" s="2">
        <f t="shared" si="119"/>
        <v>890.70304844972145</v>
      </c>
      <c r="U95" s="436">
        <f t="shared" si="129"/>
        <v>30.954120638715168</v>
      </c>
      <c r="V95" s="436">
        <f t="shared" si="120"/>
        <v>4.9393026602256755</v>
      </c>
      <c r="W95" s="436">
        <f t="shared" si="121"/>
        <v>0.96788896260602231</v>
      </c>
      <c r="X95" s="436">
        <f t="shared" si="130"/>
        <v>36.861312261546871</v>
      </c>
      <c r="AB95" s="7">
        <f t="shared" si="131"/>
        <v>30.883096533807436</v>
      </c>
      <c r="AC95" s="7">
        <f t="shared" si="122"/>
        <v>5.0041981587184043</v>
      </c>
      <c r="AD95" s="7">
        <f t="shared" si="123"/>
        <v>0.96451692404376999</v>
      </c>
      <c r="AF95" s="2">
        <f t="shared" si="124"/>
        <v>1916.3795041881081</v>
      </c>
      <c r="AG95" s="2">
        <f t="shared" si="125"/>
        <v>927.91158628339087</v>
      </c>
      <c r="AH95" s="2">
        <f t="shared" si="126"/>
        <v>887.59991870764725</v>
      </c>
      <c r="AJ95" s="434">
        <f>AHS_tables!CN193</f>
        <v>1.0084385102535962</v>
      </c>
      <c r="AK95" s="434">
        <f>AHS_tables!CN307</f>
        <v>1.01871954568356</v>
      </c>
      <c r="AL95" s="434">
        <f>AHS_tables!$CP$460</f>
        <v>0.9419427708734216</v>
      </c>
    </row>
    <row r="96" spans="3:38" x14ac:dyDescent="0.2">
      <c r="C96">
        <f t="shared" si="111"/>
        <v>1991</v>
      </c>
      <c r="D96" s="257">
        <f t="shared" si="112"/>
        <v>16052.005582430296</v>
      </c>
      <c r="E96" s="257">
        <f t="shared" si="113"/>
        <v>5436.9321994959737</v>
      </c>
      <c r="F96" s="257">
        <f t="shared" si="114"/>
        <v>1117.110113261758</v>
      </c>
      <c r="G96" s="257">
        <f t="shared" si="127"/>
        <v>22606.047895188029</v>
      </c>
      <c r="I96" s="435">
        <f>AHS_tables!EH514</f>
        <v>0.25415184934124946</v>
      </c>
      <c r="J96" s="435">
        <f>AHS_tables!DM572</f>
        <v>0.22298931132882838</v>
      </c>
      <c r="K96" s="435">
        <f>AHS_tables!DL637</f>
        <v>0.19634576279272681</v>
      </c>
      <c r="M96" s="258">
        <f t="shared" si="128"/>
        <v>0.71007571322748375</v>
      </c>
      <c r="N96" s="258">
        <f t="shared" si="115"/>
        <v>0.24050785987467055</v>
      </c>
      <c r="O96" s="258">
        <f t="shared" si="116"/>
        <v>4.9416426897845707E-2</v>
      </c>
      <c r="Q96" s="2">
        <f t="shared" si="117"/>
        <v>1933.455768969704</v>
      </c>
      <c r="R96" s="2">
        <f t="shared" si="118"/>
        <v>919.30293290763166</v>
      </c>
      <c r="S96" s="2">
        <f t="shared" si="119"/>
        <v>905.76574891769303</v>
      </c>
      <c r="U96" s="436">
        <f t="shared" si="129"/>
        <v>31.035842796883749</v>
      </c>
      <c r="V96" s="436">
        <f t="shared" si="120"/>
        <v>4.9981877170165889</v>
      </c>
      <c r="W96" s="436">
        <f t="shared" si="121"/>
        <v>1.0118400783620651</v>
      </c>
      <c r="X96" s="436">
        <f t="shared" si="130"/>
        <v>37.045870592262403</v>
      </c>
      <c r="AB96" s="7">
        <f t="shared" si="131"/>
        <v>30.976305347492005</v>
      </c>
      <c r="AC96" s="7">
        <f t="shared" si="122"/>
        <v>5.0625640608533296</v>
      </c>
      <c r="AD96" s="7">
        <f t="shared" si="123"/>
        <v>1.0079561181932284</v>
      </c>
      <c r="AF96" s="2">
        <f t="shared" si="124"/>
        <v>1929.7467340403298</v>
      </c>
      <c r="AG96" s="2">
        <f t="shared" si="125"/>
        <v>931.14349693796999</v>
      </c>
      <c r="AH96" s="2">
        <f t="shared" si="126"/>
        <v>902.28895632336571</v>
      </c>
      <c r="AJ96" s="434">
        <f>AHS_tables!CN194</f>
        <v>1.0095354449662381</v>
      </c>
      <c r="AK96" s="434">
        <f>AHS_tables!CN308</f>
        <v>1.01871954568356</v>
      </c>
      <c r="AL96" s="434">
        <f>AHS_tables!$CP$460</f>
        <v>0.9419427708734216</v>
      </c>
    </row>
    <row r="97" spans="3:38" x14ac:dyDescent="0.2">
      <c r="C97">
        <f t="shared" si="111"/>
        <v>1992</v>
      </c>
      <c r="D97" s="257">
        <f t="shared" si="112"/>
        <v>16370.458386455215</v>
      </c>
      <c r="E97" s="257">
        <f t="shared" si="113"/>
        <v>5516.5624781360848</v>
      </c>
      <c r="F97" s="257">
        <f t="shared" si="114"/>
        <v>1086.9812888269164</v>
      </c>
      <c r="G97" s="257">
        <f t="shared" si="127"/>
        <v>22974.002153418216</v>
      </c>
      <c r="I97" s="435">
        <f>AHS_tables!EH515</f>
        <v>0.25446759755344861</v>
      </c>
      <c r="J97" s="435">
        <f>AHS_tables!DM573</f>
        <v>0.22329806149305617</v>
      </c>
      <c r="K97" s="435">
        <f>AHS_tables!DL638</f>
        <v>0.18934104573943045</v>
      </c>
      <c r="M97" s="258">
        <f t="shared" si="128"/>
        <v>0.71256450126255066</v>
      </c>
      <c r="N97" s="258">
        <f t="shared" si="115"/>
        <v>0.24012196226399743</v>
      </c>
      <c r="O97" s="258">
        <f t="shared" si="116"/>
        <v>4.7313536473451948E-2</v>
      </c>
      <c r="Q97" s="2">
        <f t="shared" si="117"/>
        <v>1951.0028450125033</v>
      </c>
      <c r="R97" s="2">
        <f t="shared" si="118"/>
        <v>919.9980857670763</v>
      </c>
      <c r="S97" s="2">
        <f t="shared" si="119"/>
        <v>919.5089671515284</v>
      </c>
      <c r="U97" s="436">
        <f t="shared" si="129"/>
        <v>31.938810886132917</v>
      </c>
      <c r="V97" s="436">
        <f t="shared" si="120"/>
        <v>5.0752269198996771</v>
      </c>
      <c r="W97" s="436">
        <f t="shared" si="121"/>
        <v>0.99948904220227497</v>
      </c>
      <c r="X97" s="436">
        <f t="shared" si="130"/>
        <v>38.013526848234868</v>
      </c>
      <c r="AB97" s="7">
        <f t="shared" si="131"/>
        <v>31.88720609513323</v>
      </c>
      <c r="AC97" s="7">
        <f t="shared" si="122"/>
        <v>5.1400061576525724</v>
      </c>
      <c r="AD97" s="7">
        <f t="shared" si="123"/>
        <v>0.99673792167782604</v>
      </c>
      <c r="AF97" s="2">
        <f t="shared" si="124"/>
        <v>1947.8505330990881</v>
      </c>
      <c r="AG97" s="2">
        <f t="shared" si="125"/>
        <v>931.74076755662134</v>
      </c>
      <c r="AH97" s="2">
        <f t="shared" si="126"/>
        <v>916.97799393908417</v>
      </c>
      <c r="AJ97" s="434">
        <f>AHS_tables!CN195</f>
        <v>1.0106323796788801</v>
      </c>
      <c r="AK97" s="434">
        <f>AHS_tables!CN309</f>
        <v>1.01871954568356</v>
      </c>
      <c r="AL97" s="434">
        <f>AHS_tables!$CP$460</f>
        <v>0.9419427708734216</v>
      </c>
    </row>
    <row r="98" spans="3:38" x14ac:dyDescent="0.2">
      <c r="C98">
        <f t="shared" si="111"/>
        <v>1993</v>
      </c>
      <c r="D98" s="257">
        <f t="shared" si="112"/>
        <v>16714.017218843761</v>
      </c>
      <c r="E98" s="257">
        <f t="shared" si="113"/>
        <v>5591.0619998649299</v>
      </c>
      <c r="F98" s="257">
        <f t="shared" si="114"/>
        <v>1059.6567422437383</v>
      </c>
      <c r="G98" s="257">
        <f t="shared" si="127"/>
        <v>23364.735960952428</v>
      </c>
      <c r="I98" s="435">
        <f>AHS_tables!EH516</f>
        <v>0.25478334576564776</v>
      </c>
      <c r="J98" s="435">
        <f>AHS_tables!DM574</f>
        <v>0.22360681165728397</v>
      </c>
      <c r="K98" s="435">
        <f>AHS_tables!DL639</f>
        <v>0.18233632868613411</v>
      </c>
      <c r="M98" s="258">
        <f t="shared" si="128"/>
        <v>0.71535228332032219</v>
      </c>
      <c r="N98" s="258">
        <f t="shared" si="115"/>
        <v>0.23929489334734252</v>
      </c>
      <c r="O98" s="258">
        <f t="shared" si="116"/>
        <v>4.5352823332335361E-2</v>
      </c>
      <c r="Q98" s="2">
        <f t="shared" si="117"/>
        <v>1967.9207227389386</v>
      </c>
      <c r="R98" s="2">
        <f t="shared" si="118"/>
        <v>918.93961820957929</v>
      </c>
      <c r="S98" s="2">
        <f t="shared" si="119"/>
        <v>933.22228570028619</v>
      </c>
      <c r="U98" s="436">
        <f t="shared" si="129"/>
        <v>32.89186084517808</v>
      </c>
      <c r="V98" s="436">
        <f t="shared" si="120"/>
        <v>5.1378483795419649</v>
      </c>
      <c r="W98" s="436">
        <f t="shared" si="121"/>
        <v>0.98889528705442042</v>
      </c>
      <c r="X98" s="436">
        <f t="shared" si="130"/>
        <v>39.018604511774463</v>
      </c>
      <c r="AB98" s="7">
        <f t="shared" si="131"/>
        <v>32.849368920394113</v>
      </c>
      <c r="AC98" s="7">
        <f t="shared" si="122"/>
        <v>5.2028124709855881</v>
      </c>
      <c r="AD98" s="7">
        <f t="shared" si="123"/>
        <v>0.98724725151325621</v>
      </c>
      <c r="AF98" s="2">
        <f t="shared" si="124"/>
        <v>1965.3784299898286</v>
      </c>
      <c r="AG98" s="2">
        <f t="shared" si="125"/>
        <v>930.55889401893228</v>
      </c>
      <c r="AH98" s="2">
        <f t="shared" si="126"/>
        <v>931.66703155480252</v>
      </c>
      <c r="AJ98" s="434">
        <f>AHS_tables!CN196</f>
        <v>1.011729314391522</v>
      </c>
      <c r="AK98" s="434">
        <f>AHS_tables!CN310</f>
        <v>1.01871954568356</v>
      </c>
      <c r="AL98" s="434">
        <f>AHS_tables!$CP$460</f>
        <v>0.9419427708734216</v>
      </c>
    </row>
    <row r="99" spans="3:38" x14ac:dyDescent="0.2">
      <c r="C99">
        <f t="shared" si="111"/>
        <v>1994</v>
      </c>
      <c r="D99" s="257">
        <f t="shared" si="112"/>
        <v>17201.523596345658</v>
      </c>
      <c r="E99" s="257">
        <f t="shared" si="113"/>
        <v>5528.5186735802299</v>
      </c>
      <c r="F99" s="257">
        <f t="shared" si="114"/>
        <v>1069.5164515891424</v>
      </c>
      <c r="G99" s="257">
        <f t="shared" si="127"/>
        <v>23799.55872151503</v>
      </c>
      <c r="I99" s="435">
        <f>AHS_tables!EH517</f>
        <v>0.25817739054377653</v>
      </c>
      <c r="J99" s="435">
        <f>AHS_tables!DM575</f>
        <v>0.21959815502371138</v>
      </c>
      <c r="K99" s="435">
        <f>AHS_tables!DL640</f>
        <v>0.17965739037575187</v>
      </c>
      <c r="M99" s="258">
        <f t="shared" si="128"/>
        <v>0.72276649317851915</v>
      </c>
      <c r="N99" s="258">
        <f t="shared" si="115"/>
        <v>0.23229500757853952</v>
      </c>
      <c r="O99" s="258">
        <f t="shared" si="116"/>
        <v>4.4938499242941396E-2</v>
      </c>
      <c r="Q99" s="2">
        <f t="shared" si="117"/>
        <v>1985.4522876494614</v>
      </c>
      <c r="R99" s="2">
        <f t="shared" si="118"/>
        <v>920.13478782734819</v>
      </c>
      <c r="S99" s="2">
        <f t="shared" si="119"/>
        <v>941.7627177625161</v>
      </c>
      <c r="U99" s="436">
        <f t="shared" si="129"/>
        <v>34.152804375420672</v>
      </c>
      <c r="V99" s="436">
        <f t="shared" si="120"/>
        <v>5.0869823567142776</v>
      </c>
      <c r="W99" s="436">
        <f t="shared" si="121"/>
        <v>1.0072307201403132</v>
      </c>
      <c r="X99" s="436">
        <f t="shared" si="130"/>
        <v>40.247017452275266</v>
      </c>
      <c r="AB99" s="7">
        <f t="shared" si="131"/>
        <v>34.129418084066245</v>
      </c>
      <c r="AC99" s="7">
        <f t="shared" si="122"/>
        <v>5.1485738868191113</v>
      </c>
      <c r="AD99" s="7">
        <f t="shared" si="123"/>
        <v>1.0056138781874662</v>
      </c>
      <c r="AF99" s="2">
        <f t="shared" si="124"/>
        <v>1984.0927399778006</v>
      </c>
      <c r="AG99" s="2">
        <f t="shared" si="125"/>
        <v>931.27548097525562</v>
      </c>
      <c r="AH99" s="2">
        <f t="shared" si="126"/>
        <v>940.25096733507326</v>
      </c>
      <c r="AJ99" s="434">
        <f>AHS_tables!CN197</f>
        <v>1.0128262491041637</v>
      </c>
      <c r="AK99" s="434">
        <f>AHS_tables!CN311</f>
        <v>1.01871954568356</v>
      </c>
      <c r="AL99" s="434">
        <f>AHS_tables!$CP$460</f>
        <v>0.9419427708734216</v>
      </c>
    </row>
    <row r="100" spans="3:38" x14ac:dyDescent="0.2">
      <c r="C100">
        <f t="shared" si="111"/>
        <v>1995</v>
      </c>
      <c r="D100" s="257">
        <f t="shared" si="112"/>
        <v>17699.389918736448</v>
      </c>
      <c r="E100" s="257">
        <f t="shared" si="113"/>
        <v>5469.8691957177589</v>
      </c>
      <c r="F100" s="257">
        <f t="shared" si="114"/>
        <v>1082.8148676569872</v>
      </c>
      <c r="G100" s="257">
        <f t="shared" si="127"/>
        <v>24252.073982111193</v>
      </c>
      <c r="I100" s="435">
        <f>AHS_tables!EH518</f>
        <v>0.26157143532190535</v>
      </c>
      <c r="J100" s="435">
        <f>AHS_tables!DM576</f>
        <v>0.2155894983901388</v>
      </c>
      <c r="K100" s="435">
        <f>AHS_tables!DL641</f>
        <v>0.17697845206536963</v>
      </c>
      <c r="M100" s="258">
        <f t="shared" si="128"/>
        <v>0.72980933225718614</v>
      </c>
      <c r="N100" s="258">
        <f t="shared" si="115"/>
        <v>0.22554232680274858</v>
      </c>
      <c r="O100" s="258">
        <f t="shared" si="116"/>
        <v>4.4648340940065277E-2</v>
      </c>
      <c r="Q100" s="2">
        <f t="shared" si="117"/>
        <v>1998.5999706044281</v>
      </c>
      <c r="R100" s="2">
        <f t="shared" si="118"/>
        <v>924.67026482971232</v>
      </c>
      <c r="S100" s="2">
        <f t="shared" si="119"/>
        <v>950.302101027856</v>
      </c>
      <c r="U100" s="436">
        <f t="shared" si="129"/>
        <v>35.374000171302974</v>
      </c>
      <c r="V100" s="436">
        <f t="shared" si="120"/>
        <v>5.0578253977882257</v>
      </c>
      <c r="W100" s="436">
        <f t="shared" si="121"/>
        <v>1.0290012437586347</v>
      </c>
      <c r="X100" s="436">
        <f t="shared" si="130"/>
        <v>41.460826812849838</v>
      </c>
      <c r="AB100" s="7">
        <f t="shared" si="131"/>
        <v>35.371796932571492</v>
      </c>
      <c r="AC100" s="7">
        <f t="shared" si="122"/>
        <v>5.1162855219040928</v>
      </c>
      <c r="AD100" s="7">
        <f t="shared" si="123"/>
        <v>1.0274125400451712</v>
      </c>
      <c r="AF100" s="2">
        <f t="shared" si="124"/>
        <v>1998.4754895493409</v>
      </c>
      <c r="AG100" s="2">
        <f t="shared" si="125"/>
        <v>935.35792883484692</v>
      </c>
      <c r="AH100" s="2">
        <f t="shared" si="126"/>
        <v>948.83490311534388</v>
      </c>
      <c r="AJ100" s="434">
        <f>AHS_tables!CN198</f>
        <v>1.0139231838168057</v>
      </c>
      <c r="AK100" s="434">
        <f>AHS_tables!CN312</f>
        <v>1.01871954568356</v>
      </c>
      <c r="AL100" s="434">
        <f>AHS_tables!$CP$460</f>
        <v>0.9419427708734216</v>
      </c>
    </row>
    <row r="101" spans="3:38" x14ac:dyDescent="0.2">
      <c r="C101">
        <f t="shared" si="111"/>
        <v>1996</v>
      </c>
      <c r="D101" s="257">
        <f t="shared" si="112"/>
        <v>17698.708254350502</v>
      </c>
      <c r="E101" s="257">
        <f t="shared" si="113"/>
        <v>5466.34475984033</v>
      </c>
      <c r="F101" s="257">
        <f t="shared" si="114"/>
        <v>1088.1134105947567</v>
      </c>
      <c r="G101" s="257">
        <f t="shared" si="127"/>
        <v>24253.166424785588</v>
      </c>
      <c r="I101" s="435">
        <f>AHS_tables!EH519</f>
        <v>0.25938442305024484</v>
      </c>
      <c r="J101" s="435">
        <f>AHS_tables!DM577</f>
        <v>0.2142065923208229</v>
      </c>
      <c r="K101" s="435">
        <f>AHS_tables!DL642</f>
        <v>0.17540931506028221</v>
      </c>
      <c r="M101" s="258">
        <f t="shared" si="128"/>
        <v>0.72974835303415309</v>
      </c>
      <c r="N101" s="258">
        <f t="shared" si="115"/>
        <v>0.22538684904474923</v>
      </c>
      <c r="O101" s="258">
        <f t="shared" si="116"/>
        <v>4.4864797921097689E-2</v>
      </c>
      <c r="Q101" s="2">
        <f t="shared" si="117"/>
        <v>2014.0160824711434</v>
      </c>
      <c r="R101" s="2">
        <f t="shared" si="118"/>
        <v>931.5475515178</v>
      </c>
      <c r="S101" s="2">
        <f t="shared" si="119"/>
        <v>958.48049980682822</v>
      </c>
      <c r="U101" s="436">
        <f t="shared" si="129"/>
        <v>35.645483063226685</v>
      </c>
      <c r="V101" s="436">
        <f t="shared" si="120"/>
        <v>5.0921600767814157</v>
      </c>
      <c r="W101" s="436">
        <f t="shared" si="121"/>
        <v>1.0429354856333748</v>
      </c>
      <c r="X101" s="436">
        <f t="shared" si="130"/>
        <v>41.780578625641475</v>
      </c>
      <c r="AB101" s="7">
        <f t="shared" si="131"/>
        <v>35.674536988139096</v>
      </c>
      <c r="AC101" s="7">
        <f t="shared" si="122"/>
        <v>5.1483010449591422</v>
      </c>
      <c r="AD101" s="7">
        <f t="shared" si="123"/>
        <v>1.0417802781583791</v>
      </c>
      <c r="AF101" s="2">
        <f t="shared" si="124"/>
        <v>2015.6576669582639</v>
      </c>
      <c r="AG101" s="2">
        <f t="shared" si="125"/>
        <v>941.81784558892753</v>
      </c>
      <c r="AH101" s="2">
        <f t="shared" si="126"/>
        <v>957.41883889561461</v>
      </c>
      <c r="AJ101" s="434">
        <f>AHS_tables!CN199</f>
        <v>1.0150201185294476</v>
      </c>
      <c r="AK101" s="434">
        <f>AHS_tables!CN313</f>
        <v>1.01871954568356</v>
      </c>
      <c r="AL101" s="434">
        <f>AHS_tables!$CP$460</f>
        <v>0.9419427708734216</v>
      </c>
    </row>
    <row r="102" spans="3:38" x14ac:dyDescent="0.2">
      <c r="C102">
        <f t="shared" si="111"/>
        <v>1997</v>
      </c>
      <c r="D102" s="257">
        <f t="shared" si="112"/>
        <v>17698.406515525097</v>
      </c>
      <c r="E102" s="257">
        <f t="shared" si="113"/>
        <v>5464.4553148070008</v>
      </c>
      <c r="F102" s="257">
        <f t="shared" si="114"/>
        <v>1092.9631255185466</v>
      </c>
      <c r="G102" s="257">
        <f t="shared" si="127"/>
        <v>24255.824955850643</v>
      </c>
      <c r="I102" s="435">
        <f>AHS_tables!EH520</f>
        <v>0.25719741077858432</v>
      </c>
      <c r="J102" s="435">
        <f>AHS_tables!DM578</f>
        <v>0.21282368625150697</v>
      </c>
      <c r="K102" s="435">
        <f>AHS_tables!DL643</f>
        <v>0.17384017805519478</v>
      </c>
      <c r="M102" s="258">
        <f t="shared" si="128"/>
        <v>0.72965592997718842</v>
      </c>
      <c r="N102" s="258">
        <f t="shared" si="115"/>
        <v>0.22528424923716903</v>
      </c>
      <c r="O102" s="258">
        <f t="shared" si="116"/>
        <v>4.5059820785642572E-2</v>
      </c>
      <c r="Q102" s="2">
        <f t="shared" si="117"/>
        <v>2028.4164442128199</v>
      </c>
      <c r="R102" s="2">
        <f t="shared" si="118"/>
        <v>938.79262907283476</v>
      </c>
      <c r="S102" s="2">
        <f t="shared" si="119"/>
        <v>966.65175768231586</v>
      </c>
      <c r="U102" s="436">
        <f t="shared" si="129"/>
        <v>35.899738812454423</v>
      </c>
      <c r="V102" s="436">
        <f t="shared" si="120"/>
        <v>5.129990371438689</v>
      </c>
      <c r="W102" s="436">
        <f t="shared" si="121"/>
        <v>1.0565147263644608</v>
      </c>
      <c r="X102" s="436">
        <f t="shared" si="130"/>
        <v>42.086243910257572</v>
      </c>
      <c r="AB102" s="7">
        <f t="shared" si="131"/>
        <v>35.960068179164423</v>
      </c>
      <c r="AC102" s="7">
        <f t="shared" si="122"/>
        <v>5.1837456748051434</v>
      </c>
      <c r="AD102" s="7">
        <f t="shared" si="123"/>
        <v>1.0558054118693441</v>
      </c>
      <c r="AF102" s="2">
        <f t="shared" si="124"/>
        <v>2031.8251898904086</v>
      </c>
      <c r="AG102" s="2">
        <f t="shared" si="125"/>
        <v>948.62989560163123</v>
      </c>
      <c r="AH102" s="2">
        <f t="shared" si="126"/>
        <v>966.00277467588546</v>
      </c>
      <c r="AJ102" s="434">
        <f>AHS_tables!CN200</f>
        <v>1.0161170532420896</v>
      </c>
      <c r="AK102" s="434">
        <f>AHS_tables!CN314</f>
        <v>1.01871954568356</v>
      </c>
      <c r="AL102" s="434">
        <f>AHS_tables!$CP$460</f>
        <v>0.9419427708734216</v>
      </c>
    </row>
    <row r="103" spans="3:38" x14ac:dyDescent="0.2">
      <c r="C103">
        <f t="shared" si="111"/>
        <v>1998</v>
      </c>
      <c r="D103" s="257">
        <f t="shared" si="112"/>
        <v>17851.36998822631</v>
      </c>
      <c r="E103" s="257">
        <f t="shared" si="113"/>
        <v>5355.4021783219323</v>
      </c>
      <c r="F103" s="257">
        <f t="shared" si="114"/>
        <v>1115.2128034280433</v>
      </c>
      <c r="G103" s="257">
        <f t="shared" si="127"/>
        <v>24321.984969976285</v>
      </c>
      <c r="I103" s="435">
        <f>AHS_tables!EH521</f>
        <v>0.25525079634878856</v>
      </c>
      <c r="J103" s="435">
        <f>AHS_tables!DM579</f>
        <v>0.20981777615361885</v>
      </c>
      <c r="K103" s="435">
        <f>AHS_tables!DL644</f>
        <v>0.17118094114371951</v>
      </c>
      <c r="M103" s="258">
        <f t="shared" si="128"/>
        <v>0.73396024256500947</v>
      </c>
      <c r="N103" s="258">
        <f t="shared" si="115"/>
        <v>0.22018771021085595</v>
      </c>
      <c r="O103" s="258">
        <f t="shared" si="116"/>
        <v>4.5852047224134551E-2</v>
      </c>
      <c r="Q103" s="2">
        <f t="shared" si="117"/>
        <v>2044.4058172532423</v>
      </c>
      <c r="R103" s="2">
        <f t="shared" si="118"/>
        <v>943.90949502353988</v>
      </c>
      <c r="S103" s="2">
        <f t="shared" si="119"/>
        <v>975.05817014622744</v>
      </c>
      <c r="U103" s="436">
        <f t="shared" si="129"/>
        <v>36.49544464986981</v>
      </c>
      <c r="V103" s="436">
        <f t="shared" si="120"/>
        <v>5.0550149657878203</v>
      </c>
      <c r="W103" s="436">
        <f t="shared" si="121"/>
        <v>1.0873973554341922</v>
      </c>
      <c r="X103" s="436">
        <f t="shared" si="130"/>
        <v>42.637856971091821</v>
      </c>
      <c r="AB103" s="7">
        <f t="shared" si="131"/>
        <v>36.585294303773694</v>
      </c>
      <c r="AC103" s="7">
        <f t="shared" si="122"/>
        <v>5.1076638433023085</v>
      </c>
      <c r="AD103" s="7">
        <f t="shared" si="123"/>
        <v>1.0868715775515247</v>
      </c>
      <c r="AF103" s="2">
        <f t="shared" si="124"/>
        <v>2049.4390250105821</v>
      </c>
      <c r="AG103" s="2">
        <f t="shared" si="125"/>
        <v>953.74047984249603</v>
      </c>
      <c r="AH103" s="2">
        <f t="shared" si="126"/>
        <v>974.58671045615631</v>
      </c>
      <c r="AJ103" s="434">
        <f>AHS_tables!CN201</f>
        <v>1.0172139879547313</v>
      </c>
      <c r="AK103" s="434">
        <f>AHS_tables!CN315</f>
        <v>1.01871954568356</v>
      </c>
      <c r="AL103" s="434">
        <f>AHS_tables!$CP$460</f>
        <v>0.9419427708734216</v>
      </c>
    </row>
    <row r="104" spans="3:38" x14ac:dyDescent="0.2">
      <c r="C104">
        <f t="shared" si="111"/>
        <v>1999</v>
      </c>
      <c r="D104" s="257">
        <f t="shared" si="112"/>
        <v>18017.557041831653</v>
      </c>
      <c r="E104" s="257">
        <f t="shared" si="113"/>
        <v>5249.1779995855195</v>
      </c>
      <c r="F104" s="257">
        <f t="shared" si="114"/>
        <v>1136.3372981574516</v>
      </c>
      <c r="G104" s="257">
        <f t="shared" si="127"/>
        <v>24403.072339574624</v>
      </c>
      <c r="I104" s="435">
        <f>AHS_tables!EH522</f>
        <v>0.25330418191899273</v>
      </c>
      <c r="J104" s="435">
        <f>AHS_tables!DM580</f>
        <v>0.20681186605573071</v>
      </c>
      <c r="K104" s="435">
        <f>AHS_tables!DL645</f>
        <v>0.16852170423224425</v>
      </c>
      <c r="M104" s="258">
        <f t="shared" si="128"/>
        <v>0.73833150150575344</v>
      </c>
      <c r="N104" s="258">
        <f t="shared" si="115"/>
        <v>0.2151031610504589</v>
      </c>
      <c r="O104" s="258">
        <f t="shared" si="116"/>
        <v>4.6565337443787595E-2</v>
      </c>
      <c r="Q104" s="2">
        <f t="shared" si="117"/>
        <v>2062.3634352802019</v>
      </c>
      <c r="R104" s="2">
        <f t="shared" si="118"/>
        <v>950.47013185264382</v>
      </c>
      <c r="S104" s="2">
        <f t="shared" si="119"/>
        <v>983.4614233443001</v>
      </c>
      <c r="U104" s="436">
        <f t="shared" si="129"/>
        <v>37.158750836148918</v>
      </c>
      <c r="V104" s="436">
        <f t="shared" si="120"/>
        <v>4.9891869053840461</v>
      </c>
      <c r="W104" s="436">
        <f t="shared" si="121"/>
        <v>1.1175438966451436</v>
      </c>
      <c r="X104" s="436">
        <f t="shared" si="130"/>
        <v>43.265481638178109</v>
      </c>
      <c r="AB104" s="7">
        <f t="shared" si="131"/>
        <v>37.278818223181631</v>
      </c>
      <c r="AC104" s="7">
        <f t="shared" si="122"/>
        <v>5.0408260933398976</v>
      </c>
      <c r="AD104" s="7">
        <f t="shared" si="123"/>
        <v>1.1172134757720174</v>
      </c>
      <c r="AF104" s="2">
        <f t="shared" si="124"/>
        <v>2069.0273457511917</v>
      </c>
      <c r="AG104" s="2">
        <f t="shared" si="125"/>
        <v>960.30770793787644</v>
      </c>
      <c r="AH104" s="2">
        <f t="shared" si="126"/>
        <v>983.17064623642716</v>
      </c>
      <c r="AJ104" s="434">
        <f>AHS_tables!CN202</f>
        <v>1.0183109226673732</v>
      </c>
      <c r="AK104" s="434">
        <f>AHS_tables!CN316</f>
        <v>1.01871954568356</v>
      </c>
      <c r="AL104" s="434">
        <f>AHS_tables!$CP$460</f>
        <v>0.9419427708734216</v>
      </c>
    </row>
    <row r="105" spans="3:38" x14ac:dyDescent="0.2">
      <c r="C105">
        <f t="shared" si="111"/>
        <v>2000</v>
      </c>
      <c r="D105" s="257">
        <f t="shared" si="112"/>
        <v>18068.187408970996</v>
      </c>
      <c r="E105" s="257">
        <f t="shared" si="113"/>
        <v>5260.7501168144336</v>
      </c>
      <c r="F105" s="257">
        <f t="shared" si="114"/>
        <v>1156.7293031498789</v>
      </c>
      <c r="G105" s="257">
        <f t="shared" si="127"/>
        <v>24485.666828935307</v>
      </c>
      <c r="I105" s="435">
        <f>AHS_tables!EH523</f>
        <v>0.25073790293406129</v>
      </c>
      <c r="J105" s="435">
        <f>AHS_tables!DM581</f>
        <v>0.20641466068539865</v>
      </c>
      <c r="K105" s="435">
        <f>AHS_tables!DL646</f>
        <v>0.16742287334164865</v>
      </c>
      <c r="M105" s="258">
        <f t="shared" si="128"/>
        <v>0.73790873392181344</v>
      </c>
      <c r="N105" s="258">
        <f t="shared" si="115"/>
        <v>0.21485018780855408</v>
      </c>
      <c r="O105" s="258">
        <f t="shared" si="116"/>
        <v>4.7241078269632572E-2</v>
      </c>
      <c r="Q105" s="2">
        <f t="shared" si="117"/>
        <v>2073.9279127661835</v>
      </c>
      <c r="R105" s="2">
        <f t="shared" si="118"/>
        <v>959.85071599479795</v>
      </c>
      <c r="S105" s="2">
        <f t="shared" si="119"/>
        <v>991.87495554832833</v>
      </c>
      <c r="U105" s="436">
        <f t="shared" si="129"/>
        <v>37.47211820055545</v>
      </c>
      <c r="V105" s="436">
        <f t="shared" si="120"/>
        <v>5.0495347662940508</v>
      </c>
      <c r="W105" s="436">
        <f t="shared" si="121"/>
        <v>1.1473308261432349</v>
      </c>
      <c r="X105" s="436">
        <f t="shared" si="130"/>
        <v>43.668983792992734</v>
      </c>
      <c r="AB105" s="7">
        <f t="shared" si="131"/>
        <v>37.582841378253669</v>
      </c>
      <c r="AC105" s="7">
        <f t="shared" si="122"/>
        <v>5.097265791266647</v>
      </c>
      <c r="AD105" s="7">
        <f t="shared" si="123"/>
        <v>1.1471915865518743</v>
      </c>
      <c r="AF105" s="2">
        <f t="shared" si="124"/>
        <v>2080.0559861136649</v>
      </c>
      <c r="AG105" s="2">
        <f t="shared" si="125"/>
        <v>968.92376145651599</v>
      </c>
      <c r="AH105" s="2">
        <f t="shared" si="126"/>
        <v>991.75458201669801</v>
      </c>
      <c r="AJ105" s="434">
        <f>AHS_tables!CN203</f>
        <v>1.0161170532420893</v>
      </c>
      <c r="AK105" s="434">
        <f>AHS_tables!CN317</f>
        <v>1.018151386285175</v>
      </c>
      <c r="AL105" s="434">
        <f>AHS_tables!$CP$460</f>
        <v>0.9419427708734216</v>
      </c>
    </row>
    <row r="106" spans="3:38" x14ac:dyDescent="0.2">
      <c r="C106">
        <f t="shared" si="111"/>
        <v>2001</v>
      </c>
      <c r="D106" s="257">
        <f t="shared" si="112"/>
        <v>18111.331174203544</v>
      </c>
      <c r="E106" s="257">
        <f t="shared" si="113"/>
        <v>5270.9880917323426</v>
      </c>
      <c r="F106" s="257">
        <f t="shared" si="114"/>
        <v>1169.2520519051377</v>
      </c>
      <c r="G106" s="257">
        <f t="shared" si="127"/>
        <v>24551.571317841022</v>
      </c>
      <c r="I106" s="435">
        <f>AHS_tables!EH524</f>
        <v>0.24817162394912984</v>
      </c>
      <c r="J106" s="435">
        <f>AHS_tables!DM582</f>
        <v>0.2060174553150666</v>
      </c>
      <c r="K106" s="435">
        <f>AHS_tables!DL647</f>
        <v>0.16632404245105306</v>
      </c>
      <c r="M106" s="258">
        <f t="shared" si="128"/>
        <v>0.73768521532642128</v>
      </c>
      <c r="N106" s="258">
        <f t="shared" si="115"/>
        <v>0.21469045803606246</v>
      </c>
      <c r="O106" s="258">
        <f t="shared" si="116"/>
        <v>4.7624326637516312E-2</v>
      </c>
      <c r="Q106" s="2">
        <f t="shared" si="117"/>
        <v>2086.7064176979443</v>
      </c>
      <c r="R106" s="2">
        <f t="shared" si="118"/>
        <v>968.63394249381156</v>
      </c>
      <c r="S106" s="2">
        <f t="shared" si="119"/>
        <v>1000.2855548251976</v>
      </c>
      <c r="U106" s="436">
        <f t="shared" si="129"/>
        <v>37.793030994263376</v>
      </c>
      <c r="V106" s="436">
        <f t="shared" si="120"/>
        <v>5.1056579761326315</v>
      </c>
      <c r="W106" s="436">
        <f t="shared" si="121"/>
        <v>1.1695859374704314</v>
      </c>
      <c r="X106" s="436">
        <f t="shared" si="130"/>
        <v>44.068274907866439</v>
      </c>
      <c r="AB106" s="7">
        <f t="shared" si="131"/>
        <v>37.895399915707742</v>
      </c>
      <c r="AC106" s="7">
        <f t="shared" si="122"/>
        <v>5.1492160283448838</v>
      </c>
      <c r="AD106" s="7">
        <f t="shared" si="123"/>
        <v>1.1696478645338497</v>
      </c>
      <c r="AF106" s="2">
        <f t="shared" si="124"/>
        <v>2092.3586207557832</v>
      </c>
      <c r="AG106" s="2">
        <f t="shared" si="125"/>
        <v>976.89767814530614</v>
      </c>
      <c r="AH106" s="2">
        <f t="shared" si="126"/>
        <v>1000.3385177969686</v>
      </c>
      <c r="AJ106" s="434">
        <f>AHS_tables!CN204</f>
        <v>1.0139231838168055</v>
      </c>
      <c r="AK106" s="434">
        <f>AHS_tables!CN318</f>
        <v>1.0175832268867897</v>
      </c>
      <c r="AL106" s="434">
        <f>AHS_tables!$CP$460</f>
        <v>0.9419427708734216</v>
      </c>
    </row>
    <row r="107" spans="3:38" x14ac:dyDescent="0.2">
      <c r="C107">
        <f t="shared" si="111"/>
        <v>2002</v>
      </c>
      <c r="D107" s="257">
        <f t="shared" si="112"/>
        <v>18285.026441394628</v>
      </c>
      <c r="E107" s="257">
        <f t="shared" si="113"/>
        <v>5250.3686608330027</v>
      </c>
      <c r="F107" s="257">
        <f t="shared" si="114"/>
        <v>1144.4182467862613</v>
      </c>
      <c r="G107" s="257">
        <f t="shared" si="127"/>
        <v>24679.813349013893</v>
      </c>
      <c r="I107" s="435">
        <f>AHS_tables!EH525</f>
        <v>0.2480585221790616</v>
      </c>
      <c r="J107" s="435">
        <f>AHS_tables!DM583</f>
        <v>0.20304741043609167</v>
      </c>
      <c r="K107" s="435">
        <f>AHS_tables!DL648</f>
        <v>0.16666829420228324</v>
      </c>
      <c r="M107" s="258">
        <f t="shared" si="128"/>
        <v>0.74088998092545233</v>
      </c>
      <c r="N107" s="258">
        <f t="shared" si="115"/>
        <v>0.21273939906205921</v>
      </c>
      <c r="O107" s="258">
        <f t="shared" si="116"/>
        <v>4.6370620012488373E-2</v>
      </c>
      <c r="Q107" s="2">
        <f t="shared" si="117"/>
        <v>2100.0615164863416</v>
      </c>
      <c r="R107" s="2">
        <f t="shared" si="118"/>
        <v>978.1678780661249</v>
      </c>
      <c r="S107" s="2">
        <f t="shared" si="119"/>
        <v>1000.156959263423</v>
      </c>
      <c r="U107" s="436">
        <f t="shared" si="129"/>
        <v>38.399680357508053</v>
      </c>
      <c r="V107" s="436">
        <f t="shared" si="120"/>
        <v>5.1357419720318997</v>
      </c>
      <c r="W107" s="436">
        <f t="shared" si="121"/>
        <v>1.1445978738313247</v>
      </c>
      <c r="X107" s="436">
        <f t="shared" si="130"/>
        <v>44.680020203371278</v>
      </c>
      <c r="AB107" s="7">
        <f t="shared" si="131"/>
        <v>38.495469688603919</v>
      </c>
      <c r="AC107" s="7">
        <f t="shared" si="122"/>
        <v>5.1763871212717811</v>
      </c>
      <c r="AD107" s="7">
        <f t="shared" si="123"/>
        <v>1.1448094183985829</v>
      </c>
      <c r="AF107" s="2">
        <f t="shared" si="124"/>
        <v>2105.3001925912345</v>
      </c>
      <c r="AG107" s="2">
        <f t="shared" si="125"/>
        <v>985.90926764569645</v>
      </c>
      <c r="AH107" s="2">
        <f t="shared" si="126"/>
        <v>1000.3418082623377</v>
      </c>
      <c r="AJ107" s="434">
        <f>AHS_tables!CN205</f>
        <v>1.0117293143915216</v>
      </c>
      <c r="AK107" s="434">
        <f>AHS_tables!CN319</f>
        <v>1.0170150674884046</v>
      </c>
      <c r="AL107" s="434">
        <f>AHS_tables!$CP$460</f>
        <v>0.9419427708734216</v>
      </c>
    </row>
    <row r="108" spans="3:38" x14ac:dyDescent="0.2">
      <c r="C108">
        <f t="shared" si="111"/>
        <v>2003</v>
      </c>
      <c r="D108" s="257">
        <f t="shared" si="112"/>
        <v>18469.422882614355</v>
      </c>
      <c r="E108" s="257">
        <f t="shared" si="113"/>
        <v>5227.1831504438451</v>
      </c>
      <c r="F108" s="257">
        <f t="shared" si="114"/>
        <v>1116.395807827387</v>
      </c>
      <c r="G108" s="257">
        <f t="shared" si="127"/>
        <v>24813.001840885587</v>
      </c>
      <c r="I108" s="435">
        <f>AHS_tables!EH526</f>
        <v>0.24794542040899339</v>
      </c>
      <c r="J108" s="435">
        <f>AHS_tables!DM584</f>
        <v>0.20007736555711675</v>
      </c>
      <c r="K108" s="435">
        <f>AHS_tables!DL649</f>
        <v>0.16701254595351342</v>
      </c>
      <c r="M108" s="258">
        <f t="shared" si="128"/>
        <v>0.74434455778669195</v>
      </c>
      <c r="N108" s="258">
        <f t="shared" si="115"/>
        <v>0.21066307027111739</v>
      </c>
      <c r="O108" s="258">
        <f t="shared" si="116"/>
        <v>4.4992371942190704E-2</v>
      </c>
      <c r="Q108" s="2">
        <f t="shared" si="117"/>
        <v>2113.3215775462331</v>
      </c>
      <c r="R108" s="2">
        <f t="shared" si="118"/>
        <v>986.14390191712778</v>
      </c>
      <c r="S108" s="2">
        <f t="shared" si="119"/>
        <v>1000.0283976072541</v>
      </c>
      <c r="U108" s="436">
        <f t="shared" si="129"/>
        <v>39.031829902655062</v>
      </c>
      <c r="V108" s="436">
        <f t="shared" si="120"/>
        <v>5.1547547880141575</v>
      </c>
      <c r="W108" s="436">
        <f t="shared" si="121"/>
        <v>1.1164275107970778</v>
      </c>
      <c r="X108" s="436">
        <f t="shared" si="130"/>
        <v>45.303012201466302</v>
      </c>
      <c r="AB108" s="7">
        <f t="shared" si="131"/>
        <v>39.121564212310417</v>
      </c>
      <c r="AC108" s="7">
        <f t="shared" si="122"/>
        <v>5.1923287499153421</v>
      </c>
      <c r="AD108" s="7">
        <f t="shared" si="123"/>
        <v>1.1167810746002853</v>
      </c>
      <c r="AF108" s="2">
        <f t="shared" si="124"/>
        <v>2118.1801110383553</v>
      </c>
      <c r="AG108" s="2">
        <f t="shared" si="125"/>
        <v>993.33208737376219</v>
      </c>
      <c r="AH108" s="2">
        <f t="shared" si="126"/>
        <v>1000.3450987277068</v>
      </c>
      <c r="AJ108" s="434">
        <f>AHS_tables!CN206</f>
        <v>1.0095354449662377</v>
      </c>
      <c r="AK108" s="434">
        <f>AHS_tables!CN320</f>
        <v>1.0164469080900194</v>
      </c>
      <c r="AL108" s="434">
        <f>AHS_tables!$CP$460</f>
        <v>0.9419427708734216</v>
      </c>
    </row>
    <row r="109" spans="3:38" x14ac:dyDescent="0.2">
      <c r="C109">
        <f t="shared" si="111"/>
        <v>2004</v>
      </c>
      <c r="D109" s="257">
        <f t="shared" si="112"/>
        <v>18670.879745359354</v>
      </c>
      <c r="E109" s="257">
        <f t="shared" si="113"/>
        <v>5171.8411797432454</v>
      </c>
      <c r="F109" s="257">
        <f t="shared" si="114"/>
        <v>1149.0588548294309</v>
      </c>
      <c r="G109" s="257">
        <f t="shared" si="127"/>
        <v>24991.779779932032</v>
      </c>
      <c r="I109" s="435">
        <f>AHS_tables!EH527</f>
        <v>0.24706014617732208</v>
      </c>
      <c r="J109" s="435">
        <f>AHS_tables!DM585</f>
        <v>0.19803973194920649</v>
      </c>
      <c r="K109" s="435">
        <f>AHS_tables!DL650</f>
        <v>0.16699854268728781</v>
      </c>
      <c r="M109" s="258">
        <f t="shared" si="128"/>
        <v>0.74708083656978075</v>
      </c>
      <c r="N109" s="258">
        <f t="shared" si="115"/>
        <v>0.20694169143952462</v>
      </c>
      <c r="O109" s="258">
        <f t="shared" si="116"/>
        <v>4.5977471990694525E-2</v>
      </c>
      <c r="Q109" s="2">
        <f t="shared" si="117"/>
        <v>2128.8993191583986</v>
      </c>
      <c r="R109" s="2">
        <f t="shared" si="118"/>
        <v>995.69213010092722</v>
      </c>
      <c r="S109" s="2">
        <f t="shared" si="119"/>
        <v>1000.164867112133</v>
      </c>
      <c r="U109" s="436">
        <f t="shared" si="129"/>
        <v>39.748423177983867</v>
      </c>
      <c r="V109" s="436">
        <f t="shared" si="120"/>
        <v>5.149561560802244</v>
      </c>
      <c r="W109" s="436">
        <f t="shared" si="121"/>
        <v>1.1492482968444975</v>
      </c>
      <c r="X109" s="436">
        <f t="shared" si="130"/>
        <v>46.047233035630605</v>
      </c>
      <c r="AB109" s="7">
        <f t="shared" si="131"/>
        <v>39.825891299372344</v>
      </c>
      <c r="AC109" s="7">
        <f t="shared" si="122"/>
        <v>5.1842543705652728</v>
      </c>
      <c r="AD109" s="7">
        <f t="shared" si="123"/>
        <v>1.1494591745166616</v>
      </c>
      <c r="AF109" s="2">
        <f t="shared" si="124"/>
        <v>2133.048460626022</v>
      </c>
      <c r="AG109" s="2">
        <f t="shared" si="125"/>
        <v>1002.4001492680492</v>
      </c>
      <c r="AH109" s="2">
        <f t="shared" si="126"/>
        <v>1000.3483891930759</v>
      </c>
      <c r="AJ109" s="434">
        <f>AHS_tables!CN207</f>
        <v>1.0073415755409538</v>
      </c>
      <c r="AK109" s="434">
        <f>AHS_tables!CN321</f>
        <v>1.0158787486916341</v>
      </c>
      <c r="AL109" s="434">
        <f>AHS_tables!$CP$460</f>
        <v>0.9419427708734216</v>
      </c>
    </row>
    <row r="110" spans="3:38" x14ac:dyDescent="0.2">
      <c r="C110">
        <f t="shared" si="111"/>
        <v>2005</v>
      </c>
      <c r="D110" s="257">
        <f t="shared" si="112"/>
        <v>18894.909268777141</v>
      </c>
      <c r="E110" s="257">
        <f t="shared" si="113"/>
        <v>5116.3151051567384</v>
      </c>
      <c r="F110" s="257">
        <f t="shared" si="114"/>
        <v>1181.147984339003</v>
      </c>
      <c r="G110" s="257">
        <f t="shared" si="127"/>
        <v>25192.372358272885</v>
      </c>
      <c r="I110" s="435">
        <f>AHS_tables!EH528</f>
        <v>0.24617487194565077</v>
      </c>
      <c r="J110" s="435">
        <f>AHS_tables!DM586</f>
        <v>0.19600209834129623</v>
      </c>
      <c r="K110" s="435">
        <f>AHS_tables!DL651</f>
        <v>0.16698453942106223</v>
      </c>
      <c r="M110" s="258">
        <f t="shared" si="128"/>
        <v>0.75002500757227297</v>
      </c>
      <c r="N110" s="258">
        <f t="shared" si="115"/>
        <v>0.20308984927640605</v>
      </c>
      <c r="O110" s="258">
        <f t="shared" si="116"/>
        <v>4.6885143151320863E-2</v>
      </c>
      <c r="Q110" s="2">
        <f t="shared" si="117"/>
        <v>2145.8609893489279</v>
      </c>
      <c r="R110" s="2">
        <f t="shared" si="118"/>
        <v>1004.7438556527778</v>
      </c>
      <c r="S110" s="2">
        <f t="shared" si="119"/>
        <v>1000.3013729707415</v>
      </c>
      <c r="U110" s="436">
        <f t="shared" si="129"/>
        <v>40.545848697156337</v>
      </c>
      <c r="V110" s="436">
        <f t="shared" si="120"/>
        <v>5.1405861654897285</v>
      </c>
      <c r="W110" s="436">
        <f t="shared" si="121"/>
        <v>1.1815039504159284</v>
      </c>
      <c r="X110" s="436">
        <f t="shared" si="130"/>
        <v>46.867938813061997</v>
      </c>
      <c r="AB110" s="7">
        <f t="shared" si="131"/>
        <v>40.612442475899591</v>
      </c>
      <c r="AC110" s="7">
        <f t="shared" si="122"/>
        <v>5.1723701917564373</v>
      </c>
      <c r="AD110" s="7">
        <f t="shared" si="123"/>
        <v>1.1815633700587085</v>
      </c>
      <c r="AF110" s="2">
        <f t="shared" si="124"/>
        <v>2149.3854190138691</v>
      </c>
      <c r="AG110" s="2">
        <f t="shared" si="125"/>
        <v>1010.9561443045604</v>
      </c>
      <c r="AH110" s="2">
        <f t="shared" si="126"/>
        <v>1000.3516796584452</v>
      </c>
      <c r="AJ110" s="434">
        <f>AHS_tables!CN208</f>
        <v>1.0051477061156708</v>
      </c>
      <c r="AK110" s="434">
        <f>AHS_tables!CN322</f>
        <v>1.015310589293249</v>
      </c>
      <c r="AL110" s="434">
        <f>AHS_tables!$CP$460</f>
        <v>0.9419427708734216</v>
      </c>
    </row>
    <row r="111" spans="3:38" x14ac:dyDescent="0.2">
      <c r="C111">
        <f t="shared" si="111"/>
        <v>2006</v>
      </c>
      <c r="D111" s="257">
        <f t="shared" si="112"/>
        <v>18913.135888832599</v>
      </c>
      <c r="E111" s="257">
        <f t="shared" si="113"/>
        <v>5169.9748748866132</v>
      </c>
      <c r="F111" s="257">
        <f t="shared" si="114"/>
        <v>1177.9376188364092</v>
      </c>
      <c r="G111" s="257">
        <f t="shared" si="127"/>
        <v>25261.048382555618</v>
      </c>
      <c r="I111" s="435">
        <f>AHS_tables!EH529</f>
        <v>0.2439790193958041</v>
      </c>
      <c r="J111" s="435">
        <f>AHS_tables!DM587</f>
        <v>0.19749340813587085</v>
      </c>
      <c r="K111" s="435">
        <f>AHS_tables!DL652</f>
        <v>0.16718551028640938</v>
      </c>
      <c r="M111" s="258">
        <f t="shared" si="128"/>
        <v>0.74870748048182112</v>
      </c>
      <c r="N111" s="258">
        <f t="shared" si="115"/>
        <v>0.20466192838048694</v>
      </c>
      <c r="O111" s="258">
        <f t="shared" si="116"/>
        <v>4.6630591137692093E-2</v>
      </c>
      <c r="Q111" s="2">
        <f t="shared" si="117"/>
        <v>2161.5223117862674</v>
      </c>
      <c r="R111" s="2">
        <f t="shared" si="118"/>
        <v>1016.5980025572431</v>
      </c>
      <c r="S111" s="2">
        <f t="shared" si="119"/>
        <v>1006.0465295759086</v>
      </c>
      <c r="U111" s="436">
        <f t="shared" si="129"/>
        <v>40.88116520955726</v>
      </c>
      <c r="V111" s="436">
        <f t="shared" si="120"/>
        <v>5.255786131080864</v>
      </c>
      <c r="W111" s="436">
        <f t="shared" si="121"/>
        <v>1.1850600534872788</v>
      </c>
      <c r="X111" s="436">
        <f t="shared" si="130"/>
        <v>47.322011394125397</v>
      </c>
      <c r="AB111" s="7">
        <f t="shared" si="131"/>
        <v>40.941383935667922</v>
      </c>
      <c r="AC111" s="7">
        <f t="shared" si="122"/>
        <v>5.283388219320643</v>
      </c>
      <c r="AD111" s="7">
        <f t="shared" si="123"/>
        <v>1.1852840714877164</v>
      </c>
      <c r="AF111" s="2">
        <f t="shared" si="124"/>
        <v>2164.7062748511244</v>
      </c>
      <c r="AG111" s="2">
        <f t="shared" si="125"/>
        <v>1021.9369237140668</v>
      </c>
      <c r="AH111" s="2">
        <f t="shared" si="126"/>
        <v>1006.236707728686</v>
      </c>
      <c r="AJ111" s="434">
        <f>AHS_tables!CN209</f>
        <v>1.002953836690387</v>
      </c>
      <c r="AK111" s="434">
        <f>AHS_tables!CN323</f>
        <v>1.0147424298948637</v>
      </c>
      <c r="AL111" s="434">
        <f>AHS_tables!$CP$460</f>
        <v>0.9419427708734216</v>
      </c>
    </row>
    <row r="112" spans="3:38" x14ac:dyDescent="0.2">
      <c r="C112">
        <f t="shared" si="111"/>
        <v>2007</v>
      </c>
      <c r="D112" s="257">
        <f t="shared" si="112"/>
        <v>18880.903573506337</v>
      </c>
      <c r="E112" s="257">
        <f t="shared" si="113"/>
        <v>5223.0868437713698</v>
      </c>
      <c r="F112" s="257">
        <f t="shared" si="114"/>
        <v>1173.5772932955681</v>
      </c>
      <c r="G112" s="257">
        <f t="shared" si="127"/>
        <v>25277.567710573276</v>
      </c>
      <c r="I112" s="435">
        <f>AHS_tables!EH530</f>
        <v>0.24178316684595744</v>
      </c>
      <c r="J112" s="435">
        <f>AHS_tables!DM588</f>
        <v>0.19898471793044545</v>
      </c>
      <c r="K112" s="435">
        <f>AHS_tables!DL653</f>
        <v>0.1673864811517565</v>
      </c>
      <c r="M112" s="258">
        <f t="shared" si="128"/>
        <v>0.74694305202508482</v>
      </c>
      <c r="N112" s="258">
        <f t="shared" si="115"/>
        <v>0.20662932856418068</v>
      </c>
      <c r="O112" s="258">
        <f t="shared" si="116"/>
        <v>4.6427619410734526E-2</v>
      </c>
      <c r="Q112" s="2">
        <f t="shared" si="117"/>
        <v>2167.6751882561848</v>
      </c>
      <c r="R112" s="2">
        <f t="shared" si="118"/>
        <v>1026.2596062840946</v>
      </c>
      <c r="S112" s="2">
        <f t="shared" si="119"/>
        <v>1011.7900924958595</v>
      </c>
      <c r="U112" s="436">
        <f t="shared" si="129"/>
        <v>40.927666208147215</v>
      </c>
      <c r="V112" s="436">
        <f t="shared" si="120"/>
        <v>5.3602430478764393</v>
      </c>
      <c r="W112" s="436">
        <f t="shared" si="121"/>
        <v>1.1874138781345633</v>
      </c>
      <c r="X112" s="436">
        <f t="shared" si="130"/>
        <v>47.475323134158216</v>
      </c>
      <c r="AB112" s="7">
        <f t="shared" si="131"/>
        <v>40.982591077459901</v>
      </c>
      <c r="AC112" s="7">
        <f t="shared" si="122"/>
        <v>5.3832820273966178</v>
      </c>
      <c r="AD112" s="7">
        <f t="shared" si="123"/>
        <v>1.1878030871845169</v>
      </c>
      <c r="AF112" s="2">
        <f t="shared" si="124"/>
        <v>2170.584205247816</v>
      </c>
      <c r="AG112" s="2">
        <f t="shared" si="125"/>
        <v>1030.6705954576046</v>
      </c>
      <c r="AH112" s="2">
        <f t="shared" si="126"/>
        <v>1012.121735798927</v>
      </c>
      <c r="AJ112" s="434">
        <f>AHS_tables!CN210</f>
        <v>1.0007599672651031</v>
      </c>
      <c r="AK112" s="434">
        <f>AHS_tables!CN324</f>
        <v>1.0141742704964785</v>
      </c>
      <c r="AL112" s="434">
        <f>AHS_tables!$CP$460</f>
        <v>0.9419427708734216</v>
      </c>
    </row>
    <row r="113" spans="3:38" x14ac:dyDescent="0.2">
      <c r="C113">
        <f t="shared" si="111"/>
        <v>2008</v>
      </c>
      <c r="D113" s="257">
        <f t="shared" si="112"/>
        <v>18994.644561948757</v>
      </c>
      <c r="E113" s="257">
        <f t="shared" si="113"/>
        <v>5243.298327199901</v>
      </c>
      <c r="F113" s="257">
        <f t="shared" si="114"/>
        <v>1102.5649785854653</v>
      </c>
      <c r="G113" s="257">
        <f t="shared" si="127"/>
        <v>25340.507867734123</v>
      </c>
      <c r="I113" s="435">
        <f>AHS_tables!EH531</f>
        <v>0.24105837245502235</v>
      </c>
      <c r="J113" s="435">
        <f>AHS_tables!DM589</f>
        <v>0.2003109059999934</v>
      </c>
      <c r="K113" s="435">
        <f>AHS_tables!DL654</f>
        <v>0.15875589166045867</v>
      </c>
      <c r="M113" s="258">
        <f t="shared" si="128"/>
        <v>0.7495763171398192</v>
      </c>
      <c r="N113" s="258">
        <f t="shared" si="115"/>
        <v>0.20691370333094836</v>
      </c>
      <c r="O113" s="258">
        <f t="shared" si="116"/>
        <v>4.350997952923244E-2</v>
      </c>
      <c r="Q113" s="2">
        <f t="shared" si="117"/>
        <v>2169.8238411439679</v>
      </c>
      <c r="R113" s="2">
        <f t="shared" si="118"/>
        <v>1030.7626027790307</v>
      </c>
      <c r="S113" s="2">
        <f t="shared" si="119"/>
        <v>1017.3646282858073</v>
      </c>
      <c r="U113" s="436">
        <f t="shared" si="129"/>
        <v>41.215032624572032</v>
      </c>
      <c r="V113" s="436">
        <f t="shared" si="120"/>
        <v>5.4045958308915072</v>
      </c>
      <c r="W113" s="436">
        <f t="shared" si="121"/>
        <v>1.1217106095995508</v>
      </c>
      <c r="X113" s="436">
        <f t="shared" si="130"/>
        <v>47.741339065063094</v>
      </c>
      <c r="AB113" s="7">
        <f t="shared" si="131"/>
        <v>41.275787192748105</v>
      </c>
      <c r="AC113" s="7">
        <f t="shared" si="122"/>
        <v>5.4241569968280618</v>
      </c>
      <c r="AD113" s="7">
        <f t="shared" si="123"/>
        <v>1.1224186058052679</v>
      </c>
      <c r="AF113" s="2">
        <f t="shared" si="124"/>
        <v>2173.022351543988</v>
      </c>
      <c r="AG113" s="2">
        <f t="shared" si="125"/>
        <v>1034.493301418679</v>
      </c>
      <c r="AH113" s="2">
        <f t="shared" si="126"/>
        <v>1018.0067638691679</v>
      </c>
      <c r="AJ113" s="434">
        <f>AHS_tables!CN211</f>
        <v>0.9985660978398192</v>
      </c>
      <c r="AK113" s="434">
        <f>AHS_tables!CN325</f>
        <v>1.0136061110980934</v>
      </c>
      <c r="AL113" s="434">
        <f>AHS_tables!$CP$460</f>
        <v>0.9419427708734216</v>
      </c>
    </row>
    <row r="114" spans="3:38" x14ac:dyDescent="0.2">
      <c r="C114">
        <f t="shared" si="111"/>
        <v>2009</v>
      </c>
      <c r="D114" s="257">
        <f t="shared" si="112"/>
        <v>19038.577958580951</v>
      </c>
      <c r="E114" s="257">
        <f t="shared" si="113"/>
        <v>5262.3380403102701</v>
      </c>
      <c r="F114" s="257">
        <f t="shared" si="114"/>
        <v>1031.5440008813787</v>
      </c>
      <c r="G114" s="257">
        <f t="shared" si="127"/>
        <v>25332.4599997726</v>
      </c>
      <c r="I114" s="435">
        <f>AHS_tables!EH532</f>
        <v>0.24033357806408726</v>
      </c>
      <c r="J114" s="435">
        <f>AHS_tables!DM590</f>
        <v>0.20163709406954133</v>
      </c>
      <c r="K114" s="435">
        <f>AHS_tables!DL655</f>
        <v>0.15012530216916081</v>
      </c>
      <c r="M114" s="258">
        <f t="shared" si="128"/>
        <v>0.7515487228145965</v>
      </c>
      <c r="N114" s="258">
        <f t="shared" si="115"/>
        <v>0.20773103126808481</v>
      </c>
      <c r="O114" s="258">
        <f t="shared" si="116"/>
        <v>4.0720245917318668E-2</v>
      </c>
      <c r="Q114" s="2">
        <f t="shared" si="117"/>
        <v>2169.9176162166518</v>
      </c>
      <c r="R114" s="2">
        <f t="shared" si="118"/>
        <v>1033.6008307731474</v>
      </c>
      <c r="S114" s="2">
        <f t="shared" si="119"/>
        <v>1022.9357846426092</v>
      </c>
      <c r="U114" s="436">
        <f t="shared" si="129"/>
        <v>41.312145700038862</v>
      </c>
      <c r="V114" s="436">
        <f t="shared" si="120"/>
        <v>5.4391569702738316</v>
      </c>
      <c r="W114" s="436">
        <f t="shared" si="121"/>
        <v>1.0552032719349693</v>
      </c>
      <c r="X114" s="436">
        <f t="shared" si="130"/>
        <v>47.806505942247668</v>
      </c>
      <c r="AB114" s="7">
        <f t="shared" si="131"/>
        <v>41.378539601525482</v>
      </c>
      <c r="AC114" s="7">
        <f t="shared" si="122"/>
        <v>5.4550927642858547</v>
      </c>
      <c r="AD114" s="7">
        <f t="shared" si="123"/>
        <v>1.0561894355267825</v>
      </c>
      <c r="AF114" s="2">
        <f t="shared" si="124"/>
        <v>2173.4049513333325</v>
      </c>
      <c r="AG114" s="2">
        <f t="shared" si="125"/>
        <v>1036.6291033565415</v>
      </c>
      <c r="AH114" s="2">
        <f t="shared" si="126"/>
        <v>1023.8917919394092</v>
      </c>
      <c r="AJ114" s="434">
        <f>AHS_tables!CN212</f>
        <v>0.99637222841453532</v>
      </c>
      <c r="AK114" s="434">
        <f>AHS_tables!CN326</f>
        <v>1.0130379516997081</v>
      </c>
      <c r="AL114" s="434">
        <f>AHS_tables!$CP$460</f>
        <v>0.9419427708734216</v>
      </c>
    </row>
    <row r="115" spans="3:38" x14ac:dyDescent="0.2">
      <c r="C115">
        <f t="shared" si="111"/>
        <v>2010</v>
      </c>
      <c r="D115" s="257">
        <f t="shared" si="112"/>
        <v>19071.417953813114</v>
      </c>
      <c r="E115" s="257">
        <f t="shared" si="113"/>
        <v>5319.1205917871439</v>
      </c>
      <c r="F115" s="257">
        <f t="shared" si="114"/>
        <v>1039.3102462685565</v>
      </c>
      <c r="G115" s="257">
        <f t="shared" si="127"/>
        <v>25429.848791868815</v>
      </c>
      <c r="I115" s="435">
        <f>AHS_tables!EH533</f>
        <v>0.23897997594964598</v>
      </c>
      <c r="J115" s="435">
        <f>AHS_tables!DM591</f>
        <v>0.20075981683509075</v>
      </c>
      <c r="K115" s="435">
        <f>AHS_tables!DL656</f>
        <v>0.15012530216916081</v>
      </c>
      <c r="M115" s="258">
        <f t="shared" si="128"/>
        <v>0.74996190932567375</v>
      </c>
      <c r="N115" s="258">
        <f t="shared" si="115"/>
        <v>0.20916839243998694</v>
      </c>
      <c r="O115" s="258">
        <f t="shared" si="116"/>
        <v>4.0869698234339308E-2</v>
      </c>
      <c r="Q115" s="2">
        <f t="shared" si="117"/>
        <v>2170.288762338264</v>
      </c>
      <c r="R115" s="2">
        <f t="shared" si="118"/>
        <v>1037.8188323459788</v>
      </c>
      <c r="S115" s="2">
        <f t="shared" si="119"/>
        <v>1039.2752264829153</v>
      </c>
      <c r="U115" s="436">
        <f t="shared" si="129"/>
        <v>41.390484067016807</v>
      </c>
      <c r="V115" s="436">
        <f t="shared" si="120"/>
        <v>5.5202835216759851</v>
      </c>
      <c r="W115" s="436">
        <f t="shared" si="121"/>
        <v>1.0801293915767685</v>
      </c>
      <c r="X115" s="436">
        <f t="shared" si="130"/>
        <v>47.990896980269561</v>
      </c>
      <c r="AB115" s="7">
        <f t="shared" si="131"/>
        <v>41.463473637080234</v>
      </c>
      <c r="AC115" s="7">
        <f t="shared" si="122"/>
        <v>5.5308560416538137</v>
      </c>
      <c r="AD115" s="7">
        <f t="shared" si="123"/>
        <v>1.0811388504258361</v>
      </c>
      <c r="AF115" s="2">
        <f t="shared" si="124"/>
        <v>2174.1159329367056</v>
      </c>
      <c r="AG115" s="2">
        <f t="shared" si="125"/>
        <v>1039.8064766934585</v>
      </c>
      <c r="AH115" s="2">
        <f t="shared" si="126"/>
        <v>1040.2465041670255</v>
      </c>
      <c r="AJ115" s="434">
        <f>AHS_tables!CN213</f>
        <v>0.99527529370189338</v>
      </c>
      <c r="AK115" s="434">
        <f>AHS_tables!CN327</f>
        <v>1.0124697923013228</v>
      </c>
      <c r="AL115" s="434">
        <f>AHS_tables!$CP$460</f>
        <v>0.9419427708734216</v>
      </c>
    </row>
    <row r="116" spans="3:38" s="280" customFormat="1" x14ac:dyDescent="0.2">
      <c r="C116" s="280">
        <f t="shared" si="111"/>
        <v>2011</v>
      </c>
      <c r="D116" s="257">
        <f t="shared" si="112"/>
        <v>19096.058543430641</v>
      </c>
      <c r="E116" s="257">
        <f t="shared" si="113"/>
        <v>5369.0661439367486</v>
      </c>
      <c r="F116" s="257">
        <f t="shared" si="114"/>
        <v>1046.9083426910295</v>
      </c>
      <c r="G116" s="257">
        <f>SUM(D116:F116)</f>
        <v>25512.033030058417</v>
      </c>
      <c r="I116" s="435">
        <f>AHS_tables!EH534</f>
        <v>0.23762637383520471</v>
      </c>
      <c r="J116" s="435">
        <f>AHS_tables!DM592</f>
        <v>0.19988253960064017</v>
      </c>
      <c r="K116" s="435">
        <f>AHS_tables!DL657</f>
        <v>0.15012530216916081</v>
      </c>
      <c r="M116" s="258">
        <f>D116/$G116</f>
        <v>0.74851183051274517</v>
      </c>
      <c r="N116" s="258">
        <f>E116/$G116</f>
        <v>0.21045230451100802</v>
      </c>
      <c r="O116" s="258">
        <f>F116/$G116</f>
        <v>4.103586497624695E-2</v>
      </c>
      <c r="Q116" s="282">
        <f t="shared" si="117"/>
        <v>2172.263255234775</v>
      </c>
      <c r="R116" s="282">
        <f t="shared" si="118"/>
        <v>1043.5549383874534</v>
      </c>
      <c r="S116" s="282">
        <f t="shared" si="119"/>
        <v>1055.6146683232212</v>
      </c>
      <c r="U116" s="436">
        <f>D116*Q116*0.000001</f>
        <v>41.481666293706482</v>
      </c>
      <c r="V116" s="436">
        <f>E116*R116*0.000001</f>
        <v>5.6029154890340749</v>
      </c>
      <c r="W116" s="436">
        <f>F116*S116*0.000001</f>
        <v>1.1051318029346042</v>
      </c>
      <c r="X116" s="436">
        <f>SUM(U116:W116)</f>
        <v>48.189713585675165</v>
      </c>
      <c r="Z116" s="263"/>
      <c r="AB116" s="7">
        <f>D116*AF116*0.000001</f>
        <v>41.568043352042402</v>
      </c>
      <c r="AC116" s="7">
        <f>E116*AG116*0.000001</f>
        <v>5.6076274546790374</v>
      </c>
      <c r="AD116" s="7">
        <f>F116*AH116*0.000001</f>
        <v>1.1061646283410398</v>
      </c>
      <c r="AF116" s="282">
        <f t="shared" si="124"/>
        <v>2176.7865477319924</v>
      </c>
      <c r="AG116" s="282">
        <f t="shared" si="125"/>
        <v>1044.4325520205584</v>
      </c>
      <c r="AH116" s="282">
        <f t="shared" si="126"/>
        <v>1056.6012163946414</v>
      </c>
      <c r="AJ116" s="434">
        <f>AHS_tables!CN214</f>
        <v>0.99472682634557241</v>
      </c>
      <c r="AK116" s="434">
        <f>AHS_tables!CN328</f>
        <v>1.0119016329029378</v>
      </c>
      <c r="AL116" s="434">
        <f>AHS_tables!$CP$460</f>
        <v>0.9419427708734216</v>
      </c>
    </row>
    <row r="117" spans="3:38" s="341" customFormat="1" x14ac:dyDescent="0.2">
      <c r="C117" s="341">
        <v>2012</v>
      </c>
      <c r="D117" s="257">
        <f t="shared" ref="D117:F117" si="132">D37*I117</f>
        <v>19224.730619573424</v>
      </c>
      <c r="E117" s="257">
        <f t="shared" si="132"/>
        <v>5385.3351991244081</v>
      </c>
      <c r="F117" s="257">
        <f t="shared" si="132"/>
        <v>1079.0300172057325</v>
      </c>
      <c r="G117" s="257">
        <f t="shared" ref="G117:G123" si="133">SUM(D117:F117)</f>
        <v>25689.095835903565</v>
      </c>
      <c r="I117" s="435">
        <f>AHS_tables!EH535</f>
        <v>0.23786606172881092</v>
      </c>
      <c r="J117" s="435">
        <f>AHS_tables!DM593</f>
        <v>0.19900526236618959</v>
      </c>
      <c r="K117" s="435">
        <f>AHS_tables!DL658</f>
        <v>0.1541127448065383</v>
      </c>
      <c r="M117" s="258">
        <f t="shared" ref="M117:M118" si="134">D117/$G117</f>
        <v>0.74836151269693885</v>
      </c>
      <c r="N117" s="258">
        <f t="shared" ref="N117:N118" si="135">E117/$G117</f>
        <v>0.20963506203273072</v>
      </c>
      <c r="O117" s="258">
        <f t="shared" ref="O117:O118" si="136">F117/$G117</f>
        <v>4.2003425270330449E-2</v>
      </c>
      <c r="Q117" s="344">
        <f t="shared" si="117"/>
        <v>2177.599576592469</v>
      </c>
      <c r="R117" s="344">
        <f t="shared" si="118"/>
        <v>1044.1380052056697</v>
      </c>
      <c r="S117" s="344">
        <f t="shared" si="119"/>
        <v>1072.1494112336686</v>
      </c>
      <c r="U117" s="436">
        <f t="shared" ref="U117:U118" si="137">D117*Q117*0.000001</f>
        <v>41.863765257287362</v>
      </c>
      <c r="V117" s="436">
        <f t="shared" ref="V117:V118" si="138">E117*R117*0.000001</f>
        <v>5.6230331521776371</v>
      </c>
      <c r="W117" s="436">
        <f t="shared" ref="W117:W118" si="139">F117*S117*0.000001</f>
        <v>1.1568813976505814</v>
      </c>
      <c r="X117" s="436">
        <f t="shared" ref="X117:X118" si="140">SUM(U117:W117)</f>
        <v>48.643679807115575</v>
      </c>
      <c r="Z117" s="350"/>
      <c r="AB117" s="7">
        <f t="shared" ref="AB117:AB123" si="141">D117*AF117*0.000001</f>
        <v>41.97707751413305</v>
      </c>
      <c r="AC117" s="7">
        <f t="shared" ref="AC117:AC118" si="142">E117*AG117*0.000001</f>
        <v>5.6214612916156073</v>
      </c>
      <c r="AD117" s="7">
        <f t="shared" ref="AD117:AD118" si="143">F117*AH117*0.000001</f>
        <v>1.157751654122267</v>
      </c>
      <c r="AF117" s="344">
        <f t="shared" si="124"/>
        <v>2183.4936647379914</v>
      </c>
      <c r="AG117" s="344">
        <f t="shared" si="125"/>
        <v>1043.8461272623458</v>
      </c>
      <c r="AH117" s="344">
        <f t="shared" si="126"/>
        <v>1072.9559286222575</v>
      </c>
      <c r="AJ117" s="434">
        <f>AHS_tables!CN215</f>
        <v>0.99445259266741193</v>
      </c>
      <c r="AK117" s="434">
        <f>AHS_tables!CN329</f>
        <v>1.0113334735045525</v>
      </c>
      <c r="AL117" s="434">
        <f>AHS_tables!$CP$460</f>
        <v>0.9419427708734216</v>
      </c>
    </row>
    <row r="118" spans="3:38" s="341" customFormat="1" x14ac:dyDescent="0.2">
      <c r="C118" s="341">
        <v>2013</v>
      </c>
      <c r="D118" s="257">
        <f t="shared" ref="D118:F123" si="144">D38*I118</f>
        <v>19365.497463267569</v>
      </c>
      <c r="E118" s="257">
        <f t="shared" si="144"/>
        <v>5404.0866282832185</v>
      </c>
      <c r="F118" s="257">
        <f t="shared" si="144"/>
        <v>1111.5726446423062</v>
      </c>
      <c r="G118" s="257">
        <f t="shared" si="133"/>
        <v>25881.156736193094</v>
      </c>
      <c r="I118" s="435">
        <f>AHS_tables!EH536</f>
        <v>0.23810574962241712</v>
      </c>
      <c r="J118" s="435">
        <f>AHS_tables!DM594</f>
        <v>0.19812798513173904</v>
      </c>
      <c r="K118" s="435">
        <f>AHS_tables!DL659</f>
        <v>0.15810018744391582</v>
      </c>
      <c r="M118" s="258">
        <f t="shared" si="134"/>
        <v>0.74824698372875265</v>
      </c>
      <c r="N118" s="258">
        <f t="shared" si="135"/>
        <v>0.20880390638514079</v>
      </c>
      <c r="O118" s="258">
        <f t="shared" si="136"/>
        <v>4.2949109886106639E-2</v>
      </c>
      <c r="Q118" s="344">
        <f t="shared" si="117"/>
        <v>2185.0979599912762</v>
      </c>
      <c r="R118" s="344">
        <f t="shared" si="118"/>
        <v>1044.7604102601908</v>
      </c>
      <c r="S118" s="344">
        <f t="shared" si="119"/>
        <v>1088.6901802256505</v>
      </c>
      <c r="U118" s="436">
        <f t="shared" si="137"/>
        <v>42.315509001202201</v>
      </c>
      <c r="V118" s="436">
        <f t="shared" si="138"/>
        <v>5.6459757628467866</v>
      </c>
      <c r="W118" s="436">
        <f t="shared" si="139"/>
        <v>1.2101582228295351</v>
      </c>
      <c r="X118" s="436">
        <f t="shared" si="140"/>
        <v>49.171642986878524</v>
      </c>
      <c r="Z118" s="350"/>
      <c r="AB118" s="7">
        <f t="shared" si="141"/>
        <v>42.45721771567915</v>
      </c>
      <c r="AC118" s="7">
        <f t="shared" si="142"/>
        <v>5.6378658081293143</v>
      </c>
      <c r="AD118" s="7">
        <f t="shared" si="143"/>
        <v>1.2108479098864993</v>
      </c>
      <c r="AF118" s="344">
        <f t="shared" si="124"/>
        <v>2192.4155470940991</v>
      </c>
      <c r="AG118" s="344">
        <f t="shared" si="125"/>
        <v>1043.2597025041332</v>
      </c>
      <c r="AH118" s="344">
        <f t="shared" si="126"/>
        <v>1089.3106408498736</v>
      </c>
      <c r="AJ118" s="434">
        <f>AHS_tables!CN216</f>
        <v>0.99431547582833169</v>
      </c>
      <c r="AK118" s="434">
        <f>AHS_tables!CN330</f>
        <v>1.0107653141061672</v>
      </c>
      <c r="AL118" s="434">
        <f>AHS_tables!$CP$460</f>
        <v>0.9419427708734216</v>
      </c>
    </row>
    <row r="119" spans="3:38" s="280" customFormat="1" x14ac:dyDescent="0.2">
      <c r="C119" s="280">
        <v>2014</v>
      </c>
      <c r="D119" s="257">
        <f t="shared" si="144"/>
        <v>19526.654973644352</v>
      </c>
      <c r="E119" s="257">
        <f t="shared" si="144"/>
        <v>5466.5593697520681</v>
      </c>
      <c r="F119" s="257">
        <f t="shared" si="144"/>
        <v>1051.632235150779</v>
      </c>
      <c r="G119" s="257">
        <f t="shared" si="133"/>
        <v>26044.8465785472</v>
      </c>
      <c r="H119" s="15"/>
      <c r="I119" s="435">
        <f>AHS_tables!EH537</f>
        <v>0.2379675929004087</v>
      </c>
      <c r="J119" s="435">
        <f>AHS_tables!DM595</f>
        <v>0.19883904468616703</v>
      </c>
      <c r="K119" s="435">
        <f>AHS_tables!DL660</f>
        <v>0.15075008267270448</v>
      </c>
      <c r="L119" s="15"/>
      <c r="M119" s="258">
        <f t="shared" ref="M119:M123" si="145">D119/$G119</f>
        <v>0.74973200225061809</v>
      </c>
      <c r="N119" s="258">
        <f t="shared" ref="N119:N123" si="146">E119/$G119</f>
        <v>0.20989025039044776</v>
      </c>
      <c r="O119" s="258">
        <f t="shared" ref="O119:O123" si="147">F119/$G119</f>
        <v>4.0377747358934138E-2</v>
      </c>
      <c r="Q119" s="344">
        <f t="shared" ref="Q119:Q123" si="148">AF39*AF119</f>
        <v>2196.0753161466937</v>
      </c>
      <c r="R119" s="344">
        <f t="shared" ref="R119:R123" si="149">AG39*AG119</f>
        <v>1044.0265588233137</v>
      </c>
      <c r="S119" s="344">
        <f t="shared" ref="S119:S123" si="150">AH39*AH119</f>
        <v>1104.5182792225564</v>
      </c>
      <c r="T119" s="341"/>
      <c r="U119" s="436">
        <f t="shared" ref="U119:U123" si="151">D119*Q119*0.000001</f>
        <v>42.882004994533425</v>
      </c>
      <c r="V119" s="436">
        <f t="shared" ref="V119:V123" si="152">E119*R119*0.000001</f>
        <v>5.7072331674055938</v>
      </c>
      <c r="W119" s="436">
        <f t="shared" ref="W119:W123" si="153">F119*S119*0.000001</f>
        <v>1.1615470267437094</v>
      </c>
      <c r="X119" s="436">
        <f t="shared" ref="X119:X123" si="154">SUM(U119:W119)</f>
        <v>49.750785188682734</v>
      </c>
      <c r="Z119" s="263"/>
      <c r="AB119" s="7">
        <f t="shared" si="141"/>
        <v>43.03333904223409</v>
      </c>
      <c r="AC119" s="7">
        <f t="shared" ref="AC119:AC123" si="155">E119*AG119*0.000001</f>
        <v>5.7006368074912288</v>
      </c>
      <c r="AD119" s="7">
        <f t="shared" ref="AD119:AD123" si="156">F119*AH119*0.000001</f>
        <v>1.1627533265856558</v>
      </c>
      <c r="AF119" s="344">
        <f t="shared" si="124"/>
        <v>2203.825442725205</v>
      </c>
      <c r="AG119" s="344">
        <f t="shared" ref="AG119:AG123" si="157">R39*AK119</f>
        <v>1042.8198839354739</v>
      </c>
      <c r="AH119" s="344">
        <f t="shared" ref="AH119:AH123" si="158">S39*AL119</f>
        <v>1105.6653530774897</v>
      </c>
      <c r="AJ119" s="434">
        <f>AHS_tables!CN217</f>
        <v>0.99424691740879156</v>
      </c>
      <c r="AK119" s="434">
        <f>AHS_tables!CN331</f>
        <v>1.0103391945573783</v>
      </c>
      <c r="AL119" s="434">
        <f>AHS_tables!$CP$460</f>
        <v>0.9419427708734216</v>
      </c>
    </row>
    <row r="120" spans="3:38" s="341" customFormat="1" x14ac:dyDescent="0.2">
      <c r="C120" s="341">
        <v>2015</v>
      </c>
      <c r="D120" s="257">
        <f t="shared" si="144"/>
        <v>19695.845207911709</v>
      </c>
      <c r="E120" s="257">
        <f t="shared" si="144"/>
        <v>5535.7251971774294</v>
      </c>
      <c r="F120" s="257">
        <f t="shared" si="144"/>
        <v>992.32765475727842</v>
      </c>
      <c r="G120" s="257">
        <f t="shared" si="133"/>
        <v>26223.898059846415</v>
      </c>
      <c r="H120" s="15"/>
      <c r="I120" s="435">
        <f>AHS_tables!EH538</f>
        <v>0.23782943617840027</v>
      </c>
      <c r="J120" s="435">
        <f>AHS_tables!DM596</f>
        <v>0.19955010424059502</v>
      </c>
      <c r="K120" s="435">
        <f>AHS_tables!DL661</f>
        <v>0.14339997790149314</v>
      </c>
      <c r="L120" s="15"/>
      <c r="M120" s="258">
        <f t="shared" si="145"/>
        <v>0.75106474113662192</v>
      </c>
      <c r="N120" s="258">
        <f t="shared" si="146"/>
        <v>0.21109467343657948</v>
      </c>
      <c r="O120" s="258">
        <f t="shared" si="147"/>
        <v>3.7840585426798683E-2</v>
      </c>
      <c r="Q120" s="344">
        <f t="shared" si="148"/>
        <v>2207.5278959159541</v>
      </c>
      <c r="R120" s="344">
        <f t="shared" si="149"/>
        <v>1043.2105639896602</v>
      </c>
      <c r="S120" s="344">
        <f t="shared" si="150"/>
        <v>1120.3315660107548</v>
      </c>
      <c r="U120" s="436">
        <f t="shared" si="151"/>
        <v>43.479127730107663</v>
      </c>
      <c r="V120" s="436">
        <f t="shared" si="152"/>
        <v>5.7749270050392392</v>
      </c>
      <c r="W120" s="436">
        <f t="shared" si="153"/>
        <v>1.1117359954500015</v>
      </c>
      <c r="X120" s="436">
        <f t="shared" si="154"/>
        <v>50.365790730596906</v>
      </c>
      <c r="Z120" s="350"/>
      <c r="AB120" s="7">
        <f t="shared" si="141"/>
        <v>43.634312559845682</v>
      </c>
      <c r="AC120" s="7">
        <f t="shared" si="155"/>
        <v>5.77093827156971</v>
      </c>
      <c r="AD120" s="7">
        <f t="shared" si="156"/>
        <v>1.1134115399948232</v>
      </c>
      <c r="AF120" s="344">
        <f t="shared" si="124"/>
        <v>2215.4069601602082</v>
      </c>
      <c r="AG120" s="344">
        <f t="shared" si="157"/>
        <v>1042.4900200089794</v>
      </c>
      <c r="AH120" s="344">
        <f t="shared" si="158"/>
        <v>1122.0200653051052</v>
      </c>
      <c r="AJ120" s="434">
        <f>AHS_tables!CN218</f>
        <v>0.9942126381990215</v>
      </c>
      <c r="AK120" s="434">
        <f>AHS_tables!CN332</f>
        <v>1.0100196048957866</v>
      </c>
      <c r="AL120" s="434">
        <f>AHS_tables!$CP$460</f>
        <v>0.9419427708734216</v>
      </c>
    </row>
    <row r="121" spans="3:38" s="341" customFormat="1" x14ac:dyDescent="0.2">
      <c r="C121" s="341">
        <v>2016</v>
      </c>
      <c r="D121" s="257">
        <f t="shared" si="144"/>
        <v>19990.696532212085</v>
      </c>
      <c r="E121" s="257">
        <f t="shared" si="144"/>
        <v>5427.736110263093</v>
      </c>
      <c r="F121" s="257">
        <f t="shared" si="144"/>
        <v>1020.3143191131045</v>
      </c>
      <c r="G121" s="257">
        <f t="shared" si="133"/>
        <v>26438.746961588284</v>
      </c>
      <c r="H121" s="15"/>
      <c r="I121" s="435">
        <f>AHS_tables!EH539</f>
        <v>0.238648588456816</v>
      </c>
      <c r="J121" s="435">
        <f>AHS_tables!DM597</f>
        <v>0.19443009896776514</v>
      </c>
      <c r="K121" s="435">
        <f>AHS_tables!DL662</f>
        <v>0.1471476360955839</v>
      </c>
      <c r="L121" s="15"/>
      <c r="M121" s="258">
        <f t="shared" si="145"/>
        <v>0.75611361466016924</v>
      </c>
      <c r="N121" s="258">
        <f t="shared" si="146"/>
        <v>0.20529475614516896</v>
      </c>
      <c r="O121" s="258">
        <f t="shared" si="147"/>
        <v>3.8591629194661727E-2</v>
      </c>
      <c r="Q121" s="344">
        <f t="shared" si="148"/>
        <v>2220.089639150106</v>
      </c>
      <c r="R121" s="344">
        <f t="shared" si="149"/>
        <v>1043.6503778211347</v>
      </c>
      <c r="S121" s="344">
        <f t="shared" si="150"/>
        <v>1125.2701124014941</v>
      </c>
      <c r="U121" s="436">
        <f t="shared" si="151"/>
        <v>44.381138250558003</v>
      </c>
      <c r="V121" s="436">
        <f t="shared" si="152"/>
        <v>5.6646588421894934</v>
      </c>
      <c r="W121" s="436">
        <f t="shared" si="153"/>
        <v>1.1481292085532568</v>
      </c>
      <c r="X121" s="436">
        <f t="shared" si="154"/>
        <v>51.193926301300756</v>
      </c>
      <c r="Z121" s="350"/>
      <c r="AB121" s="7">
        <f t="shared" si="141"/>
        <v>44.540834724454513</v>
      </c>
      <c r="AC121" s="7">
        <f t="shared" si="155"/>
        <v>5.6570179154326503</v>
      </c>
      <c r="AD121" s="7">
        <f t="shared" si="156"/>
        <v>1.1494489255010425</v>
      </c>
      <c r="AF121" s="344">
        <f t="shared" si="124"/>
        <v>2228.0781789010439</v>
      </c>
      <c r="AG121" s="344">
        <f t="shared" si="157"/>
        <v>1042.2426220641084</v>
      </c>
      <c r="AH121" s="344">
        <f t="shared" si="158"/>
        <v>1126.5635539646123</v>
      </c>
      <c r="AJ121" s="434">
        <f>AHS_tables!CN219</f>
        <v>0.99419549859413647</v>
      </c>
      <c r="AK121" s="434">
        <f>AHS_tables!CN333</f>
        <v>1.0097799126495928</v>
      </c>
      <c r="AL121" s="434">
        <f>AHS_tables!$CP$460</f>
        <v>0.9419427708734216</v>
      </c>
    </row>
    <row r="122" spans="3:38" s="341" customFormat="1" x14ac:dyDescent="0.2">
      <c r="C122" s="341">
        <v>2017</v>
      </c>
      <c r="D122" s="257">
        <f t="shared" si="144"/>
        <v>20302.802772139959</v>
      </c>
      <c r="E122" s="257">
        <f t="shared" si="144"/>
        <v>5319.7329807551423</v>
      </c>
      <c r="F122" s="257">
        <f t="shared" si="144"/>
        <v>1048.5891411866314</v>
      </c>
      <c r="G122" s="257">
        <f t="shared" si="133"/>
        <v>26671.124894081735</v>
      </c>
      <c r="H122" s="15"/>
      <c r="I122" s="435">
        <f>AHS_tables!EH540</f>
        <v>0.23946774073523172</v>
      </c>
      <c r="J122" s="435">
        <f>AHS_tables!DM598</f>
        <v>0.18931009369493523</v>
      </c>
      <c r="K122" s="435">
        <f>AHS_tables!DL663</f>
        <v>0.15089529428967466</v>
      </c>
      <c r="L122" s="15"/>
      <c r="M122" s="258">
        <f t="shared" si="145"/>
        <v>0.76122783919942982</v>
      </c>
      <c r="N122" s="258">
        <f t="shared" si="146"/>
        <v>0.19945664091339393</v>
      </c>
      <c r="O122" s="258">
        <f t="shared" si="147"/>
        <v>3.9315519887176228E-2</v>
      </c>
      <c r="Q122" s="344">
        <f t="shared" si="148"/>
        <v>2232.5510834309916</v>
      </c>
      <c r="R122" s="344">
        <f t="shared" si="149"/>
        <v>1044.0595324775204</v>
      </c>
      <c r="S122" s="344">
        <f t="shared" si="150"/>
        <v>1130.3782826494582</v>
      </c>
      <c r="U122" s="436">
        <f t="shared" si="151"/>
        <v>45.327044325626801</v>
      </c>
      <c r="V122" s="436">
        <f t="shared" si="152"/>
        <v>5.5541179287924596</v>
      </c>
      <c r="W122" s="436">
        <f t="shared" si="153"/>
        <v>1.1853023926194146</v>
      </c>
      <c r="X122" s="436">
        <f t="shared" si="154"/>
        <v>52.066464647038671</v>
      </c>
      <c r="Z122" s="350"/>
      <c r="AB122" s="7">
        <f t="shared" si="141"/>
        <v>45.489811311562256</v>
      </c>
      <c r="AC122" s="7">
        <f t="shared" si="155"/>
        <v>5.5434653822881277</v>
      </c>
      <c r="AD122" s="7">
        <f t="shared" si="156"/>
        <v>1.1862408643496976</v>
      </c>
      <c r="AF122" s="344">
        <f t="shared" si="124"/>
        <v>2240.5680546719673</v>
      </c>
      <c r="AG122" s="344">
        <f t="shared" si="157"/>
        <v>1042.0570736054551</v>
      </c>
      <c r="AH122" s="344">
        <f t="shared" si="158"/>
        <v>1131.2732678189793</v>
      </c>
      <c r="AJ122" s="434">
        <f>AHS_tables!CN220</f>
        <v>0.99418692879169401</v>
      </c>
      <c r="AK122" s="434">
        <f>AHS_tables!CN334</f>
        <v>1.0096001434649473</v>
      </c>
      <c r="AL122" s="434">
        <f>AHS_tables!$CP$460</f>
        <v>0.9419427708734216</v>
      </c>
    </row>
    <row r="123" spans="3:38" s="341" customFormat="1" x14ac:dyDescent="0.2">
      <c r="C123" s="341">
        <v>2018</v>
      </c>
      <c r="D123" s="257">
        <f t="shared" si="144"/>
        <v>20458.087999084681</v>
      </c>
      <c r="E123" s="257">
        <f t="shared" si="144"/>
        <v>5350.8018858775786</v>
      </c>
      <c r="F123" s="257">
        <f t="shared" si="144"/>
        <v>1046.840918464922</v>
      </c>
      <c r="G123" s="257">
        <f t="shared" si="133"/>
        <v>26855.730803427181</v>
      </c>
      <c r="H123" s="15"/>
      <c r="I123" s="435">
        <f>AHS_tables!EH541</f>
        <v>0.23946774073523172</v>
      </c>
      <c r="J123" s="435">
        <f>AHS_tables!DM599</f>
        <v>0.18931009369493523</v>
      </c>
      <c r="K123" s="435">
        <f>AHS_tables!DL664</f>
        <v>0.15089529428967466</v>
      </c>
      <c r="L123" s="15"/>
      <c r="M123" s="258">
        <f t="shared" si="145"/>
        <v>0.76177737067851203</v>
      </c>
      <c r="N123" s="258">
        <f t="shared" si="146"/>
        <v>0.1992424605773431</v>
      </c>
      <c r="O123" s="258">
        <f t="shared" si="147"/>
        <v>3.8980168744144915E-2</v>
      </c>
      <c r="Q123" s="344">
        <f t="shared" si="148"/>
        <v>2244.5308955227511</v>
      </c>
      <c r="R123" s="344">
        <f t="shared" si="149"/>
        <v>1044.1406010705066</v>
      </c>
      <c r="S123" s="344">
        <f t="shared" si="150"/>
        <v>1130.3782826494582</v>
      </c>
      <c r="U123" s="436">
        <f t="shared" si="151"/>
        <v>45.918810577268786</v>
      </c>
      <c r="V123" s="436">
        <f t="shared" si="152"/>
        <v>5.586989497329415</v>
      </c>
      <c r="W123" s="436">
        <f t="shared" si="153"/>
        <v>1.18332623962156</v>
      </c>
      <c r="X123" s="436">
        <f t="shared" si="154"/>
        <v>52.689126314219756</v>
      </c>
      <c r="Z123" s="350"/>
      <c r="AB123" s="7">
        <f t="shared" si="141"/>
        <v>46.084573939612</v>
      </c>
      <c r="AC123" s="7">
        <f t="shared" si="155"/>
        <v>5.5750963298582779</v>
      </c>
      <c r="AD123" s="7">
        <f t="shared" si="156"/>
        <v>1.1842631467184339</v>
      </c>
      <c r="AF123" s="344">
        <f t="shared" si="124"/>
        <v>2252.6334788311538</v>
      </c>
      <c r="AG123" s="344">
        <f t="shared" si="157"/>
        <v>1041.9179122614653</v>
      </c>
      <c r="AH123" s="344">
        <f t="shared" si="158"/>
        <v>1131.2732678189793</v>
      </c>
      <c r="AJ123" s="434">
        <f>AHS_tables!CN221</f>
        <v>0.99418264389047284</v>
      </c>
      <c r="AK123" s="434">
        <f>AHS_tables!CN335</f>
        <v>1.0094653165764633</v>
      </c>
      <c r="AL123" s="434">
        <f>AHS_tables!$CP$460</f>
        <v>0.9419427708734216</v>
      </c>
    </row>
    <row r="124" spans="3:38" s="341" customFormat="1" x14ac:dyDescent="0.2">
      <c r="D124" s="257"/>
      <c r="E124" s="257"/>
      <c r="F124" s="257"/>
      <c r="G124" s="257"/>
      <c r="H124" s="15"/>
      <c r="I124" s="339"/>
      <c r="J124" s="339"/>
      <c r="K124" s="339"/>
      <c r="L124" s="15"/>
      <c r="M124" s="258"/>
      <c r="N124" s="258"/>
      <c r="O124" s="258"/>
      <c r="Q124" s="344"/>
      <c r="R124" s="344"/>
      <c r="S124" s="344"/>
      <c r="U124" s="24"/>
      <c r="V124" s="24"/>
      <c r="W124" s="24"/>
      <c r="X124" s="24"/>
      <c r="Z124" s="350"/>
      <c r="AB124" s="7"/>
      <c r="AC124" s="7"/>
      <c r="AD124" s="7"/>
      <c r="AF124" s="344"/>
      <c r="AG124" s="344"/>
      <c r="AH124" s="344"/>
      <c r="AJ124" s="23"/>
      <c r="AK124" s="23"/>
      <c r="AL124" s="23"/>
    </row>
    <row r="125" spans="3:38" x14ac:dyDescent="0.2">
      <c r="Q125" s="2"/>
      <c r="R125" s="2"/>
      <c r="S125" s="2"/>
      <c r="U125" s="24"/>
      <c r="V125" s="24"/>
      <c r="W125" s="24"/>
      <c r="X125" s="24"/>
      <c r="AB125" s="7"/>
      <c r="AC125" s="7"/>
      <c r="AD125" s="7"/>
      <c r="AF125" s="2"/>
      <c r="AG125" s="2"/>
      <c r="AH125" s="2"/>
      <c r="AJ125" s="23"/>
      <c r="AK125" s="23"/>
      <c r="AL125" s="23"/>
    </row>
    <row r="126" spans="3:38" ht="15.75" x14ac:dyDescent="0.25">
      <c r="C126" s="6" t="s">
        <v>22</v>
      </c>
      <c r="Q126" s="2" t="s">
        <v>467</v>
      </c>
      <c r="R126" s="2"/>
      <c r="S126" s="2"/>
      <c r="U126" s="24" t="s">
        <v>468</v>
      </c>
      <c r="V126" s="24"/>
      <c r="W126" s="24"/>
      <c r="X126" s="24"/>
      <c r="AB126" s="6" t="s">
        <v>22</v>
      </c>
      <c r="AC126" s="7"/>
      <c r="AD126" s="7"/>
      <c r="AF126" s="2"/>
      <c r="AG126" s="2"/>
      <c r="AH126" s="2"/>
      <c r="AJ126" s="23"/>
      <c r="AK126" s="23"/>
      <c r="AL126" s="23"/>
    </row>
    <row r="127" spans="3:38" x14ac:dyDescent="0.2">
      <c r="Q127" t="s">
        <v>470</v>
      </c>
      <c r="R127" s="2"/>
      <c r="S127" s="2"/>
      <c r="U127" s="24" t="s">
        <v>469</v>
      </c>
      <c r="V127" s="24"/>
      <c r="W127" s="24"/>
      <c r="X127" s="24"/>
      <c r="AB127" s="7"/>
      <c r="AC127" s="7"/>
      <c r="AD127" s="7"/>
      <c r="AF127" s="2"/>
      <c r="AG127" s="2"/>
      <c r="AH127" s="2"/>
      <c r="AJ127" s="23"/>
      <c r="AK127" s="23"/>
      <c r="AL127" s="23"/>
    </row>
    <row r="128" spans="3:38" x14ac:dyDescent="0.2">
      <c r="C128" s="1"/>
      <c r="D128" s="341" t="s">
        <v>768</v>
      </c>
      <c r="I128" t="s">
        <v>447</v>
      </c>
      <c r="M128" s="341" t="s">
        <v>362</v>
      </c>
      <c r="N128" s="341"/>
      <c r="R128" s="2"/>
      <c r="S128" s="2"/>
      <c r="U128" s="24"/>
      <c r="V128" s="24"/>
      <c r="W128" s="24"/>
      <c r="X128" s="24"/>
      <c r="AB128" s="7"/>
      <c r="AC128" s="7"/>
      <c r="AD128" s="7"/>
      <c r="AF128" s="2"/>
      <c r="AG128" s="2"/>
      <c r="AH128" s="2"/>
      <c r="AJ128" s="23"/>
      <c r="AK128" s="23"/>
      <c r="AL128" s="23"/>
    </row>
    <row r="129" spans="3:38" x14ac:dyDescent="0.2">
      <c r="C129" s="1"/>
      <c r="R129" s="2"/>
      <c r="S129" s="2"/>
      <c r="U129" s="24"/>
      <c r="V129" s="24"/>
      <c r="W129" s="24"/>
      <c r="X129" s="24"/>
      <c r="AB129" s="7"/>
      <c r="AC129" s="7"/>
      <c r="AD129" s="7"/>
      <c r="AF129" s="2"/>
      <c r="AG129" s="2"/>
      <c r="AH129" s="2"/>
      <c r="AJ129" s="23"/>
      <c r="AK129" s="23"/>
      <c r="AL129" s="23"/>
    </row>
    <row r="130" spans="3:38" ht="13.5" thickBot="1" x14ac:dyDescent="0.25">
      <c r="D130" s="16" t="s">
        <v>444</v>
      </c>
      <c r="E130" s="16" t="s">
        <v>32</v>
      </c>
      <c r="F130" s="16" t="s">
        <v>445</v>
      </c>
      <c r="G130" s="16" t="s">
        <v>363</v>
      </c>
      <c r="I130" s="17" t="s">
        <v>110</v>
      </c>
      <c r="J130" s="17" t="s">
        <v>261</v>
      </c>
      <c r="K130" s="17" t="s">
        <v>360</v>
      </c>
      <c r="M130" s="16" t="s">
        <v>356</v>
      </c>
      <c r="N130" s="16" t="s">
        <v>357</v>
      </c>
      <c r="O130" s="16" t="s">
        <v>358</v>
      </c>
      <c r="Q130" s="16" t="s">
        <v>356</v>
      </c>
      <c r="R130" s="16" t="s">
        <v>357</v>
      </c>
      <c r="S130" s="16" t="s">
        <v>358</v>
      </c>
      <c r="U130" s="16" t="s">
        <v>356</v>
      </c>
      <c r="V130" s="16" t="s">
        <v>357</v>
      </c>
      <c r="W130" s="16" t="s">
        <v>358</v>
      </c>
      <c r="X130" s="264" t="s">
        <v>91</v>
      </c>
      <c r="AB130" s="16" t="s">
        <v>356</v>
      </c>
      <c r="AC130" s="16" t="s">
        <v>357</v>
      </c>
      <c r="AD130" s="16" t="s">
        <v>358</v>
      </c>
      <c r="AF130" s="16" t="s">
        <v>356</v>
      </c>
      <c r="AG130" s="16" t="s">
        <v>357</v>
      </c>
      <c r="AH130" s="16" t="s">
        <v>358</v>
      </c>
      <c r="AJ130" s="16" t="s">
        <v>356</v>
      </c>
      <c r="AK130" s="16" t="s">
        <v>357</v>
      </c>
      <c r="AL130" s="16" t="s">
        <v>358</v>
      </c>
    </row>
    <row r="131" spans="3:38" x14ac:dyDescent="0.2">
      <c r="C131" s="437">
        <f t="shared" ref="C131:C157" si="159">C10</f>
        <v>1985</v>
      </c>
      <c r="D131" s="257">
        <f t="shared" ref="D131:D157" si="160">D10*I131</f>
        <v>20927.68169510816</v>
      </c>
      <c r="E131" s="257">
        <f t="shared" ref="E131:E157" si="161">E10*J131</f>
        <v>6164.8539643045051</v>
      </c>
      <c r="F131" s="257">
        <f t="shared" ref="F131:F157" si="162">F10*K131</f>
        <v>2315.6283783070826</v>
      </c>
      <c r="G131" s="257">
        <f>SUM(D131:F131)</f>
        <v>29408.164037719747</v>
      </c>
      <c r="I131" s="435">
        <f>AHS_tables!EI508</f>
        <v>0.35818277597716036</v>
      </c>
      <c r="J131" s="435">
        <f>AHS_tables!DN566</f>
        <v>0.26240607148843675</v>
      </c>
      <c r="K131" s="435">
        <f>AHS_tables!DM631</f>
        <v>0.47034866109643286</v>
      </c>
      <c r="M131" s="258">
        <f>D131/$G131</f>
        <v>0.71162829710367914</v>
      </c>
      <c r="N131" s="258">
        <f t="shared" ref="N131:N156" si="163">E131/$G131</f>
        <v>0.20963069834612214</v>
      </c>
      <c r="O131" s="258">
        <f t="shared" ref="O131:O156" si="164">F131/$G131</f>
        <v>7.8741004550198779E-2</v>
      </c>
      <c r="Q131" s="2">
        <f t="shared" ref="Q131:Q159" si="165">AF10*AF131</f>
        <v>1730.8042803163721</v>
      </c>
      <c r="R131" s="2">
        <f t="shared" ref="R131:R159" si="166">AG10*AG131</f>
        <v>856.08807057635875</v>
      </c>
      <c r="S131" s="2">
        <f t="shared" ref="S131:S159" si="167">AH10*AH131</f>
        <v>881.62091011192467</v>
      </c>
      <c r="U131" s="436">
        <f>D131*Q131*0.000001</f>
        <v>36.221721054991797</v>
      </c>
      <c r="V131" s="436">
        <f t="shared" ref="V131:V156" si="168">E131*R131*0.000001</f>
        <v>5.2776579356864595</v>
      </c>
      <c r="W131" s="436">
        <f t="shared" ref="W131:W156" si="169">F131*S131*0.000001</f>
        <v>2.0415063983640902</v>
      </c>
      <c r="X131" s="436">
        <f>SUM(U131:W131)</f>
        <v>43.540885389042344</v>
      </c>
      <c r="AB131" s="7">
        <f>D131*AF131*0.000001</f>
        <v>36.048098824227324</v>
      </c>
      <c r="AC131" s="7">
        <f t="shared" ref="AC131:AC156" si="170">E131*AG131*0.000001</f>
        <v>5.3556914864958793</v>
      </c>
      <c r="AD131" s="7">
        <f t="shared" ref="AD131:AD156" si="171">F131*AH131*0.000001</f>
        <v>2.0302493773581363</v>
      </c>
      <c r="AF131" s="2">
        <f t="shared" ref="AF131:AF164" si="172">Q10*AJ131</f>
        <v>1722.5079848502071</v>
      </c>
      <c r="AG131" s="2">
        <f t="shared" ref="AG131:AG159" si="173">R10*AK131</f>
        <v>868.74588068203946</v>
      </c>
      <c r="AH131" s="2">
        <f t="shared" ref="AH131:AH159" si="174">S10*AL131</f>
        <v>876.7595855956896</v>
      </c>
      <c r="AJ131" s="434">
        <f>AHS_tables!CT188</f>
        <v>0.93154373808966162</v>
      </c>
      <c r="AK131" s="434">
        <f>AHS_tables!CT302</f>
        <v>1.0254626753510974</v>
      </c>
      <c r="AL131" s="434">
        <f>AHS_tables!$CV$460</f>
        <v>1.0224406752754611</v>
      </c>
    </row>
    <row r="132" spans="3:38" x14ac:dyDescent="0.2">
      <c r="C132" s="280">
        <f t="shared" si="159"/>
        <v>1986</v>
      </c>
      <c r="D132" s="257">
        <f t="shared" si="160"/>
        <v>21459.109669887544</v>
      </c>
      <c r="E132" s="257">
        <f t="shared" si="161"/>
        <v>6207.2721356467646</v>
      </c>
      <c r="F132" s="257">
        <f t="shared" si="162"/>
        <v>2439.7249548955788</v>
      </c>
      <c r="G132" s="257">
        <f t="shared" ref="G132:G156" si="175">SUM(D132:F132)</f>
        <v>30106.106760429888</v>
      </c>
      <c r="I132" s="435">
        <f>AHS_tables!EI509</f>
        <v>0.36085964589635411</v>
      </c>
      <c r="J132" s="435">
        <f>AHS_tables!DN567</f>
        <v>0.2626709504070972</v>
      </c>
      <c r="K132" s="435">
        <f>AHS_tables!DM632</f>
        <v>0.48047989341220693</v>
      </c>
      <c r="M132" s="258">
        <f t="shared" ref="M132:M156" si="176">D132/$G132</f>
        <v>0.71278262050450281</v>
      </c>
      <c r="N132" s="258">
        <f t="shared" si="163"/>
        <v>0.20617983537497195</v>
      </c>
      <c r="O132" s="258">
        <f t="shared" si="164"/>
        <v>8.103754412052519E-2</v>
      </c>
      <c r="Q132" s="2">
        <f t="shared" si="165"/>
        <v>1731.5898360769431</v>
      </c>
      <c r="R132" s="2">
        <f t="shared" si="166"/>
        <v>876.64604770807023</v>
      </c>
      <c r="S132" s="2">
        <f t="shared" si="167"/>
        <v>888.11298700322379</v>
      </c>
      <c r="U132" s="436">
        <f t="shared" ref="U132:U156" si="177">D132*Q132*0.000001</f>
        <v>37.158376195637715</v>
      </c>
      <c r="V132" s="436">
        <f t="shared" si="168"/>
        <v>5.4415805847631677</v>
      </c>
      <c r="W132" s="436">
        <f t="shared" si="169"/>
        <v>2.166751417158618</v>
      </c>
      <c r="X132" s="436">
        <f t="shared" ref="X132:X156" si="178">SUM(U132:W132)</f>
        <v>44.766708197559495</v>
      </c>
      <c r="AB132" s="7">
        <f t="shared" ref="AB132:AB156" si="179">D132*AF132*0.000001</f>
        <v>36.985540961167061</v>
      </c>
      <c r="AC132" s="7">
        <f t="shared" si="170"/>
        <v>5.5203861603832767</v>
      </c>
      <c r="AD132" s="7">
        <f t="shared" si="171"/>
        <v>2.1569863674374408</v>
      </c>
      <c r="AF132" s="2">
        <f t="shared" si="172"/>
        <v>1723.5356699382057</v>
      </c>
      <c r="AG132" s="2">
        <f t="shared" si="173"/>
        <v>889.34173333260537</v>
      </c>
      <c r="AH132" s="2">
        <f t="shared" si="174"/>
        <v>884.11046626760469</v>
      </c>
      <c r="AJ132" s="434">
        <f>AHS_tables!CT189</f>
        <v>0.93401217145609539</v>
      </c>
      <c r="AK132" s="434">
        <f>AHS_tables!CT303</f>
        <v>1.0254626753510974</v>
      </c>
      <c r="AL132" s="434">
        <f>AHS_tables!$CV$460</f>
        <v>1.0224406752754611</v>
      </c>
    </row>
    <row r="133" spans="3:38" x14ac:dyDescent="0.2">
      <c r="C133" s="280">
        <f t="shared" si="159"/>
        <v>1987</v>
      </c>
      <c r="D133" s="257">
        <f t="shared" si="160"/>
        <v>22004.895637356145</v>
      </c>
      <c r="E133" s="257">
        <f t="shared" si="161"/>
        <v>6241.9060686634693</v>
      </c>
      <c r="F133" s="257">
        <f t="shared" si="162"/>
        <v>2559.3318360722856</v>
      </c>
      <c r="G133" s="257">
        <f t="shared" si="175"/>
        <v>30806.133542091899</v>
      </c>
      <c r="I133" s="435">
        <f>AHS_tables!EI510</f>
        <v>0.36353651581554786</v>
      </c>
      <c r="J133" s="435">
        <f>AHS_tables!DN568</f>
        <v>0.2629358293257576</v>
      </c>
      <c r="K133" s="435">
        <f>AHS_tables!DM633</f>
        <v>0.49061112572798099</v>
      </c>
      <c r="M133" s="258">
        <f t="shared" si="176"/>
        <v>0.71430241666938821</v>
      </c>
      <c r="N133" s="258">
        <f t="shared" si="163"/>
        <v>0.20261893821030327</v>
      </c>
      <c r="O133" s="258">
        <f t="shared" si="164"/>
        <v>8.307864512030852E-2</v>
      </c>
      <c r="Q133" s="2">
        <f t="shared" si="165"/>
        <v>1748.6775250130383</v>
      </c>
      <c r="R133" s="2">
        <f t="shared" si="166"/>
        <v>892.97096945478575</v>
      </c>
      <c r="S133" s="2">
        <f t="shared" si="167"/>
        <v>887.21524379884863</v>
      </c>
      <c r="U133" s="436">
        <f t="shared" si="177"/>
        <v>38.479466441302151</v>
      </c>
      <c r="V133" s="436">
        <f t="shared" si="168"/>
        <v>5.5738409133801277</v>
      </c>
      <c r="W133" s="436">
        <f t="shared" si="169"/>
        <v>2.2706782189030279</v>
      </c>
      <c r="X133" s="436">
        <f t="shared" si="178"/>
        <v>46.323985573585304</v>
      </c>
      <c r="AB133" s="7">
        <f t="shared" si="179"/>
        <v>38.306613020990838</v>
      </c>
      <c r="AC133" s="7">
        <f t="shared" si="170"/>
        <v>5.6528225009927855</v>
      </c>
      <c r="AD133" s="7">
        <f t="shared" si="171"/>
        <v>2.2627320629233929</v>
      </c>
      <c r="AF133" s="2">
        <f t="shared" si="172"/>
        <v>1740.8222993777997</v>
      </c>
      <c r="AG133" s="2">
        <f t="shared" si="173"/>
        <v>905.62441004550089</v>
      </c>
      <c r="AH133" s="2">
        <f t="shared" si="174"/>
        <v>884.11046626760469</v>
      </c>
      <c r="AJ133" s="434">
        <f>AHS_tables!CT190</f>
        <v>0.93648060482252915</v>
      </c>
      <c r="AK133" s="434">
        <f>AHS_tables!CT304</f>
        <v>1.0254626753510974</v>
      </c>
      <c r="AL133" s="434">
        <f>AHS_tables!$CV$460</f>
        <v>1.0224406752754611</v>
      </c>
    </row>
    <row r="134" spans="3:38" x14ac:dyDescent="0.2">
      <c r="C134" s="280">
        <f t="shared" si="159"/>
        <v>1988</v>
      </c>
      <c r="D134" s="257">
        <f t="shared" si="160"/>
        <v>22371.937102217707</v>
      </c>
      <c r="E134" s="257">
        <f t="shared" si="161"/>
        <v>6411.7230571947184</v>
      </c>
      <c r="F134" s="257">
        <f t="shared" si="162"/>
        <v>2657.0360066987769</v>
      </c>
      <c r="G134" s="257">
        <f t="shared" si="175"/>
        <v>31440.696166111204</v>
      </c>
      <c r="I134" s="435">
        <f>AHS_tables!EI511</f>
        <v>0.36407568184208883</v>
      </c>
      <c r="J134" s="435">
        <f>AHS_tables!DN569</f>
        <v>0.26555733204534415</v>
      </c>
      <c r="K134" s="435">
        <f>AHS_tables!DM634</f>
        <v>0.49960704188871885</v>
      </c>
      <c r="M134" s="258">
        <f t="shared" si="176"/>
        <v>0.71155985172909797</v>
      </c>
      <c r="N134" s="258">
        <f t="shared" si="163"/>
        <v>0.20393069616905252</v>
      </c>
      <c r="O134" s="258">
        <f t="shared" si="164"/>
        <v>8.4509452101849458E-2</v>
      </c>
      <c r="Q134" s="2">
        <f t="shared" si="165"/>
        <v>1764.9897446613927</v>
      </c>
      <c r="R134" s="2">
        <f t="shared" si="166"/>
        <v>904.75456011259303</v>
      </c>
      <c r="S134" s="2">
        <f t="shared" si="167"/>
        <v>913.58619295329061</v>
      </c>
      <c r="U134" s="436">
        <f t="shared" si="177"/>
        <v>39.486239553623967</v>
      </c>
      <c r="V134" s="436">
        <f t="shared" si="168"/>
        <v>5.8010356741759779</v>
      </c>
      <c r="W134" s="436">
        <f t="shared" si="169"/>
        <v>2.4274314098997491</v>
      </c>
      <c r="X134" s="436">
        <f t="shared" si="178"/>
        <v>47.714706637699692</v>
      </c>
      <c r="AB134" s="7">
        <f t="shared" si="179"/>
        <v>39.34480659642896</v>
      </c>
      <c r="AC134" s="7">
        <f t="shared" si="170"/>
        <v>5.8810137189315705</v>
      </c>
      <c r="AD134" s="7">
        <f t="shared" si="171"/>
        <v>2.4193859641372524</v>
      </c>
      <c r="AF134" s="2">
        <f t="shared" si="172"/>
        <v>1758.6678532422993</v>
      </c>
      <c r="AG134" s="2">
        <f t="shared" si="173"/>
        <v>917.2282811454827</v>
      </c>
      <c r="AH134" s="2">
        <f t="shared" si="174"/>
        <v>910.55821525851593</v>
      </c>
      <c r="AJ134" s="434">
        <f>AHS_tables!CT191</f>
        <v>0.93894903818896291</v>
      </c>
      <c r="AK134" s="434">
        <f>AHS_tables!CT305</f>
        <v>1.0254626753510974</v>
      </c>
      <c r="AL134" s="434">
        <f>AHS_tables!$CV$460</f>
        <v>1.0224406752754611</v>
      </c>
    </row>
    <row r="135" spans="3:38" x14ac:dyDescent="0.2">
      <c r="C135" s="280">
        <f t="shared" si="159"/>
        <v>1989</v>
      </c>
      <c r="D135" s="257">
        <f t="shared" si="160"/>
        <v>22724.296481697525</v>
      </c>
      <c r="E135" s="257">
        <f t="shared" si="161"/>
        <v>6573.4708319025331</v>
      </c>
      <c r="F135" s="257">
        <f t="shared" si="162"/>
        <v>2749.8524609219244</v>
      </c>
      <c r="G135" s="257">
        <f t="shared" si="175"/>
        <v>32047.619774521983</v>
      </c>
      <c r="I135" s="435">
        <f>AHS_tables!EI512</f>
        <v>0.36461484786862974</v>
      </c>
      <c r="J135" s="435">
        <f>AHS_tables!DN570</f>
        <v>0.26817883476493076</v>
      </c>
      <c r="K135" s="435">
        <f>AHS_tables!DM635</f>
        <v>0.50860295804945665</v>
      </c>
      <c r="M135" s="258">
        <f t="shared" si="176"/>
        <v>0.70907907175569573</v>
      </c>
      <c r="N135" s="258">
        <f t="shared" si="163"/>
        <v>0.20511572710084619</v>
      </c>
      <c r="O135" s="258">
        <f t="shared" si="164"/>
        <v>8.5805201143458104E-2</v>
      </c>
      <c r="Q135" s="2">
        <f t="shared" si="165"/>
        <v>1780.9648429301071</v>
      </c>
      <c r="R135" s="2">
        <f t="shared" si="166"/>
        <v>914.54700872289231</v>
      </c>
      <c r="S135" s="2">
        <f t="shared" si="167"/>
        <v>939.94735014041271</v>
      </c>
      <c r="U135" s="436">
        <f t="shared" si="177"/>
        <v>40.471173114223618</v>
      </c>
      <c r="V135" s="436">
        <f t="shared" si="168"/>
        <v>6.0117480862436441</v>
      </c>
      <c r="W135" s="436">
        <f t="shared" si="169"/>
        <v>2.5847165339206555</v>
      </c>
      <c r="X135" s="436">
        <f t="shared" si="178"/>
        <v>49.067637734387915</v>
      </c>
      <c r="AB135" s="7">
        <f t="shared" si="179"/>
        <v>40.362921891357679</v>
      </c>
      <c r="AC135" s="7">
        <f t="shared" si="170"/>
        <v>6.0922475145856234</v>
      </c>
      <c r="AD135" s="7">
        <f t="shared" si="171"/>
        <v>2.5766281566898077</v>
      </c>
      <c r="AF135" s="2">
        <f t="shared" si="172"/>
        <v>1776.2011652975289</v>
      </c>
      <c r="AG135" s="2">
        <f t="shared" si="173"/>
        <v>926.79311590135535</v>
      </c>
      <c r="AH135" s="2">
        <f t="shared" si="174"/>
        <v>937.00596424942705</v>
      </c>
      <c r="AJ135" s="434">
        <f>AHS_tables!CT192</f>
        <v>0.94141747155539668</v>
      </c>
      <c r="AK135" s="434">
        <f>AHS_tables!CT306</f>
        <v>1.0254626753510974</v>
      </c>
      <c r="AL135" s="434">
        <f>AHS_tables!$CV$460</f>
        <v>1.0224406752754611</v>
      </c>
    </row>
    <row r="136" spans="3:38" x14ac:dyDescent="0.2">
      <c r="C136" s="280">
        <f t="shared" si="159"/>
        <v>1990</v>
      </c>
      <c r="D136" s="257">
        <f t="shared" si="160"/>
        <v>22799.822999882894</v>
      </c>
      <c r="E136" s="257">
        <f t="shared" si="161"/>
        <v>6534.795378823017</v>
      </c>
      <c r="F136" s="257">
        <f t="shared" si="162"/>
        <v>2769.6794818209196</v>
      </c>
      <c r="G136" s="257">
        <f t="shared" si="175"/>
        <v>32104.297860526833</v>
      </c>
      <c r="I136" s="435">
        <f>AHS_tables!EI513</f>
        <v>0.3631301436301767</v>
      </c>
      <c r="J136" s="435">
        <f>AHS_tables!DN571</f>
        <v>0.26708290867105539</v>
      </c>
      <c r="K136" s="435">
        <f>AHS_tables!DM636</f>
        <v>0.49884464040065402</v>
      </c>
      <c r="M136" s="258">
        <f t="shared" si="176"/>
        <v>0.71017977402695165</v>
      </c>
      <c r="N136" s="258">
        <f t="shared" si="163"/>
        <v>0.20354892691354382</v>
      </c>
      <c r="O136" s="258">
        <f t="shared" si="164"/>
        <v>8.6271299059504467E-2</v>
      </c>
      <c r="Q136" s="2">
        <f t="shared" si="165"/>
        <v>1797.8325037553573</v>
      </c>
      <c r="R136" s="2">
        <f t="shared" si="166"/>
        <v>921.9406331836102</v>
      </c>
      <c r="S136" s="2">
        <f t="shared" si="167"/>
        <v>966.82203472128322</v>
      </c>
      <c r="U136" s="436">
        <f t="shared" si="177"/>
        <v>40.990262869058441</v>
      </c>
      <c r="V136" s="436">
        <f t="shared" si="168"/>
        <v>6.0246933892774219</v>
      </c>
      <c r="W136" s="436">
        <f t="shared" si="169"/>
        <v>2.6777871521398908</v>
      </c>
      <c r="X136" s="436">
        <f t="shared" si="178"/>
        <v>49.692743410475757</v>
      </c>
      <c r="AB136" s="7">
        <f t="shared" si="179"/>
        <v>40.896210876298341</v>
      </c>
      <c r="AC136" s="7">
        <f t="shared" si="170"/>
        <v>6.1038493972522687</v>
      </c>
      <c r="AD136" s="7">
        <f t="shared" si="171"/>
        <v>2.668457981245941</v>
      </c>
      <c r="AF136" s="2">
        <f t="shared" si="172"/>
        <v>1793.7073843296241</v>
      </c>
      <c r="AG136" s="2">
        <f t="shared" si="173"/>
        <v>934.05363801178942</v>
      </c>
      <c r="AH136" s="2">
        <f t="shared" si="174"/>
        <v>963.45371324033829</v>
      </c>
      <c r="AJ136" s="434">
        <f>AHS_tables!CT193</f>
        <v>0.94388590492183033</v>
      </c>
      <c r="AK136" s="434">
        <f>AHS_tables!CT307</f>
        <v>1.0254626753510974</v>
      </c>
      <c r="AL136" s="434">
        <f>AHS_tables!$CV$460</f>
        <v>1.0224406752754611</v>
      </c>
    </row>
    <row r="137" spans="3:38" x14ac:dyDescent="0.2">
      <c r="C137" s="280">
        <f t="shared" si="159"/>
        <v>1991</v>
      </c>
      <c r="D137" s="257">
        <f t="shared" si="160"/>
        <v>22841.205472331061</v>
      </c>
      <c r="E137" s="257">
        <f t="shared" si="161"/>
        <v>6485.302733134562</v>
      </c>
      <c r="F137" s="257">
        <f t="shared" si="162"/>
        <v>2782.6588648152697</v>
      </c>
      <c r="G137" s="257">
        <f t="shared" si="175"/>
        <v>32109.167070280891</v>
      </c>
      <c r="I137" s="435">
        <f>AHS_tables!EI514</f>
        <v>0.36164543939172372</v>
      </c>
      <c r="J137" s="435">
        <f>AHS_tables!DN572</f>
        <v>0.26598698257718001</v>
      </c>
      <c r="K137" s="435">
        <f>AHS_tables!DM637</f>
        <v>0.48908632275185138</v>
      </c>
      <c r="M137" s="258">
        <f t="shared" si="176"/>
        <v>0.71136088402218545</v>
      </c>
      <c r="N137" s="258">
        <f t="shared" si="163"/>
        <v>0.20197667285917015</v>
      </c>
      <c r="O137" s="258">
        <f t="shared" si="164"/>
        <v>8.6662443118644461E-2</v>
      </c>
      <c r="Q137" s="2">
        <f t="shared" si="165"/>
        <v>1812.4517212113763</v>
      </c>
      <c r="R137" s="2">
        <f t="shared" si="166"/>
        <v>925.38800205802681</v>
      </c>
      <c r="S137" s="2">
        <f t="shared" si="167"/>
        <v>983.17198517916972</v>
      </c>
      <c r="U137" s="436">
        <f t="shared" si="177"/>
        <v>41.398582172869133</v>
      </c>
      <c r="V137" s="436">
        <f t="shared" si="168"/>
        <v>6.0014213389568534</v>
      </c>
      <c r="W137" s="436">
        <f t="shared" si="169"/>
        <v>2.7358322401968436</v>
      </c>
      <c r="X137" s="436">
        <f t="shared" si="178"/>
        <v>50.135835752022828</v>
      </c>
      <c r="AB137" s="7">
        <f t="shared" si="179"/>
        <v>41.319165415697825</v>
      </c>
      <c r="AC137" s="7">
        <f t="shared" si="170"/>
        <v>6.0787192688266112</v>
      </c>
      <c r="AD137" s="7">
        <f t="shared" si="171"/>
        <v>2.7253307156211966</v>
      </c>
      <c r="AF137" s="2">
        <f t="shared" si="172"/>
        <v>1808.9748137746162</v>
      </c>
      <c r="AG137" s="2">
        <f t="shared" si="173"/>
        <v>937.3069413967919</v>
      </c>
      <c r="AH137" s="2">
        <f t="shared" si="174"/>
        <v>979.39806782680182</v>
      </c>
      <c r="AJ137" s="434">
        <f>AHS_tables!CT194</f>
        <v>0.9463543382882641</v>
      </c>
      <c r="AK137" s="434">
        <f>AHS_tables!CT308</f>
        <v>1.0254626753510974</v>
      </c>
      <c r="AL137" s="434">
        <f>AHS_tables!$CV$460</f>
        <v>1.0224406752754611</v>
      </c>
    </row>
    <row r="138" spans="3:38" x14ac:dyDescent="0.2">
      <c r="C138" s="280">
        <f t="shared" si="159"/>
        <v>1992</v>
      </c>
      <c r="D138" s="257">
        <f t="shared" si="160"/>
        <v>23363.38356738746</v>
      </c>
      <c r="E138" s="257">
        <f t="shared" si="161"/>
        <v>6637.6017276674665</v>
      </c>
      <c r="F138" s="257">
        <f t="shared" si="162"/>
        <v>2935.9473839963389</v>
      </c>
      <c r="G138" s="257">
        <f t="shared" si="175"/>
        <v>32936.932679051264</v>
      </c>
      <c r="I138" s="435">
        <f>AHS_tables!EI515</f>
        <v>0.36316784458716422</v>
      </c>
      <c r="J138" s="435">
        <f>AHS_tables!DN573</f>
        <v>0.26867521298370101</v>
      </c>
      <c r="K138" s="435">
        <f>AHS_tables!DM638</f>
        <v>0.51141206719550902</v>
      </c>
      <c r="M138" s="258">
        <f t="shared" si="176"/>
        <v>0.7093369560258771</v>
      </c>
      <c r="N138" s="258">
        <f t="shared" si="163"/>
        <v>0.20152458616430763</v>
      </c>
      <c r="O138" s="258">
        <f t="shared" si="164"/>
        <v>8.913845780981533E-2</v>
      </c>
      <c r="Q138" s="2">
        <f t="shared" si="165"/>
        <v>1831.6808011822791</v>
      </c>
      <c r="R138" s="2">
        <f t="shared" si="166"/>
        <v>926.08775628777971</v>
      </c>
      <c r="S138" s="2">
        <f t="shared" si="167"/>
        <v>998.08969118633127</v>
      </c>
      <c r="U138" s="436">
        <f t="shared" si="177"/>
        <v>42.794261131041154</v>
      </c>
      <c r="V138" s="436">
        <f t="shared" si="168"/>
        <v>6.1470016911074543</v>
      </c>
      <c r="W138" s="436">
        <f t="shared" si="169"/>
        <v>2.9303388178322232</v>
      </c>
      <c r="X138" s="436">
        <f t="shared" si="178"/>
        <v>51.871601639980831</v>
      </c>
      <c r="AB138" s="7">
        <f t="shared" si="179"/>
        <v>42.72511676278252</v>
      </c>
      <c r="AC138" s="7">
        <f t="shared" si="170"/>
        <v>6.2254608595939693</v>
      </c>
      <c r="AD138" s="7">
        <f t="shared" si="171"/>
        <v>2.9222729812648054</v>
      </c>
      <c r="AF138" s="2">
        <f t="shared" si="172"/>
        <v>1828.7212825809088</v>
      </c>
      <c r="AG138" s="2">
        <f t="shared" si="173"/>
        <v>937.90816548158148</v>
      </c>
      <c r="AH138" s="2">
        <f t="shared" si="174"/>
        <v>995.34242241326547</v>
      </c>
      <c r="AJ138" s="434">
        <f>AHS_tables!CT195</f>
        <v>0.94882277165469786</v>
      </c>
      <c r="AK138" s="434">
        <f>AHS_tables!CT309</f>
        <v>1.0254626753510974</v>
      </c>
      <c r="AL138" s="434">
        <f>AHS_tables!$CV$460</f>
        <v>1.0224406752754611</v>
      </c>
    </row>
    <row r="139" spans="3:38" x14ac:dyDescent="0.2">
      <c r="C139" s="280">
        <f t="shared" si="159"/>
        <v>1993</v>
      </c>
      <c r="D139" s="257">
        <f t="shared" si="160"/>
        <v>23924.009224753379</v>
      </c>
      <c r="E139" s="257">
        <f t="shared" si="161"/>
        <v>6785.1682390470014</v>
      </c>
      <c r="F139" s="257">
        <f t="shared" si="162"/>
        <v>3101.8441293036258</v>
      </c>
      <c r="G139" s="257">
        <f t="shared" si="175"/>
        <v>33811.021593104007</v>
      </c>
      <c r="I139" s="435">
        <f>AHS_tables!EI516</f>
        <v>0.36469024978260467</v>
      </c>
      <c r="J139" s="435">
        <f>AHS_tables!DN574</f>
        <v>0.27136344339022195</v>
      </c>
      <c r="K139" s="435">
        <f>AHS_tables!DM639</f>
        <v>0.53373781163916667</v>
      </c>
      <c r="M139" s="258">
        <f t="shared" si="176"/>
        <v>0.70758019419421647</v>
      </c>
      <c r="N139" s="258">
        <f t="shared" si="163"/>
        <v>0.20067918445951019</v>
      </c>
      <c r="O139" s="258">
        <f t="shared" si="164"/>
        <v>9.1740621346273324E-2</v>
      </c>
      <c r="Q139" s="2">
        <f t="shared" si="165"/>
        <v>1850.3621957877992</v>
      </c>
      <c r="R139" s="2">
        <f t="shared" si="166"/>
        <v>925.0222824997461</v>
      </c>
      <c r="S139" s="2">
        <f t="shared" si="167"/>
        <v>1012.9749422979867</v>
      </c>
      <c r="U139" s="436">
        <f t="shared" si="177"/>
        <v>44.268082241162226</v>
      </c>
      <c r="V139" s="436">
        <f t="shared" si="168"/>
        <v>6.27643181162804</v>
      </c>
      <c r="W139" s="436">
        <f t="shared" si="169"/>
        <v>3.1420903778986888</v>
      </c>
      <c r="X139" s="436">
        <f t="shared" si="178"/>
        <v>53.686604430688952</v>
      </c>
      <c r="AB139" s="7">
        <f t="shared" si="179"/>
        <v>44.210893746118543</v>
      </c>
      <c r="AC139" s="7">
        <f t="shared" si="170"/>
        <v>6.3557924038506197</v>
      </c>
      <c r="AD139" s="7">
        <f t="shared" si="171"/>
        <v>3.1368539522789938</v>
      </c>
      <c r="AF139" s="2">
        <f t="shared" si="172"/>
        <v>1847.9717730745147</v>
      </c>
      <c r="AG139" s="2">
        <f t="shared" si="173"/>
        <v>936.71846886191747</v>
      </c>
      <c r="AH139" s="2">
        <f t="shared" si="174"/>
        <v>1011.2867769997289</v>
      </c>
      <c r="AJ139" s="434">
        <f>AHS_tables!CT196</f>
        <v>0.95129120502113163</v>
      </c>
      <c r="AK139" s="434">
        <f>AHS_tables!CT310</f>
        <v>1.0254626753510974</v>
      </c>
      <c r="AL139" s="434">
        <f>AHS_tables!$CV$460</f>
        <v>1.0224406752754611</v>
      </c>
    </row>
    <row r="140" spans="3:38" x14ac:dyDescent="0.2">
      <c r="C140" s="280">
        <f t="shared" si="159"/>
        <v>1994</v>
      </c>
      <c r="D140" s="257">
        <f t="shared" si="160"/>
        <v>24265.426509503603</v>
      </c>
      <c r="E140" s="257">
        <f t="shared" si="161"/>
        <v>6791.7664222657022</v>
      </c>
      <c r="F140" s="257">
        <f t="shared" si="162"/>
        <v>3168.7831602439192</v>
      </c>
      <c r="G140" s="257">
        <f t="shared" si="175"/>
        <v>34225.976092013225</v>
      </c>
      <c r="I140" s="435">
        <f>AHS_tables!EI517</f>
        <v>0.36419939556902553</v>
      </c>
      <c r="J140" s="435">
        <f>AHS_tables!DN575</f>
        <v>0.26977558795431955</v>
      </c>
      <c r="K140" s="435">
        <f>AHS_tables!DM640</f>
        <v>0.53229224514514228</v>
      </c>
      <c r="M140" s="258">
        <f t="shared" si="176"/>
        <v>0.70897690234657884</v>
      </c>
      <c r="N140" s="258">
        <f t="shared" si="163"/>
        <v>0.19843894017826388</v>
      </c>
      <c r="O140" s="258">
        <f t="shared" si="164"/>
        <v>9.2584157475157233E-2</v>
      </c>
      <c r="Q140" s="2">
        <f t="shared" si="165"/>
        <v>1869.6634862882229</v>
      </c>
      <c r="R140" s="2">
        <f t="shared" si="166"/>
        <v>926.2253632091805</v>
      </c>
      <c r="S140" s="2">
        <f t="shared" si="167"/>
        <v>1022.2452349260129</v>
      </c>
      <c r="U140" s="436">
        <f t="shared" si="177"/>
        <v>45.368181924029166</v>
      </c>
      <c r="V140" s="436">
        <f t="shared" si="168"/>
        <v>6.2907063212949659</v>
      </c>
      <c r="W140" s="436">
        <f t="shared" si="169"/>
        <v>3.2392734860731385</v>
      </c>
      <c r="X140" s="436">
        <f t="shared" si="178"/>
        <v>54.898161731397273</v>
      </c>
      <c r="AB140" s="7">
        <f t="shared" si="179"/>
        <v>45.337115850829633</v>
      </c>
      <c r="AC140" s="7">
        <f t="shared" si="170"/>
        <v>6.3668721501890468</v>
      </c>
      <c r="AD140" s="7">
        <f t="shared" si="171"/>
        <v>3.2340736910665902</v>
      </c>
      <c r="AF140" s="2">
        <f t="shared" si="172"/>
        <v>1868.3832255358573</v>
      </c>
      <c r="AG140" s="2">
        <f t="shared" si="173"/>
        <v>937.43979906557024</v>
      </c>
      <c r="AH140" s="2">
        <f t="shared" si="174"/>
        <v>1020.604291149302</v>
      </c>
      <c r="AJ140" s="434">
        <f>AHS_tables!CT197</f>
        <v>0.95375963838756539</v>
      </c>
      <c r="AK140" s="434">
        <f>AHS_tables!CT311</f>
        <v>1.0254626753510974</v>
      </c>
      <c r="AL140" s="434">
        <f>AHS_tables!$CV$460</f>
        <v>1.0224406752754611</v>
      </c>
    </row>
    <row r="141" spans="3:38" x14ac:dyDescent="0.2">
      <c r="C141" s="280">
        <f t="shared" si="159"/>
        <v>1995</v>
      </c>
      <c r="D141" s="257">
        <f t="shared" si="160"/>
        <v>24610.559185496135</v>
      </c>
      <c r="E141" s="257">
        <f t="shared" si="161"/>
        <v>6804.3751097617633</v>
      </c>
      <c r="F141" s="257">
        <f t="shared" si="162"/>
        <v>3247.9020433371584</v>
      </c>
      <c r="G141" s="257">
        <f t="shared" si="175"/>
        <v>34662.836338595058</v>
      </c>
      <c r="I141" s="435">
        <f>AHS_tables!EI518</f>
        <v>0.36370854135544639</v>
      </c>
      <c r="J141" s="435">
        <f>AHS_tables!DN576</f>
        <v>0.26818773251841721</v>
      </c>
      <c r="K141" s="435">
        <f>AHS_tables!DM641</f>
        <v>0.5308466786511179</v>
      </c>
      <c r="M141" s="258">
        <f t="shared" si="176"/>
        <v>0.70999842439592009</v>
      </c>
      <c r="N141" s="258">
        <f t="shared" si="163"/>
        <v>0.19630174066816011</v>
      </c>
      <c r="O141" s="258">
        <f t="shared" si="164"/>
        <v>9.3699834935919768E-2</v>
      </c>
      <c r="Q141" s="2">
        <f t="shared" si="165"/>
        <v>1884.8739496265132</v>
      </c>
      <c r="R141" s="2">
        <f t="shared" si="166"/>
        <v>930.79086153552998</v>
      </c>
      <c r="S141" s="2">
        <f t="shared" si="167"/>
        <v>1031.5143891275513</v>
      </c>
      <c r="U141" s="436">
        <f t="shared" si="177"/>
        <v>46.387801894483161</v>
      </c>
      <c r="V141" s="436">
        <f t="shared" si="168"/>
        <v>6.333450170626068</v>
      </c>
      <c r="W141" s="436">
        <f t="shared" si="169"/>
        <v>3.3502576921790541</v>
      </c>
      <c r="X141" s="436">
        <f t="shared" si="178"/>
        <v>56.071509757288283</v>
      </c>
      <c r="AB141" s="7">
        <f t="shared" si="179"/>
        <v>46.384912670722564</v>
      </c>
      <c r="AC141" s="7">
        <f t="shared" si="170"/>
        <v>6.40665441433491</v>
      </c>
      <c r="AD141" s="7">
        <f t="shared" si="171"/>
        <v>3.3450851359077109</v>
      </c>
      <c r="AF141" s="2">
        <f t="shared" si="172"/>
        <v>1884.7565518973995</v>
      </c>
      <c r="AG141" s="2">
        <f t="shared" si="173"/>
        <v>941.54926954919472</v>
      </c>
      <c r="AH141" s="2">
        <f t="shared" si="174"/>
        <v>1029.9218052988749</v>
      </c>
      <c r="AJ141" s="434">
        <f>AHS_tables!CT198</f>
        <v>0.95622807175399915</v>
      </c>
      <c r="AK141" s="434">
        <f>AHS_tables!CT312</f>
        <v>1.0254626753510974</v>
      </c>
      <c r="AL141" s="434">
        <f>AHS_tables!$CV$460</f>
        <v>1.0224406752754611</v>
      </c>
    </row>
    <row r="142" spans="3:38" x14ac:dyDescent="0.2">
      <c r="C142" s="280">
        <f t="shared" si="159"/>
        <v>1996</v>
      </c>
      <c r="D142" s="257">
        <f t="shared" si="160"/>
        <v>24794.931310274744</v>
      </c>
      <c r="E142" s="257">
        <f t="shared" si="161"/>
        <v>6823.4781653720302</v>
      </c>
      <c r="F142" s="257">
        <f t="shared" si="162"/>
        <v>3357.9053041539732</v>
      </c>
      <c r="G142" s="257">
        <f t="shared" si="175"/>
        <v>34976.314779800749</v>
      </c>
      <c r="I142" s="435">
        <f>AHS_tables!EI519</f>
        <v>0.36338352268760432</v>
      </c>
      <c r="J142" s="435">
        <f>AHS_tables!DN577</f>
        <v>0.26738781942882373</v>
      </c>
      <c r="K142" s="435">
        <f>AHS_tables!DM642</f>
        <v>0.54131110204495014</v>
      </c>
      <c r="M142" s="258">
        <f t="shared" si="176"/>
        <v>0.70890634037277478</v>
      </c>
      <c r="N142" s="258">
        <f t="shared" si="163"/>
        <v>0.19508853943962881</v>
      </c>
      <c r="O142" s="258">
        <f t="shared" si="164"/>
        <v>9.6005120187596341E-2</v>
      </c>
      <c r="Q142" s="2">
        <f t="shared" si="165"/>
        <v>1902.2580383123839</v>
      </c>
      <c r="R142" s="2">
        <f t="shared" si="166"/>
        <v>937.71367050312551</v>
      </c>
      <c r="S142" s="2">
        <f t="shared" si="167"/>
        <v>1040.3917093096372</v>
      </c>
      <c r="U142" s="436">
        <f t="shared" si="177"/>
        <v>47.166357394373534</v>
      </c>
      <c r="V142" s="436">
        <f t="shared" si="168"/>
        <v>6.3984687560489393</v>
      </c>
      <c r="W142" s="436">
        <f t="shared" si="169"/>
        <v>3.4935368390886494</v>
      </c>
      <c r="X142" s="436">
        <f t="shared" si="178"/>
        <v>57.058362989511124</v>
      </c>
      <c r="AB142" s="7">
        <f t="shared" si="179"/>
        <v>47.204801755015176</v>
      </c>
      <c r="AC142" s="7">
        <f t="shared" si="170"/>
        <v>6.4690117526168258</v>
      </c>
      <c r="AD142" s="7">
        <f t="shared" si="171"/>
        <v>3.4896672230613097</v>
      </c>
      <c r="AF142" s="2">
        <f t="shared" si="172"/>
        <v>1903.8085310385206</v>
      </c>
      <c r="AG142" s="2">
        <f t="shared" si="173"/>
        <v>948.05194591900954</v>
      </c>
      <c r="AH142" s="2">
        <f t="shared" si="174"/>
        <v>1039.2393194484482</v>
      </c>
      <c r="AJ142" s="434">
        <f>AHS_tables!CT199</f>
        <v>0.95869650512043281</v>
      </c>
      <c r="AK142" s="434">
        <f>AHS_tables!CT313</f>
        <v>1.0254626753510974</v>
      </c>
      <c r="AL142" s="434">
        <f>AHS_tables!$CV$460</f>
        <v>1.0224406752754611</v>
      </c>
    </row>
    <row r="143" spans="3:38" x14ac:dyDescent="0.2">
      <c r="C143" s="280">
        <f t="shared" si="159"/>
        <v>1997</v>
      </c>
      <c r="D143" s="257">
        <f t="shared" si="160"/>
        <v>24982.976981023257</v>
      </c>
      <c r="E143" s="257">
        <f t="shared" si="161"/>
        <v>6844.9040016022327</v>
      </c>
      <c r="F143" s="257">
        <f t="shared" si="162"/>
        <v>3469.1077149997695</v>
      </c>
      <c r="G143" s="257">
        <f t="shared" si="175"/>
        <v>35296.98869762526</v>
      </c>
      <c r="I143" s="435">
        <f>AHS_tables!EI520</f>
        <v>0.36305850401976225</v>
      </c>
      <c r="J143" s="435">
        <f>AHS_tables!DN578</f>
        <v>0.2665879063392303</v>
      </c>
      <c r="K143" s="435">
        <f>AHS_tables!DM643</f>
        <v>0.55177552543878228</v>
      </c>
      <c r="M143" s="258">
        <f t="shared" si="176"/>
        <v>0.70779343799104544</v>
      </c>
      <c r="N143" s="258">
        <f t="shared" si="163"/>
        <v>0.19392317175382018</v>
      </c>
      <c r="O143" s="258">
        <f t="shared" si="164"/>
        <v>9.8283390255134342E-2</v>
      </c>
      <c r="Q143" s="2">
        <f t="shared" si="165"/>
        <v>1918.7186757735301</v>
      </c>
      <c r="R143" s="2">
        <f t="shared" si="166"/>
        <v>945.00670482664657</v>
      </c>
      <c r="S143" s="2">
        <f t="shared" si="167"/>
        <v>1049.2612783306049</v>
      </c>
      <c r="U143" s="436">
        <f t="shared" si="177"/>
        <v>47.935304509909521</v>
      </c>
      <c r="V143" s="436">
        <f t="shared" si="168"/>
        <v>6.4684801754088532</v>
      </c>
      <c r="W143" s="436">
        <f t="shared" si="169"/>
        <v>3.6400003957072218</v>
      </c>
      <c r="X143" s="436">
        <f t="shared" si="178"/>
        <v>58.04378508102559</v>
      </c>
      <c r="AB143" s="7">
        <f t="shared" si="179"/>
        <v>48.01585959637525</v>
      </c>
      <c r="AC143" s="7">
        <f t="shared" si="170"/>
        <v>6.5362610266332357</v>
      </c>
      <c r="AD143" s="7">
        <f t="shared" si="171"/>
        <v>3.6375566010506248</v>
      </c>
      <c r="AF143" s="2">
        <f t="shared" si="172"/>
        <v>1921.9430747923864</v>
      </c>
      <c r="AG143" s="2">
        <f t="shared" si="173"/>
        <v>954.90908639525833</v>
      </c>
      <c r="AH143" s="2">
        <f t="shared" si="174"/>
        <v>1048.5568335980213</v>
      </c>
      <c r="AJ143" s="434">
        <f>AHS_tables!CT200</f>
        <v>0.96116493848686657</v>
      </c>
      <c r="AK143" s="434">
        <f>AHS_tables!CT314</f>
        <v>1.0254626753510974</v>
      </c>
      <c r="AL143" s="434">
        <f>AHS_tables!$CV$460</f>
        <v>1.0224406752754611</v>
      </c>
    </row>
    <row r="144" spans="3:38" x14ac:dyDescent="0.2">
      <c r="C144" s="280">
        <f t="shared" si="159"/>
        <v>1998</v>
      </c>
      <c r="D144" s="257">
        <f t="shared" si="160"/>
        <v>25319.400937472219</v>
      </c>
      <c r="E144" s="257">
        <f t="shared" si="161"/>
        <v>6958.9142150757007</v>
      </c>
      <c r="F144" s="257">
        <f t="shared" si="162"/>
        <v>3603.2963797401289</v>
      </c>
      <c r="G144" s="257">
        <f t="shared" si="175"/>
        <v>35881.611532288051</v>
      </c>
      <c r="I144" s="435">
        <f>AHS_tables!EI521</f>
        <v>0.36203368462064922</v>
      </c>
      <c r="J144" s="435">
        <f>AHS_tables!DN579</f>
        <v>0.27264131739000419</v>
      </c>
      <c r="K144" s="435">
        <f>AHS_tables!DM644</f>
        <v>0.55309234579055055</v>
      </c>
      <c r="M144" s="258">
        <f t="shared" si="176"/>
        <v>0.70563722910518023</v>
      </c>
      <c r="N144" s="258">
        <f t="shared" si="163"/>
        <v>0.19394096078471071</v>
      </c>
      <c r="O144" s="258">
        <f t="shared" si="164"/>
        <v>0.10042181011010903</v>
      </c>
      <c r="Q144" s="2">
        <f t="shared" si="165"/>
        <v>1936.7190133487595</v>
      </c>
      <c r="R144" s="2">
        <f t="shared" si="166"/>
        <v>950.15744044319172</v>
      </c>
      <c r="S144" s="2">
        <f t="shared" si="167"/>
        <v>1058.3860981201087</v>
      </c>
      <c r="U144" s="436">
        <f t="shared" si="177"/>
        <v>49.036565202202851</v>
      </c>
      <c r="V144" s="436">
        <f t="shared" si="168"/>
        <v>6.6120641188600704</v>
      </c>
      <c r="W144" s="436">
        <f t="shared" si="169"/>
        <v>3.8136787957234684</v>
      </c>
      <c r="X144" s="436">
        <f t="shared" si="178"/>
        <v>59.462308116786389</v>
      </c>
      <c r="AB144" s="7">
        <f t="shared" si="179"/>
        <v>49.157290362680342</v>
      </c>
      <c r="AC144" s="7">
        <f t="shared" si="170"/>
        <v>6.680929939489257</v>
      </c>
      <c r="AD144" s="7">
        <f t="shared" si="171"/>
        <v>3.8118348074588577</v>
      </c>
      <c r="AF144" s="2">
        <f t="shared" si="172"/>
        <v>1941.4871024822912</v>
      </c>
      <c r="AG144" s="2">
        <f t="shared" si="173"/>
        <v>960.05349872193835</v>
      </c>
      <c r="AH144" s="2">
        <f t="shared" si="174"/>
        <v>1057.8743477475946</v>
      </c>
      <c r="AJ144" s="434">
        <f>AHS_tables!CT201</f>
        <v>0.96363337185330034</v>
      </c>
      <c r="AK144" s="434">
        <f>AHS_tables!CT315</f>
        <v>1.0254626753510974</v>
      </c>
      <c r="AL144" s="434">
        <f>AHS_tables!$CV$460</f>
        <v>1.0224406752754611</v>
      </c>
    </row>
    <row r="145" spans="3:38" x14ac:dyDescent="0.2">
      <c r="C145" s="280">
        <f t="shared" si="159"/>
        <v>1999</v>
      </c>
      <c r="D145" s="257">
        <f t="shared" si="160"/>
        <v>25678.604168549009</v>
      </c>
      <c r="E145" s="257">
        <f t="shared" si="161"/>
        <v>7073.6668307879991</v>
      </c>
      <c r="F145" s="257">
        <f t="shared" si="162"/>
        <v>3738.3660270826249</v>
      </c>
      <c r="G145" s="257">
        <f t="shared" si="175"/>
        <v>36490.63702641963</v>
      </c>
      <c r="I145" s="435">
        <f>AHS_tables!EI522</f>
        <v>0.36100886522153613</v>
      </c>
      <c r="J145" s="435">
        <f>AHS_tables!DN580</f>
        <v>0.27869472844077803</v>
      </c>
      <c r="K145" s="435">
        <f>AHS_tables!DM645</f>
        <v>0.55440916614231872</v>
      </c>
      <c r="M145" s="258">
        <f t="shared" si="176"/>
        <v>0.70370391588278969</v>
      </c>
      <c r="N145" s="258">
        <f t="shared" si="163"/>
        <v>0.1938488173189902</v>
      </c>
      <c r="O145" s="258">
        <f t="shared" si="164"/>
        <v>0.10244726679822021</v>
      </c>
      <c r="Q145" s="2">
        <f t="shared" si="165"/>
        <v>1956.6254210691613</v>
      </c>
      <c r="R145" s="2">
        <f t="shared" si="166"/>
        <v>956.76150357645133</v>
      </c>
      <c r="S145" s="2">
        <f t="shared" si="167"/>
        <v>1067.5074886546749</v>
      </c>
      <c r="U145" s="436">
        <f t="shared" si="177"/>
        <v>50.243409693755531</v>
      </c>
      <c r="V145" s="436">
        <f t="shared" si="168"/>
        <v>6.7678121128235968</v>
      </c>
      <c r="W145" s="436">
        <f t="shared" si="169"/>
        <v>3.990733729242927</v>
      </c>
      <c r="X145" s="436">
        <f t="shared" si="178"/>
        <v>61.001955535822056</v>
      </c>
      <c r="AB145" s="7">
        <f t="shared" si="179"/>
        <v>50.405756241521466</v>
      </c>
      <c r="AC145" s="7">
        <f t="shared" si="170"/>
        <v>6.8378604650644892</v>
      </c>
      <c r="AD145" s="7">
        <f t="shared" si="171"/>
        <v>3.9895538008954241</v>
      </c>
      <c r="AF145" s="2">
        <f t="shared" si="172"/>
        <v>1962.9476707794779</v>
      </c>
      <c r="AG145" s="2">
        <f t="shared" si="173"/>
        <v>966.66419675052168</v>
      </c>
      <c r="AH145" s="2">
        <f t="shared" si="174"/>
        <v>1067.1918618971677</v>
      </c>
      <c r="AJ145" s="434">
        <f>AHS_tables!CT202</f>
        <v>0.9661018052197341</v>
      </c>
      <c r="AK145" s="434">
        <f>AHS_tables!CT316</f>
        <v>1.0254626753510974</v>
      </c>
      <c r="AL145" s="434">
        <f>AHS_tables!$CV$460</f>
        <v>1.0224406752754611</v>
      </c>
    </row>
    <row r="146" spans="3:38" x14ac:dyDescent="0.2">
      <c r="C146" s="280">
        <f t="shared" si="159"/>
        <v>2000</v>
      </c>
      <c r="D146" s="257">
        <f t="shared" si="160"/>
        <v>26153.39819849288</v>
      </c>
      <c r="E146" s="257">
        <f t="shared" si="161"/>
        <v>7128.6605223731558</v>
      </c>
      <c r="F146" s="257">
        <f t="shared" si="162"/>
        <v>3861.1033406536385</v>
      </c>
      <c r="G146" s="257">
        <f t="shared" si="175"/>
        <v>37143.162061519673</v>
      </c>
      <c r="I146" s="435">
        <f>AHS_tables!EI523</f>
        <v>0.36293890861645794</v>
      </c>
      <c r="J146" s="435">
        <f>AHS_tables!DN581</f>
        <v>0.27970536714221883</v>
      </c>
      <c r="K146" s="435">
        <f>AHS_tables!DM646</f>
        <v>0.55884900105924862</v>
      </c>
      <c r="M146" s="258">
        <f t="shared" si="176"/>
        <v>0.70412417109710235</v>
      </c>
      <c r="N146" s="258">
        <f t="shared" si="163"/>
        <v>0.1919239000321529</v>
      </c>
      <c r="O146" s="258">
        <f t="shared" si="164"/>
        <v>0.10395192887074477</v>
      </c>
      <c r="Q146" s="2">
        <f t="shared" si="165"/>
        <v>1976.8833195636496</v>
      </c>
      <c r="R146" s="2">
        <f t="shared" si="166"/>
        <v>965.99611365928581</v>
      </c>
      <c r="S146" s="2">
        <f t="shared" si="167"/>
        <v>1076.6400366333191</v>
      </c>
      <c r="U146" s="436">
        <f t="shared" si="177"/>
        <v>51.702216648506571</v>
      </c>
      <c r="V146" s="436">
        <f t="shared" si="168"/>
        <v>6.886258360208843</v>
      </c>
      <c r="W146" s="436">
        <f t="shared" si="169"/>
        <v>4.1570184421263638</v>
      </c>
      <c r="X146" s="436">
        <f t="shared" si="178"/>
        <v>62.745493450841778</v>
      </c>
      <c r="AB146" s="7">
        <f t="shared" si="179"/>
        <v>51.854987134837913</v>
      </c>
      <c r="AC146" s="7">
        <f t="shared" si="170"/>
        <v>6.9513511232001752</v>
      </c>
      <c r="AD146" s="7">
        <f t="shared" si="171"/>
        <v>4.1565139480990352</v>
      </c>
      <c r="AF146" s="2">
        <f t="shared" si="172"/>
        <v>1982.7246440895058</v>
      </c>
      <c r="AG146" s="2">
        <f t="shared" si="173"/>
        <v>975.12724885460625</v>
      </c>
      <c r="AH146" s="2">
        <f t="shared" si="174"/>
        <v>1076.509376046741</v>
      </c>
      <c r="AJ146" s="434">
        <f>AHS_tables!CT203</f>
        <v>0.96857023858616786</v>
      </c>
      <c r="AK146" s="434">
        <f>AHS_tables!CT317</f>
        <v>1.0246700511641058</v>
      </c>
      <c r="AL146" s="434">
        <f>AHS_tables!$CV$460</f>
        <v>1.0224406752754611</v>
      </c>
    </row>
    <row r="147" spans="3:38" x14ac:dyDescent="0.2">
      <c r="C147" s="280">
        <f t="shared" si="159"/>
        <v>2001</v>
      </c>
      <c r="D147" s="257">
        <f t="shared" si="160"/>
        <v>26627.792170217013</v>
      </c>
      <c r="E147" s="257">
        <f t="shared" si="161"/>
        <v>7182.1619274820032</v>
      </c>
      <c r="F147" s="257">
        <f t="shared" si="162"/>
        <v>3959.9003101083731</v>
      </c>
      <c r="G147" s="257">
        <f t="shared" si="175"/>
        <v>37769.85440780739</v>
      </c>
      <c r="I147" s="435">
        <f>AHS_tables!EI524</f>
        <v>0.36486895201137981</v>
      </c>
      <c r="J147" s="435">
        <f>AHS_tables!DN582</f>
        <v>0.28071600584365958</v>
      </c>
      <c r="K147" s="435">
        <f>AHS_tables!DM647</f>
        <v>0.56328883597617851</v>
      </c>
      <c r="M147" s="258">
        <f t="shared" si="176"/>
        <v>0.70500118646771359</v>
      </c>
      <c r="N147" s="258">
        <f t="shared" si="163"/>
        <v>0.1901559336166618</v>
      </c>
      <c r="O147" s="258">
        <f t="shared" si="164"/>
        <v>0.10484287991562456</v>
      </c>
      <c r="Q147" s="2">
        <f t="shared" si="165"/>
        <v>1998.4478715327286</v>
      </c>
      <c r="R147" s="2">
        <f t="shared" si="166"/>
        <v>974.62536971789086</v>
      </c>
      <c r="S147" s="2">
        <f t="shared" si="167"/>
        <v>1085.7694010384835</v>
      </c>
      <c r="U147" s="436">
        <f t="shared" si="177"/>
        <v>53.214254586186044</v>
      </c>
      <c r="V147" s="436">
        <f t="shared" si="168"/>
        <v>6.9999172239459071</v>
      </c>
      <c r="W147" s="436">
        <f t="shared" si="169"/>
        <v>4.2995385878784731</v>
      </c>
      <c r="X147" s="436">
        <f t="shared" si="178"/>
        <v>64.513710398010431</v>
      </c>
      <c r="AB147" s="7">
        <f t="shared" si="179"/>
        <v>53.358394542790229</v>
      </c>
      <c r="AC147" s="7">
        <f t="shared" si="170"/>
        <v>7.0596358265917178</v>
      </c>
      <c r="AD147" s="7">
        <f t="shared" si="171"/>
        <v>4.2997662392123948</v>
      </c>
      <c r="AF147" s="2">
        <f t="shared" si="172"/>
        <v>2003.8610111457608</v>
      </c>
      <c r="AG147" s="2">
        <f t="shared" si="173"/>
        <v>982.9402202112085</v>
      </c>
      <c r="AH147" s="2">
        <f t="shared" si="174"/>
        <v>1085.826890196314</v>
      </c>
      <c r="AJ147" s="434">
        <f>AHS_tables!CT204</f>
        <v>0.97103867195260163</v>
      </c>
      <c r="AK147" s="434">
        <f>AHS_tables!CT318</f>
        <v>1.0238774269771143</v>
      </c>
      <c r="AL147" s="434">
        <f>AHS_tables!$CV$460</f>
        <v>1.0224406752754611</v>
      </c>
    </row>
    <row r="148" spans="3:38" x14ac:dyDescent="0.2">
      <c r="C148" s="280">
        <f t="shared" si="159"/>
        <v>2002</v>
      </c>
      <c r="D148" s="257">
        <f t="shared" si="160"/>
        <v>26947.695945592975</v>
      </c>
      <c r="E148" s="257">
        <f t="shared" si="161"/>
        <v>7342.8455610732844</v>
      </c>
      <c r="F148" s="257">
        <f t="shared" si="162"/>
        <v>3885.5238399570458</v>
      </c>
      <c r="G148" s="257">
        <f t="shared" si="175"/>
        <v>38176.065346623305</v>
      </c>
      <c r="I148" s="435">
        <f>AHS_tables!EI525</f>
        <v>0.36557812228597675</v>
      </c>
      <c r="J148" s="435">
        <f>AHS_tables!DN583</f>
        <v>0.2839697310267606</v>
      </c>
      <c r="K148" s="435">
        <f>AHS_tables!DM648</f>
        <v>0.56587146552976519</v>
      </c>
      <c r="M148" s="258">
        <f t="shared" si="176"/>
        <v>0.70587934353419468</v>
      </c>
      <c r="N148" s="258">
        <f t="shared" si="163"/>
        <v>0.19234160184930538</v>
      </c>
      <c r="O148" s="258">
        <f t="shared" si="164"/>
        <v>0.10177905461649998</v>
      </c>
      <c r="Q148" s="2">
        <f t="shared" si="165"/>
        <v>2020.7231112366144</v>
      </c>
      <c r="R148" s="2">
        <f t="shared" si="166"/>
        <v>984.00576610761391</v>
      </c>
      <c r="S148" s="2">
        <f t="shared" si="167"/>
        <v>1085.6298157716456</v>
      </c>
      <c r="U148" s="436">
        <f t="shared" si="177"/>
        <v>54.453831991836935</v>
      </c>
      <c r="V148" s="436">
        <f t="shared" si="168"/>
        <v>7.2254023717338089</v>
      </c>
      <c r="W148" s="436">
        <f t="shared" si="169"/>
        <v>4.2182405305489041</v>
      </c>
      <c r="X148" s="436">
        <f t="shared" si="178"/>
        <v>65.897474894119654</v>
      </c>
      <c r="AB148" s="7">
        <f t="shared" si="179"/>
        <v>54.589668959580983</v>
      </c>
      <c r="AC148" s="7">
        <f t="shared" si="170"/>
        <v>7.2825854543957913</v>
      </c>
      <c r="AD148" s="7">
        <f t="shared" si="171"/>
        <v>4.2190201457203349</v>
      </c>
      <c r="AF148" s="2">
        <f t="shared" si="172"/>
        <v>2025.7638749448847</v>
      </c>
      <c r="AG148" s="2">
        <f t="shared" si="173"/>
        <v>991.79335774172478</v>
      </c>
      <c r="AH148" s="2">
        <f t="shared" si="174"/>
        <v>1085.8304618630202</v>
      </c>
      <c r="AJ148" s="434">
        <f>AHS_tables!CT205</f>
        <v>0.97350710531903539</v>
      </c>
      <c r="AK148" s="434">
        <f>AHS_tables!CT319</f>
        <v>1.0230848027901227</v>
      </c>
      <c r="AL148" s="434">
        <f>AHS_tables!$CV$460</f>
        <v>1.0224406752754611</v>
      </c>
    </row>
    <row r="149" spans="3:38" x14ac:dyDescent="0.2">
      <c r="C149" s="280">
        <f t="shared" si="159"/>
        <v>2003</v>
      </c>
      <c r="D149" s="257">
        <f t="shared" si="160"/>
        <v>27284.693912353203</v>
      </c>
      <c r="E149" s="257">
        <f t="shared" si="161"/>
        <v>7503.9453190112745</v>
      </c>
      <c r="F149" s="257">
        <f t="shared" si="162"/>
        <v>3799.8329111754651</v>
      </c>
      <c r="G149" s="257">
        <f t="shared" si="175"/>
        <v>38588.47214253994</v>
      </c>
      <c r="I149" s="435">
        <f>AHS_tables!EI526</f>
        <v>0.36628729256057369</v>
      </c>
      <c r="J149" s="435">
        <f>AHS_tables!DN584</f>
        <v>0.28722345620986156</v>
      </c>
      <c r="K149" s="435">
        <f>AHS_tables!DM649</f>
        <v>0.56845409508335198</v>
      </c>
      <c r="M149" s="258">
        <f t="shared" si="176"/>
        <v>0.70706852065994474</v>
      </c>
      <c r="N149" s="258">
        <f t="shared" si="163"/>
        <v>0.19446080402698618</v>
      </c>
      <c r="O149" s="258">
        <f t="shared" si="164"/>
        <v>9.8470675313069175E-2</v>
      </c>
      <c r="Q149" s="2">
        <f t="shared" si="165"/>
        <v>2043.0685968933853</v>
      </c>
      <c r="R149" s="2">
        <f t="shared" si="166"/>
        <v>991.8149092522699</v>
      </c>
      <c r="S149" s="2">
        <f t="shared" si="167"/>
        <v>1085.4902673079678</v>
      </c>
      <c r="U149" s="436">
        <f t="shared" si="177"/>
        <v>55.74450130817695</v>
      </c>
      <c r="V149" s="436">
        <f t="shared" si="168"/>
        <v>7.4425248456091628</v>
      </c>
      <c r="W149" s="436">
        <f t="shared" si="169"/>
        <v>4.1246816424774693</v>
      </c>
      <c r="X149" s="436">
        <f t="shared" si="178"/>
        <v>67.31170779626359</v>
      </c>
      <c r="AB149" s="7">
        <f t="shared" si="179"/>
        <v>55.872658106217067</v>
      </c>
      <c r="AC149" s="7">
        <f t="shared" si="170"/>
        <v>7.4967747869735453</v>
      </c>
      <c r="AD149" s="7">
        <f t="shared" si="171"/>
        <v>4.1259878966806589</v>
      </c>
      <c r="AF149" s="2">
        <f t="shared" si="172"/>
        <v>2047.7656185441247</v>
      </c>
      <c r="AG149" s="2">
        <f t="shared" si="173"/>
        <v>999.04443173119046</v>
      </c>
      <c r="AH149" s="2">
        <f t="shared" si="174"/>
        <v>1085.8340335297266</v>
      </c>
      <c r="AJ149" s="434">
        <f>AHS_tables!CT206</f>
        <v>0.97597553868546916</v>
      </c>
      <c r="AK149" s="434">
        <f>AHS_tables!CT320</f>
        <v>1.0222921786031309</v>
      </c>
      <c r="AL149" s="434">
        <f>AHS_tables!$CV$460</f>
        <v>1.0224406752754611</v>
      </c>
    </row>
    <row r="150" spans="3:38" x14ac:dyDescent="0.2">
      <c r="C150" s="280">
        <f t="shared" si="159"/>
        <v>2004</v>
      </c>
      <c r="D150" s="257">
        <f t="shared" si="160"/>
        <v>27869.161681269678</v>
      </c>
      <c r="E150" s="257">
        <f t="shared" si="161"/>
        <v>7546.4278798435962</v>
      </c>
      <c r="F150" s="257">
        <f t="shared" si="162"/>
        <v>3904.1003404662756</v>
      </c>
      <c r="G150" s="257">
        <f t="shared" si="175"/>
        <v>39319.68990157955</v>
      </c>
      <c r="I150" s="435">
        <f>AHS_tables!EI527</f>
        <v>0.3687752935436942</v>
      </c>
      <c r="J150" s="435">
        <f>AHS_tables!DN585</f>
        <v>0.28896721739093273</v>
      </c>
      <c r="K150" s="435">
        <f>AHS_tables!DM650</f>
        <v>0.56740267447796966</v>
      </c>
      <c r="M150" s="258">
        <f t="shared" si="176"/>
        <v>0.70878386251337444</v>
      </c>
      <c r="N150" s="258">
        <f t="shared" si="163"/>
        <v>0.19192490832793779</v>
      </c>
      <c r="O150" s="258">
        <f t="shared" si="164"/>
        <v>9.9291229158687752E-2</v>
      </c>
      <c r="Q150" s="2">
        <f t="shared" si="165"/>
        <v>2067.8275934529315</v>
      </c>
      <c r="R150" s="2">
        <f t="shared" si="166"/>
        <v>1001.2012442859852</v>
      </c>
      <c r="S150" s="2">
        <f t="shared" si="167"/>
        <v>1085.6383994207006</v>
      </c>
      <c r="U150" s="436">
        <f t="shared" si="177"/>
        <v>57.628621530930531</v>
      </c>
      <c r="V150" s="436">
        <f t="shared" si="168"/>
        <v>7.5554929832138571</v>
      </c>
      <c r="W150" s="436">
        <f t="shared" si="169"/>
        <v>4.2384412448016198</v>
      </c>
      <c r="X150" s="436">
        <f t="shared" si="178"/>
        <v>69.422555758946004</v>
      </c>
      <c r="AB150" s="7">
        <f t="shared" si="179"/>
        <v>57.740937459243426</v>
      </c>
      <c r="AC150" s="7">
        <f t="shared" si="170"/>
        <v>7.6063946527322424</v>
      </c>
      <c r="AD150" s="7">
        <f t="shared" si="171"/>
        <v>4.2392189641384785</v>
      </c>
      <c r="AF150" s="2">
        <f t="shared" si="172"/>
        <v>2071.8577085169372</v>
      </c>
      <c r="AG150" s="2">
        <f t="shared" si="173"/>
        <v>1007.9463785838088</v>
      </c>
      <c r="AH150" s="2">
        <f t="shared" si="174"/>
        <v>1085.8376051964328</v>
      </c>
      <c r="AJ150" s="434">
        <f>AHS_tables!CT207</f>
        <v>0.97844397205190292</v>
      </c>
      <c r="AK150" s="434">
        <f>AHS_tables!CT321</f>
        <v>1.0214995544161394</v>
      </c>
      <c r="AL150" s="434">
        <f>AHS_tables!$CV$460</f>
        <v>1.0224406752754611</v>
      </c>
    </row>
    <row r="151" spans="3:38" x14ac:dyDescent="0.2">
      <c r="C151" s="280">
        <f t="shared" si="159"/>
        <v>2005</v>
      </c>
      <c r="D151" s="257">
        <f t="shared" si="160"/>
        <v>28495.947654885684</v>
      </c>
      <c r="E151" s="257">
        <f t="shared" si="161"/>
        <v>7588.5359569615512</v>
      </c>
      <c r="F151" s="257">
        <f t="shared" si="162"/>
        <v>4006.0274098351492</v>
      </c>
      <c r="G151" s="257">
        <f t="shared" si="175"/>
        <v>40090.511021682389</v>
      </c>
      <c r="I151" s="435">
        <f>AHS_tables!EI528</f>
        <v>0.37126329452681478</v>
      </c>
      <c r="J151" s="435">
        <f>AHS_tables!DN586</f>
        <v>0.2907109785720039</v>
      </c>
      <c r="K151" s="435">
        <f>AHS_tables!DM651</f>
        <v>0.56635125387258722</v>
      </c>
      <c r="M151" s="258">
        <f t="shared" si="176"/>
        <v>0.71079033239247191</v>
      </c>
      <c r="N151" s="258">
        <f t="shared" si="163"/>
        <v>0.18928508925359913</v>
      </c>
      <c r="O151" s="258">
        <f t="shared" si="164"/>
        <v>9.9924578353928831E-2</v>
      </c>
      <c r="Q151" s="2">
        <f t="shared" si="165"/>
        <v>2094.1217414601547</v>
      </c>
      <c r="R151" s="2">
        <f t="shared" si="166"/>
        <v>1010.0840347620356</v>
      </c>
      <c r="S151" s="2">
        <f t="shared" si="167"/>
        <v>1085.7865709939324</v>
      </c>
      <c r="U151" s="436">
        <f t="shared" si="177"/>
        <v>59.673983527606616</v>
      </c>
      <c r="V151" s="436">
        <f t="shared" si="168"/>
        <v>7.6650590173445083</v>
      </c>
      <c r="W151" s="436">
        <f t="shared" si="169"/>
        <v>4.3496907646326113</v>
      </c>
      <c r="X151" s="436">
        <f t="shared" si="178"/>
        <v>71.688733309583739</v>
      </c>
      <c r="AB151" s="7">
        <f t="shared" si="179"/>
        <v>59.771993957365972</v>
      </c>
      <c r="AC151" s="7">
        <f t="shared" si="170"/>
        <v>7.7124517522000557</v>
      </c>
      <c r="AD151" s="7">
        <f t="shared" si="171"/>
        <v>4.3499095172413922</v>
      </c>
      <c r="AF151" s="2">
        <f t="shared" si="172"/>
        <v>2097.5611929550255</v>
      </c>
      <c r="AG151" s="2">
        <f t="shared" si="173"/>
        <v>1016.3293415147921</v>
      </c>
      <c r="AH151" s="2">
        <f t="shared" si="174"/>
        <v>1085.8411768631393</v>
      </c>
      <c r="AJ151" s="434">
        <f>AHS_tables!CT208</f>
        <v>0.98091240541833669</v>
      </c>
      <c r="AK151" s="434">
        <f>AHS_tables!CT322</f>
        <v>1.0207069302291478</v>
      </c>
      <c r="AL151" s="434">
        <f>AHS_tables!$CV$460</f>
        <v>1.0224406752754611</v>
      </c>
    </row>
    <row r="152" spans="3:38" x14ac:dyDescent="0.2">
      <c r="C152" s="280">
        <f t="shared" si="159"/>
        <v>2006</v>
      </c>
      <c r="D152" s="257">
        <f t="shared" si="160"/>
        <v>28964.052093764512</v>
      </c>
      <c r="E152" s="257">
        <f t="shared" si="161"/>
        <v>7631.4347756849984</v>
      </c>
      <c r="F152" s="257">
        <f t="shared" si="162"/>
        <v>4013.2026693478224</v>
      </c>
      <c r="G152" s="257">
        <f t="shared" si="175"/>
        <v>40608.689538797335</v>
      </c>
      <c r="I152" s="435">
        <f>AHS_tables!EI529</f>
        <v>0.37363560802934803</v>
      </c>
      <c r="J152" s="435">
        <f>AHS_tables!DN587</f>
        <v>0.2915213515132779</v>
      </c>
      <c r="K152" s="435">
        <f>AHS_tables!DM652</f>
        <v>0.56959666236016249</v>
      </c>
      <c r="M152" s="258">
        <f t="shared" si="176"/>
        <v>0.71324764287437559</v>
      </c>
      <c r="N152" s="258">
        <f t="shared" si="163"/>
        <v>0.18792615231757145</v>
      </c>
      <c r="O152" s="258">
        <f t="shared" si="164"/>
        <v>9.8826204808052945E-2</v>
      </c>
      <c r="Q152" s="2">
        <f t="shared" si="165"/>
        <v>2119.3394414149398</v>
      </c>
      <c r="R152" s="2">
        <f t="shared" si="166"/>
        <v>1021.7793360719519</v>
      </c>
      <c r="S152" s="2">
        <f t="shared" si="167"/>
        <v>1092.0227054817035</v>
      </c>
      <c r="U152" s="436">
        <f t="shared" si="177"/>
        <v>61.384657985512099</v>
      </c>
      <c r="V152" s="436">
        <f t="shared" si="168"/>
        <v>7.797642358375823</v>
      </c>
      <c r="W152" s="436">
        <f t="shared" si="169"/>
        <v>4.382508436627603</v>
      </c>
      <c r="X152" s="436">
        <f t="shared" si="178"/>
        <v>73.56480878051552</v>
      </c>
      <c r="AB152" s="7">
        <f t="shared" si="179"/>
        <v>61.475078742544774</v>
      </c>
      <c r="AC152" s="7">
        <f t="shared" si="170"/>
        <v>7.8385936465504535</v>
      </c>
      <c r="AD152" s="7">
        <f t="shared" si="171"/>
        <v>4.383336884750535</v>
      </c>
      <c r="AF152" s="2">
        <f t="shared" si="172"/>
        <v>2122.4612683174728</v>
      </c>
      <c r="AG152" s="2">
        <f t="shared" si="173"/>
        <v>1027.145468310297</v>
      </c>
      <c r="AH152" s="2">
        <f t="shared" si="174"/>
        <v>1092.2291361534608</v>
      </c>
      <c r="AJ152" s="434">
        <f>AHS_tables!CT209</f>
        <v>0.98338083878477045</v>
      </c>
      <c r="AK152" s="434">
        <f>AHS_tables!CT323</f>
        <v>1.0199143060421563</v>
      </c>
      <c r="AL152" s="434">
        <f>AHS_tables!$CV$460</f>
        <v>1.0224406752754611</v>
      </c>
    </row>
    <row r="153" spans="3:38" x14ac:dyDescent="0.2">
      <c r="C153" s="280">
        <f t="shared" si="159"/>
        <v>2007</v>
      </c>
      <c r="D153" s="257">
        <f t="shared" si="160"/>
        <v>29362.545796420432</v>
      </c>
      <c r="E153" s="257">
        <f t="shared" si="161"/>
        <v>7673.3228556239264</v>
      </c>
      <c r="F153" s="257">
        <f t="shared" si="162"/>
        <v>4016.3007332821376</v>
      </c>
      <c r="G153" s="257">
        <f t="shared" si="175"/>
        <v>41052.169385326495</v>
      </c>
      <c r="I153" s="435">
        <f>AHS_tables!EI530</f>
        <v>0.37600792153188123</v>
      </c>
      <c r="J153" s="435">
        <f>AHS_tables!DN588</f>
        <v>0.29233172445455191</v>
      </c>
      <c r="K153" s="435">
        <f>AHS_tables!DM653</f>
        <v>0.57284207084773786</v>
      </c>
      <c r="M153" s="258">
        <f t="shared" si="176"/>
        <v>0.71524955285105229</v>
      </c>
      <c r="N153" s="258">
        <f t="shared" si="163"/>
        <v>0.18691637909802264</v>
      </c>
      <c r="O153" s="258">
        <f t="shared" si="164"/>
        <v>9.7834068050925135E-2</v>
      </c>
      <c r="Q153" s="2">
        <f t="shared" si="165"/>
        <v>2135.3781890802684</v>
      </c>
      <c r="R153" s="2">
        <f t="shared" si="166"/>
        <v>1031.2659731194565</v>
      </c>
      <c r="S153" s="2">
        <f t="shared" si="167"/>
        <v>1098.2571100888076</v>
      </c>
      <c r="U153" s="436">
        <f t="shared" si="177"/>
        <v>62.70013986954671</v>
      </c>
      <c r="V153" s="436">
        <f t="shared" si="168"/>
        <v>7.9132367617647743</v>
      </c>
      <c r="W153" s="436">
        <f t="shared" si="169"/>
        <v>4.4109308365819988</v>
      </c>
      <c r="X153" s="436">
        <f t="shared" si="178"/>
        <v>75.024307467893479</v>
      </c>
      <c r="AB153" s="7">
        <f t="shared" si="179"/>
        <v>62.784283367265509</v>
      </c>
      <c r="AC153" s="7">
        <f t="shared" si="170"/>
        <v>7.9472488201853055</v>
      </c>
      <c r="AD153" s="7">
        <f t="shared" si="171"/>
        <v>4.4123766460271563</v>
      </c>
      <c r="AF153" s="2">
        <f t="shared" si="172"/>
        <v>2138.2438635453573</v>
      </c>
      <c r="AG153" s="2">
        <f t="shared" si="173"/>
        <v>1035.6984802692896</v>
      </c>
      <c r="AH153" s="2">
        <f t="shared" si="174"/>
        <v>1098.6170954437825</v>
      </c>
      <c r="AJ153" s="434">
        <f>AHS_tables!CT210</f>
        <v>0.98584927215120421</v>
      </c>
      <c r="AK153" s="434">
        <f>AHS_tables!CT324</f>
        <v>1.0191216818551647</v>
      </c>
      <c r="AL153" s="434">
        <f>AHS_tables!$CV$460</f>
        <v>1.0224406752754611</v>
      </c>
    </row>
    <row r="154" spans="3:38" x14ac:dyDescent="0.2">
      <c r="C154" s="280">
        <f t="shared" si="159"/>
        <v>2008</v>
      </c>
      <c r="D154" s="257">
        <f t="shared" si="160"/>
        <v>29765.13632318806</v>
      </c>
      <c r="E154" s="257">
        <f t="shared" si="161"/>
        <v>7698.1625693600863</v>
      </c>
      <c r="F154" s="257">
        <f t="shared" si="162"/>
        <v>3954.1837650724719</v>
      </c>
      <c r="G154" s="257">
        <f t="shared" si="175"/>
        <v>41417.482657620618</v>
      </c>
      <c r="I154" s="435">
        <f>AHS_tables!EI531</f>
        <v>0.37774517414994202</v>
      </c>
      <c r="J154" s="435">
        <f>AHS_tables!DN589</f>
        <v>0.29409463711122652</v>
      </c>
      <c r="K154" s="435">
        <f>AHS_tables!DM654</f>
        <v>0.56935417105190589</v>
      </c>
      <c r="M154" s="258">
        <f t="shared" si="176"/>
        <v>0.71866116464013097</v>
      </c>
      <c r="N154" s="258">
        <f t="shared" si="163"/>
        <v>0.18586746647538371</v>
      </c>
      <c r="O154" s="258">
        <f t="shared" si="164"/>
        <v>9.5471368884485333E-2</v>
      </c>
      <c r="Q154" s="2">
        <f t="shared" si="165"/>
        <v>2147.5547033851649</v>
      </c>
      <c r="R154" s="2">
        <f t="shared" si="166"/>
        <v>1035.5654908497111</v>
      </c>
      <c r="S154" s="2">
        <f t="shared" si="167"/>
        <v>1104.3080426015508</v>
      </c>
      <c r="U154" s="436">
        <f t="shared" si="177"/>
        <v>63.922258507763132</v>
      </c>
      <c r="V154" s="436">
        <f t="shared" si="168"/>
        <v>7.9719514997802507</v>
      </c>
      <c r="W154" s="436">
        <f t="shared" si="169"/>
        <v>4.3666369336940116</v>
      </c>
      <c r="X154" s="436">
        <f t="shared" si="178"/>
        <v>76.260846941237389</v>
      </c>
      <c r="AB154" s="7">
        <f t="shared" si="179"/>
        <v>64.016485515851514</v>
      </c>
      <c r="AC154" s="7">
        <f t="shared" si="170"/>
        <v>8.0008048444159492</v>
      </c>
      <c r="AD154" s="7">
        <f t="shared" si="171"/>
        <v>4.3693930477526122</v>
      </c>
      <c r="AF154" s="2">
        <f t="shared" si="172"/>
        <v>2150.7203871255406</v>
      </c>
      <c r="AG154" s="2">
        <f t="shared" si="173"/>
        <v>1039.3135728596362</v>
      </c>
      <c r="AH154" s="2">
        <f t="shared" si="174"/>
        <v>1105.0050547341041</v>
      </c>
      <c r="AJ154" s="434">
        <f>AHS_tables!CT211</f>
        <v>0.98831770551763798</v>
      </c>
      <c r="AK154" s="434">
        <f>AHS_tables!CT325</f>
        <v>1.0183290576681732</v>
      </c>
      <c r="AL154" s="434">
        <f>AHS_tables!$CV$460</f>
        <v>1.0224406752754611</v>
      </c>
    </row>
    <row r="155" spans="3:38" x14ac:dyDescent="0.2">
      <c r="C155" s="280">
        <f t="shared" si="159"/>
        <v>2009</v>
      </c>
      <c r="D155" s="257">
        <f t="shared" si="160"/>
        <v>30061.574517097004</v>
      </c>
      <c r="E155" s="257">
        <f t="shared" si="161"/>
        <v>7721.3096421616974</v>
      </c>
      <c r="F155" s="257">
        <f t="shared" si="162"/>
        <v>3888.1917237214834</v>
      </c>
      <c r="G155" s="257">
        <f t="shared" si="175"/>
        <v>41671.075882980178</v>
      </c>
      <c r="I155" s="435">
        <f>AHS_tables!EI532</f>
        <v>0.37948242676800287</v>
      </c>
      <c r="J155" s="435">
        <f>AHS_tables!DN590</f>
        <v>0.29585754976790107</v>
      </c>
      <c r="K155" s="435">
        <f>AHS_tables!DM655</f>
        <v>0.56586627125607392</v>
      </c>
      <c r="M155" s="258">
        <f t="shared" si="176"/>
        <v>0.72140144884944346</v>
      </c>
      <c r="N155" s="258">
        <f t="shared" si="163"/>
        <v>0.18529182361032659</v>
      </c>
      <c r="O155" s="258">
        <f t="shared" si="164"/>
        <v>9.3306727540230061E-2</v>
      </c>
      <c r="Q155" s="2">
        <f t="shared" si="165"/>
        <v>2157.7521285281759</v>
      </c>
      <c r="R155" s="2">
        <f t="shared" si="166"/>
        <v>1038.1906237801591</v>
      </c>
      <c r="S155" s="2">
        <f t="shared" si="167"/>
        <v>1110.3553068766744</v>
      </c>
      <c r="U155" s="436">
        <f t="shared" si="177"/>
        <v>64.865426401174432</v>
      </c>
      <c r="V155" s="436">
        <f t="shared" si="168"/>
        <v>8.0161912737956094</v>
      </c>
      <c r="W155" s="436">
        <f t="shared" si="169"/>
        <v>4.3172743145881132</v>
      </c>
      <c r="X155" s="436">
        <f t="shared" si="178"/>
        <v>77.198891989558163</v>
      </c>
      <c r="AB155" s="7">
        <f t="shared" si="179"/>
        <v>64.969673436940553</v>
      </c>
      <c r="AC155" s="7">
        <f t="shared" si="170"/>
        <v>8.0396773348889621</v>
      </c>
      <c r="AD155" s="7">
        <f t="shared" si="171"/>
        <v>4.3213091189316488</v>
      </c>
      <c r="AF155" s="2">
        <f t="shared" si="172"/>
        <v>2161.2199121503158</v>
      </c>
      <c r="AG155" s="2">
        <f t="shared" si="173"/>
        <v>1041.2323436673021</v>
      </c>
      <c r="AH155" s="2">
        <f t="shared" si="174"/>
        <v>1111.3930140244263</v>
      </c>
      <c r="AJ155" s="434">
        <f>AHS_tables!CT212</f>
        <v>0.99078613888407174</v>
      </c>
      <c r="AK155" s="434">
        <f>AHS_tables!CT326</f>
        <v>1.0175364334811814</v>
      </c>
      <c r="AL155" s="434">
        <f>AHS_tables!$CV$460</f>
        <v>1.0224406752754611</v>
      </c>
    </row>
    <row r="156" spans="3:38" x14ac:dyDescent="0.2">
      <c r="C156" s="280">
        <f t="shared" si="159"/>
        <v>2010</v>
      </c>
      <c r="D156" s="257">
        <f t="shared" si="160"/>
        <v>30339.443127939852</v>
      </c>
      <c r="E156" s="257">
        <f t="shared" si="161"/>
        <v>7855.9562779680455</v>
      </c>
      <c r="F156" s="257">
        <f t="shared" si="162"/>
        <v>3917.4649791647944</v>
      </c>
      <c r="G156" s="257">
        <f t="shared" si="175"/>
        <v>42112.864385072695</v>
      </c>
      <c r="I156" s="435">
        <f>AHS_tables!EI533</f>
        <v>0.38017725827203425</v>
      </c>
      <c r="J156" s="435">
        <f>AHS_tables!DN591</f>
        <v>0.2965077245784804</v>
      </c>
      <c r="K156" s="435">
        <f>AHS_tables!DM656</f>
        <v>0.56586627125607392</v>
      </c>
      <c r="M156" s="258">
        <f t="shared" si="176"/>
        <v>0.72043171536662221</v>
      </c>
      <c r="N156" s="258">
        <f t="shared" si="163"/>
        <v>0.18654528474089413</v>
      </c>
      <c r="O156" s="258">
        <f t="shared" si="164"/>
        <v>9.302299989248361E-2</v>
      </c>
      <c r="Q156" s="2">
        <f t="shared" si="165"/>
        <v>2165.8823944865603</v>
      </c>
      <c r="R156" s="2">
        <f t="shared" si="166"/>
        <v>1042.1998572009347</v>
      </c>
      <c r="S156" s="2">
        <f t="shared" si="167"/>
        <v>1128.0911083132476</v>
      </c>
      <c r="U156" s="436">
        <f t="shared" si="177"/>
        <v>65.711665729331187</v>
      </c>
      <c r="V156" s="436">
        <f t="shared" si="168"/>
        <v>8.1874765110750829</v>
      </c>
      <c r="W156" s="436">
        <f t="shared" si="169"/>
        <v>4.419257410124346</v>
      </c>
      <c r="X156" s="436">
        <f t="shared" si="178"/>
        <v>78.318399650530608</v>
      </c>
      <c r="AB156" s="7">
        <f t="shared" si="179"/>
        <v>65.827544205697151</v>
      </c>
      <c r="AC156" s="7">
        <f t="shared" si="170"/>
        <v>8.2031572743260011</v>
      </c>
      <c r="AD156" s="7">
        <f t="shared" si="171"/>
        <v>4.423387525028863</v>
      </c>
      <c r="AF156" s="2">
        <f t="shared" si="172"/>
        <v>2169.7017947266145</v>
      </c>
      <c r="AG156" s="2">
        <f t="shared" si="173"/>
        <v>1044.195892145133</v>
      </c>
      <c r="AH156" s="2">
        <f t="shared" si="174"/>
        <v>1129.1453908471012</v>
      </c>
      <c r="AJ156" s="434">
        <f>AHS_tables!CT213</f>
        <v>0.99325457225050551</v>
      </c>
      <c r="AK156" s="434">
        <f>AHS_tables!CT327</f>
        <v>1.0167438092941898</v>
      </c>
      <c r="AL156" s="434">
        <f>AHS_tables!$CV$460</f>
        <v>1.0224406752754611</v>
      </c>
    </row>
    <row r="157" spans="3:38" s="280" customFormat="1" x14ac:dyDescent="0.2">
      <c r="C157" s="280">
        <f t="shared" si="159"/>
        <v>2011</v>
      </c>
      <c r="D157" s="257">
        <f t="shared" si="160"/>
        <v>30607.527298154608</v>
      </c>
      <c r="E157" s="257">
        <f t="shared" si="161"/>
        <v>7981.9899236864285</v>
      </c>
      <c r="F157" s="257">
        <f t="shared" si="162"/>
        <v>3946.1044318693366</v>
      </c>
      <c r="G157" s="257">
        <f>SUM(D157:F157)</f>
        <v>42535.621653710376</v>
      </c>
      <c r="I157" s="435">
        <f>AHS_tables!EI534</f>
        <v>0.38087208977606563</v>
      </c>
      <c r="J157" s="435">
        <f>AHS_tables!DN592</f>
        <v>0.29715789938905973</v>
      </c>
      <c r="K157" s="435">
        <f>AHS_tables!DM657</f>
        <v>0.56586627125607392</v>
      </c>
      <c r="M157" s="258">
        <f>D157/$G157</f>
        <v>0.71957399723308657</v>
      </c>
      <c r="N157" s="258">
        <f>E157/$G157</f>
        <v>0.18765424398094252</v>
      </c>
      <c r="O157" s="258">
        <f>F157/$G157</f>
        <v>9.2771758785970826E-2</v>
      </c>
      <c r="Q157" s="282">
        <f t="shared" si="165"/>
        <v>2174.4386903085092</v>
      </c>
      <c r="R157" s="282">
        <f t="shared" si="166"/>
        <v>1047.7311646762582</v>
      </c>
      <c r="S157" s="282">
        <f t="shared" si="167"/>
        <v>1145.826909749821</v>
      </c>
      <c r="U157" s="436">
        <f>D157*Q157*0.000001</f>
        <v>66.554191571781246</v>
      </c>
      <c r="V157" s="436">
        <f>E157*R157*0.000001</f>
        <v>8.3629795991781393</v>
      </c>
      <c r="W157" s="436">
        <f>F157*S157*0.000001</f>
        <v>4.5215526467189147</v>
      </c>
      <c r="X157" s="436">
        <f>SUM(U157:W157)</f>
        <v>79.438723817678309</v>
      </c>
      <c r="Z157" s="263"/>
      <c r="AB157" s="7">
        <f>D157*AF157*0.000001</f>
        <v>66.692777019318299</v>
      </c>
      <c r="AC157" s="7">
        <f>E157*AG157*0.000001</f>
        <v>8.3700127362365091</v>
      </c>
      <c r="AD157" s="7">
        <f>F157*AH157*0.000001</f>
        <v>4.5257783639027531</v>
      </c>
      <c r="AF157" s="282">
        <f t="shared" si="172"/>
        <v>2178.9665127028852</v>
      </c>
      <c r="AG157" s="282">
        <f t="shared" si="173"/>
        <v>1048.6122904513609</v>
      </c>
      <c r="AH157" s="282">
        <f t="shared" si="174"/>
        <v>1146.8977676697764</v>
      </c>
      <c r="AJ157" s="434">
        <f>AHS_tables!CT214</f>
        <v>0.99572300561693927</v>
      </c>
      <c r="AK157" s="434">
        <f>AHS_tables!CT328</f>
        <v>1.0159511851071983</v>
      </c>
      <c r="AL157" s="434">
        <f>AHS_tables!$CV$460</f>
        <v>1.0224406752754611</v>
      </c>
    </row>
    <row r="158" spans="3:38" s="341" customFormat="1" x14ac:dyDescent="0.2">
      <c r="C158" s="341">
        <v>2012</v>
      </c>
      <c r="D158" s="257">
        <f t="shared" ref="D158:F158" si="180">D37*I158</f>
        <v>30713.561567753532</v>
      </c>
      <c r="E158" s="257">
        <f t="shared" si="180"/>
        <v>8059.0647980937511</v>
      </c>
      <c r="F158" s="257">
        <f t="shared" si="180"/>
        <v>3957.8527653069314</v>
      </c>
      <c r="G158" s="257">
        <f t="shared" ref="G158:G164" si="181">SUM(D158:F158)</f>
        <v>42730.479131154214</v>
      </c>
      <c r="I158" s="435">
        <f>AHS_tables!EI535</f>
        <v>0.38001645257638478</v>
      </c>
      <c r="J158" s="435">
        <f>AHS_tables!DN593</f>
        <v>0.29780807419963906</v>
      </c>
      <c r="K158" s="435">
        <f>AHS_tables!DM658</f>
        <v>0.56528135777088606</v>
      </c>
      <c r="M158" s="258">
        <f t="shared" ref="M158:M159" si="182">D158/$G158</f>
        <v>0.71877409737165077</v>
      </c>
      <c r="N158" s="258">
        <f t="shared" ref="N158:N159" si="183">E158/$G158</f>
        <v>0.18860225679561818</v>
      </c>
      <c r="O158" s="258">
        <f t="shared" ref="O158:O159" si="184">F158/$G158</f>
        <v>9.2623645832731014E-2</v>
      </c>
      <c r="Q158" s="344">
        <f t="shared" si="165"/>
        <v>2185.786704078097</v>
      </c>
      <c r="R158" s="344">
        <f t="shared" si="166"/>
        <v>1048.0871666331843</v>
      </c>
      <c r="S158" s="344">
        <f t="shared" si="167"/>
        <v>1163.7747025771791</v>
      </c>
      <c r="U158" s="436">
        <f t="shared" ref="U158:U159" si="185">D158*Q158*0.000001</f>
        <v>67.1332945096797</v>
      </c>
      <c r="V158" s="436">
        <f t="shared" ref="V158:V159" si="186">E158*R158*0.000001</f>
        <v>8.4466023899473157</v>
      </c>
      <c r="W158" s="436">
        <f t="shared" ref="W158:W159" si="187">F158*S158*0.000001</f>
        <v>4.6060489247893397</v>
      </c>
      <c r="X158" s="436">
        <f t="shared" ref="X158:X159" si="188">SUM(U158:W158)</f>
        <v>80.185945824416351</v>
      </c>
      <c r="Z158" s="350"/>
      <c r="AB158" s="7">
        <f t="shared" ref="AB158:AB164" si="189">D158*AF158*0.000001</f>
        <v>67.315003561974137</v>
      </c>
      <c r="AC158" s="7">
        <f t="shared" ref="AC158:AC159" si="190">E158*AG158*0.000001</f>
        <v>8.444241229907778</v>
      </c>
      <c r="AD158" s="7">
        <f t="shared" ref="AD158:AD159" si="191">F158*AH158*0.000001</f>
        <v>4.609513794994565</v>
      </c>
      <c r="AF158" s="344">
        <f t="shared" si="172"/>
        <v>2191.702952244028</v>
      </c>
      <c r="AG158" s="344">
        <f t="shared" si="173"/>
        <v>1047.7941847427676</v>
      </c>
      <c r="AH158" s="344">
        <f t="shared" si="174"/>
        <v>1164.6501444924513</v>
      </c>
      <c r="AJ158" s="434">
        <f>AHS_tables!CT215</f>
        <v>0.99819143898337304</v>
      </c>
      <c r="AK158" s="434">
        <f>AHS_tables!CT329</f>
        <v>1.0151585609202067</v>
      </c>
      <c r="AL158" s="434">
        <f>AHS_tables!$CV$460</f>
        <v>1.0224406752754611</v>
      </c>
    </row>
    <row r="159" spans="3:38" s="341" customFormat="1" x14ac:dyDescent="0.2">
      <c r="C159" s="341">
        <v>2013</v>
      </c>
      <c r="D159" s="257">
        <f t="shared" ref="D159:F164" si="192">D38*I159</f>
        <v>30837.717358744245</v>
      </c>
      <c r="E159" s="257">
        <f t="shared" si="192"/>
        <v>8140.6684245261995</v>
      </c>
      <c r="F159" s="257">
        <f t="shared" si="192"/>
        <v>3970.2743566792401</v>
      </c>
      <c r="G159" s="257">
        <f t="shared" si="181"/>
        <v>42948.660139949687</v>
      </c>
      <c r="I159" s="435">
        <f>AHS_tables!EI536</f>
        <v>0.37916081537670393</v>
      </c>
      <c r="J159" s="435">
        <f>AHS_tables!DN594</f>
        <v>0.29845824901021839</v>
      </c>
      <c r="K159" s="435">
        <f>AHS_tables!DM659</f>
        <v>0.56469644428569821</v>
      </c>
      <c r="M159" s="258">
        <f t="shared" si="182"/>
        <v>0.7180134900194437</v>
      </c>
      <c r="N159" s="258">
        <f t="shared" si="183"/>
        <v>0.18954417665183387</v>
      </c>
      <c r="O159" s="258">
        <f t="shared" si="184"/>
        <v>9.2442333328722356E-2</v>
      </c>
      <c r="Q159" s="344">
        <f t="shared" si="165"/>
        <v>2199.0403437049586</v>
      </c>
      <c r="R159" s="344">
        <f t="shared" si="166"/>
        <v>1048.4821327219013</v>
      </c>
      <c r="S159" s="344">
        <f t="shared" si="167"/>
        <v>1181.7290364716425</v>
      </c>
      <c r="U159" s="436">
        <f t="shared" si="185"/>
        <v>67.813384579649309</v>
      </c>
      <c r="V159" s="436">
        <f t="shared" si="186"/>
        <v>8.53534539152907</v>
      </c>
      <c r="W159" s="436">
        <f t="shared" si="187"/>
        <v>4.6917884900466289</v>
      </c>
      <c r="X159" s="436">
        <f t="shared" si="188"/>
        <v>81.04051846122502</v>
      </c>
      <c r="Z159" s="350"/>
      <c r="AB159" s="7">
        <f t="shared" si="189"/>
        <v>68.040482109135255</v>
      </c>
      <c r="AC159" s="7">
        <f t="shared" si="190"/>
        <v>8.5230851078277485</v>
      </c>
      <c r="AD159" s="7">
        <f t="shared" si="191"/>
        <v>4.6944624096503249</v>
      </c>
      <c r="AF159" s="344">
        <f t="shared" si="172"/>
        <v>2206.4046218985764</v>
      </c>
      <c r="AG159" s="344">
        <f t="shared" si="173"/>
        <v>1046.9760790341743</v>
      </c>
      <c r="AH159" s="344">
        <f t="shared" si="174"/>
        <v>1182.4025213151265</v>
      </c>
      <c r="AJ159" s="434">
        <f>AHS_tables!CT216</f>
        <v>1.0006598723498068</v>
      </c>
      <c r="AK159" s="434">
        <f>AHS_tables!CT330</f>
        <v>1.0143659367332152</v>
      </c>
      <c r="AL159" s="434">
        <f>AHS_tables!$CV$460</f>
        <v>1.0224406752754611</v>
      </c>
    </row>
    <row r="160" spans="3:38" s="341" customFormat="1" x14ac:dyDescent="0.2">
      <c r="C160" s="341">
        <v>2014</v>
      </c>
      <c r="D160" s="257">
        <f t="shared" si="192"/>
        <v>31049.117789782133</v>
      </c>
      <c r="E160" s="257">
        <f t="shared" si="192"/>
        <v>8295.1449027604904</v>
      </c>
      <c r="F160" s="257">
        <f t="shared" si="192"/>
        <v>3955.2734940139826</v>
      </c>
      <c r="G160" s="257">
        <f t="shared" si="181"/>
        <v>43299.536186556608</v>
      </c>
      <c r="I160" s="435">
        <f>AHS_tables!EI537</f>
        <v>0.37838963366170064</v>
      </c>
      <c r="J160" s="435">
        <f>AHS_tables!DN595</f>
        <v>0.3017251943013346</v>
      </c>
      <c r="K160" s="435">
        <f>AHS_tables!DM660</f>
        <v>0.56698319648814821</v>
      </c>
      <c r="M160" s="258">
        <f t="shared" ref="M160:M164" si="193">D160/$G160</f>
        <v>0.71707737597942411</v>
      </c>
      <c r="N160" s="258">
        <f t="shared" ref="N160:N164" si="194">E160/$G160</f>
        <v>0.19157583737203909</v>
      </c>
      <c r="O160" s="258">
        <f t="shared" ref="O160:O164" si="195">F160/$G160</f>
        <v>9.1346786648536737E-2</v>
      </c>
      <c r="Q160" s="344">
        <f t="shared" ref="Q160:Q164" si="196">AF39*AF160</f>
        <v>2212.9662559608009</v>
      </c>
      <c r="R160" s="344">
        <f t="shared" ref="R160:R164" si="197">AG39*AG160</f>
        <v>1047.5732738964521</v>
      </c>
      <c r="S160" s="344">
        <f t="shared" ref="S160:S164" si="198">AH39*AH160</f>
        <v>1198.9097959903097</v>
      </c>
      <c r="U160" s="436">
        <f t="shared" ref="U160:U164" si="199">D160*Q160*0.000001</f>
        <v>68.710649946140066</v>
      </c>
      <c r="V160" s="436">
        <f t="shared" ref="V160:V164" si="200">E160*R160*0.000001</f>
        <v>8.6897721032302737</v>
      </c>
      <c r="W160" s="436">
        <f t="shared" ref="W160:W164" si="201">F160*S160*0.000001</f>
        <v>4.7420161377941836</v>
      </c>
      <c r="X160" s="436">
        <f t="shared" ref="X160:X164" si="202">SUM(U160:W160)</f>
        <v>82.142438187164515</v>
      </c>
      <c r="Z160" s="350"/>
      <c r="AB160" s="7">
        <f t="shared" si="189"/>
        <v>68.953135361125149</v>
      </c>
      <c r="AC160" s="7">
        <f t="shared" ref="AC160:AC164" si="203">E160*AG160*0.000001</f>
        <v>8.6797285562635764</v>
      </c>
      <c r="AD160" s="7">
        <f t="shared" ref="AD160:AD164" si="204">F160*AH160*0.000001</f>
        <v>4.7469408573154972</v>
      </c>
      <c r="AF160" s="344">
        <f t="shared" si="172"/>
        <v>2220.7759920256658</v>
      </c>
      <c r="AG160" s="344">
        <f t="shared" ref="AG160:AG164" si="205">R39*AK160</f>
        <v>1046.3624997527293</v>
      </c>
      <c r="AH160" s="344">
        <f t="shared" ref="AH160:AH164" si="206">S39*AL160</f>
        <v>1200.1548981378014</v>
      </c>
      <c r="AJ160" s="434">
        <f>AHS_tables!CT217</f>
        <v>1.0018940890330237</v>
      </c>
      <c r="AK160" s="434">
        <f>AHS_tables!CT331</f>
        <v>1.0137714685929715</v>
      </c>
      <c r="AL160" s="434">
        <f>AHS_tables!$CV$460</f>
        <v>1.0224406752754611</v>
      </c>
    </row>
    <row r="161" spans="3:38" s="341" customFormat="1" x14ac:dyDescent="0.2">
      <c r="C161" s="341">
        <v>2015</v>
      </c>
      <c r="D161" s="257">
        <f t="shared" si="192"/>
        <v>31272.472813728491</v>
      </c>
      <c r="E161" s="257">
        <f t="shared" si="192"/>
        <v>8460.7957410403596</v>
      </c>
      <c r="F161" s="257">
        <f t="shared" si="192"/>
        <v>3939.3472814618581</v>
      </c>
      <c r="G161" s="257">
        <f t="shared" si="181"/>
        <v>43672.615836230711</v>
      </c>
      <c r="I161" s="435">
        <f>AHS_tables!EI538</f>
        <v>0.37761845194669741</v>
      </c>
      <c r="J161" s="435">
        <f>AHS_tables!DN596</f>
        <v>0.30499213959245086</v>
      </c>
      <c r="K161" s="435">
        <f>AHS_tables!DM661</f>
        <v>0.56926994869059822</v>
      </c>
      <c r="M161" s="258">
        <f t="shared" si="193"/>
        <v>0.71606594235156651</v>
      </c>
      <c r="N161" s="258">
        <f t="shared" si="194"/>
        <v>0.1937322869041726</v>
      </c>
      <c r="O161" s="258">
        <f t="shared" si="195"/>
        <v>9.0201770744260848E-2</v>
      </c>
      <c r="Q161" s="344">
        <f t="shared" si="196"/>
        <v>2225.9538343643467</v>
      </c>
      <c r="R161" s="344">
        <f t="shared" si="197"/>
        <v>1046.6252177685985</v>
      </c>
      <c r="S161" s="344">
        <f t="shared" si="198"/>
        <v>1216.074477457166</v>
      </c>
      <c r="U161" s="436">
        <f t="shared" si="199"/>
        <v>69.611080769773721</v>
      </c>
      <c r="V161" s="436">
        <f t="shared" si="200"/>
        <v>8.8552821849619967</v>
      </c>
      <c r="W161" s="436">
        <f t="shared" si="201"/>
        <v>4.7905396868260359</v>
      </c>
      <c r="X161" s="436">
        <f t="shared" si="202"/>
        <v>83.256902641561751</v>
      </c>
      <c r="Z161" s="350"/>
      <c r="AB161" s="7">
        <f t="shared" si="189"/>
        <v>69.859535241634177</v>
      </c>
      <c r="AC161" s="7">
        <f t="shared" si="203"/>
        <v>8.8491658547638057</v>
      </c>
      <c r="AD161" s="7">
        <f t="shared" si="204"/>
        <v>4.7977597126881699</v>
      </c>
      <c r="AF161" s="344">
        <f t="shared" si="172"/>
        <v>2233.8986640981625</v>
      </c>
      <c r="AG161" s="344">
        <f t="shared" si="205"/>
        <v>1045.9023152916454</v>
      </c>
      <c r="AH161" s="344">
        <f t="shared" si="206"/>
        <v>1217.9072749604759</v>
      </c>
      <c r="AJ161" s="434">
        <f>AHS_tables!CT218</f>
        <v>1.0025111973746321</v>
      </c>
      <c r="AK161" s="434">
        <f>AHS_tables!CT332</f>
        <v>1.0133256174877887</v>
      </c>
      <c r="AL161" s="434">
        <f>AHS_tables!$CV$460</f>
        <v>1.0224406752754611</v>
      </c>
    </row>
    <row r="162" spans="3:38" s="341" customFormat="1" x14ac:dyDescent="0.2">
      <c r="C162" s="341">
        <v>2016</v>
      </c>
      <c r="D162" s="257">
        <f t="shared" si="192"/>
        <v>31705.291049906267</v>
      </c>
      <c r="E162" s="257">
        <f t="shared" si="192"/>
        <v>8661.1470207320126</v>
      </c>
      <c r="F162" s="257">
        <f t="shared" si="192"/>
        <v>3906.1958157267218</v>
      </c>
      <c r="G162" s="257">
        <f t="shared" si="181"/>
        <v>44272.633886365002</v>
      </c>
      <c r="I162" s="435">
        <f>AHS_tables!EI539</f>
        <v>0.3784972146158323</v>
      </c>
      <c r="J162" s="435">
        <f>AHS_tables!DN597</f>
        <v>0.31025599590796304</v>
      </c>
      <c r="K162" s="435">
        <f>AHS_tables!DM662</f>
        <v>0.56334353996940378</v>
      </c>
      <c r="M162" s="258">
        <f t="shared" si="193"/>
        <v>0.71613744805164614</v>
      </c>
      <c r="N162" s="258">
        <f t="shared" si="194"/>
        <v>0.19563207020758383</v>
      </c>
      <c r="O162" s="258">
        <f t="shared" si="195"/>
        <v>8.8230481740769987E-2</v>
      </c>
      <c r="Q162" s="344">
        <f t="shared" si="196"/>
        <v>2239.3480391827607</v>
      </c>
      <c r="R162" s="344">
        <f t="shared" si="197"/>
        <v>1046.9694096678361</v>
      </c>
      <c r="S162" s="344">
        <f t="shared" si="198"/>
        <v>1221.4350692709811</v>
      </c>
      <c r="U162" s="436">
        <f t="shared" si="199"/>
        <v>70.999181344326331</v>
      </c>
      <c r="V162" s="436">
        <f t="shared" si="200"/>
        <v>9.0679559833421326</v>
      </c>
      <c r="W162" s="436">
        <f t="shared" si="201"/>
        <v>4.7711645567681842</v>
      </c>
      <c r="X162" s="436">
        <f t="shared" si="202"/>
        <v>84.838301884436646</v>
      </c>
      <c r="Z162" s="350"/>
      <c r="AB162" s="7">
        <f t="shared" si="189"/>
        <v>71.254657417207028</v>
      </c>
      <c r="AC162" s="7">
        <f t="shared" si="203"/>
        <v>9.0557244281093716</v>
      </c>
      <c r="AD162" s="7">
        <f t="shared" si="204"/>
        <v>4.7766487711574124</v>
      </c>
      <c r="AF162" s="344">
        <f t="shared" si="172"/>
        <v>2247.4058763582202</v>
      </c>
      <c r="AG162" s="344">
        <f t="shared" si="205"/>
        <v>1045.5571769458327</v>
      </c>
      <c r="AH162" s="344">
        <f t="shared" si="206"/>
        <v>1222.8390476294514</v>
      </c>
      <c r="AJ162" s="434">
        <f>AHS_tables!CT219</f>
        <v>1.0028197515454362</v>
      </c>
      <c r="AK162" s="434">
        <f>AHS_tables!CT333</f>
        <v>1.0129912291589016</v>
      </c>
      <c r="AL162" s="434">
        <f>AHS_tables!$CV$460</f>
        <v>1.0224406752754611</v>
      </c>
    </row>
    <row r="163" spans="3:38" s="341" customFormat="1" x14ac:dyDescent="0.2">
      <c r="C163" s="341">
        <v>2017</v>
      </c>
      <c r="D163" s="257">
        <f t="shared" si="192"/>
        <v>32164.648230513507</v>
      </c>
      <c r="E163" s="257">
        <f t="shared" si="192"/>
        <v>8866.306762601931</v>
      </c>
      <c r="F163" s="257">
        <f t="shared" si="192"/>
        <v>3873.5571820828568</v>
      </c>
      <c r="G163" s="257">
        <f t="shared" si="181"/>
        <v>44904.512175198295</v>
      </c>
      <c r="I163" s="435">
        <f>AHS_tables!EI540</f>
        <v>0.37937597728496719</v>
      </c>
      <c r="J163" s="435">
        <f>AHS_tables!DN598</f>
        <v>0.31551985222347517</v>
      </c>
      <c r="K163" s="435">
        <f>AHS_tables!DM663</f>
        <v>0.55741713124820924</v>
      </c>
      <c r="M163" s="258">
        <f t="shared" si="193"/>
        <v>0.71628989320762992</v>
      </c>
      <c r="N163" s="258">
        <f t="shared" si="194"/>
        <v>0.19744801431110923</v>
      </c>
      <c r="O163" s="258">
        <f t="shared" si="195"/>
        <v>8.6262092481260794E-2</v>
      </c>
      <c r="Q163" s="344">
        <f t="shared" si="196"/>
        <v>2252.2834382809397</v>
      </c>
      <c r="R163" s="344">
        <f t="shared" si="197"/>
        <v>1047.3070105743695</v>
      </c>
      <c r="S163" s="344">
        <f t="shared" si="198"/>
        <v>1226.9797809023553</v>
      </c>
      <c r="U163" s="436">
        <f t="shared" si="199"/>
        <v>72.443904507717903</v>
      </c>
      <c r="V163" s="436">
        <f t="shared" si="200"/>
        <v>9.2857452303759445</v>
      </c>
      <c r="W163" s="436">
        <f t="shared" si="201"/>
        <v>4.7527763425847684</v>
      </c>
      <c r="X163" s="436">
        <f t="shared" si="202"/>
        <v>86.482426080678621</v>
      </c>
      <c r="Z163" s="350"/>
      <c r="AB163" s="7">
        <f t="shared" si="189"/>
        <v>72.704046684679767</v>
      </c>
      <c r="AC163" s="7">
        <f t="shared" si="203"/>
        <v>9.2679355918046848</v>
      </c>
      <c r="AD163" s="7">
        <f t="shared" si="204"/>
        <v>4.7565393875812569</v>
      </c>
      <c r="AF163" s="344">
        <f t="shared" si="172"/>
        <v>2260.3712673502187</v>
      </c>
      <c r="AG163" s="344">
        <f t="shared" si="205"/>
        <v>1045.298323186473</v>
      </c>
      <c r="AH163" s="344">
        <f t="shared" si="206"/>
        <v>1227.9512510058289</v>
      </c>
      <c r="AJ163" s="434">
        <f>AHS_tables!CT220</f>
        <v>1.0029740286308382</v>
      </c>
      <c r="AK163" s="434">
        <f>AHS_tables!CT334</f>
        <v>1.0127404379122362</v>
      </c>
      <c r="AL163" s="434">
        <f>AHS_tables!$CV$460</f>
        <v>1.0224406752754611</v>
      </c>
    </row>
    <row r="164" spans="3:38" s="341" customFormat="1" x14ac:dyDescent="0.2">
      <c r="C164" s="341">
        <v>2018</v>
      </c>
      <c r="D164" s="257">
        <f t="shared" si="192"/>
        <v>32410.658338385227</v>
      </c>
      <c r="E164" s="257">
        <f t="shared" si="192"/>
        <v>8918.0887683135406</v>
      </c>
      <c r="F164" s="257">
        <f t="shared" si="192"/>
        <v>3867.0991324869065</v>
      </c>
      <c r="G164" s="257">
        <f t="shared" si="181"/>
        <v>45195.846239185674</v>
      </c>
      <c r="I164" s="435">
        <f>AHS_tables!EI541</f>
        <v>0.37937597728496719</v>
      </c>
      <c r="J164" s="435">
        <f>AHS_tables!DN599</f>
        <v>0.31551985222347517</v>
      </c>
      <c r="K164" s="435">
        <f>AHS_tables!DM664</f>
        <v>0.55741713124820924</v>
      </c>
      <c r="M164" s="258">
        <f t="shared" si="193"/>
        <v>0.71711586429561214</v>
      </c>
      <c r="N164" s="258">
        <f t="shared" si="194"/>
        <v>0.19732098213444635</v>
      </c>
      <c r="O164" s="258">
        <f t="shared" si="195"/>
        <v>8.5563153569941486E-2</v>
      </c>
      <c r="Q164" s="344">
        <f t="shared" si="196"/>
        <v>2264.5530460087116</v>
      </c>
      <c r="R164" s="344">
        <f t="shared" si="197"/>
        <v>1047.3336688410438</v>
      </c>
      <c r="S164" s="344">
        <f t="shared" si="198"/>
        <v>1226.9797809023551</v>
      </c>
      <c r="U164" s="436">
        <f t="shared" si="199"/>
        <v>73.395655063337898</v>
      </c>
      <c r="V164" s="436">
        <f t="shared" si="200"/>
        <v>9.3402146287679262</v>
      </c>
      <c r="W164" s="436">
        <f t="shared" si="201"/>
        <v>4.7448524463064716</v>
      </c>
      <c r="X164" s="436">
        <f t="shared" si="202"/>
        <v>87.48072213841229</v>
      </c>
      <c r="Z164" s="350"/>
      <c r="AB164" s="7">
        <f t="shared" si="189"/>
        <v>73.660607713716544</v>
      </c>
      <c r="AC164" s="7">
        <f t="shared" si="203"/>
        <v>9.3203318749432764</v>
      </c>
      <c r="AD164" s="7">
        <f t="shared" si="204"/>
        <v>4.7486092175008521</v>
      </c>
      <c r="AF164" s="344">
        <f t="shared" si="172"/>
        <v>2272.7279077351345</v>
      </c>
      <c r="AG164" s="344">
        <f t="shared" si="205"/>
        <v>1045.1041828669534</v>
      </c>
      <c r="AH164" s="344">
        <f t="shared" si="206"/>
        <v>1227.9512510058289</v>
      </c>
      <c r="AJ164" s="434">
        <f>AHS_tables!CT221</f>
        <v>1.0030511671735391</v>
      </c>
      <c r="AK164" s="434">
        <f>AHS_tables!CT335</f>
        <v>1.0125523444772373</v>
      </c>
      <c r="AL164" s="434">
        <f>AHS_tables!$CV$460</f>
        <v>1.0224406752754611</v>
      </c>
    </row>
    <row r="165" spans="3:38" x14ac:dyDescent="0.2">
      <c r="Q165" s="2"/>
      <c r="R165" s="2"/>
      <c r="S165" s="2"/>
      <c r="U165" s="24"/>
      <c r="V165" s="24"/>
      <c r="W165" s="24"/>
      <c r="X165" s="24"/>
      <c r="AB165" s="7"/>
      <c r="AC165" s="7"/>
      <c r="AD165" s="7"/>
      <c r="AF165" s="2"/>
      <c r="AG165" s="2"/>
      <c r="AH165" s="2"/>
      <c r="AJ165" s="23"/>
      <c r="AK165" s="23"/>
      <c r="AL165" s="23"/>
    </row>
    <row r="166" spans="3:38" s="341" customFormat="1" x14ac:dyDescent="0.2">
      <c r="Q166" s="344"/>
      <c r="R166" s="344"/>
      <c r="S166" s="344"/>
      <c r="U166" s="24"/>
      <c r="V166" s="24"/>
      <c r="W166" s="24"/>
      <c r="X166" s="24"/>
      <c r="Z166" s="350"/>
      <c r="AB166" s="7"/>
      <c r="AC166" s="7"/>
      <c r="AD166" s="7"/>
      <c r="AF166" s="344"/>
      <c r="AG166" s="344"/>
      <c r="AH166" s="344"/>
      <c r="AJ166" s="23"/>
      <c r="AK166" s="23"/>
      <c r="AL166" s="23"/>
    </row>
    <row r="167" spans="3:38" ht="15.75" x14ac:dyDescent="0.25">
      <c r="C167" s="6" t="s">
        <v>23</v>
      </c>
      <c r="Q167" s="2" t="s">
        <v>467</v>
      </c>
      <c r="R167" s="2"/>
      <c r="S167" s="2"/>
      <c r="U167" s="24" t="s">
        <v>468</v>
      </c>
      <c r="V167" s="24"/>
      <c r="W167" s="24"/>
      <c r="X167" s="24"/>
      <c r="AB167" s="6" t="s">
        <v>23</v>
      </c>
      <c r="AC167" s="7"/>
      <c r="AD167" s="7"/>
      <c r="AF167" s="2"/>
      <c r="AG167" s="2"/>
      <c r="AH167" s="2"/>
      <c r="AJ167" s="23"/>
      <c r="AK167" s="23"/>
      <c r="AL167" s="23"/>
    </row>
    <row r="168" spans="3:38" x14ac:dyDescent="0.2">
      <c r="I168" t="s">
        <v>474</v>
      </c>
      <c r="M168" t="s">
        <v>362</v>
      </c>
      <c r="Q168" t="s">
        <v>470</v>
      </c>
      <c r="R168" s="2"/>
      <c r="S168" s="2"/>
      <c r="U168" s="24" t="s">
        <v>469</v>
      </c>
      <c r="V168" s="24"/>
      <c r="W168" s="24"/>
      <c r="X168" s="24"/>
      <c r="AB168">
        <v>1</v>
      </c>
      <c r="AF168" t="s">
        <v>456</v>
      </c>
      <c r="AJ168" s="23"/>
      <c r="AK168" s="23"/>
      <c r="AL168" s="23"/>
    </row>
    <row r="169" spans="3:38" x14ac:dyDescent="0.2">
      <c r="C169" s="1"/>
      <c r="R169" s="2"/>
      <c r="S169" s="2"/>
      <c r="U169" s="24"/>
      <c r="V169" s="24"/>
      <c r="W169" s="24"/>
      <c r="X169" s="24"/>
      <c r="AB169" s="7"/>
      <c r="AC169" s="7"/>
      <c r="AD169" s="7"/>
      <c r="AF169" s="2"/>
      <c r="AG169" s="2"/>
      <c r="AH169" s="2"/>
      <c r="AJ169" s="23"/>
      <c r="AK169" s="23"/>
      <c r="AL169" s="23"/>
    </row>
    <row r="170" spans="3:38" ht="13.5" thickBot="1" x14ac:dyDescent="0.25">
      <c r="D170" s="16" t="s">
        <v>444</v>
      </c>
      <c r="E170" s="16" t="s">
        <v>32</v>
      </c>
      <c r="F170" s="16" t="s">
        <v>445</v>
      </c>
      <c r="G170" s="16" t="s">
        <v>363</v>
      </c>
      <c r="I170" s="17" t="s">
        <v>110</v>
      </c>
      <c r="J170" s="17" t="s">
        <v>261</v>
      </c>
      <c r="K170" s="17" t="s">
        <v>360</v>
      </c>
      <c r="M170" s="16" t="s">
        <v>356</v>
      </c>
      <c r="N170" s="16" t="s">
        <v>357</v>
      </c>
      <c r="O170" s="16" t="s">
        <v>358</v>
      </c>
      <c r="Q170" s="16" t="s">
        <v>356</v>
      </c>
      <c r="R170" s="16" t="s">
        <v>357</v>
      </c>
      <c r="S170" s="16" t="s">
        <v>358</v>
      </c>
      <c r="U170" s="16" t="s">
        <v>356</v>
      </c>
      <c r="V170" s="16" t="s">
        <v>357</v>
      </c>
      <c r="W170" s="16" t="s">
        <v>358</v>
      </c>
      <c r="X170" s="264" t="s">
        <v>91</v>
      </c>
      <c r="AB170" s="16" t="s">
        <v>356</v>
      </c>
      <c r="AC170" s="16" t="s">
        <v>357</v>
      </c>
      <c r="AD170" s="16" t="s">
        <v>358</v>
      </c>
      <c r="AF170" s="16" t="s">
        <v>356</v>
      </c>
      <c r="AG170" s="16" t="s">
        <v>357</v>
      </c>
      <c r="AH170" s="16" t="s">
        <v>358</v>
      </c>
      <c r="AJ170" s="16" t="s">
        <v>356</v>
      </c>
      <c r="AK170" s="16" t="s">
        <v>357</v>
      </c>
      <c r="AL170" s="16" t="s">
        <v>358</v>
      </c>
    </row>
    <row r="171" spans="3:38" x14ac:dyDescent="0.2">
      <c r="C171" s="437">
        <v>1985</v>
      </c>
      <c r="D171" s="257">
        <f t="shared" ref="D171:D197" si="207">D10*I171</f>
        <v>11266.556350537945</v>
      </c>
      <c r="E171" s="257">
        <f t="shared" ref="E171:E197" si="208">E10*J171</f>
        <v>4858.0382380323163</v>
      </c>
      <c r="F171" s="257">
        <f t="shared" ref="F171:F197" si="209">F10*K171</f>
        <v>1065.5212653401156</v>
      </c>
      <c r="G171" s="257">
        <f>SUM(D171:F171)</f>
        <v>17190.115853910374</v>
      </c>
      <c r="I171" s="435">
        <f>AHS_tables!EJ508</f>
        <v>0.19283007492808343</v>
      </c>
      <c r="J171" s="435">
        <f>AHS_tables!DO566</f>
        <v>0.20678165882985078</v>
      </c>
      <c r="K171" s="435">
        <f>AHS_tables!DN631</f>
        <v>0.21642786261278027</v>
      </c>
      <c r="M171" s="258">
        <f>D171/$G171</f>
        <v>0.65540898306249928</v>
      </c>
      <c r="N171" s="258">
        <f t="shared" ref="N171:N196" si="210">E171/$G171</f>
        <v>0.28260648615275152</v>
      </c>
      <c r="O171" s="258">
        <f t="shared" ref="O171:O196" si="211">F171/$G171</f>
        <v>6.1984530784749359E-2</v>
      </c>
      <c r="Q171" s="2">
        <f t="shared" ref="Q171:Q199" si="212">AF10*AF171</f>
        <v>1706.5410722166928</v>
      </c>
      <c r="R171" s="2">
        <f t="shared" ref="R171:R199" si="213">AG10*AG171</f>
        <v>782.00651097904279</v>
      </c>
      <c r="S171" s="2">
        <f t="shared" ref="S171:S199" si="214">AH10*AH171</f>
        <v>856.3247659077083</v>
      </c>
      <c r="U171" s="436">
        <f>D171*Q171*0.000001</f>
        <v>19.226841154636816</v>
      </c>
      <c r="V171" s="436">
        <f t="shared" ref="V171:V196" si="215">E171*R171*0.000001</f>
        <v>3.7990175327264279</v>
      </c>
      <c r="W171" s="436">
        <f t="shared" ref="W171:W196" si="216">F171*S171*0.000001</f>
        <v>0.91243224811205959</v>
      </c>
      <c r="X171" s="436">
        <f>SUM(U171:W171)</f>
        <v>23.938290935475301</v>
      </c>
      <c r="AB171" s="7">
        <f>D171*AF171*0.000001</f>
        <v>19.13468078912701</v>
      </c>
      <c r="AC171" s="7">
        <f t="shared" ref="AC171:AC196" si="217">E171*AG171*0.000001</f>
        <v>3.8551884386999546</v>
      </c>
      <c r="AD171" s="7">
        <f t="shared" ref="AD171:AD196" si="218">F171*AH171*0.000001</f>
        <v>0.9074010275429063</v>
      </c>
      <c r="AF171" s="2">
        <f t="shared" ref="AF171:AF204" si="219">Q10*AJ171</f>
        <v>1698.3610780248205</v>
      </c>
      <c r="AG171" s="2">
        <f t="shared" ref="AG171:AG204" si="220">R10*AK171</f>
        <v>793.56897780645045</v>
      </c>
      <c r="AH171" s="2">
        <f t="shared" ref="AH171:AH204" si="221">S10*AL171</f>
        <v>851.60292624780504</v>
      </c>
      <c r="AJ171" s="434">
        <f>AHS_tables!CZ188</f>
        <v>0.91848493078934046</v>
      </c>
      <c r="AK171" s="434">
        <f>AHS_tables!CZ302</f>
        <v>0.93672428860112167</v>
      </c>
      <c r="AL171" s="434">
        <f>AHS_tables!$DB$460</f>
        <v>0.99310402222495553</v>
      </c>
    </row>
    <row r="172" spans="3:38" x14ac:dyDescent="0.2">
      <c r="C172">
        <f>C171+1</f>
        <v>1986</v>
      </c>
      <c r="D172" s="257">
        <f t="shared" si="207"/>
        <v>11579.917981157525</v>
      </c>
      <c r="E172" s="257">
        <f t="shared" si="208"/>
        <v>4972.082535285268</v>
      </c>
      <c r="F172" s="257">
        <f t="shared" si="209"/>
        <v>1108.2155796994198</v>
      </c>
      <c r="G172" s="257">
        <f t="shared" ref="G172:G196" si="222">SUM(D172:F172)</f>
        <v>17660.216096142212</v>
      </c>
      <c r="I172" s="435">
        <f>AHS_tables!EJ509</f>
        <v>0.19472965870774761</v>
      </c>
      <c r="J172" s="435">
        <f>AHS_tables!DO567</f>
        <v>0.21040186679520057</v>
      </c>
      <c r="K172" s="435">
        <f>AHS_tables!DN632</f>
        <v>0.21825218557659687</v>
      </c>
      <c r="M172" s="258">
        <f t="shared" ref="M172:M196" si="223">D172/$G172</f>
        <v>0.65570647143367067</v>
      </c>
      <c r="N172" s="258">
        <f t="shared" si="210"/>
        <v>0.28154143234812373</v>
      </c>
      <c r="O172" s="258">
        <f t="shared" si="211"/>
        <v>6.2752096218205627E-2</v>
      </c>
      <c r="Q172" s="2">
        <f t="shared" si="212"/>
        <v>1703.9264043154997</v>
      </c>
      <c r="R172" s="2">
        <f t="shared" si="213"/>
        <v>799.69410389856819</v>
      </c>
      <c r="S172" s="2">
        <f t="shared" si="214"/>
        <v>862.6305671431744</v>
      </c>
      <c r="U172" s="436">
        <f t="shared" ref="U172:U196" si="224">D172*Q172*0.000001</f>
        <v>19.731328007902142</v>
      </c>
      <c r="V172" s="436">
        <f t="shared" si="215"/>
        <v>3.9761450875646731</v>
      </c>
      <c r="W172" s="436">
        <f t="shared" si="216"/>
        <v>0.95598063403301226</v>
      </c>
      <c r="X172" s="436">
        <f t="shared" ref="X172:X196" si="225">SUM(U172:W172)</f>
        <v>24.663453729499828</v>
      </c>
      <c r="AB172" s="7">
        <f t="shared" ref="AB172:AB196" si="226">D172*AF172*0.000001</f>
        <v>19.63955142744264</v>
      </c>
      <c r="AC172" s="7">
        <f t="shared" si="217"/>
        <v>4.0337280632265573</v>
      </c>
      <c r="AD172" s="7">
        <f t="shared" si="218"/>
        <v>0.95167224943942719</v>
      </c>
      <c r="AF172" s="2">
        <f t="shared" si="219"/>
        <v>1696.0009094537195</v>
      </c>
      <c r="AG172" s="2">
        <f t="shared" si="220"/>
        <v>811.27536290889964</v>
      </c>
      <c r="AH172" s="2">
        <f t="shared" si="221"/>
        <v>858.74288980628512</v>
      </c>
      <c r="AJ172" s="434">
        <f>AHS_tables!CZ189</f>
        <v>0.91909063436277805</v>
      </c>
      <c r="AK172" s="434">
        <f>AHS_tables!CZ303</f>
        <v>0.93544761581975344</v>
      </c>
      <c r="AL172" s="434">
        <f>AHS_tables!$DB$460</f>
        <v>0.99310402222495553</v>
      </c>
    </row>
    <row r="173" spans="3:38" x14ac:dyDescent="0.2">
      <c r="C173" s="280">
        <f t="shared" ref="C173:C197" si="227">C172+1</f>
        <v>1987</v>
      </c>
      <c r="D173" s="257">
        <f t="shared" si="207"/>
        <v>11901.984455347636</v>
      </c>
      <c r="E173" s="257">
        <f t="shared" si="208"/>
        <v>5080.7289774903211</v>
      </c>
      <c r="F173" s="257">
        <f t="shared" si="209"/>
        <v>1148.0555273656948</v>
      </c>
      <c r="G173" s="257">
        <f t="shared" si="222"/>
        <v>18130.768960203652</v>
      </c>
      <c r="I173" s="435">
        <f>AHS_tables!EJ510</f>
        <v>0.19662924248741176</v>
      </c>
      <c r="J173" s="435">
        <f>AHS_tables!DO568</f>
        <v>0.21402207476055035</v>
      </c>
      <c r="K173" s="435">
        <f>AHS_tables!DN633</f>
        <v>0.2200765085404135</v>
      </c>
      <c r="M173" s="258">
        <f t="shared" si="223"/>
        <v>0.65645227080395974</v>
      </c>
      <c r="N173" s="258">
        <f t="shared" si="210"/>
        <v>0.28022688881218044</v>
      </c>
      <c r="O173" s="258">
        <f t="shared" si="211"/>
        <v>6.3320840383859781E-2</v>
      </c>
      <c r="Q173" s="2">
        <f t="shared" si="212"/>
        <v>1717.3364912246459</v>
      </c>
      <c r="R173" s="2">
        <f t="shared" si="213"/>
        <v>813.47430061837167</v>
      </c>
      <c r="S173" s="2">
        <f t="shared" si="214"/>
        <v>861.75858267625176</v>
      </c>
      <c r="U173" s="436">
        <f t="shared" si="224"/>
        <v>20.439712223156988</v>
      </c>
      <c r="V173" s="436">
        <f t="shared" si="215"/>
        <v>4.1330424515954336</v>
      </c>
      <c r="W173" s="436">
        <f t="shared" si="216"/>
        <v>0.98934670409629788</v>
      </c>
      <c r="X173" s="436">
        <f t="shared" si="225"/>
        <v>25.56210137884872</v>
      </c>
      <c r="AB173" s="7">
        <f t="shared" si="226"/>
        <v>20.347895093277057</v>
      </c>
      <c r="AC173" s="7">
        <f t="shared" si="217"/>
        <v>4.1916078573130431</v>
      </c>
      <c r="AD173" s="7">
        <f t="shared" si="218"/>
        <v>0.98588452122809533</v>
      </c>
      <c r="AF173" s="2">
        <f t="shared" si="219"/>
        <v>1709.622052491811</v>
      </c>
      <c r="AG173" s="2">
        <f t="shared" si="220"/>
        <v>825.0012696767642</v>
      </c>
      <c r="AH173" s="2">
        <f t="shared" si="221"/>
        <v>858.74288980628512</v>
      </c>
      <c r="AJ173" s="434">
        <f>AHS_tables!CZ190</f>
        <v>0.91969633793621575</v>
      </c>
      <c r="AK173" s="434">
        <f>AHS_tables!CZ304</f>
        <v>0.9341709430383851</v>
      </c>
      <c r="AL173" s="434">
        <f>AHS_tables!$DB$460</f>
        <v>0.99310402222495553</v>
      </c>
    </row>
    <row r="174" spans="3:38" x14ac:dyDescent="0.2">
      <c r="C174" s="280">
        <f t="shared" si="227"/>
        <v>1988</v>
      </c>
      <c r="D174" s="257">
        <f t="shared" si="207"/>
        <v>12041.913214850374</v>
      </c>
      <c r="E174" s="257">
        <f t="shared" si="208"/>
        <v>5213.7751525357853</v>
      </c>
      <c r="F174" s="257">
        <f t="shared" si="209"/>
        <v>1130.923043904306</v>
      </c>
      <c r="G174" s="257">
        <f t="shared" si="222"/>
        <v>18386.611411290465</v>
      </c>
      <c r="I174" s="435">
        <f>AHS_tables!EJ511</f>
        <v>0.19596728456497009</v>
      </c>
      <c r="J174" s="435">
        <f>AHS_tables!DO569</f>
        <v>0.21594136350572302</v>
      </c>
      <c r="K174" s="435">
        <f>AHS_tables!DN634</f>
        <v>0.21264940149261252</v>
      </c>
      <c r="M174" s="258">
        <f t="shared" si="223"/>
        <v>0.65492835767747437</v>
      </c>
      <c r="N174" s="258">
        <f t="shared" si="210"/>
        <v>0.2835636777168315</v>
      </c>
      <c r="O174" s="258">
        <f t="shared" si="211"/>
        <v>6.1507964605694146E-2</v>
      </c>
      <c r="Q174" s="2">
        <f t="shared" si="212"/>
        <v>1729.9380468917286</v>
      </c>
      <c r="R174" s="2">
        <f t="shared" si="213"/>
        <v>823.08246356110772</v>
      </c>
      <c r="S174" s="2">
        <f t="shared" si="214"/>
        <v>887.37287630566971</v>
      </c>
      <c r="U174" s="436">
        <f t="shared" si="224"/>
        <v>20.831763827737952</v>
      </c>
      <c r="V174" s="436">
        <f t="shared" si="215"/>
        <v>4.2913668970028436</v>
      </c>
      <c r="W174" s="436">
        <f t="shared" si="216"/>
        <v>1.0035504343497272</v>
      </c>
      <c r="X174" s="436">
        <f t="shared" si="225"/>
        <v>26.126681159090523</v>
      </c>
      <c r="AB174" s="7">
        <f t="shared" si="226"/>
        <v>20.757148012328543</v>
      </c>
      <c r="AC174" s="7">
        <f t="shared" si="217"/>
        <v>4.350531355390685</v>
      </c>
      <c r="AD174" s="7">
        <f t="shared" si="218"/>
        <v>1.0002242803926831</v>
      </c>
      <c r="AF174" s="2">
        <f t="shared" si="219"/>
        <v>1723.7417046595497</v>
      </c>
      <c r="AG174" s="2">
        <f t="shared" si="220"/>
        <v>834.43018314181609</v>
      </c>
      <c r="AH174" s="2">
        <f t="shared" si="221"/>
        <v>884.43177967228507</v>
      </c>
      <c r="AJ174" s="434">
        <f>AHS_tables!CZ191</f>
        <v>0.92030204150965333</v>
      </c>
      <c r="AK174" s="434">
        <f>AHS_tables!CZ305</f>
        <v>0.93289427025701677</v>
      </c>
      <c r="AL174" s="434">
        <f>AHS_tables!$DB$460</f>
        <v>0.99310402222495553</v>
      </c>
    </row>
    <row r="175" spans="3:38" x14ac:dyDescent="0.2">
      <c r="C175" s="280">
        <f t="shared" si="227"/>
        <v>1989</v>
      </c>
      <c r="D175" s="257">
        <f t="shared" si="207"/>
        <v>12172.23098023332</v>
      </c>
      <c r="E175" s="257">
        <f t="shared" si="208"/>
        <v>5340.0957023540495</v>
      </c>
      <c r="F175" s="257">
        <f t="shared" si="209"/>
        <v>1109.5708793739125</v>
      </c>
      <c r="G175" s="257">
        <f t="shared" si="222"/>
        <v>18621.897561961283</v>
      </c>
      <c r="I175" s="435">
        <f>AHS_tables!EJ512</f>
        <v>0.19530532664252842</v>
      </c>
      <c r="J175" s="435">
        <f>AHS_tables!DO570</f>
        <v>0.21786065225089565</v>
      </c>
      <c r="K175" s="435">
        <f>AHS_tables!DN635</f>
        <v>0.20522229444481152</v>
      </c>
      <c r="M175" s="258">
        <f t="shared" si="223"/>
        <v>0.65365148421272512</v>
      </c>
      <c r="N175" s="258">
        <f t="shared" si="210"/>
        <v>0.28676431521469631</v>
      </c>
      <c r="O175" s="258">
        <f t="shared" si="211"/>
        <v>5.9584200572578544E-2</v>
      </c>
      <c r="Q175" s="2">
        <f t="shared" si="212"/>
        <v>1742.1647325763659</v>
      </c>
      <c r="R175" s="2">
        <f t="shared" si="213"/>
        <v>830.85236305968112</v>
      </c>
      <c r="S175" s="2">
        <f t="shared" si="214"/>
        <v>912.97765892641416</v>
      </c>
      <c r="U175" s="436">
        <f t="shared" si="224"/>
        <v>21.206031530535935</v>
      </c>
      <c r="V175" s="436">
        <f t="shared" si="215"/>
        <v>4.4368311332657093</v>
      </c>
      <c r="W175" s="436">
        <f t="shared" si="216"/>
        <v>1.0130134238637174</v>
      </c>
      <c r="X175" s="436">
        <f t="shared" si="225"/>
        <v>26.655876087665362</v>
      </c>
      <c r="AB175" s="7">
        <f t="shared" si="226"/>
        <v>21.149310198568731</v>
      </c>
      <c r="AC175" s="7">
        <f t="shared" si="217"/>
        <v>4.4962418678397444</v>
      </c>
      <c r="AD175" s="7">
        <f t="shared" si="218"/>
        <v>1.0098433916359688</v>
      </c>
      <c r="AF175" s="2">
        <f t="shared" si="219"/>
        <v>1737.5048364522029</v>
      </c>
      <c r="AG175" s="2">
        <f t="shared" si="220"/>
        <v>841.97776939796927</v>
      </c>
      <c r="AH175" s="2">
        <f t="shared" si="221"/>
        <v>910.12066953828503</v>
      </c>
      <c r="AJ175" s="434">
        <f>AHS_tables!CZ192</f>
        <v>0.92090774508309103</v>
      </c>
      <c r="AK175" s="434">
        <f>AHS_tables!CZ306</f>
        <v>0.93161759747564854</v>
      </c>
      <c r="AL175" s="434">
        <f>AHS_tables!$DB$460</f>
        <v>0.99310402222495553</v>
      </c>
    </row>
    <row r="176" spans="3:38" x14ac:dyDescent="0.2">
      <c r="C176" s="280">
        <f t="shared" si="227"/>
        <v>1990</v>
      </c>
      <c r="D176" s="257">
        <f t="shared" si="207"/>
        <v>12548.079425067765</v>
      </c>
      <c r="E176" s="257">
        <f t="shared" si="208"/>
        <v>5357.3008563573239</v>
      </c>
      <c r="F176" s="257">
        <f t="shared" si="209"/>
        <v>1174.5355236832218</v>
      </c>
      <c r="G176" s="257">
        <f t="shared" si="222"/>
        <v>19079.91580510831</v>
      </c>
      <c r="I176" s="435">
        <f>AHS_tables!EJ513</f>
        <v>0.19985180954830772</v>
      </c>
      <c r="J176" s="435">
        <f>AHS_tables!DO571</f>
        <v>0.21895765856398697</v>
      </c>
      <c r="K176" s="435">
        <f>AHS_tables!DN636</f>
        <v>0.21154460463574831</v>
      </c>
      <c r="M176" s="258">
        <f t="shared" si="223"/>
        <v>0.65765905642561784</v>
      </c>
      <c r="N176" s="258">
        <f t="shared" si="210"/>
        <v>0.28078220633043888</v>
      </c>
      <c r="O176" s="258">
        <f t="shared" si="211"/>
        <v>6.1558737243943215E-2</v>
      </c>
      <c r="Q176" s="2">
        <f t="shared" si="212"/>
        <v>1755.2193776848544</v>
      </c>
      <c r="R176" s="2">
        <f t="shared" si="213"/>
        <v>836.42157028836255</v>
      </c>
      <c r="S176" s="2">
        <f t="shared" si="214"/>
        <v>939.08123441855605</v>
      </c>
      <c r="U176" s="436">
        <f t="shared" si="224"/>
        <v>22.024632159607567</v>
      </c>
      <c r="V176" s="436">
        <f t="shared" si="215"/>
        <v>4.4809619947815822</v>
      </c>
      <c r="W176" s="436">
        <f t="shared" si="216"/>
        <v>1.1029842694488849</v>
      </c>
      <c r="X176" s="436">
        <f t="shared" si="225"/>
        <v>27.608578423838036</v>
      </c>
      <c r="AB176" s="7">
        <f t="shared" si="226"/>
        <v>21.974096729985259</v>
      </c>
      <c r="AC176" s="7">
        <f t="shared" si="217"/>
        <v>4.5398355407823114</v>
      </c>
      <c r="AD176" s="7">
        <f t="shared" si="218"/>
        <v>1.0991415709226768</v>
      </c>
      <c r="AF176" s="2">
        <f t="shared" si="219"/>
        <v>1751.1920339049489</v>
      </c>
      <c r="AG176" s="2">
        <f t="shared" si="220"/>
        <v>847.41097476260745</v>
      </c>
      <c r="AH176" s="2">
        <f t="shared" si="221"/>
        <v>935.80955940428498</v>
      </c>
      <c r="AJ176" s="434">
        <f>AHS_tables!CZ193</f>
        <v>0.92151344865652862</v>
      </c>
      <c r="AK176" s="434">
        <f>AHS_tables!CZ307</f>
        <v>0.9303409246942802</v>
      </c>
      <c r="AL176" s="434">
        <f>AHS_tables!$DB$460</f>
        <v>0.99310402222495553</v>
      </c>
    </row>
    <row r="177" spans="3:38" x14ac:dyDescent="0.2">
      <c r="C177" s="280">
        <f t="shared" si="227"/>
        <v>1991</v>
      </c>
      <c r="D177" s="257">
        <f t="shared" si="207"/>
        <v>12909.615019589437</v>
      </c>
      <c r="E177" s="257">
        <f t="shared" si="208"/>
        <v>5365.3795600776275</v>
      </c>
      <c r="F177" s="257">
        <f t="shared" si="209"/>
        <v>1239.5548059519595</v>
      </c>
      <c r="G177" s="257">
        <f t="shared" si="222"/>
        <v>19514.549385619026</v>
      </c>
      <c r="I177" s="435">
        <f>AHS_tables!EJ514</f>
        <v>0.20439829245408705</v>
      </c>
      <c r="J177" s="435">
        <f>AHS_tables!DO572</f>
        <v>0.22005466487707825</v>
      </c>
      <c r="K177" s="435">
        <f>AHS_tables!DN637</f>
        <v>0.21786691482668508</v>
      </c>
      <c r="M177" s="258">
        <f t="shared" si="223"/>
        <v>0.6615379512223325</v>
      </c>
      <c r="N177" s="258">
        <f t="shared" si="210"/>
        <v>0.27494252898463384</v>
      </c>
      <c r="O177" s="258">
        <f t="shared" si="211"/>
        <v>6.3519519793033608E-2</v>
      </c>
      <c r="Q177" s="2">
        <f t="shared" si="212"/>
        <v>1766.0366492789224</v>
      </c>
      <c r="R177" s="2">
        <f t="shared" si="213"/>
        <v>838.39707921779393</v>
      </c>
      <c r="S177" s="2">
        <f t="shared" si="214"/>
        <v>954.9620595417656</v>
      </c>
      <c r="U177" s="436">
        <f t="shared" si="224"/>
        <v>22.798853252676579</v>
      </c>
      <c r="V177" s="436">
        <f t="shared" si="215"/>
        <v>4.4983185520639353</v>
      </c>
      <c r="W177" s="436">
        <f t="shared" si="216"/>
        <v>1.1837278104067768</v>
      </c>
      <c r="X177" s="436">
        <f t="shared" si="225"/>
        <v>28.48089961514729</v>
      </c>
      <c r="AB177" s="7">
        <f t="shared" si="226"/>
        <v>22.755117189808733</v>
      </c>
      <c r="AC177" s="7">
        <f t="shared" si="217"/>
        <v>4.5562566124550932</v>
      </c>
      <c r="AD177" s="7">
        <f t="shared" si="218"/>
        <v>1.1791840571352059</v>
      </c>
      <c r="AF177" s="2">
        <f t="shared" si="219"/>
        <v>1762.6487819566607</v>
      </c>
      <c r="AG177" s="2">
        <f t="shared" si="220"/>
        <v>849.19558093466412</v>
      </c>
      <c r="AH177" s="2">
        <f t="shared" si="221"/>
        <v>951.29642632429659</v>
      </c>
      <c r="AJ177" s="434">
        <f>AHS_tables!CZ194</f>
        <v>0.92211915222996632</v>
      </c>
      <c r="AK177" s="434">
        <f>AHS_tables!CZ308</f>
        <v>0.92906425191291186</v>
      </c>
      <c r="AL177" s="434">
        <f>AHS_tables!$DB$460</f>
        <v>0.99310402222495553</v>
      </c>
    </row>
    <row r="178" spans="3:38" x14ac:dyDescent="0.2">
      <c r="C178" s="280">
        <f t="shared" si="227"/>
        <v>1992</v>
      </c>
      <c r="D178" s="257">
        <f t="shared" si="207"/>
        <v>13169.796588458346</v>
      </c>
      <c r="E178" s="257">
        <f t="shared" si="208"/>
        <v>5428.6426892498721</v>
      </c>
      <c r="F178" s="257">
        <f t="shared" si="209"/>
        <v>1195.1739582615505</v>
      </c>
      <c r="G178" s="257">
        <f t="shared" si="222"/>
        <v>19793.613235969769</v>
      </c>
      <c r="I178" s="435">
        <f>AHS_tables!EJ515</f>
        <v>0.20471549537705225</v>
      </c>
      <c r="J178" s="435">
        <f>AHS_tables!DO573</f>
        <v>0.21973926586571049</v>
      </c>
      <c r="K178" s="435">
        <f>AHS_tables!DN638</f>
        <v>0.20818710443672608</v>
      </c>
      <c r="M178" s="258">
        <f t="shared" si="223"/>
        <v>0.6653558615829499</v>
      </c>
      <c r="N178" s="258">
        <f t="shared" si="210"/>
        <v>0.27426234030807062</v>
      </c>
      <c r="O178" s="258">
        <f t="shared" si="211"/>
        <v>6.0381798108979472E-2</v>
      </c>
      <c r="Q178" s="2">
        <f t="shared" si="212"/>
        <v>1781.2993676377196</v>
      </c>
      <c r="R178" s="2">
        <f t="shared" si="213"/>
        <v>837.87809943977277</v>
      </c>
      <c r="S178" s="2">
        <f t="shared" si="214"/>
        <v>969.45173527193936</v>
      </c>
      <c r="U178" s="436">
        <f t="shared" si="224"/>
        <v>23.45935033493825</v>
      </c>
      <c r="V178" s="436">
        <f t="shared" si="215"/>
        <v>4.5485408190062993</v>
      </c>
      <c r="W178" s="436">
        <f t="shared" si="216"/>
        <v>1.1586634677884926</v>
      </c>
      <c r="X178" s="436">
        <f t="shared" si="225"/>
        <v>29.166554621733042</v>
      </c>
      <c r="AB178" s="7">
        <f t="shared" si="226"/>
        <v>23.421446141343221</v>
      </c>
      <c r="AC178" s="7">
        <f t="shared" si="217"/>
        <v>4.6065975348524129</v>
      </c>
      <c r="AD178" s="7">
        <f t="shared" si="218"/>
        <v>1.1554742153679372</v>
      </c>
      <c r="AF178" s="2">
        <f t="shared" si="219"/>
        <v>1778.4212522970281</v>
      </c>
      <c r="AG178" s="2">
        <f t="shared" si="220"/>
        <v>848.57261723536851</v>
      </c>
      <c r="AH178" s="2">
        <f t="shared" si="221"/>
        <v>966.7832932443082</v>
      </c>
      <c r="AJ178" s="434">
        <f>AHS_tables!CZ195</f>
        <v>0.92272485580340391</v>
      </c>
      <c r="AK178" s="434">
        <f>AHS_tables!CZ309</f>
        <v>0.92778757913154364</v>
      </c>
      <c r="AL178" s="434">
        <f>AHS_tables!$DB$460</f>
        <v>0.99310402222495553</v>
      </c>
    </row>
    <row r="179" spans="3:38" x14ac:dyDescent="0.2">
      <c r="C179" s="280">
        <f t="shared" si="227"/>
        <v>1993</v>
      </c>
      <c r="D179" s="257">
        <f t="shared" si="207"/>
        <v>13450.329885237492</v>
      </c>
      <c r="E179" s="257">
        <f t="shared" si="208"/>
        <v>5486.4716988722121</v>
      </c>
      <c r="F179" s="257">
        <f t="shared" si="209"/>
        <v>1153.6351205321446</v>
      </c>
      <c r="G179" s="257">
        <f t="shared" si="222"/>
        <v>20090.436704641848</v>
      </c>
      <c r="I179" s="435">
        <f>AHS_tables!EJ516</f>
        <v>0.20503269830001741</v>
      </c>
      <c r="J179" s="435">
        <f>AHS_tables!DO574</f>
        <v>0.21942386685434273</v>
      </c>
      <c r="K179" s="435">
        <f>AHS_tables!DN639</f>
        <v>0.19850729404676709</v>
      </c>
      <c r="M179" s="258">
        <f t="shared" si="223"/>
        <v>0.66948917452500301</v>
      </c>
      <c r="N179" s="258">
        <f t="shared" si="210"/>
        <v>0.27308872273565737</v>
      </c>
      <c r="O179" s="258">
        <f t="shared" si="211"/>
        <v>5.7422102739339655E-2</v>
      </c>
      <c r="Q179" s="2">
        <f t="shared" si="212"/>
        <v>1795.975777205422</v>
      </c>
      <c r="R179" s="2">
        <f t="shared" si="213"/>
        <v>835.7624845385169</v>
      </c>
      <c r="S179" s="2">
        <f t="shared" si="214"/>
        <v>983.90988732739322</v>
      </c>
      <c r="U179" s="436">
        <f t="shared" si="224"/>
        <v>24.156466669308717</v>
      </c>
      <c r="V179" s="436">
        <f t="shared" si="215"/>
        <v>4.5853872183996973</v>
      </c>
      <c r="W179" s="436">
        <f t="shared" si="216"/>
        <v>1.1350730014597061</v>
      </c>
      <c r="X179" s="436">
        <f t="shared" si="225"/>
        <v>29.876926889168121</v>
      </c>
      <c r="AB179" s="7">
        <f t="shared" si="226"/>
        <v>24.125259716026566</v>
      </c>
      <c r="AC179" s="7">
        <f t="shared" si="217"/>
        <v>4.6433658687130599</v>
      </c>
      <c r="AD179" s="7">
        <f t="shared" si="218"/>
        <v>1.1331813546162939</v>
      </c>
      <c r="AF179" s="2">
        <f t="shared" si="219"/>
        <v>1793.6556145366681</v>
      </c>
      <c r="AG179" s="2">
        <f t="shared" si="220"/>
        <v>846.33005027029321</v>
      </c>
      <c r="AH179" s="2">
        <f t="shared" si="221"/>
        <v>982.27016016431969</v>
      </c>
      <c r="AJ179" s="434">
        <f>AHS_tables!CZ196</f>
        <v>0.92333055937684161</v>
      </c>
      <c r="AK179" s="434">
        <f>AHS_tables!CZ310</f>
        <v>0.9265109063501753</v>
      </c>
      <c r="AL179" s="434">
        <f>AHS_tables!$DB$460</f>
        <v>0.99310402222495553</v>
      </c>
    </row>
    <row r="180" spans="3:38" x14ac:dyDescent="0.2">
      <c r="C180" s="280">
        <f t="shared" si="227"/>
        <v>1994</v>
      </c>
      <c r="D180" s="257">
        <f t="shared" si="207"/>
        <v>13597.379781626672</v>
      </c>
      <c r="E180" s="257">
        <f t="shared" si="208"/>
        <v>5655.8425536346531</v>
      </c>
      <c r="F180" s="257">
        <f t="shared" si="209"/>
        <v>1190.8728725931689</v>
      </c>
      <c r="G180" s="257">
        <f t="shared" si="222"/>
        <v>20444.095207854494</v>
      </c>
      <c r="I180" s="435">
        <f>AHS_tables!EJ517</f>
        <v>0.20408285409083579</v>
      </c>
      <c r="J180" s="435">
        <f>AHS_tables!DO575</f>
        <v>0.22465558374942551</v>
      </c>
      <c r="K180" s="435">
        <f>AHS_tables!DN640</f>
        <v>0.20004284388656896</v>
      </c>
      <c r="M180" s="258">
        <f t="shared" si="223"/>
        <v>0.66510058984672715</v>
      </c>
      <c r="N180" s="258">
        <f t="shared" si="210"/>
        <v>0.2766491985158489</v>
      </c>
      <c r="O180" s="258">
        <f t="shared" si="211"/>
        <v>5.8250211637423943E-2</v>
      </c>
      <c r="Q180" s="2">
        <f t="shared" si="212"/>
        <v>1811.2004586566209</v>
      </c>
      <c r="R180" s="2">
        <f t="shared" si="213"/>
        <v>835.69634920883414</v>
      </c>
      <c r="S180" s="2">
        <f t="shared" si="214"/>
        <v>992.91418960010435</v>
      </c>
      <c r="U180" s="436">
        <f t="shared" si="224"/>
        <v>24.627580497010491</v>
      </c>
      <c r="V180" s="436">
        <f t="shared" si="215"/>
        <v>4.7265669737724494</v>
      </c>
      <c r="W180" s="436">
        <f t="shared" si="216"/>
        <v>1.1824345732075947</v>
      </c>
      <c r="X180" s="436">
        <f t="shared" si="225"/>
        <v>30.536582043990535</v>
      </c>
      <c r="AB180" s="7">
        <f t="shared" si="226"/>
        <v>24.610716646928761</v>
      </c>
      <c r="AC180" s="7">
        <f t="shared" si="217"/>
        <v>4.7837947114848429</v>
      </c>
      <c r="AD180" s="7">
        <f t="shared" si="218"/>
        <v>1.1805364879067486</v>
      </c>
      <c r="AF180" s="2">
        <f t="shared" si="219"/>
        <v>1809.9602307338473</v>
      </c>
      <c r="AG180" s="2">
        <f t="shared" si="220"/>
        <v>845.81468916785877</v>
      </c>
      <c r="AH180" s="2">
        <f t="shared" si="221"/>
        <v>991.32032904241714</v>
      </c>
      <c r="AJ180" s="434">
        <f>AHS_tables!CZ197</f>
        <v>0.9239362629502792</v>
      </c>
      <c r="AK180" s="434">
        <f>AHS_tables!CZ311</f>
        <v>0.92523423356880696</v>
      </c>
      <c r="AL180" s="434">
        <f>AHS_tables!$DB$460</f>
        <v>0.99310402222495553</v>
      </c>
    </row>
    <row r="181" spans="3:38" x14ac:dyDescent="0.2">
      <c r="C181" s="280">
        <f t="shared" si="227"/>
        <v>1995</v>
      </c>
      <c r="D181" s="257">
        <f t="shared" si="207"/>
        <v>13745.118395046897</v>
      </c>
      <c r="E181" s="257">
        <f t="shared" si="208"/>
        <v>5832.628554135641</v>
      </c>
      <c r="F181" s="257">
        <f t="shared" si="209"/>
        <v>1233.3257477283519</v>
      </c>
      <c r="G181" s="257">
        <f t="shared" si="222"/>
        <v>20811.072696910891</v>
      </c>
      <c r="I181" s="435">
        <f>AHS_tables!EJ518</f>
        <v>0.20313300988165417</v>
      </c>
      <c r="J181" s="435">
        <f>AHS_tables!DO576</f>
        <v>0.22988730064450832</v>
      </c>
      <c r="K181" s="435">
        <f>AHS_tables!DN641</f>
        <v>0.20157839372637085</v>
      </c>
      <c r="M181" s="258">
        <f t="shared" si="223"/>
        <v>0.66047140362385859</v>
      </c>
      <c r="N181" s="258">
        <f t="shared" si="210"/>
        <v>0.2802656373883799</v>
      </c>
      <c r="O181" s="258">
        <f t="shared" si="211"/>
        <v>5.9262958987761433E-2</v>
      </c>
      <c r="Q181" s="2">
        <f t="shared" si="212"/>
        <v>1822.4157180833502</v>
      </c>
      <c r="R181" s="2">
        <f t="shared" si="213"/>
        <v>838.65680799465144</v>
      </c>
      <c r="S181" s="2">
        <f t="shared" si="214"/>
        <v>1001.9173861109349</v>
      </c>
      <c r="U181" s="436">
        <f t="shared" si="224"/>
        <v>25.049319810050054</v>
      </c>
      <c r="V181" s="436">
        <f t="shared" si="215"/>
        <v>4.8915736454298555</v>
      </c>
      <c r="W181" s="436">
        <f t="shared" si="216"/>
        <v>1.2356905093873045</v>
      </c>
      <c r="X181" s="436">
        <f t="shared" si="225"/>
        <v>31.176583964867213</v>
      </c>
      <c r="AB181" s="7">
        <f t="shared" si="226"/>
        <v>25.047759635025024</v>
      </c>
      <c r="AC181" s="7">
        <f t="shared" si="217"/>
        <v>4.9481121733432119</v>
      </c>
      <c r="AD181" s="7">
        <f t="shared" si="218"/>
        <v>1.2337826923532025</v>
      </c>
      <c r="AF181" s="2">
        <f t="shared" si="219"/>
        <v>1822.3022105106838</v>
      </c>
      <c r="AG181" s="2">
        <f t="shared" si="220"/>
        <v>848.35029822613001</v>
      </c>
      <c r="AH181" s="2">
        <f t="shared" si="221"/>
        <v>1000.3704979205147</v>
      </c>
      <c r="AJ181" s="434">
        <f>AHS_tables!CZ198</f>
        <v>0.9245419665237169</v>
      </c>
      <c r="AK181" s="434">
        <f>AHS_tables!CZ312</f>
        <v>0.92395756078743874</v>
      </c>
      <c r="AL181" s="434">
        <f>AHS_tables!$DB$460</f>
        <v>0.99310402222495553</v>
      </c>
    </row>
    <row r="182" spans="3:38" x14ac:dyDescent="0.2">
      <c r="C182" s="280">
        <f t="shared" si="227"/>
        <v>1996</v>
      </c>
      <c r="D182" s="257">
        <f t="shared" si="207"/>
        <v>13949.238597001486</v>
      </c>
      <c r="E182" s="257">
        <f t="shared" si="208"/>
        <v>5967.7633752824231</v>
      </c>
      <c r="F182" s="257">
        <f t="shared" si="209"/>
        <v>1218.8729345924557</v>
      </c>
      <c r="G182" s="257">
        <f t="shared" si="222"/>
        <v>21135.874906876365</v>
      </c>
      <c r="I182" s="435">
        <f>AHS_tables!EJ519</f>
        <v>0.20443385774123077</v>
      </c>
      <c r="J182" s="435">
        <f>AHS_tables!DO577</f>
        <v>0.23385540293539767</v>
      </c>
      <c r="K182" s="435">
        <f>AHS_tables!DN642</f>
        <v>0.19648840324972747</v>
      </c>
      <c r="M182" s="258">
        <f t="shared" si="223"/>
        <v>0.65997923712461171</v>
      </c>
      <c r="N182" s="258">
        <f t="shared" si="210"/>
        <v>0.28235232284332196</v>
      </c>
      <c r="O182" s="258">
        <f t="shared" si="211"/>
        <v>5.7668440032066358E-2</v>
      </c>
      <c r="Q182" s="2">
        <f t="shared" si="212"/>
        <v>1835.6900047812403</v>
      </c>
      <c r="R182" s="2">
        <f t="shared" si="213"/>
        <v>843.72693711063164</v>
      </c>
      <c r="S182" s="2">
        <f t="shared" si="214"/>
        <v>1010.5399914049125</v>
      </c>
      <c r="U182" s="436">
        <f t="shared" si="224"/>
        <v>25.606477866824317</v>
      </c>
      <c r="V182" s="436">
        <f t="shared" si="215"/>
        <v>5.0351627140280435</v>
      </c>
      <c r="W182" s="436">
        <f t="shared" si="216"/>
        <v>1.2317198448467406</v>
      </c>
      <c r="X182" s="436">
        <f t="shared" si="225"/>
        <v>31.873360425699101</v>
      </c>
      <c r="AB182" s="7">
        <f t="shared" si="226"/>
        <v>25.627349198092141</v>
      </c>
      <c r="AC182" s="7">
        <f t="shared" si="217"/>
        <v>5.0906752873634442</v>
      </c>
      <c r="AD182" s="7">
        <f t="shared" si="218"/>
        <v>1.2303555303790978</v>
      </c>
      <c r="AF182" s="2">
        <f t="shared" si="219"/>
        <v>1837.1862392260584</v>
      </c>
      <c r="AG182" s="2">
        <f t="shared" si="220"/>
        <v>853.02901057509325</v>
      </c>
      <c r="AH182" s="2">
        <f t="shared" si="221"/>
        <v>1009.4206667986122</v>
      </c>
      <c r="AJ182" s="434">
        <f>AHS_tables!CZ199</f>
        <v>0.92514767009715448</v>
      </c>
      <c r="AK182" s="434">
        <f>AHS_tables!CZ313</f>
        <v>0.9226808880060704</v>
      </c>
      <c r="AL182" s="434">
        <f>AHS_tables!$DB$460</f>
        <v>0.99310402222495553</v>
      </c>
    </row>
    <row r="183" spans="3:38" x14ac:dyDescent="0.2">
      <c r="C183" s="280">
        <f t="shared" si="227"/>
        <v>1997</v>
      </c>
      <c r="D183" s="257">
        <f t="shared" si="207"/>
        <v>14157.127177339964</v>
      </c>
      <c r="E183" s="257">
        <f t="shared" si="208"/>
        <v>6106.3500027155114</v>
      </c>
      <c r="F183" s="257">
        <f t="shared" si="209"/>
        <v>1203.3547697894098</v>
      </c>
      <c r="G183" s="257">
        <f t="shared" si="222"/>
        <v>21466.831949844884</v>
      </c>
      <c r="I183" s="435">
        <f>AHS_tables!EJ520</f>
        <v>0.20573470560080737</v>
      </c>
      <c r="J183" s="435">
        <f>AHS_tables!DO578</f>
        <v>0.23782350522628701</v>
      </c>
      <c r="K183" s="435">
        <f>AHS_tables!DN643</f>
        <v>0.19139841277308409</v>
      </c>
      <c r="M183" s="258">
        <f t="shared" si="223"/>
        <v>0.65948842430111176</v>
      </c>
      <c r="N183" s="258">
        <f t="shared" si="210"/>
        <v>0.28445510809337821</v>
      </c>
      <c r="O183" s="258">
        <f t="shared" si="211"/>
        <v>5.6056467605510141E-2</v>
      </c>
      <c r="Q183" s="2">
        <f t="shared" si="212"/>
        <v>1848.0285912409897</v>
      </c>
      <c r="R183" s="2">
        <f t="shared" si="213"/>
        <v>849.11248568335918</v>
      </c>
      <c r="S183" s="2">
        <f t="shared" si="214"/>
        <v>1019.1550679400394</v>
      </c>
      <c r="U183" s="436">
        <f t="shared" si="224"/>
        <v>26.162775793559103</v>
      </c>
      <c r="V183" s="436">
        <f t="shared" si="215"/>
        <v>5.184978029258354</v>
      </c>
      <c r="W183" s="436">
        <f t="shared" si="216"/>
        <v>1.2264051121606963</v>
      </c>
      <c r="X183" s="436">
        <f t="shared" si="225"/>
        <v>32.574158934978151</v>
      </c>
      <c r="AB183" s="7">
        <f t="shared" si="226"/>
        <v>26.206742233071292</v>
      </c>
      <c r="AC183" s="7">
        <f t="shared" si="217"/>
        <v>5.2393095282925373</v>
      </c>
      <c r="AD183" s="7">
        <f t="shared" si="218"/>
        <v>1.225581738002975</v>
      </c>
      <c r="AF183" s="2">
        <f t="shared" si="219"/>
        <v>1851.1341958570565</v>
      </c>
      <c r="AG183" s="2">
        <f t="shared" si="220"/>
        <v>858.01002660551751</v>
      </c>
      <c r="AH183" s="2">
        <f t="shared" si="221"/>
        <v>1018.4708356767098</v>
      </c>
      <c r="AJ183" s="434">
        <f>AHS_tables!CZ200</f>
        <v>0.92575337367059218</v>
      </c>
      <c r="AK183" s="434">
        <f>AHS_tables!CZ314</f>
        <v>0.92140421522470206</v>
      </c>
      <c r="AL183" s="434">
        <f>AHS_tables!$DB$460</f>
        <v>0.99310402222495553</v>
      </c>
    </row>
    <row r="184" spans="3:38" x14ac:dyDescent="0.2">
      <c r="C184" s="280">
        <f t="shared" si="227"/>
        <v>1998</v>
      </c>
      <c r="D184" s="257">
        <f t="shared" si="207"/>
        <v>14532.524627730963</v>
      </c>
      <c r="E184" s="257">
        <f t="shared" si="208"/>
        <v>6049.5681159560963</v>
      </c>
      <c r="F184" s="257">
        <f t="shared" si="209"/>
        <v>1262.3344603320879</v>
      </c>
      <c r="G184" s="257">
        <f t="shared" si="222"/>
        <v>21844.427204019146</v>
      </c>
      <c r="I184" s="435">
        <f>AHS_tables!EJ521</f>
        <v>0.20779573145552596</v>
      </c>
      <c r="J184" s="435">
        <f>AHS_tables!DO579</f>
        <v>0.23701430565154533</v>
      </c>
      <c r="K184" s="435">
        <f>AHS_tables!DN644</f>
        <v>0.19376355821379221</v>
      </c>
      <c r="M184" s="258">
        <f t="shared" si="223"/>
        <v>0.66527377861650361</v>
      </c>
      <c r="N184" s="258">
        <f t="shared" si="210"/>
        <v>0.27693873862909252</v>
      </c>
      <c r="O184" s="258">
        <f t="shared" si="211"/>
        <v>5.7787482754403902E-2</v>
      </c>
      <c r="Q184" s="2">
        <f t="shared" si="212"/>
        <v>1861.8048009651648</v>
      </c>
      <c r="R184" s="2">
        <f t="shared" si="213"/>
        <v>852.55763239740702</v>
      </c>
      <c r="S184" s="2">
        <f t="shared" si="214"/>
        <v>1028.0180713926286</v>
      </c>
      <c r="U184" s="436">
        <f t="shared" si="224"/>
        <v>27.056724122054003</v>
      </c>
      <c r="V184" s="436">
        <f t="shared" si="215"/>
        <v>5.1576054699663709</v>
      </c>
      <c r="W184" s="436">
        <f t="shared" si="216"/>
        <v>1.2977026373630476</v>
      </c>
      <c r="X184" s="436">
        <f t="shared" si="225"/>
        <v>33.512032229383422</v>
      </c>
      <c r="AB184" s="7">
        <f t="shared" si="226"/>
        <v>27.123336197107815</v>
      </c>
      <c r="AC184" s="7">
        <f t="shared" si="217"/>
        <v>5.2113228457791232</v>
      </c>
      <c r="AD184" s="7">
        <f t="shared" si="218"/>
        <v>1.2970751727645775</v>
      </c>
      <c r="AF184" s="2">
        <f t="shared" si="219"/>
        <v>1866.3884556817516</v>
      </c>
      <c r="AG184" s="2">
        <f t="shared" si="220"/>
        <v>861.43717136334897</v>
      </c>
      <c r="AH184" s="2">
        <f t="shared" si="221"/>
        <v>1027.5210045548074</v>
      </c>
      <c r="AJ184" s="434">
        <f>AHS_tables!CZ201</f>
        <v>0.92635907724402977</v>
      </c>
      <c r="AK184" s="434">
        <f>AHS_tables!CZ315</f>
        <v>0.92012754244333383</v>
      </c>
      <c r="AL184" s="434">
        <f>AHS_tables!$DB$460</f>
        <v>0.99310402222495553</v>
      </c>
    </row>
    <row r="185" spans="3:38" x14ac:dyDescent="0.2">
      <c r="C185" s="280">
        <f t="shared" si="227"/>
        <v>1999</v>
      </c>
      <c r="D185" s="257">
        <f t="shared" si="207"/>
        <v>14927.136483914663</v>
      </c>
      <c r="E185" s="257">
        <f t="shared" si="208"/>
        <v>5995.2200512228046</v>
      </c>
      <c r="F185" s="257">
        <f t="shared" si="209"/>
        <v>1322.4905493166484</v>
      </c>
      <c r="G185" s="257">
        <f t="shared" si="222"/>
        <v>22244.847084454115</v>
      </c>
      <c r="I185" s="435">
        <f>AHS_tables!EJ522</f>
        <v>0.20985675731024456</v>
      </c>
      <c r="J185" s="435">
        <f>AHS_tables!DO580</f>
        <v>0.23620510607680364</v>
      </c>
      <c r="K185" s="435">
        <f>AHS_tables!DN645</f>
        <v>0.19612870365450036</v>
      </c>
      <c r="M185" s="258">
        <f t="shared" si="223"/>
        <v>0.67103794542811401</v>
      </c>
      <c r="N185" s="258">
        <f t="shared" si="210"/>
        <v>0.26951050858931658</v>
      </c>
      <c r="O185" s="258">
        <f t="shared" si="211"/>
        <v>5.9451545982569388E-2</v>
      </c>
      <c r="Q185" s="2">
        <f t="shared" si="212"/>
        <v>1877.3620386422317</v>
      </c>
      <c r="R185" s="2">
        <f t="shared" si="213"/>
        <v>857.29218698215323</v>
      </c>
      <c r="S185" s="2">
        <f t="shared" si="214"/>
        <v>1036.8777439850965</v>
      </c>
      <c r="U185" s="436">
        <f t="shared" si="224"/>
        <v>28.023639380532863</v>
      </c>
      <c r="V185" s="436">
        <f t="shared" si="215"/>
        <v>5.1396553091520545</v>
      </c>
      <c r="W185" s="436">
        <f t="shared" si="216"/>
        <v>1.3712610172170572</v>
      </c>
      <c r="X185" s="436">
        <f t="shared" si="225"/>
        <v>34.534555706901976</v>
      </c>
      <c r="AB185" s="7">
        <f t="shared" si="226"/>
        <v>28.114189387727787</v>
      </c>
      <c r="AC185" s="7">
        <f t="shared" si="217"/>
        <v>5.1928518783668061</v>
      </c>
      <c r="AD185" s="7">
        <f t="shared" si="218"/>
        <v>1.3708555805590852</v>
      </c>
      <c r="AF185" s="2">
        <f t="shared" si="219"/>
        <v>1883.4281724444181</v>
      </c>
      <c r="AG185" s="2">
        <f t="shared" si="220"/>
        <v>866.16535072931231</v>
      </c>
      <c r="AH185" s="2">
        <f t="shared" si="221"/>
        <v>1036.571173432905</v>
      </c>
      <c r="AJ185" s="434">
        <f>AHS_tables!CZ202</f>
        <v>0.92696478081746747</v>
      </c>
      <c r="AK185" s="434">
        <f>AHS_tables!CZ316</f>
        <v>0.9188508696619655</v>
      </c>
      <c r="AL185" s="434">
        <f>AHS_tables!$DB$460</f>
        <v>0.99310402222495553</v>
      </c>
    </row>
    <row r="186" spans="3:38" x14ac:dyDescent="0.2">
      <c r="C186" s="280">
        <f t="shared" si="227"/>
        <v>2000</v>
      </c>
      <c r="D186" s="257">
        <f t="shared" si="207"/>
        <v>15190.787961528284</v>
      </c>
      <c r="E186" s="257">
        <f t="shared" si="208"/>
        <v>6082.9032762579927</v>
      </c>
      <c r="F186" s="257">
        <f t="shared" si="209"/>
        <v>1325.4521771360792</v>
      </c>
      <c r="G186" s="257">
        <f t="shared" si="222"/>
        <v>22599.143414922353</v>
      </c>
      <c r="I186" s="435">
        <f>AHS_tables!EJ523</f>
        <v>0.2108073284372971</v>
      </c>
      <c r="J186" s="435">
        <f>AHS_tables!DO581</f>
        <v>0.23867326671490013</v>
      </c>
      <c r="K186" s="435">
        <f>AHS_tables!DN646</f>
        <v>0.19184351202029931</v>
      </c>
      <c r="M186" s="258">
        <f t="shared" si="223"/>
        <v>0.67218423648295067</v>
      </c>
      <c r="N186" s="258">
        <f t="shared" si="210"/>
        <v>0.26916521412229344</v>
      </c>
      <c r="O186" s="258">
        <f t="shared" si="211"/>
        <v>5.8650549394756037E-2</v>
      </c>
      <c r="Q186" s="2">
        <f t="shared" si="212"/>
        <v>1898.1465321083276</v>
      </c>
      <c r="R186" s="2">
        <f t="shared" si="213"/>
        <v>863.82913819906457</v>
      </c>
      <c r="S186" s="2">
        <f t="shared" si="214"/>
        <v>1045.7482538836882</v>
      </c>
      <c r="U186" s="436">
        <f t="shared" si="224"/>
        <v>28.834341489167841</v>
      </c>
      <c r="V186" s="436">
        <f t="shared" si="215"/>
        <v>5.2545890948782077</v>
      </c>
      <c r="W186" s="436">
        <f t="shared" si="216"/>
        <v>1.3860892998463876</v>
      </c>
      <c r="X186" s="436">
        <f t="shared" si="225"/>
        <v>35.475019883892436</v>
      </c>
      <c r="AB186" s="7">
        <f t="shared" si="226"/>
        <v>28.919541634498</v>
      </c>
      <c r="AC186" s="7">
        <f t="shared" si="217"/>
        <v>5.3042584079766177</v>
      </c>
      <c r="AD186" s="7">
        <f t="shared" si="218"/>
        <v>1.3859210846260679</v>
      </c>
      <c r="AF186" s="2">
        <f t="shared" si="219"/>
        <v>1903.7552039919674</v>
      </c>
      <c r="AG186" s="2">
        <f t="shared" si="220"/>
        <v>871.99453403763926</v>
      </c>
      <c r="AH186" s="2">
        <f t="shared" si="221"/>
        <v>1045.6213423110025</v>
      </c>
      <c r="AJ186" s="434">
        <f>AHS_tables!CZ203</f>
        <v>0.9299932986846553</v>
      </c>
      <c r="AK186" s="434">
        <f>AHS_tables!CZ317</f>
        <v>0.91629752409922904</v>
      </c>
      <c r="AL186" s="434">
        <f>AHS_tables!$DB$460</f>
        <v>0.99310402222495553</v>
      </c>
    </row>
    <row r="187" spans="3:38" x14ac:dyDescent="0.2">
      <c r="C187" s="280">
        <f t="shared" si="227"/>
        <v>2001</v>
      </c>
      <c r="D187" s="257">
        <f t="shared" si="207"/>
        <v>15453.891894384393</v>
      </c>
      <c r="E187" s="257">
        <f t="shared" si="208"/>
        <v>6169.6402863395106</v>
      </c>
      <c r="F187" s="257">
        <f t="shared" si="209"/>
        <v>1318.5282640533733</v>
      </c>
      <c r="G187" s="257">
        <f t="shared" si="222"/>
        <v>22942.060444777275</v>
      </c>
      <c r="I187" s="435">
        <f>AHS_tables!EJ524</f>
        <v>0.21175789956434968</v>
      </c>
      <c r="J187" s="435">
        <f>AHS_tables!DO582</f>
        <v>0.2411414273529966</v>
      </c>
      <c r="K187" s="435">
        <f>AHS_tables!DN647</f>
        <v>0.18755832038609824</v>
      </c>
      <c r="M187" s="258">
        <f t="shared" si="223"/>
        <v>0.67360522964285219</v>
      </c>
      <c r="N187" s="258">
        <f t="shared" si="210"/>
        <v>0.26892267593794172</v>
      </c>
      <c r="O187" s="258">
        <f t="shared" si="211"/>
        <v>5.7472094419206109E-2</v>
      </c>
      <c r="Q187" s="2">
        <f t="shared" si="212"/>
        <v>1920.2072144379495</v>
      </c>
      <c r="R187" s="2">
        <f t="shared" si="213"/>
        <v>869.78991270759343</v>
      </c>
      <c r="S187" s="2">
        <f t="shared" si="214"/>
        <v>1054.6156715543354</v>
      </c>
      <c r="U187" s="436">
        <f t="shared" si="224"/>
        <v>29.674674706741058</v>
      </c>
      <c r="V187" s="436">
        <f t="shared" si="215"/>
        <v>5.3662908860924938</v>
      </c>
      <c r="W187" s="436">
        <f t="shared" si="216"/>
        <v>1.3905405706580203</v>
      </c>
      <c r="X187" s="436">
        <f t="shared" si="225"/>
        <v>36.431506163491569</v>
      </c>
      <c r="AB187" s="7">
        <f t="shared" si="226"/>
        <v>29.755053664554808</v>
      </c>
      <c r="AC187" s="7">
        <f t="shared" si="217"/>
        <v>5.4120724836251215</v>
      </c>
      <c r="AD187" s="7">
        <f t="shared" si="218"/>
        <v>1.3906141967947119</v>
      </c>
      <c r="AF187" s="2">
        <f t="shared" si="219"/>
        <v>1925.4084257808963</v>
      </c>
      <c r="AG187" s="2">
        <f t="shared" si="220"/>
        <v>877.21037733889352</v>
      </c>
      <c r="AH187" s="2">
        <f t="shared" si="221"/>
        <v>1054.6715111891001</v>
      </c>
      <c r="AJ187" s="434">
        <f>AHS_tables!CZ204</f>
        <v>0.93302181655184313</v>
      </c>
      <c r="AK187" s="434">
        <f>AHS_tables!CZ318</f>
        <v>0.91374417853649259</v>
      </c>
      <c r="AL187" s="434">
        <f>AHS_tables!$DB$460</f>
        <v>0.99310402222495553</v>
      </c>
    </row>
    <row r="188" spans="3:38" x14ac:dyDescent="0.2">
      <c r="C188" s="280">
        <f t="shared" si="227"/>
        <v>2002</v>
      </c>
      <c r="D188" s="257">
        <f t="shared" si="207"/>
        <v>15640.654164627489</v>
      </c>
      <c r="E188" s="257">
        <f t="shared" si="208"/>
        <v>6251.4422633321674</v>
      </c>
      <c r="F188" s="257">
        <f t="shared" si="209"/>
        <v>1307.0648788155311</v>
      </c>
      <c r="G188" s="257">
        <f t="shared" si="222"/>
        <v>23199.161306775186</v>
      </c>
      <c r="I188" s="435">
        <f>AHS_tables!EJ525</f>
        <v>0.21218441058460738</v>
      </c>
      <c r="J188" s="435">
        <f>AHS_tables!DO583</f>
        <v>0.24176191141194037</v>
      </c>
      <c r="K188" s="435">
        <f>AHS_tables!DN648</f>
        <v>0.19035547045466233</v>
      </c>
      <c r="M188" s="258">
        <f t="shared" si="223"/>
        <v>0.67419050015656057</v>
      </c>
      <c r="N188" s="258">
        <f t="shared" si="210"/>
        <v>0.26946845968550026</v>
      </c>
      <c r="O188" s="258">
        <f t="shared" si="211"/>
        <v>5.6341040157939247E-2</v>
      </c>
      <c r="Q188" s="2">
        <f t="shared" si="212"/>
        <v>1942.9735373337844</v>
      </c>
      <c r="R188" s="2">
        <f t="shared" si="213"/>
        <v>876.38583939997125</v>
      </c>
      <c r="S188" s="2">
        <f t="shared" si="214"/>
        <v>1054.4800913751699</v>
      </c>
      <c r="U188" s="436">
        <f t="shared" si="224"/>
        <v>30.38937714846066</v>
      </c>
      <c r="V188" s="436">
        <f t="shared" si="215"/>
        <v>5.4786754754108173</v>
      </c>
      <c r="W188" s="436">
        <f t="shared" si="216"/>
        <v>1.3782738928466765</v>
      </c>
      <c r="X188" s="436">
        <f t="shared" si="225"/>
        <v>37.246326516718156</v>
      </c>
      <c r="AB188" s="7">
        <f t="shared" si="226"/>
        <v>30.46518450108363</v>
      </c>
      <c r="AC188" s="7">
        <f t="shared" si="217"/>
        <v>5.52203465964313</v>
      </c>
      <c r="AD188" s="7">
        <f t="shared" si="218"/>
        <v>1.3785286254133635</v>
      </c>
      <c r="AF188" s="2">
        <f t="shared" si="219"/>
        <v>1947.8203520401933</v>
      </c>
      <c r="AG188" s="2">
        <f t="shared" si="220"/>
        <v>883.32170834122917</v>
      </c>
      <c r="AH188" s="2">
        <f t="shared" si="221"/>
        <v>1054.6749803748023</v>
      </c>
      <c r="AJ188" s="434">
        <f>AHS_tables!CZ205</f>
        <v>0.93605033441903185</v>
      </c>
      <c r="AK188" s="434">
        <f>AHS_tables!CZ319</f>
        <v>0.91119083297375614</v>
      </c>
      <c r="AL188" s="434">
        <f>AHS_tables!$DB$460</f>
        <v>0.99310402222495553</v>
      </c>
    </row>
    <row r="189" spans="3:38" x14ac:dyDescent="0.2">
      <c r="C189" s="280">
        <f t="shared" si="227"/>
        <v>2003</v>
      </c>
      <c r="D189" s="257">
        <f t="shared" si="207"/>
        <v>15837.360553404236</v>
      </c>
      <c r="E189" s="257">
        <f t="shared" si="208"/>
        <v>6332.4363055346894</v>
      </c>
      <c r="F189" s="257">
        <f t="shared" si="209"/>
        <v>1291.1292058443578</v>
      </c>
      <c r="G189" s="257">
        <f t="shared" si="222"/>
        <v>23460.926064783285</v>
      </c>
      <c r="I189" s="435">
        <f>AHS_tables!EJ526</f>
        <v>0.21261092160486508</v>
      </c>
      <c r="J189" s="435">
        <f>AHS_tables!DO584</f>
        <v>0.24238239547088411</v>
      </c>
      <c r="K189" s="435">
        <f>AHS_tables!DN649</f>
        <v>0.1931526205232264</v>
      </c>
      <c r="M189" s="258">
        <f t="shared" si="223"/>
        <v>0.67505266031153699</v>
      </c>
      <c r="N189" s="258">
        <f t="shared" si="210"/>
        <v>0.26991416656140355</v>
      </c>
      <c r="O189" s="258">
        <f t="shared" si="211"/>
        <v>5.5033173127059354E-2</v>
      </c>
      <c r="Q189" s="2">
        <f t="shared" si="212"/>
        <v>1965.8305326963443</v>
      </c>
      <c r="R189" s="2">
        <f t="shared" si="213"/>
        <v>881.54856897289199</v>
      </c>
      <c r="S189" s="2">
        <f t="shared" si="214"/>
        <v>1054.3445469431797</v>
      </c>
      <c r="U189" s="436">
        <f t="shared" si="224"/>
        <v>31.133566933202719</v>
      </c>
      <c r="V189" s="436">
        <f t="shared" si="215"/>
        <v>5.5823501632560921</v>
      </c>
      <c r="W189" s="436">
        <f t="shared" si="216"/>
        <v>1.3612950375810768</v>
      </c>
      <c r="X189" s="436">
        <f t="shared" si="225"/>
        <v>38.07721213403989</v>
      </c>
      <c r="AB189" s="7">
        <f t="shared" si="226"/>
        <v>31.205143109437014</v>
      </c>
      <c r="AC189" s="7">
        <f t="shared" si="217"/>
        <v>5.6230409470041316</v>
      </c>
      <c r="AD189" s="7">
        <f t="shared" si="218"/>
        <v>1.3617261490022128</v>
      </c>
      <c r="AF189" s="2">
        <f t="shared" si="219"/>
        <v>1970.3499837748834</v>
      </c>
      <c r="AG189" s="2">
        <f t="shared" si="220"/>
        <v>887.97433968494397</v>
      </c>
      <c r="AH189" s="2">
        <f t="shared" si="221"/>
        <v>1054.6784495605045</v>
      </c>
      <c r="AJ189" s="434">
        <f>AHS_tables!CZ206</f>
        <v>0.93907885228621968</v>
      </c>
      <c r="AK189" s="434">
        <f>AHS_tables!CZ320</f>
        <v>0.9086374874110188</v>
      </c>
      <c r="AL189" s="434">
        <f>AHS_tables!$DB$460</f>
        <v>0.99310402222495553</v>
      </c>
    </row>
    <row r="190" spans="3:38" x14ac:dyDescent="0.2">
      <c r="C190" s="280">
        <f t="shared" si="227"/>
        <v>2004</v>
      </c>
      <c r="D190" s="257">
        <f t="shared" si="207"/>
        <v>16103.52123461977</v>
      </c>
      <c r="E190" s="257">
        <f t="shared" si="208"/>
        <v>6337.5022991775031</v>
      </c>
      <c r="F190" s="257">
        <f t="shared" si="209"/>
        <v>1281.2796603433001</v>
      </c>
      <c r="G190" s="257">
        <f t="shared" si="222"/>
        <v>23722.303194140575</v>
      </c>
      <c r="I190" s="435">
        <f>AHS_tables!EJ527</f>
        <v>0.21308788682995167</v>
      </c>
      <c r="J190" s="435">
        <f>AHS_tables!DO585</f>
        <v>0.242675135012344</v>
      </c>
      <c r="K190" s="435">
        <f>AHS_tables!DN650</f>
        <v>0.18621486197411247</v>
      </c>
      <c r="M190" s="258">
        <f t="shared" si="223"/>
        <v>0.67883464361914703</v>
      </c>
      <c r="N190" s="258">
        <f t="shared" si="210"/>
        <v>0.26715375178000722</v>
      </c>
      <c r="O190" s="258">
        <f t="shared" si="211"/>
        <v>5.4011604600845711E-2</v>
      </c>
      <c r="Q190" s="2">
        <f t="shared" si="212"/>
        <v>1991.034409372653</v>
      </c>
      <c r="R190" s="2">
        <f t="shared" si="213"/>
        <v>888.07926183072493</v>
      </c>
      <c r="S190" s="2">
        <f t="shared" si="214"/>
        <v>1054.4884287355744</v>
      </c>
      <c r="U190" s="436">
        <f t="shared" si="224"/>
        <v>32.062664890191151</v>
      </c>
      <c r="V190" s="436">
        <f t="shared" si="215"/>
        <v>5.6282043637040786</v>
      </c>
      <c r="W190" s="436">
        <f t="shared" si="216"/>
        <v>1.3510945758062567</v>
      </c>
      <c r="X190" s="436">
        <f t="shared" si="225"/>
        <v>39.041963829701487</v>
      </c>
      <c r="AB190" s="7">
        <f t="shared" si="226"/>
        <v>32.125153769426163</v>
      </c>
      <c r="AC190" s="7">
        <f t="shared" si="217"/>
        <v>5.6661218098773043</v>
      </c>
      <c r="AD190" s="7">
        <f t="shared" si="218"/>
        <v>1.35134249062136</v>
      </c>
      <c r="AF190" s="2">
        <f t="shared" si="219"/>
        <v>1994.9148575258605</v>
      </c>
      <c r="AG190" s="2">
        <f t="shared" si="220"/>
        <v>894.06228864211505</v>
      </c>
      <c r="AH190" s="2">
        <f t="shared" si="221"/>
        <v>1054.681918746207</v>
      </c>
      <c r="AJ190" s="434">
        <f>AHS_tables!CZ207</f>
        <v>0.9421073701534084</v>
      </c>
      <c r="AK190" s="434">
        <f>AHS_tables!CZ321</f>
        <v>0.90608414184828234</v>
      </c>
      <c r="AL190" s="434">
        <f>AHS_tables!$DB$460</f>
        <v>0.99310402222495553</v>
      </c>
    </row>
    <row r="191" spans="3:38" x14ac:dyDescent="0.2">
      <c r="C191" s="280">
        <f t="shared" si="227"/>
        <v>2005</v>
      </c>
      <c r="D191" s="257">
        <f t="shared" si="207"/>
        <v>16391.959385158741</v>
      </c>
      <c r="E191" s="257">
        <f t="shared" si="208"/>
        <v>6342.2800937715374</v>
      </c>
      <c r="F191" s="257">
        <f t="shared" si="209"/>
        <v>1268.0981729369792</v>
      </c>
      <c r="G191" s="257">
        <f t="shared" si="222"/>
        <v>24002.337651867256</v>
      </c>
      <c r="I191" s="435">
        <f>AHS_tables!EJ528</f>
        <v>0.21356485205503828</v>
      </c>
      <c r="J191" s="435">
        <f>AHS_tables!DO586</f>
        <v>0.24296787455380389</v>
      </c>
      <c r="K191" s="435">
        <f>AHS_tables!DN651</f>
        <v>0.17927710342499856</v>
      </c>
      <c r="M191" s="258">
        <f t="shared" si="223"/>
        <v>0.68293178868282156</v>
      </c>
      <c r="N191" s="258">
        <f t="shared" si="210"/>
        <v>0.26423593342284896</v>
      </c>
      <c r="O191" s="258">
        <f t="shared" si="211"/>
        <v>5.2832277894329503E-2</v>
      </c>
      <c r="Q191" s="2">
        <f t="shared" si="212"/>
        <v>2017.7434812786212</v>
      </c>
      <c r="R191" s="2">
        <f t="shared" si="213"/>
        <v>894.12739858538202</v>
      </c>
      <c r="S191" s="2">
        <f t="shared" si="214"/>
        <v>1054.6323488562368</v>
      </c>
      <c r="U191" s="436">
        <f t="shared" si="224"/>
        <v>33.074769194787962</v>
      </c>
      <c r="V191" s="436">
        <f t="shared" si="215"/>
        <v>5.6708064013437971</v>
      </c>
      <c r="W191" s="436">
        <f t="shared" si="216"/>
        <v>1.3373773547048287</v>
      </c>
      <c r="X191" s="436">
        <f t="shared" si="225"/>
        <v>40.082952950836585</v>
      </c>
      <c r="AB191" s="7">
        <f t="shared" si="226"/>
        <v>33.129092237282237</v>
      </c>
      <c r="AC191" s="7">
        <f t="shared" si="217"/>
        <v>5.7058687568439819</v>
      </c>
      <c r="AD191" s="7">
        <f t="shared" si="218"/>
        <v>1.337444613459783</v>
      </c>
      <c r="AF191" s="2">
        <f t="shared" si="219"/>
        <v>2021.0574867137159</v>
      </c>
      <c r="AG191" s="2">
        <f t="shared" si="220"/>
        <v>899.655750373979</v>
      </c>
      <c r="AH191" s="2">
        <f t="shared" si="221"/>
        <v>1054.6853879319092</v>
      </c>
      <c r="AJ191" s="434">
        <f>AHS_tables!CZ208</f>
        <v>0.94513588802059623</v>
      </c>
      <c r="AK191" s="434">
        <f>AHS_tables!CZ322</f>
        <v>0.90353079628554589</v>
      </c>
      <c r="AL191" s="434">
        <f>AHS_tables!$DB$460</f>
        <v>0.99310402222495553</v>
      </c>
    </row>
    <row r="192" spans="3:38" x14ac:dyDescent="0.2">
      <c r="C192" s="280">
        <f t="shared" si="227"/>
        <v>2006</v>
      </c>
      <c r="D192" s="257">
        <f t="shared" si="207"/>
        <v>16620.579983362408</v>
      </c>
      <c r="E192" s="257">
        <f t="shared" si="208"/>
        <v>6398.6643268193311</v>
      </c>
      <c r="F192" s="257">
        <f t="shared" si="209"/>
        <v>1268.2906269283378</v>
      </c>
      <c r="G192" s="257">
        <f t="shared" si="222"/>
        <v>24287.534937110078</v>
      </c>
      <c r="I192" s="435">
        <f>AHS_tables!EJ529</f>
        <v>0.21440510077044589</v>
      </c>
      <c r="J192" s="435">
        <f>AHS_tables!DO587</f>
        <v>0.24442943263794537</v>
      </c>
      <c r="K192" s="435">
        <f>AHS_tables!DN652</f>
        <v>0.18000937593277772</v>
      </c>
      <c r="M192" s="258">
        <f t="shared" si="223"/>
        <v>0.68432552032964999</v>
      </c>
      <c r="N192" s="258">
        <f t="shared" si="210"/>
        <v>0.26345466278846225</v>
      </c>
      <c r="O192" s="258">
        <f t="shared" si="211"/>
        <v>5.2219816881887683E-2</v>
      </c>
      <c r="Q192" s="2">
        <f t="shared" si="212"/>
        <v>2043.4425230686807</v>
      </c>
      <c r="R192" s="2">
        <f t="shared" si="213"/>
        <v>902.62499110126271</v>
      </c>
      <c r="S192" s="2">
        <f t="shared" si="214"/>
        <v>1060.689551384171</v>
      </c>
      <c r="U192" s="436">
        <f t="shared" si="224"/>
        <v>33.963199896066889</v>
      </c>
      <c r="V192" s="436">
        <f t="shared" si="215"/>
        <v>5.7755943310552658</v>
      </c>
      <c r="W192" s="436">
        <f t="shared" si="216"/>
        <v>1.3452626161013677</v>
      </c>
      <c r="X192" s="436">
        <f t="shared" si="225"/>
        <v>41.084056843223522</v>
      </c>
      <c r="AB192" s="7">
        <f t="shared" si="226"/>
        <v>34.013228329011476</v>
      </c>
      <c r="AC192" s="7">
        <f t="shared" si="217"/>
        <v>5.8059263233371068</v>
      </c>
      <c r="AD192" s="7">
        <f t="shared" si="218"/>
        <v>1.3455169180166462</v>
      </c>
      <c r="AF192" s="2">
        <f t="shared" si="219"/>
        <v>2046.4525523814161</v>
      </c>
      <c r="AG192" s="2">
        <f t="shared" si="220"/>
        <v>907.36535420402902</v>
      </c>
      <c r="AH192" s="2">
        <f t="shared" si="221"/>
        <v>1060.8900589885634</v>
      </c>
      <c r="AJ192" s="434">
        <f>AHS_tables!CZ209</f>
        <v>0.94816440588778494</v>
      </c>
      <c r="AK192" s="434">
        <f>AHS_tables!CZ323</f>
        <v>0.90097745072280944</v>
      </c>
      <c r="AL192" s="434">
        <f>AHS_tables!$DB$460</f>
        <v>0.99310402222495553</v>
      </c>
    </row>
    <row r="193" spans="3:38" x14ac:dyDescent="0.2">
      <c r="C193" s="280">
        <f t="shared" si="227"/>
        <v>2007</v>
      </c>
      <c r="D193" s="257">
        <f t="shared" si="207"/>
        <v>16808.559261188377</v>
      </c>
      <c r="E193" s="257">
        <f t="shared" si="208"/>
        <v>6454.3147433631884</v>
      </c>
      <c r="F193" s="257">
        <f t="shared" si="209"/>
        <v>1267.2128185211091</v>
      </c>
      <c r="G193" s="257">
        <f t="shared" si="222"/>
        <v>24530.086823072674</v>
      </c>
      <c r="I193" s="435">
        <f>AHS_tables!EJ530</f>
        <v>0.2152453494858535</v>
      </c>
      <c r="J193" s="435">
        <f>AHS_tables!DO588</f>
        <v>0.24589099072208681</v>
      </c>
      <c r="K193" s="435">
        <f>AHS_tables!DN653</f>
        <v>0.18074164844055685</v>
      </c>
      <c r="M193" s="258">
        <f t="shared" si="223"/>
        <v>0.68522216747225162</v>
      </c>
      <c r="N193" s="258">
        <f t="shared" si="210"/>
        <v>0.26311829998466807</v>
      </c>
      <c r="O193" s="258">
        <f t="shared" si="211"/>
        <v>5.1659532543080339E-2</v>
      </c>
      <c r="Q193" s="2">
        <f t="shared" si="212"/>
        <v>2060.3115307492276</v>
      </c>
      <c r="R193" s="2">
        <f t="shared" si="213"/>
        <v>909.1301123093499</v>
      </c>
      <c r="S193" s="2">
        <f t="shared" si="214"/>
        <v>1066.7450736665025</v>
      </c>
      <c r="U193" s="436">
        <f t="shared" si="224"/>
        <v>34.630868461108129</v>
      </c>
      <c r="V193" s="436">
        <f t="shared" si="215"/>
        <v>5.8678118875136684</v>
      </c>
      <c r="W193" s="436">
        <f t="shared" si="216"/>
        <v>1.3517930314444369</v>
      </c>
      <c r="X193" s="436">
        <f t="shared" si="225"/>
        <v>41.850473380066234</v>
      </c>
      <c r="AB193" s="7">
        <f t="shared" si="226"/>
        <v>34.677343036881332</v>
      </c>
      <c r="AC193" s="7">
        <f t="shared" si="217"/>
        <v>5.8930324599200334</v>
      </c>
      <c r="AD193" s="7">
        <f t="shared" si="218"/>
        <v>1.3522361204896223</v>
      </c>
      <c r="AF193" s="2">
        <f t="shared" si="219"/>
        <v>2063.0764658665707</v>
      </c>
      <c r="AG193" s="2">
        <f t="shared" si="220"/>
        <v>913.03766460718282</v>
      </c>
      <c r="AH193" s="2">
        <f t="shared" si="221"/>
        <v>1067.0947300452176</v>
      </c>
      <c r="AJ193" s="434">
        <f>AHS_tables!CZ210</f>
        <v>0.95119292375497277</v>
      </c>
      <c r="AK193" s="434">
        <f>AHS_tables!CZ324</f>
        <v>0.89842410516007298</v>
      </c>
      <c r="AL193" s="434">
        <f>AHS_tables!$DB$460</f>
        <v>0.99310402222495553</v>
      </c>
    </row>
    <row r="194" spans="3:38" x14ac:dyDescent="0.2">
      <c r="C194" s="280">
        <f t="shared" si="227"/>
        <v>2008</v>
      </c>
      <c r="D194" s="257">
        <f t="shared" si="207"/>
        <v>16860.213781920156</v>
      </c>
      <c r="E194" s="257">
        <f t="shared" si="208"/>
        <v>6425.747180862747</v>
      </c>
      <c r="F194" s="257">
        <f t="shared" si="209"/>
        <v>1320.0974752612142</v>
      </c>
      <c r="G194" s="257">
        <f t="shared" si="222"/>
        <v>24606.058438044118</v>
      </c>
      <c r="I194" s="435">
        <f>AHS_tables!EJ531</f>
        <v>0.21397061051909638</v>
      </c>
      <c r="J194" s="435">
        <f>AHS_tables!DO589</f>
        <v>0.2454842656669701</v>
      </c>
      <c r="K194" s="435">
        <f>AHS_tables!DN654</f>
        <v>0.19007791453043082</v>
      </c>
      <c r="M194" s="258">
        <f t="shared" si="223"/>
        <v>0.68520579288928718</v>
      </c>
      <c r="N194" s="258">
        <f t="shared" si="210"/>
        <v>0.26114492075365142</v>
      </c>
      <c r="O194" s="258">
        <f t="shared" si="211"/>
        <v>5.3649286357061336E-2</v>
      </c>
      <c r="Q194" s="2">
        <f t="shared" si="212"/>
        <v>2073.4655805375264</v>
      </c>
      <c r="R194" s="2">
        <f t="shared" si="213"/>
        <v>911.0344401098539</v>
      </c>
      <c r="S194" s="2">
        <f t="shared" si="214"/>
        <v>1072.6223881767048</v>
      </c>
      <c r="U194" s="436">
        <f t="shared" si="224"/>
        <v>34.959072957315875</v>
      </c>
      <c r="V194" s="436">
        <f t="shared" si="215"/>
        <v>5.854076985204764</v>
      </c>
      <c r="W194" s="436">
        <f t="shared" si="216"/>
        <v>1.4159661065407221</v>
      </c>
      <c r="X194" s="436">
        <f t="shared" si="225"/>
        <v>42.229116049061361</v>
      </c>
      <c r="AB194" s="7">
        <f t="shared" si="226"/>
        <v>35.010605692973385</v>
      </c>
      <c r="AC194" s="7">
        <f t="shared" si="217"/>
        <v>5.8752649842515066</v>
      </c>
      <c r="AD194" s="7">
        <f t="shared" si="218"/>
        <v>1.4168598295939545</v>
      </c>
      <c r="AF194" s="2">
        <f t="shared" si="219"/>
        <v>2076.5220504212457</v>
      </c>
      <c r="AG194" s="2">
        <f t="shared" si="220"/>
        <v>914.33179969316348</v>
      </c>
      <c r="AH194" s="2">
        <f t="shared" si="221"/>
        <v>1073.299401101872</v>
      </c>
      <c r="AJ194" s="434">
        <f>AHS_tables!CZ211</f>
        <v>0.95422144162216149</v>
      </c>
      <c r="AK194" s="434">
        <f>AHS_tables!CZ325</f>
        <v>0.89587075959733653</v>
      </c>
      <c r="AL194" s="434">
        <f>AHS_tables!$DB$460</f>
        <v>0.99310402222495553</v>
      </c>
    </row>
    <row r="195" spans="3:38" x14ac:dyDescent="0.2">
      <c r="C195" s="280">
        <f t="shared" si="227"/>
        <v>2009</v>
      </c>
      <c r="D195" s="257">
        <f t="shared" si="207"/>
        <v>16849.193377954507</v>
      </c>
      <c r="E195" s="257">
        <f t="shared" si="208"/>
        <v>6396.0496491912909</v>
      </c>
      <c r="F195" s="257">
        <f t="shared" si="209"/>
        <v>1370.2187355317612</v>
      </c>
      <c r="G195" s="257">
        <f t="shared" si="222"/>
        <v>24615.461762677562</v>
      </c>
      <c r="I195" s="435">
        <f>AHS_tables!EJ532</f>
        <v>0.21269587155233927</v>
      </c>
      <c r="J195" s="435">
        <f>AHS_tables!DO590</f>
        <v>0.24507754061185338</v>
      </c>
      <c r="K195" s="435">
        <f>AHS_tables!DN655</f>
        <v>0.19941418062030483</v>
      </c>
      <c r="M195" s="258">
        <f t="shared" si="223"/>
        <v>0.68449633569342905</v>
      </c>
      <c r="N195" s="258">
        <f t="shared" si="210"/>
        <v>0.25983870263563791</v>
      </c>
      <c r="O195" s="258">
        <f t="shared" si="211"/>
        <v>5.5664961670932912E-2</v>
      </c>
      <c r="Q195" s="2">
        <f t="shared" si="212"/>
        <v>2084.7164252298157</v>
      </c>
      <c r="R195" s="2">
        <f t="shared" si="213"/>
        <v>911.45017789420638</v>
      </c>
      <c r="S195" s="2">
        <f t="shared" si="214"/>
        <v>1078.4961397011778</v>
      </c>
      <c r="U195" s="436">
        <f t="shared" si="224"/>
        <v>35.125790186895202</v>
      </c>
      <c r="V195" s="436">
        <f t="shared" si="215"/>
        <v>5.8296805905755784</v>
      </c>
      <c r="W195" s="436">
        <f t="shared" si="216"/>
        <v>1.4777756168172336</v>
      </c>
      <c r="X195" s="436">
        <f t="shared" si="225"/>
        <v>42.433246394288012</v>
      </c>
      <c r="AB195" s="7">
        <f t="shared" si="226"/>
        <v>35.182241823908733</v>
      </c>
      <c r="AC195" s="7">
        <f t="shared" si="217"/>
        <v>5.8467605515980354</v>
      </c>
      <c r="AD195" s="7">
        <f t="shared" si="218"/>
        <v>1.4791567047544436</v>
      </c>
      <c r="AF195" s="2">
        <f t="shared" si="219"/>
        <v>2088.0668311363315</v>
      </c>
      <c r="AG195" s="2">
        <f t="shared" si="220"/>
        <v>914.12057008301883</v>
      </c>
      <c r="AH195" s="2">
        <f t="shared" si="221"/>
        <v>1079.5040721585267</v>
      </c>
      <c r="AJ195" s="434">
        <f>AHS_tables!CZ212</f>
        <v>0.95724995948934932</v>
      </c>
      <c r="AK195" s="434">
        <f>AHS_tables!CZ326</f>
        <v>0.89331741403459919</v>
      </c>
      <c r="AL195" s="434">
        <f>AHS_tables!$DB$460</f>
        <v>0.99310402222495553</v>
      </c>
    </row>
    <row r="196" spans="3:38" x14ac:dyDescent="0.2">
      <c r="C196" s="280">
        <f t="shared" si="227"/>
        <v>2010</v>
      </c>
      <c r="D196" s="257">
        <f t="shared" si="207"/>
        <v>17124.186808364411</v>
      </c>
      <c r="E196" s="257">
        <f t="shared" si="208"/>
        <v>6529.5733925952063</v>
      </c>
      <c r="F196" s="257">
        <f t="shared" si="209"/>
        <v>1380.5347811150386</v>
      </c>
      <c r="G196" s="257">
        <f t="shared" si="222"/>
        <v>25034.294982074654</v>
      </c>
      <c r="I196" s="435">
        <f>AHS_tables!EJ533</f>
        <v>0.21457962703826938</v>
      </c>
      <c r="J196" s="435">
        <f>AHS_tables!DO591</f>
        <v>0.24644599340964768</v>
      </c>
      <c r="K196" s="435">
        <f>AHS_tables!DN656</f>
        <v>0.19941418062030483</v>
      </c>
      <c r="M196" s="258">
        <f t="shared" si="223"/>
        <v>0.68402912167591978</v>
      </c>
      <c r="N196" s="258">
        <f t="shared" si="210"/>
        <v>0.26082513596930079</v>
      </c>
      <c r="O196" s="258">
        <f t="shared" si="211"/>
        <v>5.5145742354779516E-2</v>
      </c>
      <c r="Q196" s="2">
        <f t="shared" si="212"/>
        <v>2093.975005016473</v>
      </c>
      <c r="R196" s="2">
        <f t="shared" si="213"/>
        <v>913.06598228077746</v>
      </c>
      <c r="S196" s="2">
        <f t="shared" si="214"/>
        <v>1095.7230519025127</v>
      </c>
      <c r="U196" s="436">
        <f t="shared" si="224"/>
        <v>35.857619157947887</v>
      </c>
      <c r="V196" s="436">
        <f t="shared" si="215"/>
        <v>5.9619313435843706</v>
      </c>
      <c r="W196" s="436">
        <f t="shared" si="216"/>
        <v>1.5126837836209375</v>
      </c>
      <c r="X196" s="436">
        <f t="shared" si="225"/>
        <v>43.332234285153191</v>
      </c>
      <c r="AB196" s="7">
        <f t="shared" si="226"/>
        <v>35.920851861426279</v>
      </c>
      <c r="AC196" s="7">
        <f t="shared" si="217"/>
        <v>5.9733497133092195</v>
      </c>
      <c r="AD196" s="7">
        <f t="shared" si="218"/>
        <v>1.5140974957586917</v>
      </c>
      <c r="AF196" s="2">
        <f t="shared" si="219"/>
        <v>2097.6676010028414</v>
      </c>
      <c r="AG196" s="2">
        <f t="shared" si="220"/>
        <v>914.81469832060304</v>
      </c>
      <c r="AH196" s="2">
        <f t="shared" si="221"/>
        <v>1096.7470841522561</v>
      </c>
      <c r="AJ196" s="434">
        <f>AHS_tables!CZ213</f>
        <v>0.96027847735653804</v>
      </c>
      <c r="AK196" s="434">
        <f>AHS_tables!CZ327</f>
        <v>0.89076406847186274</v>
      </c>
      <c r="AL196" s="434">
        <f>AHS_tables!$DB$460</f>
        <v>0.99310402222495553</v>
      </c>
    </row>
    <row r="197" spans="3:38" x14ac:dyDescent="0.2">
      <c r="C197" s="280">
        <f t="shared" si="227"/>
        <v>2011</v>
      </c>
      <c r="D197" s="257">
        <f t="shared" si="207"/>
        <v>17395.364657871723</v>
      </c>
      <c r="E197" s="257">
        <f t="shared" si="208"/>
        <v>6656.5701825140804</v>
      </c>
      <c r="F197" s="257">
        <f t="shared" si="209"/>
        <v>1390.6274713575813</v>
      </c>
      <c r="G197" s="257">
        <f>SUM(D197:F197)</f>
        <v>25442.562311743382</v>
      </c>
      <c r="H197" s="280"/>
      <c r="I197" s="435">
        <f>AHS_tables!EJ534</f>
        <v>0.21646338252419947</v>
      </c>
      <c r="J197" s="435">
        <f>AHS_tables!DO592</f>
        <v>0.24781444620744195</v>
      </c>
      <c r="K197" s="435">
        <f>AHS_tables!DN657</f>
        <v>0.19941418062030483</v>
      </c>
      <c r="L197" s="280"/>
      <c r="M197" s="258">
        <f>D197/$G197</f>
        <v>0.68371119405071246</v>
      </c>
      <c r="N197" s="258">
        <f>E197/$G197</f>
        <v>0.26163128150978898</v>
      </c>
      <c r="O197" s="258">
        <f>F197/$G197</f>
        <v>5.4657524439498652E-2</v>
      </c>
      <c r="P197" s="280"/>
      <c r="Q197" s="282">
        <f t="shared" si="212"/>
        <v>2103.6492972877331</v>
      </c>
      <c r="R197" s="282">
        <f t="shared" si="213"/>
        <v>915.99485175395228</v>
      </c>
      <c r="S197" s="282">
        <f t="shared" si="214"/>
        <v>1112.9499641038476</v>
      </c>
      <c r="T197" s="280"/>
      <c r="U197" s="436">
        <f>D197*Q197*0.000001</f>
        <v>36.593746638595718</v>
      </c>
      <c r="V197" s="436">
        <f>E197*R197*0.000001</f>
        <v>6.0973840175217635</v>
      </c>
      <c r="W197" s="436">
        <f>F197*S197*0.000001</f>
        <v>1.5476987943292444</v>
      </c>
      <c r="X197" s="436">
        <f>SUM(U197:W197)</f>
        <v>44.238829450446723</v>
      </c>
      <c r="AB197" s="7">
        <f>D197*AF197*0.000001</f>
        <v>36.669945607213613</v>
      </c>
      <c r="AC197" s="7">
        <f>E197*AG197*0.000001</f>
        <v>6.1025118235846838</v>
      </c>
      <c r="AD197" s="7">
        <f>F197*AH197*0.000001</f>
        <v>1.549145230520881</v>
      </c>
      <c r="AE197" s="280"/>
      <c r="AF197" s="282">
        <f t="shared" si="219"/>
        <v>2108.0297152965854</v>
      </c>
      <c r="AG197" s="282">
        <f t="shared" si="220"/>
        <v>916.7651893185423</v>
      </c>
      <c r="AH197" s="282">
        <f t="shared" si="221"/>
        <v>1113.9900961459857</v>
      </c>
      <c r="AI197" s="280"/>
      <c r="AJ197" s="434">
        <f>AHS_tables!CZ214</f>
        <v>0.96330699522372587</v>
      </c>
      <c r="AK197" s="434">
        <f>AHS_tables!CZ328</f>
        <v>0.88821072290912628</v>
      </c>
      <c r="AL197" s="434">
        <f>AHS_tables!$DB$460</f>
        <v>0.99310402222495553</v>
      </c>
    </row>
    <row r="198" spans="3:38" x14ac:dyDescent="0.2">
      <c r="C198">
        <v>2012</v>
      </c>
      <c r="D198" s="257">
        <f t="shared" ref="D198:F198" si="228">D37*I198</f>
        <v>17480.072162353834</v>
      </c>
      <c r="E198" s="257">
        <f t="shared" si="228"/>
        <v>6743.2057880131288</v>
      </c>
      <c r="F198" s="257">
        <f t="shared" si="228"/>
        <v>1393.499513348293</v>
      </c>
      <c r="G198" s="257">
        <f t="shared" ref="G198:G204" si="229">SUM(D198:F198)</f>
        <v>25616.777463715254</v>
      </c>
      <c r="I198" s="435">
        <f>AHS_tables!EJ535</f>
        <v>0.21627954150687528</v>
      </c>
      <c r="J198" s="435">
        <f>AHS_tables!DO593</f>
        <v>0.24918289900523621</v>
      </c>
      <c r="K198" s="435">
        <f>AHS_tables!DN658</f>
        <v>0.19902693295300095</v>
      </c>
      <c r="M198" s="258">
        <f t="shared" ref="M198:M199" si="230">D198/$G198</f>
        <v>0.68236811547094034</v>
      </c>
      <c r="N198" s="258">
        <f t="shared" ref="N198:N199" si="231">E198/$G198</f>
        <v>0.2632339605387331</v>
      </c>
      <c r="O198" s="258">
        <f t="shared" ref="O198:O199" si="232">F198/$G198</f>
        <v>5.4397923990326572E-2</v>
      </c>
      <c r="P198" s="341"/>
      <c r="Q198" s="344">
        <f t="shared" si="212"/>
        <v>2116.0302860780093</v>
      </c>
      <c r="R198" s="344">
        <f t="shared" si="213"/>
        <v>914.38536497129201</v>
      </c>
      <c r="S198" s="344">
        <f t="shared" si="214"/>
        <v>1130.382785076182</v>
      </c>
      <c r="T198" s="341"/>
      <c r="U198" s="436">
        <f t="shared" ref="U198:U199" si="233">D198*Q198*0.000001</f>
        <v>36.988362098369826</v>
      </c>
      <c r="V198" s="436">
        <f t="shared" ref="V198:V199" si="234">E198*R198*0.000001</f>
        <v>6.1658886855489135</v>
      </c>
      <c r="W198" s="436">
        <f t="shared" ref="W198:W199" si="235">F198*S198*0.000001</f>
        <v>1.5751878609009478</v>
      </c>
      <c r="X198" s="436">
        <f t="shared" ref="X198:X199" si="236">SUM(U198:W198)</f>
        <v>44.729438644819687</v>
      </c>
      <c r="AB198" s="7">
        <f t="shared" ref="AB198:AB204" si="237">D198*AF198*0.000001</f>
        <v>37.08847814767006</v>
      </c>
      <c r="AC198" s="7">
        <f t="shared" ref="AC198:AC199" si="238">E198*AG198*0.000001</f>
        <v>6.1641650753562658</v>
      </c>
      <c r="AD198" s="7">
        <f t="shared" ref="AD198:AD199" si="239">F198*AH198*0.000001</f>
        <v>1.5763727856761698</v>
      </c>
      <c r="AE198" s="341"/>
      <c r="AF198" s="344">
        <f t="shared" si="219"/>
        <v>2121.7577252081433</v>
      </c>
      <c r="AG198" s="344">
        <f t="shared" si="220"/>
        <v>914.12975803197673</v>
      </c>
      <c r="AH198" s="344">
        <f t="shared" si="221"/>
        <v>1131.2331081397151</v>
      </c>
      <c r="AI198" s="341"/>
      <c r="AJ198" s="434">
        <f>AHS_tables!CZ215</f>
        <v>0.96633551309091459</v>
      </c>
      <c r="AK198" s="434">
        <f>AHS_tables!CZ329</f>
        <v>0.88565737734638983</v>
      </c>
      <c r="AL198" s="434">
        <f>AHS_tables!$DB$460</f>
        <v>0.99310402222495553</v>
      </c>
    </row>
    <row r="199" spans="3:38" x14ac:dyDescent="0.2">
      <c r="C199">
        <v>2013</v>
      </c>
      <c r="D199" s="257">
        <f t="shared" ref="D199:F204" si="240">D38*I199</f>
        <v>17575.387181072256</v>
      </c>
      <c r="E199" s="257">
        <f t="shared" si="240"/>
        <v>6833.972540914604</v>
      </c>
      <c r="F199" s="257">
        <f t="shared" si="240"/>
        <v>1396.5982196084665</v>
      </c>
      <c r="G199" s="257">
        <f t="shared" si="229"/>
        <v>25805.957941595327</v>
      </c>
      <c r="I199" s="435">
        <f>AHS_tables!EJ536</f>
        <v>0.21609570048955107</v>
      </c>
      <c r="J199" s="435">
        <f>AHS_tables!DO594</f>
        <v>0.25055135180303051</v>
      </c>
      <c r="K199" s="435">
        <f>AHS_tables!DN659</f>
        <v>0.19863968528569709</v>
      </c>
      <c r="M199" s="258">
        <f t="shared" si="230"/>
        <v>0.6810592817693224</v>
      </c>
      <c r="N199" s="258">
        <f t="shared" si="231"/>
        <v>0.26482150193305815</v>
      </c>
      <c r="O199" s="258">
        <f t="shared" si="232"/>
        <v>5.4119216297619399E-2</v>
      </c>
      <c r="P199" s="341"/>
      <c r="Q199" s="344">
        <f t="shared" si="212"/>
        <v>2130.2649089021811</v>
      </c>
      <c r="R199" s="344">
        <f t="shared" si="213"/>
        <v>912.80549270194717</v>
      </c>
      <c r="S199" s="344">
        <f t="shared" si="214"/>
        <v>1147.8219594343009</v>
      </c>
      <c r="T199" s="341"/>
      <c r="U199" s="436">
        <f t="shared" si="233"/>
        <v>37.440230572207447</v>
      </c>
      <c r="V199" s="436">
        <f t="shared" si="234"/>
        <v>6.2380876723211331</v>
      </c>
      <c r="W199" s="436">
        <f t="shared" si="235"/>
        <v>1.6030461049734461</v>
      </c>
      <c r="X199" s="436">
        <f t="shared" si="236"/>
        <v>45.281364349502027</v>
      </c>
      <c r="AB199" s="7">
        <f t="shared" si="237"/>
        <v>37.565612661879527</v>
      </c>
      <c r="AC199" s="7">
        <f t="shared" si="238"/>
        <v>6.2291272001775839</v>
      </c>
      <c r="AD199" s="7">
        <f t="shared" si="239"/>
        <v>1.6039597046412082</v>
      </c>
      <c r="AE199" s="341"/>
      <c r="AF199" s="344">
        <f t="shared" si="219"/>
        <v>2137.3988677948255</v>
      </c>
      <c r="AG199" s="344">
        <f t="shared" si="220"/>
        <v>911.49432674541117</v>
      </c>
      <c r="AH199" s="344">
        <f t="shared" si="221"/>
        <v>1148.4761201334447</v>
      </c>
      <c r="AI199" s="341"/>
      <c r="AJ199" s="434">
        <f>AHS_tables!CZ216</f>
        <v>0.96936403095810242</v>
      </c>
      <c r="AK199" s="434">
        <f>AHS_tables!CZ330</f>
        <v>0.88310403178365338</v>
      </c>
      <c r="AL199" s="434">
        <f>AHS_tables!$DB$460</f>
        <v>0.99310402222495553</v>
      </c>
    </row>
    <row r="200" spans="3:38" x14ac:dyDescent="0.2">
      <c r="C200">
        <v>2014</v>
      </c>
      <c r="D200" s="257">
        <f t="shared" si="240"/>
        <v>17878.830953263448</v>
      </c>
      <c r="E200" s="257">
        <f t="shared" si="240"/>
        <v>6720.3992792437621</v>
      </c>
      <c r="F200" s="257">
        <f t="shared" si="240"/>
        <v>1434.8376725625133</v>
      </c>
      <c r="G200" s="257">
        <f t="shared" si="229"/>
        <v>26034.067905069722</v>
      </c>
      <c r="I200" s="435">
        <f>AHS_tables!EJ537</f>
        <v>0.21788587812730575</v>
      </c>
      <c r="J200" s="435">
        <f>AHS_tables!DO595</f>
        <v>0.24444585381957373</v>
      </c>
      <c r="K200" s="435">
        <f>AHS_tables!DN660</f>
        <v>0.20568207262085042</v>
      </c>
      <c r="M200" s="258">
        <f t="shared" ref="M200:M204" si="241">D200/$G200</f>
        <v>0.68674749633659171</v>
      </c>
      <c r="N200" s="258">
        <f t="shared" ref="N200:N204" si="242">E200/$G200</f>
        <v>0.25813865523240304</v>
      </c>
      <c r="O200" s="258">
        <f t="shared" ref="O200:O204" si="243">F200/$G200</f>
        <v>5.5113848431005336E-2</v>
      </c>
      <c r="Q200" s="344">
        <f t="shared" ref="Q200:Q204" si="244">AF39*AF200</f>
        <v>2144.4590977164999</v>
      </c>
      <c r="R200" s="344">
        <f t="shared" ref="R200:R204" si="245">AG39*AG200</f>
        <v>910.57018069372953</v>
      </c>
      <c r="S200" s="344">
        <f t="shared" ref="S200:S204" si="246">AH39*AH200</f>
        <v>1164.5097554066892</v>
      </c>
      <c r="T200" s="341"/>
      <c r="U200" s="436">
        <f t="shared" ref="U200:U204" si="247">D200*Q200*0.000001</f>
        <v>38.34042169426116</v>
      </c>
      <c r="V200" s="436">
        <f t="shared" ref="V200:V204" si="248">E200*R200*0.000001</f>
        <v>6.1193951860350015</v>
      </c>
      <c r="W200" s="436">
        <f t="shared" ref="W200:W204" si="249">F200*S200*0.000001</f>
        <v>1.6708824671240756</v>
      </c>
      <c r="X200" s="436">
        <f t="shared" ref="X200:X204" si="250">SUM(U200:W200)</f>
        <v>46.130699347420233</v>
      </c>
      <c r="AB200" s="7">
        <f t="shared" si="237"/>
        <v>38.475728128889912</v>
      </c>
      <c r="AC200" s="7">
        <f t="shared" ref="AC200:AC204" si="251">E200*AG200*0.000001</f>
        <v>6.1123224536055893</v>
      </c>
      <c r="AD200" s="7">
        <f t="shared" ref="AD200:AD204" si="252">F200*AH200*0.000001</f>
        <v>1.6726177264029474</v>
      </c>
      <c r="AF200" s="344">
        <f t="shared" si="219"/>
        <v>2152.0270665049766</v>
      </c>
      <c r="AG200" s="344">
        <f t="shared" si="220"/>
        <v>909.51775328048689</v>
      </c>
      <c r="AH200" s="344">
        <f t="shared" si="221"/>
        <v>1165.7191321271741</v>
      </c>
      <c r="AJ200" s="434">
        <f>AHS_tables!CZ217</f>
        <v>0.97087828989169633</v>
      </c>
      <c r="AK200" s="434">
        <f>AHS_tables!CZ331</f>
        <v>0.88118902261160104</v>
      </c>
      <c r="AL200" s="434">
        <f>AHS_tables!$DB$460</f>
        <v>0.99310402222495553</v>
      </c>
    </row>
    <row r="201" spans="3:38" x14ac:dyDescent="0.2">
      <c r="C201">
        <v>2015</v>
      </c>
      <c r="D201" s="257">
        <f t="shared" si="240"/>
        <v>18192.472974571865</v>
      </c>
      <c r="E201" s="257">
        <f t="shared" si="240"/>
        <v>6611.8066854801509</v>
      </c>
      <c r="F201" s="257">
        <f t="shared" si="240"/>
        <v>1472.0529775998787</v>
      </c>
      <c r="G201" s="257">
        <f t="shared" si="229"/>
        <v>26276.332637651896</v>
      </c>
      <c r="I201" s="435">
        <f>AHS_tables!EJ538</f>
        <v>0.21967605576506047</v>
      </c>
      <c r="J201" s="435">
        <f>AHS_tables!DO596</f>
        <v>0.23834035583611696</v>
      </c>
      <c r="K201" s="435">
        <f>AHS_tables!DN661</f>
        <v>0.21272445995600375</v>
      </c>
      <c r="M201" s="258">
        <f t="shared" si="241"/>
        <v>0.69235205785542142</v>
      </c>
      <c r="N201" s="258">
        <f t="shared" si="242"/>
        <v>0.25162593184735216</v>
      </c>
      <c r="O201" s="258">
        <f t="shared" si="243"/>
        <v>5.6022010297226324E-2</v>
      </c>
      <c r="Q201" s="344">
        <f t="shared" si="244"/>
        <v>2157.397935294101</v>
      </c>
      <c r="R201" s="344">
        <f t="shared" si="245"/>
        <v>908.66293531601696</v>
      </c>
      <c r="S201" s="344">
        <f t="shared" si="246"/>
        <v>1181.1819346510767</v>
      </c>
      <c r="T201" s="341"/>
      <c r="U201" s="436">
        <f t="shared" si="247"/>
        <v>39.248403633235071</v>
      </c>
      <c r="V201" s="436">
        <f t="shared" si="248"/>
        <v>6.0079036705704594</v>
      </c>
      <c r="W201" s="436">
        <f t="shared" si="249"/>
        <v>1.7387623839903028</v>
      </c>
      <c r="X201" s="436">
        <f t="shared" si="250"/>
        <v>46.995069687795834</v>
      </c>
      <c r="AB201" s="7">
        <f t="shared" si="237"/>
        <v>39.388488247469297</v>
      </c>
      <c r="AC201" s="7">
        <f t="shared" si="251"/>
        <v>6.0037540204655135</v>
      </c>
      <c r="AD201" s="7">
        <f t="shared" si="252"/>
        <v>1.7413829466411122</v>
      </c>
      <c r="AF201" s="344">
        <f t="shared" si="219"/>
        <v>2165.0980766893927</v>
      </c>
      <c r="AG201" s="344">
        <f t="shared" si="220"/>
        <v>908.03532318179384</v>
      </c>
      <c r="AH201" s="344">
        <f t="shared" si="221"/>
        <v>1182.9621441209031</v>
      </c>
      <c r="AJ201" s="434">
        <f>AHS_tables!CZ218</f>
        <v>0.97163541935849329</v>
      </c>
      <c r="AK201" s="434">
        <f>AHS_tables!CZ332</f>
        <v>0.87975276573256178</v>
      </c>
      <c r="AL201" s="434">
        <f>AHS_tables!$DB$460</f>
        <v>0.99310402222495553</v>
      </c>
    </row>
    <row r="202" spans="3:38" x14ac:dyDescent="0.2">
      <c r="C202">
        <v>2016</v>
      </c>
      <c r="D202" s="257">
        <f t="shared" si="240"/>
        <v>18344.155320500839</v>
      </c>
      <c r="E202" s="257">
        <f t="shared" si="240"/>
        <v>6693.2658239570173</v>
      </c>
      <c r="F202" s="257">
        <f t="shared" si="240"/>
        <v>1494.3831746924479</v>
      </c>
      <c r="G202" s="257">
        <f t="shared" si="229"/>
        <v>26531.804319150302</v>
      </c>
      <c r="I202" s="435">
        <f>AHS_tables!EJ539</f>
        <v>0.21899220803116692</v>
      </c>
      <c r="J202" s="435">
        <f>AHS_tables!DO597</f>
        <v>0.23976337650402885</v>
      </c>
      <c r="K202" s="435">
        <f>AHS_tables!DN662</f>
        <v>0.21551687304373879</v>
      </c>
      <c r="M202" s="258">
        <f t="shared" si="241"/>
        <v>0.69140248057913922</v>
      </c>
      <c r="N202" s="258">
        <f t="shared" si="242"/>
        <v>0.25227329975164592</v>
      </c>
      <c r="O202" s="258">
        <f t="shared" si="243"/>
        <v>5.6324219669214963E-2</v>
      </c>
      <c r="Q202" s="344">
        <f t="shared" si="244"/>
        <v>2170.5571773790289</v>
      </c>
      <c r="R202" s="344">
        <f t="shared" si="245"/>
        <v>908.1484810030629</v>
      </c>
      <c r="S202" s="344">
        <f t="shared" si="246"/>
        <v>1186.3887162478395</v>
      </c>
      <c r="T202" s="341"/>
      <c r="U202" s="436">
        <f t="shared" si="247"/>
        <v>39.817037993868794</v>
      </c>
      <c r="V202" s="436">
        <f t="shared" si="248"/>
        <v>6.0784791909762799</v>
      </c>
      <c r="W202" s="436">
        <f t="shared" si="249"/>
        <v>1.772919336205744</v>
      </c>
      <c r="X202" s="436">
        <f t="shared" si="250"/>
        <v>47.668436521050822</v>
      </c>
      <c r="AB202" s="7">
        <f t="shared" si="237"/>
        <v>39.960311483897961</v>
      </c>
      <c r="AC202" s="7">
        <f t="shared" si="251"/>
        <v>6.0702800715614753</v>
      </c>
      <c r="AD202" s="7">
        <f t="shared" si="252"/>
        <v>1.7749572180727127</v>
      </c>
      <c r="AF202" s="344">
        <f t="shared" si="219"/>
        <v>2178.3674846690596</v>
      </c>
      <c r="AG202" s="344">
        <f t="shared" si="220"/>
        <v>906.92350060777403</v>
      </c>
      <c r="AH202" s="344">
        <f t="shared" si="221"/>
        <v>1187.7524105810469</v>
      </c>
      <c r="AJ202" s="434">
        <f>AHS_tables!CZ219</f>
        <v>0.97201398409189177</v>
      </c>
      <c r="AK202" s="434">
        <f>AHS_tables!CZ333</f>
        <v>0.87867557307328237</v>
      </c>
      <c r="AL202" s="434">
        <f>AHS_tables!$DB$460</f>
        <v>0.99310402222495553</v>
      </c>
    </row>
    <row r="203" spans="3:38" x14ac:dyDescent="0.2">
      <c r="C203">
        <v>2017</v>
      </c>
      <c r="D203" s="257">
        <f t="shared" si="240"/>
        <v>18508.846197890874</v>
      </c>
      <c r="E203" s="257">
        <f t="shared" si="240"/>
        <v>6777.4898131562668</v>
      </c>
      <c r="F203" s="257">
        <f t="shared" si="240"/>
        <v>1517.0568965405628</v>
      </c>
      <c r="G203" s="257">
        <f t="shared" si="229"/>
        <v>26803.392907587702</v>
      </c>
      <c r="I203" s="435">
        <f>AHS_tables!EJ540</f>
        <v>0.21830836029727341</v>
      </c>
      <c r="J203" s="435">
        <f>AHS_tables!DO598</f>
        <v>0.24118639717194076</v>
      </c>
      <c r="K203" s="435">
        <f>AHS_tables!DN663</f>
        <v>0.21830928613147382</v>
      </c>
      <c r="M203" s="258">
        <f t="shared" si="241"/>
        <v>0.69054116625105522</v>
      </c>
      <c r="N203" s="258">
        <f t="shared" si="242"/>
        <v>0.25285939867850254</v>
      </c>
      <c r="O203" s="258">
        <f t="shared" si="243"/>
        <v>5.659943507044226E-2</v>
      </c>
      <c r="Q203" s="344">
        <f t="shared" si="244"/>
        <v>2183.1844625891745</v>
      </c>
      <c r="R203" s="344">
        <f t="shared" si="245"/>
        <v>907.83081203668007</v>
      </c>
      <c r="S203" s="344">
        <f t="shared" si="246"/>
        <v>1191.774334754959</v>
      </c>
      <c r="T203" s="341"/>
      <c r="U203" s="436">
        <f t="shared" si="247"/>
        <v>40.408225439688067</v>
      </c>
      <c r="V203" s="436">
        <f t="shared" si="248"/>
        <v>6.1528140806479801</v>
      </c>
      <c r="W203" s="436">
        <f t="shared" si="249"/>
        <v>1.8079894736600517</v>
      </c>
      <c r="X203" s="436">
        <f t="shared" si="250"/>
        <v>48.369028993996096</v>
      </c>
      <c r="AB203" s="7">
        <f t="shared" si="237"/>
        <v>40.553329210729665</v>
      </c>
      <c r="AC203" s="7">
        <f t="shared" si="251"/>
        <v>6.1410132620541171</v>
      </c>
      <c r="AD203" s="7">
        <f t="shared" si="252"/>
        <v>1.809420962384148</v>
      </c>
      <c r="AF203" s="344">
        <f t="shared" si="219"/>
        <v>2191.0241609415293</v>
      </c>
      <c r="AG203" s="344">
        <f t="shared" si="220"/>
        <v>906.08963367725914</v>
      </c>
      <c r="AH203" s="344">
        <f t="shared" si="221"/>
        <v>1192.7179306921716</v>
      </c>
      <c r="AJ203" s="434">
        <f>AHS_tables!CZ220</f>
        <v>0.97220326645859101</v>
      </c>
      <c r="AK203" s="434">
        <f>AHS_tables!CZ334</f>
        <v>0.87786767857882286</v>
      </c>
      <c r="AL203" s="434">
        <f>AHS_tables!$DB$460</f>
        <v>0.99310402222495553</v>
      </c>
    </row>
    <row r="204" spans="3:38" x14ac:dyDescent="0.2">
      <c r="C204">
        <v>2018</v>
      </c>
      <c r="D204" s="257">
        <f t="shared" si="240"/>
        <v>18650.410415136212</v>
      </c>
      <c r="E204" s="257">
        <f t="shared" si="240"/>
        <v>6817.0724743039218</v>
      </c>
      <c r="F204" s="257">
        <f t="shared" si="240"/>
        <v>1514.5276377179346</v>
      </c>
      <c r="G204" s="257">
        <f t="shared" si="229"/>
        <v>26982.010527158069</v>
      </c>
      <c r="I204" s="435">
        <f>AHS_tables!EJ541</f>
        <v>0.21830836029727341</v>
      </c>
      <c r="J204" s="435">
        <f>AHS_tables!DO599</f>
        <v>0.24118639717194076</v>
      </c>
      <c r="K204" s="435">
        <f>AHS_tables!DN664</f>
        <v>0.21830928613147382</v>
      </c>
      <c r="M204" s="258">
        <f t="shared" si="241"/>
        <v>0.69121648278819348</v>
      </c>
      <c r="N204" s="258">
        <f t="shared" si="242"/>
        <v>0.25265250220854996</v>
      </c>
      <c r="O204" s="258">
        <f t="shared" si="243"/>
        <v>5.6131015003256506E-2</v>
      </c>
      <c r="Q204" s="344">
        <f t="shared" si="244"/>
        <v>2195.1225026564516</v>
      </c>
      <c r="R204" s="344">
        <f t="shared" si="245"/>
        <v>907.39583019640565</v>
      </c>
      <c r="S204" s="344">
        <f t="shared" si="246"/>
        <v>1191.7743347549588</v>
      </c>
      <c r="T204" s="341"/>
      <c r="U204" s="436">
        <f t="shared" si="247"/>
        <v>40.939935586043752</v>
      </c>
      <c r="V204" s="436">
        <f t="shared" si="248"/>
        <v>6.1857831373300716</v>
      </c>
      <c r="W204" s="436">
        <f t="shared" si="249"/>
        <v>1.8049751679092905</v>
      </c>
      <c r="X204" s="436">
        <f t="shared" si="250"/>
        <v>48.930693891283113</v>
      </c>
      <c r="AB204" s="7">
        <f t="shared" si="237"/>
        <v>41.087725593919444</v>
      </c>
      <c r="AC204" s="7">
        <f t="shared" si="251"/>
        <v>6.172615302518933</v>
      </c>
      <c r="AD204" s="7">
        <f t="shared" si="252"/>
        <v>1.806404270035038</v>
      </c>
      <c r="AF204" s="344">
        <f t="shared" si="219"/>
        <v>2203.0467254797604</v>
      </c>
      <c r="AG204" s="344">
        <f t="shared" si="220"/>
        <v>905.46423347937298</v>
      </c>
      <c r="AH204" s="344">
        <f t="shared" si="221"/>
        <v>1192.7179306921716</v>
      </c>
      <c r="AJ204" s="434">
        <f>AHS_tables!CZ221</f>
        <v>0.97229790764194068</v>
      </c>
      <c r="AK204" s="434">
        <f>AHS_tables!CZ335</f>
        <v>0.87726175770797821</v>
      </c>
      <c r="AL204" s="434">
        <f>AHS_tables!$DB$460</f>
        <v>0.99310402222495553</v>
      </c>
    </row>
  </sheetData>
  <mergeCells count="1">
    <mergeCell ref="AP8:AS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C4:H191"/>
  <sheetViews>
    <sheetView workbookViewId="0">
      <selection activeCell="A35" sqref="A35"/>
    </sheetView>
  </sheetViews>
  <sheetFormatPr defaultRowHeight="12.75" x14ac:dyDescent="0.2"/>
  <sheetData>
    <row r="4" spans="3:6" x14ac:dyDescent="0.2">
      <c r="C4" t="s">
        <v>547</v>
      </c>
    </row>
    <row r="5" spans="3:6" x14ac:dyDescent="0.2">
      <c r="D5" t="s">
        <v>548</v>
      </c>
      <c r="E5" t="s">
        <v>259</v>
      </c>
      <c r="F5" t="s">
        <v>266</v>
      </c>
    </row>
    <row r="6" spans="3:6" x14ac:dyDescent="0.2">
      <c r="C6">
        <v>1985</v>
      </c>
      <c r="D6" s="282">
        <f>'Final Floorspace Estimates'!Q10</f>
        <v>1849.0897575916233</v>
      </c>
      <c r="E6" s="282">
        <f>'Final Floorspace Estimates'!R10</f>
        <v>847.17455014596089</v>
      </c>
      <c r="F6" s="282">
        <f>'Final Floorspace Estimates'!S10</f>
        <v>857.51633986928107</v>
      </c>
    </row>
    <row r="7" spans="3:6" x14ac:dyDescent="0.2">
      <c r="C7">
        <f>C6+1</f>
        <v>1986</v>
      </c>
      <c r="D7" s="282">
        <f>'Final Floorspace Estimates'!Q11</f>
        <v>1845.3032226028363</v>
      </c>
      <c r="E7" s="282">
        <f>'Final Floorspace Estimates'!R11</f>
        <v>867.25899899585625</v>
      </c>
      <c r="F7" s="282">
        <f>'Final Floorspace Estimates'!S11</f>
        <v>864.70588235294122</v>
      </c>
    </row>
    <row r="8" spans="3:6" x14ac:dyDescent="0.2">
      <c r="C8" s="280">
        <f t="shared" ref="C8:C39" si="0">C7+1</f>
        <v>1987</v>
      </c>
      <c r="D8" s="282">
        <f>'Final Floorspace Estimates'!Q12</f>
        <v>1858.8984015399869</v>
      </c>
      <c r="E8" s="282">
        <f>'Final Floorspace Estimates'!R12</f>
        <v>883.13736990518328</v>
      </c>
      <c r="F8" s="282">
        <f>'Final Floorspace Estimates'!S12</f>
        <v>864.70588235294122</v>
      </c>
    </row>
    <row r="9" spans="3:6" x14ac:dyDescent="0.2">
      <c r="C9" s="280">
        <f t="shared" si="0"/>
        <v>1988</v>
      </c>
      <c r="D9" s="282">
        <f>'Final Floorspace Estimates'!Q13</f>
        <v>1873.0173648555019</v>
      </c>
      <c r="E9" s="282">
        <f>'Final Floorspace Estimates'!R13</f>
        <v>894.45311193939119</v>
      </c>
      <c r="F9" s="282">
        <f>'Final Floorspace Estimates'!S13</f>
        <v>890.57315233785823</v>
      </c>
    </row>
    <row r="10" spans="3:6" x14ac:dyDescent="0.2">
      <c r="C10" s="280">
        <f t="shared" si="0"/>
        <v>1989</v>
      </c>
      <c r="D10" s="282">
        <f>'Final Floorspace Estimates'!Q14</f>
        <v>1886.7306152316403</v>
      </c>
      <c r="E10" s="282">
        <f>'Final Floorspace Estimates'!R14</f>
        <v>903.78044777109062</v>
      </c>
      <c r="F10" s="282">
        <f>'Final Floorspace Estimates'!S14</f>
        <v>916.44042232277525</v>
      </c>
    </row>
    <row r="11" spans="3:6" x14ac:dyDescent="0.2">
      <c r="C11" s="280">
        <f t="shared" si="0"/>
        <v>1990</v>
      </c>
      <c r="D11" s="282">
        <f>'Final Floorspace Estimates'!Q15</f>
        <v>1900.3434366128959</v>
      </c>
      <c r="E11" s="282">
        <f>'Final Floorspace Estimates'!R15</f>
        <v>910.86068802259297</v>
      </c>
      <c r="F11" s="282">
        <f>'Final Floorspace Estimates'!S15</f>
        <v>942.30769230769226</v>
      </c>
    </row>
    <row r="12" spans="3:6" x14ac:dyDescent="0.2">
      <c r="C12" s="280">
        <f t="shared" si="0"/>
        <v>1991</v>
      </c>
      <c r="D12" s="282">
        <f>'Final Floorspace Estimates'!Q16</f>
        <v>1911.5195446207103</v>
      </c>
      <c r="E12" s="282">
        <f>'Final Floorspace Estimates'!R16</f>
        <v>914.03321049776605</v>
      </c>
      <c r="F12" s="282">
        <f>'Final Floorspace Estimates'!S16</f>
        <v>957.90209790209792</v>
      </c>
    </row>
    <row r="13" spans="3:6" x14ac:dyDescent="0.2">
      <c r="C13" s="280">
        <f t="shared" si="0"/>
        <v>1992</v>
      </c>
      <c r="D13" s="282">
        <f>'Final Floorspace Estimates'!Q17</f>
        <v>1927.3581296870789</v>
      </c>
      <c r="E13" s="282">
        <f>'Final Floorspace Estimates'!R17</f>
        <v>914.61950593224753</v>
      </c>
      <c r="F13" s="282">
        <f>'Final Floorspace Estimates'!S17</f>
        <v>973.49650349650358</v>
      </c>
    </row>
    <row r="14" spans="3:6" x14ac:dyDescent="0.2">
      <c r="C14" s="280">
        <f t="shared" si="0"/>
        <v>1993</v>
      </c>
      <c r="D14" s="282">
        <f>'Final Floorspace Estimates'!Q18</f>
        <v>1942.5931442659185</v>
      </c>
      <c r="E14" s="282">
        <f>'Final Floorspace Estimates'!R18</f>
        <v>913.45934998677967</v>
      </c>
      <c r="F14" s="282">
        <f>'Final Floorspace Estimates'!S18</f>
        <v>989.09090909090912</v>
      </c>
    </row>
    <row r="15" spans="3:6" x14ac:dyDescent="0.2">
      <c r="C15" s="280">
        <f t="shared" si="0"/>
        <v>1994</v>
      </c>
      <c r="D15" s="282">
        <f>'Final Floorspace Estimates'!Q19</f>
        <v>1958.9665470585048</v>
      </c>
      <c r="E15" s="282">
        <f>'Final Floorspace Estimates'!R19</f>
        <v>914.16276925399563</v>
      </c>
      <c r="F15" s="282">
        <f>'Final Floorspace Estimates'!S19</f>
        <v>998.20392109726617</v>
      </c>
    </row>
    <row r="16" spans="3:6" x14ac:dyDescent="0.2">
      <c r="C16" s="280">
        <f t="shared" si="0"/>
        <v>1995</v>
      </c>
      <c r="D16" s="282">
        <f>'Final Floorspace Estimates'!Q20</f>
        <v>1971.0324425429283</v>
      </c>
      <c r="E16" s="282">
        <f>'Final Floorspace Estimates'!R20</f>
        <v>918.17019983377509</v>
      </c>
      <c r="F16" s="282">
        <f>'Final Floorspace Estimates'!S20</f>
        <v>1007.3169331036232</v>
      </c>
    </row>
    <row r="17" spans="3:6" x14ac:dyDescent="0.2">
      <c r="C17" s="280">
        <f t="shared" si="0"/>
        <v>1996</v>
      </c>
      <c r="D17" s="282">
        <f>'Final Floorspace Estimates'!Q21</f>
        <v>1985.8302610578116</v>
      </c>
      <c r="E17" s="282">
        <f>'Final Floorspace Estimates'!R21</f>
        <v>924.51141197744323</v>
      </c>
      <c r="F17" s="282">
        <f>'Final Floorspace Estimates'!S21</f>
        <v>1016.4299451099803</v>
      </c>
    </row>
    <row r="18" spans="3:6" x14ac:dyDescent="0.2">
      <c r="C18" s="280">
        <f t="shared" si="0"/>
        <v>1997</v>
      </c>
      <c r="D18" s="282">
        <f>'Final Floorspace Estimates'!Q22</f>
        <v>1999.5975694016099</v>
      </c>
      <c r="E18" s="282">
        <f>'Final Floorspace Estimates'!R22</f>
        <v>931.19828673268592</v>
      </c>
      <c r="F18" s="282">
        <f>'Final Floorspace Estimates'!S22</f>
        <v>1025.5429571163374</v>
      </c>
    </row>
    <row r="19" spans="3:6" x14ac:dyDescent="0.2">
      <c r="C19" s="280">
        <f t="shared" si="0"/>
        <v>1998</v>
      </c>
      <c r="D19" s="282">
        <f>'Final Floorspace Estimates'!Q23</f>
        <v>2014.7570219038193</v>
      </c>
      <c r="E19" s="282">
        <f>'Final Floorspace Estimates'!R23</f>
        <v>936.21496110839507</v>
      </c>
      <c r="F19" s="282">
        <f>'Final Floorspace Estimates'!S23</f>
        <v>1034.6559691226946</v>
      </c>
    </row>
    <row r="20" spans="3:6" x14ac:dyDescent="0.2">
      <c r="C20" s="280">
        <f t="shared" si="0"/>
        <v>1999</v>
      </c>
      <c r="D20" s="282">
        <f>'Final Floorspace Estimates'!Q24</f>
        <v>2031.8227956659466</v>
      </c>
      <c r="E20" s="282">
        <f>'Final Floorspace Estimates'!R24</f>
        <v>942.66151268699832</v>
      </c>
      <c r="F20" s="282">
        <f>'Final Floorspace Estimates'!S24</f>
        <v>1043.7689811290518</v>
      </c>
    </row>
    <row r="21" spans="3:6" x14ac:dyDescent="0.2">
      <c r="C21" s="280">
        <f t="shared" si="0"/>
        <v>2000</v>
      </c>
      <c r="D21" s="282">
        <f>'Final Floorspace Estimates'!Q25</f>
        <v>2047.063356998982</v>
      </c>
      <c r="E21" s="282">
        <f>'Final Floorspace Estimates'!R25</f>
        <v>951.64999479274809</v>
      </c>
      <c r="F21" s="282">
        <f>'Final Floorspace Estimates'!S25</f>
        <v>1052.8819931354089</v>
      </c>
    </row>
    <row r="22" spans="3:6" x14ac:dyDescent="0.2">
      <c r="C22" s="280">
        <f t="shared" si="0"/>
        <v>2001</v>
      </c>
      <c r="D22" s="282">
        <f>'Final Floorspace Estimates'!Q26</f>
        <v>2063.6263714567831</v>
      </c>
      <c r="E22" s="282">
        <f>'Final Floorspace Estimates'!R26</f>
        <v>960.01747310049757</v>
      </c>
      <c r="F22" s="282">
        <f>'Final Floorspace Estimates'!S26</f>
        <v>1061.9950051417659</v>
      </c>
    </row>
    <row r="23" spans="3:6" x14ac:dyDescent="0.2">
      <c r="C23" s="280">
        <f t="shared" si="0"/>
        <v>2002</v>
      </c>
      <c r="D23" s="282">
        <f>'Final Floorspace Estimates'!Q27</f>
        <v>2080.8927473426156</v>
      </c>
      <c r="E23" s="282">
        <f>'Final Floorspace Estimates'!R27</f>
        <v>969.41461258826155</v>
      </c>
      <c r="F23" s="282">
        <f>'Final Floorspace Estimates'!S27</f>
        <v>1061.9984984170167</v>
      </c>
    </row>
    <row r="24" spans="3:6" x14ac:dyDescent="0.2">
      <c r="C24" s="280">
        <f t="shared" si="0"/>
        <v>2003</v>
      </c>
      <c r="D24" s="282">
        <f>'Final Floorspace Estimates'!Q28</f>
        <v>2098.1730969428168</v>
      </c>
      <c r="E24" s="282">
        <f>'Final Floorspace Estimates'!R28</f>
        <v>977.25919521001674</v>
      </c>
      <c r="F24" s="282">
        <f>'Final Floorspace Estimates'!S28</f>
        <v>1062.0019916922674</v>
      </c>
    </row>
    <row r="25" spans="3:6" x14ac:dyDescent="0.2">
      <c r="C25" s="280">
        <f t="shared" si="0"/>
        <v>2004</v>
      </c>
      <c r="D25" s="282">
        <f>'Final Floorspace Estimates'!Q29</f>
        <v>2117.5026549267072</v>
      </c>
      <c r="E25" s="282">
        <f>'Final Floorspace Estimates'!R29</f>
        <v>986.73207856651766</v>
      </c>
      <c r="F25" s="282">
        <f>'Final Floorspace Estimates'!S29</f>
        <v>1062.0054849675182</v>
      </c>
    </row>
    <row r="26" spans="3:6" x14ac:dyDescent="0.2">
      <c r="C26" s="280">
        <f t="shared" si="0"/>
        <v>2005</v>
      </c>
      <c r="D26" s="282">
        <f>'Final Floorspace Estimates'!Q30</f>
        <v>2138.3776791572573</v>
      </c>
      <c r="E26" s="282">
        <f>'Final Floorspace Estimates'!R30</f>
        <v>995.71121877915243</v>
      </c>
      <c r="F26" s="282">
        <f>'Final Floorspace Estimates'!S30</f>
        <v>1062.008978242769</v>
      </c>
    </row>
    <row r="27" spans="3:6" x14ac:dyDescent="0.2">
      <c r="C27" s="280">
        <f t="shared" si="0"/>
        <v>2006</v>
      </c>
      <c r="D27" s="282">
        <f>'Final Floorspace Estimates'!Q31</f>
        <v>2158.3309177961414</v>
      </c>
      <c r="E27" s="282">
        <f>'Final Floorspace Estimates'!R31</f>
        <v>1007.0899704272231</v>
      </c>
      <c r="F27" s="282">
        <f>'Final Floorspace Estimates'!S31</f>
        <v>1068.2567336820766</v>
      </c>
    </row>
    <row r="28" spans="3:6" x14ac:dyDescent="0.2">
      <c r="C28" s="280">
        <f t="shared" si="0"/>
        <v>2007</v>
      </c>
      <c r="D28" s="282">
        <f>'Final Floorspace Estimates'!Q32</f>
        <v>2168.9358849751275</v>
      </c>
      <c r="E28" s="282">
        <f>'Final Floorspace Estimates'!R32</f>
        <v>1016.2657695437792</v>
      </c>
      <c r="F28" s="282">
        <f>'Final Floorspace Estimates'!S32</f>
        <v>1074.5044891213843</v>
      </c>
    </row>
    <row r="29" spans="3:6" x14ac:dyDescent="0.2">
      <c r="C29" s="280">
        <f t="shared" si="0"/>
        <v>2008</v>
      </c>
      <c r="D29" s="282">
        <f>'Final Floorspace Estimates'!Q33</f>
        <v>2176.1427273015274</v>
      </c>
      <c r="E29" s="282">
        <f>'Final Floorspace Estimates'!R33</f>
        <v>1020.6068117505304</v>
      </c>
      <c r="F29" s="282">
        <f>'Final Floorspace Estimates'!S33</f>
        <v>1080.7522445606919</v>
      </c>
    </row>
    <row r="30" spans="3:6" x14ac:dyDescent="0.2">
      <c r="C30" s="280">
        <f t="shared" si="0"/>
        <v>2009</v>
      </c>
      <c r="D30" s="282">
        <f>'Final Floorspace Estimates'!Q34</f>
        <v>2181.3182757931095</v>
      </c>
      <c r="E30" s="282">
        <f>'Final Floorspace Estimates'!R34</f>
        <v>1023.2875299659321</v>
      </c>
      <c r="F30" s="282">
        <f>'Final Floorspace Estimates'!S34</f>
        <v>1087</v>
      </c>
    </row>
    <row r="31" spans="3:6" x14ac:dyDescent="0.2">
      <c r="C31" s="280">
        <f t="shared" si="0"/>
        <v>2010</v>
      </c>
      <c r="D31" s="282">
        <f>'Final Floorspace Estimates'!Q35</f>
        <v>2184.4367550310162</v>
      </c>
      <c r="E31" s="282">
        <f>'Final Floorspace Estimates'!R35</f>
        <v>1027</v>
      </c>
      <c r="F31" s="282">
        <f>'Final Floorspace Estimates'!S35</f>
        <v>1104.3627450980393</v>
      </c>
    </row>
    <row r="32" spans="3:6" s="341" customFormat="1" x14ac:dyDescent="0.2">
      <c r="C32" s="341">
        <f t="shared" si="0"/>
        <v>2011</v>
      </c>
      <c r="D32" s="344">
        <f>'Final Floorspace Estimates'!Q36</f>
        <v>2188.3259705873934</v>
      </c>
      <c r="E32" s="344">
        <f>'Final Floorspace Estimates'!R36</f>
        <v>1032.1483018307779</v>
      </c>
      <c r="F32" s="344">
        <f>'Final Floorspace Estimates'!S36</f>
        <v>1121.7254901960787</v>
      </c>
    </row>
    <row r="33" spans="3:7" s="341" customFormat="1" x14ac:dyDescent="0.2">
      <c r="C33" s="341">
        <f t="shared" si="0"/>
        <v>2012</v>
      </c>
      <c r="D33" s="344">
        <f>'Final Floorspace Estimates'!Q37</f>
        <v>2195.6739625779692</v>
      </c>
      <c r="E33" s="344">
        <f>'Final Floorspace Estimates'!R37</f>
        <v>1032.1483018307779</v>
      </c>
      <c r="F33" s="344">
        <f>'Final Floorspace Estimates'!S37</f>
        <v>1139.088235294118</v>
      </c>
    </row>
    <row r="34" spans="3:7" s="341" customFormat="1" x14ac:dyDescent="0.2">
      <c r="C34" s="341">
        <f t="shared" si="0"/>
        <v>2013</v>
      </c>
      <c r="D34" s="344">
        <f>'Final Floorspace Estimates'!Q38</f>
        <v>2204.949636600667</v>
      </c>
      <c r="E34" s="344">
        <f>'Final Floorspace Estimates'!R38</f>
        <v>1032.1483018307779</v>
      </c>
      <c r="F34" s="344">
        <f>'Final Floorspace Estimates'!S38</f>
        <v>1156.4509803921574</v>
      </c>
    </row>
    <row r="35" spans="3:7" s="341" customFormat="1" x14ac:dyDescent="0.2">
      <c r="C35" s="341">
        <f t="shared" si="0"/>
        <v>2014</v>
      </c>
      <c r="D35" s="344">
        <f>'Final Floorspace Estimates'!Q39</f>
        <v>2216.5775967088935</v>
      </c>
      <c r="E35" s="344">
        <f>'Final Floorspace Estimates'!R39</f>
        <v>1032.1483018307779</v>
      </c>
      <c r="F35" s="344">
        <f>'Final Floorspace Estimates'!S39</f>
        <v>1173.8137254901967</v>
      </c>
    </row>
    <row r="36" spans="3:7" s="341" customFormat="1" x14ac:dyDescent="0.2">
      <c r="C36" s="341">
        <f t="shared" si="0"/>
        <v>2015</v>
      </c>
      <c r="D36" s="344">
        <f>'Final Floorspace Estimates'!Q40</f>
        <v>2228.3029555662597</v>
      </c>
      <c r="E36" s="344">
        <f>'Final Floorspace Estimates'!R40</f>
        <v>1032.1483018307779</v>
      </c>
      <c r="F36" s="344">
        <f>'Final Floorspace Estimates'!S40</f>
        <v>1191.1764705882354</v>
      </c>
    </row>
    <row r="37" spans="3:7" s="341" customFormat="1" x14ac:dyDescent="0.2">
      <c r="C37" s="341">
        <f t="shared" si="0"/>
        <v>2016</v>
      </c>
      <c r="D37" s="344">
        <f>'Final Floorspace Estimates'!Q41</f>
        <v>2241.0865690417086</v>
      </c>
      <c r="E37" s="344">
        <f>'Final Floorspace Estimates'!R41</f>
        <v>1032.1483018307779</v>
      </c>
      <c r="F37" s="344">
        <f>'Final Floorspace Estimates'!S41</f>
        <v>1196</v>
      </c>
    </row>
    <row r="38" spans="3:7" s="341" customFormat="1" x14ac:dyDescent="0.2">
      <c r="C38" s="341">
        <f t="shared" si="0"/>
        <v>2017</v>
      </c>
      <c r="D38" s="344">
        <f>'Final Floorspace Estimates'!Q42</f>
        <v>2253.6687918388634</v>
      </c>
      <c r="E38" s="344">
        <f>'Final Floorspace Estimates'!R42</f>
        <v>1032.1483018307779</v>
      </c>
      <c r="F38" s="344">
        <f>'Final Floorspace Estimates'!S42</f>
        <v>1201</v>
      </c>
    </row>
    <row r="39" spans="3:7" s="341" customFormat="1" x14ac:dyDescent="0.2">
      <c r="C39" s="341">
        <f t="shared" si="0"/>
        <v>2018</v>
      </c>
      <c r="D39" s="344">
        <f>'Final Floorspace Estimates'!Q43</f>
        <v>2265.8145288234605</v>
      </c>
      <c r="E39" s="344">
        <f>'Final Floorspace Estimates'!R43</f>
        <v>1032.1483018307779</v>
      </c>
      <c r="F39" s="344">
        <f>'Final Floorspace Estimates'!S43</f>
        <v>1201</v>
      </c>
    </row>
    <row r="40" spans="3:7" s="341" customFormat="1" x14ac:dyDescent="0.2">
      <c r="D40" s="344"/>
      <c r="E40" s="344"/>
      <c r="F40" s="344"/>
    </row>
    <row r="41" spans="3:7" x14ac:dyDescent="0.2">
      <c r="C41" s="280"/>
    </row>
    <row r="42" spans="3:7" x14ac:dyDescent="0.2">
      <c r="C42" s="280"/>
    </row>
    <row r="43" spans="3:7" x14ac:dyDescent="0.2">
      <c r="C43" s="280" t="s">
        <v>549</v>
      </c>
    </row>
    <row r="44" spans="3:7" x14ac:dyDescent="0.2">
      <c r="D44" s="280" t="s">
        <v>548</v>
      </c>
      <c r="E44" s="280" t="s">
        <v>259</v>
      </c>
      <c r="F44" s="280" t="s">
        <v>266</v>
      </c>
      <c r="G44" t="s">
        <v>91</v>
      </c>
    </row>
    <row r="45" spans="3:7" x14ac:dyDescent="0.2">
      <c r="C45">
        <f t="shared" ref="C45:C70" si="1">C6</f>
        <v>1985</v>
      </c>
      <c r="D45" s="282">
        <f>'Final Floorspace Estimates'!U10</f>
        <v>108.03747267576522</v>
      </c>
      <c r="E45" s="282">
        <f>'Final Floorspace Estimates'!V10</f>
        <v>19.903149932090489</v>
      </c>
      <c r="F45" s="282">
        <f>'Final Floorspace Estimates'!W10</f>
        <v>4.2217387561696782</v>
      </c>
      <c r="G45" s="282">
        <f>'Final Floorspace Estimates'!X10</f>
        <v>132.16236136402537</v>
      </c>
    </row>
    <row r="46" spans="3:7" x14ac:dyDescent="0.2">
      <c r="C46" s="280">
        <f t="shared" si="1"/>
        <v>1986</v>
      </c>
      <c r="D46" s="282">
        <f>'Final Floorspace Estimates'!U11</f>
        <v>109.73397740185293</v>
      </c>
      <c r="E46" s="282">
        <f>'Final Floorspace Estimates'!V11</f>
        <v>20.494510757708937</v>
      </c>
      <c r="F46" s="282">
        <f>'Final Floorspace Estimates'!W11</f>
        <v>4.3907030215967708</v>
      </c>
      <c r="G46" s="282">
        <f>'Final Floorspace Estimates'!X11</f>
        <v>134.61919118115864</v>
      </c>
    </row>
    <row r="47" spans="3:7" x14ac:dyDescent="0.2">
      <c r="C47" s="280">
        <f t="shared" si="1"/>
        <v>1987</v>
      </c>
      <c r="D47" s="282">
        <f>'Final Floorspace Estimates'!U12</f>
        <v>112.51927535964501</v>
      </c>
      <c r="E47" s="282">
        <f>'Final Floorspace Estimates'!V12</f>
        <v>20.965041252879754</v>
      </c>
      <c r="F47" s="282">
        <f>'Final Floorspace Estimates'!W12</f>
        <v>4.5108420447274842</v>
      </c>
      <c r="G47" s="282">
        <f>'Final Floorspace Estimates'!X12</f>
        <v>137.99515865725226</v>
      </c>
    </row>
    <row r="48" spans="3:7" x14ac:dyDescent="0.2">
      <c r="C48" s="280">
        <f t="shared" si="1"/>
        <v>1988</v>
      </c>
      <c r="D48" s="282">
        <f>'Final Floorspace Estimates'!U13</f>
        <v>115.09427508559475</v>
      </c>
      <c r="E48" s="282">
        <f>'Final Floorspace Estimates'!V13</f>
        <v>21.596035768359464</v>
      </c>
      <c r="F48" s="282">
        <f>'Final Floorspace Estimates'!W13</f>
        <v>4.7362921935915869</v>
      </c>
      <c r="G48" s="282">
        <f>'Final Floorspace Estimates'!X13</f>
        <v>141.4266030475458</v>
      </c>
    </row>
    <row r="49" spans="3:7" x14ac:dyDescent="0.2">
      <c r="C49" s="280">
        <f t="shared" si="1"/>
        <v>1989</v>
      </c>
      <c r="D49" s="282">
        <f>'Final Floorspace Estimates'!U14</f>
        <v>117.58880948552878</v>
      </c>
      <c r="E49" s="282">
        <f>'Final Floorspace Estimates'!V14</f>
        <v>22.153032386297642</v>
      </c>
      <c r="F49" s="282">
        <f>'Final Floorspace Estimates'!W14</f>
        <v>4.9548983361743613</v>
      </c>
      <c r="G49" s="282">
        <f>'Final Floorspace Estimates'!X14</f>
        <v>144.69674020800079</v>
      </c>
    </row>
    <row r="50" spans="3:7" x14ac:dyDescent="0.2">
      <c r="C50" s="280">
        <f t="shared" si="1"/>
        <v>1990</v>
      </c>
      <c r="D50" s="282">
        <f>'Final Floorspace Estimates'!U15</f>
        <v>119.31670987327701</v>
      </c>
      <c r="E50" s="282">
        <f>'Final Floorspace Estimates'!V15</f>
        <v>22.28629396189687</v>
      </c>
      <c r="F50" s="282">
        <f>'Final Floorspace Estimates'!W15</f>
        <v>5.2318699442184364</v>
      </c>
      <c r="G50" s="282">
        <f>'Final Floorspace Estimates'!X15</f>
        <v>146.8348737793923</v>
      </c>
    </row>
    <row r="51" spans="3:7" x14ac:dyDescent="0.2">
      <c r="C51" s="280">
        <f t="shared" si="1"/>
        <v>1991</v>
      </c>
      <c r="D51" s="282">
        <f>'Final Floorspace Estimates'!U16</f>
        <v>120.7298805053244</v>
      </c>
      <c r="E51" s="282">
        <f>'Final Floorspace Estimates'!V16</f>
        <v>22.285985655320136</v>
      </c>
      <c r="F51" s="282">
        <f>'Final Floorspace Estimates'!W16</f>
        <v>5.449988356564254</v>
      </c>
      <c r="G51" s="282">
        <f>'Final Floorspace Estimates'!X16</f>
        <v>148.46585451720881</v>
      </c>
    </row>
    <row r="52" spans="3:7" x14ac:dyDescent="0.2">
      <c r="C52" s="280">
        <f t="shared" si="1"/>
        <v>1992</v>
      </c>
      <c r="D52" s="282">
        <f>'Final Floorspace Estimates'!U17</f>
        <v>123.99117357647596</v>
      </c>
      <c r="E52" s="282">
        <f>'Final Floorspace Estimates'!V17</f>
        <v>22.595608821951643</v>
      </c>
      <c r="F52" s="282">
        <f>'Final Floorspace Estimates'!W17</f>
        <v>5.5887115226741395</v>
      </c>
      <c r="G52" s="282">
        <f>'Final Floorspace Estimates'!X17</f>
        <v>152.17549392110175</v>
      </c>
    </row>
    <row r="53" spans="3:7" x14ac:dyDescent="0.2">
      <c r="C53" s="280">
        <f t="shared" si="1"/>
        <v>1993</v>
      </c>
      <c r="D53" s="282">
        <f>'Final Floorspace Estimates'!U18</f>
        <v>127.43586188845045</v>
      </c>
      <c r="E53" s="282">
        <f>'Final Floorspace Estimates'!V18</f>
        <v>22.840126480404724</v>
      </c>
      <c r="F53" s="282">
        <f>'Final Floorspace Estimates'!W18</f>
        <v>5.7481515508317544</v>
      </c>
      <c r="G53" s="282">
        <f>'Final Floorspace Estimates'!X18</f>
        <v>156.02413991968692</v>
      </c>
    </row>
    <row r="54" spans="3:7" x14ac:dyDescent="0.2">
      <c r="C54" s="280">
        <f t="shared" si="1"/>
        <v>1994</v>
      </c>
      <c r="D54" s="282">
        <f>'Final Floorspace Estimates'!U19</f>
        <v>130.51959822161481</v>
      </c>
      <c r="E54" s="282">
        <f>'Final Floorspace Estimates'!V19</f>
        <v>23.014610209119567</v>
      </c>
      <c r="F54" s="282">
        <f>'Final Floorspace Estimates'!W19</f>
        <v>5.9423968778654164</v>
      </c>
      <c r="G54" s="282">
        <f>'Final Floorspace Estimates'!X19</f>
        <v>159.4766053085998</v>
      </c>
    </row>
    <row r="55" spans="3:7" x14ac:dyDescent="0.2">
      <c r="C55" s="280">
        <f t="shared" si="1"/>
        <v>1995</v>
      </c>
      <c r="D55" s="282">
        <f>'Final Floorspace Estimates'!U20</f>
        <v>133.37110644407292</v>
      </c>
      <c r="E55" s="282">
        <f>'Final Floorspace Estimates'!V20</f>
        <v>23.295526591041533</v>
      </c>
      <c r="F55" s="282">
        <f>'Final Floorspace Estimates'!W20</f>
        <v>6.1631104740613374</v>
      </c>
      <c r="G55" s="282">
        <f>'Final Floorspace Estimates'!X20</f>
        <v>162.82974350917578</v>
      </c>
    </row>
    <row r="56" spans="3:7" x14ac:dyDescent="0.2">
      <c r="C56" s="280">
        <f t="shared" si="1"/>
        <v>1996</v>
      </c>
      <c r="D56" s="282">
        <f>'Final Floorspace Estimates'!U21</f>
        <v>135.5001584899133</v>
      </c>
      <c r="E56" s="282">
        <f>'Final Floorspace Estimates'!V21</f>
        <v>23.592635770548199</v>
      </c>
      <c r="F56" s="282">
        <f>'Final Floorspace Estimates'!W21</f>
        <v>6.3052013732803776</v>
      </c>
      <c r="G56" s="282">
        <f>'Final Floorspace Estimates'!X21</f>
        <v>165.39799563374189</v>
      </c>
    </row>
    <row r="57" spans="3:7" x14ac:dyDescent="0.2">
      <c r="C57" s="280">
        <f t="shared" si="1"/>
        <v>1997</v>
      </c>
      <c r="D57" s="282">
        <f>'Final Floorspace Estimates'!U22</f>
        <v>137.59738305138623</v>
      </c>
      <c r="E57" s="282">
        <f>'Final Floorspace Estimates'!V22</f>
        <v>23.90942247406716</v>
      </c>
      <c r="F57" s="282">
        <f>'Final Floorspace Estimates'!W22</f>
        <v>6.4477651156542306</v>
      </c>
      <c r="G57" s="282">
        <f>'Final Floorspace Estimates'!X22</f>
        <v>167.95457064110761</v>
      </c>
    </row>
    <row r="58" spans="3:7" x14ac:dyDescent="0.2">
      <c r="C58" s="280">
        <f t="shared" si="1"/>
        <v>1998</v>
      </c>
      <c r="D58" s="282">
        <f>'Final Floorspace Estimates'!U23</f>
        <v>140.9052333973365</v>
      </c>
      <c r="E58" s="282">
        <f>'Final Floorspace Estimates'!V23</f>
        <v>23.896009832963838</v>
      </c>
      <c r="F58" s="282">
        <f>'Final Floorspace Estimates'!W23</f>
        <v>6.7405960979039365</v>
      </c>
      <c r="G58" s="282">
        <f>'Final Floorspace Estimates'!X23</f>
        <v>171.54183932820428</v>
      </c>
    </row>
    <row r="59" spans="3:7" x14ac:dyDescent="0.2">
      <c r="C59" s="280">
        <f t="shared" si="1"/>
        <v>1999</v>
      </c>
      <c r="D59" s="282">
        <f>'Final Floorspace Estimates'!U24</f>
        <v>144.52380076185449</v>
      </c>
      <c r="E59" s="282">
        <f>'Final Floorspace Estimates'!V24</f>
        <v>23.926083971019246</v>
      </c>
      <c r="F59" s="282">
        <f>'Final Floorspace Estimates'!W24</f>
        <v>7.0381060369659156</v>
      </c>
      <c r="G59" s="282">
        <f>'Final Floorspace Estimates'!X24</f>
        <v>175.48799076983966</v>
      </c>
    </row>
    <row r="60" spans="3:7" x14ac:dyDescent="0.2">
      <c r="C60" s="280">
        <f t="shared" si="1"/>
        <v>2000</v>
      </c>
      <c r="D60" s="282">
        <f>'Final Floorspace Estimates'!U25</f>
        <v>147.51150081215135</v>
      </c>
      <c r="E60" s="282">
        <f>'Final Floorspace Estimates'!V25</f>
        <v>24.254056396230322</v>
      </c>
      <c r="F60" s="282">
        <f>'Final Floorspace Estimates'!W25</f>
        <v>7.2743910668244904</v>
      </c>
      <c r="G60" s="282">
        <f>'Final Floorspace Estimates'!X25</f>
        <v>179.03994827520614</v>
      </c>
    </row>
    <row r="61" spans="3:7" x14ac:dyDescent="0.2">
      <c r="C61" s="280">
        <f t="shared" si="1"/>
        <v>2001</v>
      </c>
      <c r="D61" s="282">
        <f>'Final Floorspace Estimates'!U26</f>
        <v>150.60150728970891</v>
      </c>
      <c r="E61" s="282">
        <f>'Final Floorspace Estimates'!V26</f>
        <v>24.562193823960062</v>
      </c>
      <c r="F61" s="282">
        <f>'Final Floorspace Estimates'!W26</f>
        <v>7.4657867893058469</v>
      </c>
      <c r="G61" s="282">
        <f>'Final Floorspace Estimates'!X26</f>
        <v>182.6294879029748</v>
      </c>
    </row>
    <row r="62" spans="3:7" x14ac:dyDescent="0.2">
      <c r="C62" s="280">
        <f t="shared" si="1"/>
        <v>2002</v>
      </c>
      <c r="D62" s="282">
        <f>'Final Floorspace Estimates'!U27</f>
        <v>153.38791254831452</v>
      </c>
      <c r="E62" s="282">
        <f>'Final Floorspace Estimates'!V27</f>
        <v>25.066973719859199</v>
      </c>
      <c r="F62" s="282">
        <f>'Final Floorspace Estimates'!W27</f>
        <v>7.2921515484700654</v>
      </c>
      <c r="G62" s="282">
        <f>'Final Floorspace Estimates'!X27</f>
        <v>185.74703781664377</v>
      </c>
    </row>
    <row r="63" spans="3:7" x14ac:dyDescent="0.2">
      <c r="C63" s="280">
        <f t="shared" si="1"/>
        <v>2003</v>
      </c>
      <c r="D63" s="282">
        <f>'Final Floorspace Estimates'!U28</f>
        <v>156.29264756912559</v>
      </c>
      <c r="E63" s="282">
        <f>'Final Floorspace Estimates'!V28</f>
        <v>25.531687627903242</v>
      </c>
      <c r="F63" s="282">
        <f>'Final Floorspace Estimates'!W28</f>
        <v>7.0989551393318022</v>
      </c>
      <c r="G63" s="282">
        <f>'Final Floorspace Estimates'!X28</f>
        <v>188.92329033636062</v>
      </c>
    </row>
    <row r="64" spans="3:7" x14ac:dyDescent="0.2">
      <c r="C64" s="280">
        <f t="shared" si="1"/>
        <v>2004</v>
      </c>
      <c r="D64" s="282">
        <f>'Final Floorspace Estimates'!U29</f>
        <v>160.02434242162172</v>
      </c>
      <c r="E64" s="282">
        <f>'Final Floorspace Estimates'!V29</f>
        <v>25.768675543414918</v>
      </c>
      <c r="F64" s="282">
        <f>'Final Floorspace Estimates'!W29</f>
        <v>7.30729015201306</v>
      </c>
      <c r="G64" s="282">
        <f>'Final Floorspace Estimates'!X29</f>
        <v>193.10030811704971</v>
      </c>
    </row>
    <row r="65" spans="3:7" x14ac:dyDescent="0.2">
      <c r="C65" s="280">
        <f t="shared" si="1"/>
        <v>2005</v>
      </c>
      <c r="D65" s="282">
        <f>'Final Floorspace Estimates'!U30</f>
        <v>164.12906772619303</v>
      </c>
      <c r="E65" s="282">
        <f>'Final Floorspace Estimates'!V30</f>
        <v>25.991417398721062</v>
      </c>
      <c r="F65" s="282">
        <f>'Final Floorspace Estimates'!W30</f>
        <v>7.5120114014767934</v>
      </c>
      <c r="G65" s="282">
        <f>'Final Floorspace Estimates'!X30</f>
        <v>197.6324965263909</v>
      </c>
    </row>
    <row r="66" spans="3:7" x14ac:dyDescent="0.2">
      <c r="C66" s="280">
        <f t="shared" si="1"/>
        <v>2006</v>
      </c>
      <c r="D66" s="282">
        <f>'Final Floorspace Estimates'!U31</f>
        <v>167.31277157534649</v>
      </c>
      <c r="E66" s="282">
        <f>'Final Floorspace Estimates'!V31</f>
        <v>26.363562677884445</v>
      </c>
      <c r="F66" s="282">
        <f>'Final Floorspace Estimates'!W31</f>
        <v>7.526607963954139</v>
      </c>
      <c r="G66" s="282">
        <f>'Final Floorspace Estimates'!X31</f>
        <v>201.2029422171851</v>
      </c>
    </row>
    <row r="67" spans="3:7" x14ac:dyDescent="0.2">
      <c r="C67" s="280">
        <f t="shared" si="1"/>
        <v>2007</v>
      </c>
      <c r="D67" s="282">
        <f>'Final Floorspace Estimates'!U32</f>
        <v>169.37270627869484</v>
      </c>
      <c r="E67" s="282">
        <f>'Final Floorspace Estimates'!V32</f>
        <v>26.675638339898605</v>
      </c>
      <c r="F67" s="282">
        <f>'Final Floorspace Estimates'!W32</f>
        <v>7.5335478785395242</v>
      </c>
      <c r="G67" s="282">
        <f>'Final Floorspace Estimates'!X32</f>
        <v>203.58189249713297</v>
      </c>
    </row>
    <row r="68" spans="3:7" x14ac:dyDescent="0.2">
      <c r="C68" s="280">
        <f t="shared" si="1"/>
        <v>2008</v>
      </c>
      <c r="D68" s="282">
        <f>'Final Floorspace Estimates'!U33</f>
        <v>171.47322949288872</v>
      </c>
      <c r="E68" s="282">
        <f>'Final Floorspace Estimates'!V33</f>
        <v>26.715200363481735</v>
      </c>
      <c r="F68" s="282">
        <f>'Final Floorspace Estimates'!W33</f>
        <v>7.5058604938505376</v>
      </c>
      <c r="G68" s="282">
        <f>'Final Floorspace Estimates'!X33</f>
        <v>205.694290350221</v>
      </c>
    </row>
    <row r="69" spans="3:7" x14ac:dyDescent="0.2">
      <c r="C69" s="280">
        <f t="shared" si="1"/>
        <v>2009</v>
      </c>
      <c r="D69" s="282">
        <f>'Final Floorspace Estimates'!U34</f>
        <v>172.7981515553783</v>
      </c>
      <c r="E69" s="282">
        <f>'Final Floorspace Estimates'!V34</f>
        <v>26.705824739061658</v>
      </c>
      <c r="F69" s="282">
        <f>'Final Floorspace Estimates'!W34</f>
        <v>7.4690163000943945</v>
      </c>
      <c r="G69" s="282">
        <f>'Final Floorspace Estimates'!X34</f>
        <v>206.97299259453433</v>
      </c>
    </row>
    <row r="70" spans="3:7" x14ac:dyDescent="0.2">
      <c r="C70" s="280">
        <f t="shared" si="1"/>
        <v>2010</v>
      </c>
      <c r="D70" s="282">
        <f>'Final Floorspace Estimates'!U35</f>
        <v>174.32551067644999</v>
      </c>
      <c r="E70" s="282">
        <f>'Final Floorspace Estimates'!V35</f>
        <v>27.21030998076985</v>
      </c>
      <c r="F70" s="282">
        <f>'Final Floorspace Estimates'!W35</f>
        <v>7.6454501672499671</v>
      </c>
      <c r="G70" s="282">
        <f>'Final Floorspace Estimates'!X35</f>
        <v>209.18127082446983</v>
      </c>
    </row>
    <row r="71" spans="3:7" s="341" customFormat="1" x14ac:dyDescent="0.2">
      <c r="C71" s="341">
        <f t="shared" ref="C71:C78" si="2">C32</f>
        <v>2011</v>
      </c>
      <c r="D71" s="344">
        <f>'Final Floorspace Estimates'!U36</f>
        <v>175.85758757328446</v>
      </c>
      <c r="E71" s="344">
        <f>'Final Floorspace Estimates'!V36</f>
        <v>27.724645253925367</v>
      </c>
      <c r="F71" s="344">
        <f>'Final Floorspace Estimates'!W36</f>
        <v>7.822424047961027</v>
      </c>
      <c r="G71" s="344">
        <f>'Final Floorspace Estimates'!X36</f>
        <v>211.40465687517084</v>
      </c>
    </row>
    <row r="72" spans="3:7" s="341" customFormat="1" x14ac:dyDescent="0.2">
      <c r="C72" s="341">
        <f t="shared" si="2"/>
        <v>2012</v>
      </c>
      <c r="D72" s="344">
        <f>'Final Floorspace Estimates'!U37</f>
        <v>177.45802050188004</v>
      </c>
      <c r="E72" s="344">
        <f>'Final Floorspace Estimates'!V37</f>
        <v>27.931244201661563</v>
      </c>
      <c r="F72" s="344">
        <f>'Final Floorspace Estimates'!W37</f>
        <v>7.975397490137456</v>
      </c>
      <c r="G72" s="344">
        <f>'Final Floorspace Estimates'!X37</f>
        <v>213.36466219367907</v>
      </c>
    </row>
    <row r="73" spans="3:7" s="341" customFormat="1" x14ac:dyDescent="0.2">
      <c r="C73" s="341">
        <f t="shared" si="2"/>
        <v>2013</v>
      </c>
      <c r="D73" s="344">
        <f>'Final Floorspace Estimates'!U38</f>
        <v>179.33185847857769</v>
      </c>
      <c r="E73" s="344">
        <f>'Final Floorspace Estimates'!V38</f>
        <v>28.152604654108508</v>
      </c>
      <c r="F73" s="344">
        <f>'Final Floorspace Estimates'!W38</f>
        <v>8.1307890613963156</v>
      </c>
      <c r="G73" s="344">
        <f>'Final Floorspace Estimates'!X38</f>
        <v>215.6152521940825</v>
      </c>
    </row>
    <row r="74" spans="3:7" s="341" customFormat="1" x14ac:dyDescent="0.2">
      <c r="C74" s="341">
        <f t="shared" si="2"/>
        <v>2014</v>
      </c>
      <c r="D74" s="344">
        <f>'Final Floorspace Estimates'!U39</f>
        <v>181.88336246002353</v>
      </c>
      <c r="E74" s="344">
        <f>'Final Floorspace Estimates'!V39</f>
        <v>28.37621745393173</v>
      </c>
      <c r="F74" s="344">
        <f>'Final Floorspace Estimates'!W39</f>
        <v>8.1885218893576646</v>
      </c>
      <c r="G74" s="344">
        <f>'Final Floorspace Estimates'!X39</f>
        <v>218.44810180331294</v>
      </c>
    </row>
    <row r="75" spans="3:7" s="341" customFormat="1" x14ac:dyDescent="0.2">
      <c r="C75" s="341">
        <f t="shared" si="2"/>
        <v>2015</v>
      </c>
      <c r="D75" s="344">
        <f>'Final Floorspace Estimates'!U40</f>
        <v>184.53691348889114</v>
      </c>
      <c r="E75" s="344">
        <f>'Final Floorspace Estimates'!V40</f>
        <v>28.632855810386392</v>
      </c>
      <c r="F75" s="344">
        <f>'Final Floorspace Estimates'!W40</f>
        <v>8.2429395789228224</v>
      </c>
      <c r="G75" s="344">
        <f>'Final Floorspace Estimates'!X40</f>
        <v>221.41270887820036</v>
      </c>
    </row>
    <row r="76" spans="3:7" s="341" customFormat="1" x14ac:dyDescent="0.2">
      <c r="C76" s="341">
        <f t="shared" si="2"/>
        <v>2016</v>
      </c>
      <c r="D76" s="344">
        <f>'Final Floorspace Estimates'!U41</f>
        <v>187.7274103895904</v>
      </c>
      <c r="E76" s="344">
        <f>'Final Floorspace Estimates'!V41</f>
        <v>28.813587190131734</v>
      </c>
      <c r="F76" s="344">
        <f>'Final Floorspace Estimates'!W41</f>
        <v>8.2930039383479812</v>
      </c>
      <c r="G76" s="344">
        <f>'Final Floorspace Estimates'!X41</f>
        <v>224.83400151807012</v>
      </c>
    </row>
    <row r="77" spans="3:7" s="341" customFormat="1" x14ac:dyDescent="0.2">
      <c r="C77" s="341">
        <f t="shared" si="2"/>
        <v>2017</v>
      </c>
      <c r="D77" s="344">
        <f>'Final Floorspace Estimates'!U42</f>
        <v>191.07288879056753</v>
      </c>
      <c r="E77" s="344">
        <f>'Final Floorspace Estimates'!V42</f>
        <v>29.004017985051057</v>
      </c>
      <c r="F77" s="344">
        <f>'Final Floorspace Estimates'!W42</f>
        <v>8.3458902048168007</v>
      </c>
      <c r="G77" s="344">
        <f>'Final Floorspace Estimates'!X42</f>
        <v>228.42279698043541</v>
      </c>
    </row>
    <row r="78" spans="3:7" s="341" customFormat="1" x14ac:dyDescent="0.2">
      <c r="C78" s="341">
        <f t="shared" si="2"/>
        <v>2018</v>
      </c>
      <c r="D78" s="344">
        <f>'Final Floorspace Estimates'!U43</f>
        <v>193.57193114176764</v>
      </c>
      <c r="E78" s="344">
        <f>'Final Floorspace Estimates'!V43</f>
        <v>29.173410525279472</v>
      </c>
      <c r="F78" s="344">
        <f>'Final Floorspace Estimates'!W43</f>
        <v>8.3319758180318662</v>
      </c>
      <c r="G78" s="344">
        <f>'Final Floorspace Estimates'!X43</f>
        <v>231.07731748507899</v>
      </c>
    </row>
    <row r="81" spans="3:7" x14ac:dyDescent="0.2">
      <c r="D81" s="280" t="s">
        <v>548</v>
      </c>
      <c r="E81" s="280" t="s">
        <v>259</v>
      </c>
      <c r="F81" s="280" t="s">
        <v>266</v>
      </c>
      <c r="G81" s="280" t="s">
        <v>91</v>
      </c>
    </row>
    <row r="82" spans="3:7" x14ac:dyDescent="0.2">
      <c r="C82" s="280">
        <f>1985</f>
        <v>1985</v>
      </c>
      <c r="D82" s="214">
        <f t="shared" ref="D82:F107" si="3">D45/$G45</f>
        <v>0.81746021757426801</v>
      </c>
      <c r="E82" s="214">
        <f t="shared" si="3"/>
        <v>0.15059620399237306</v>
      </c>
      <c r="F82" s="214">
        <f t="shared" si="3"/>
        <v>3.1943578433358988E-2</v>
      </c>
    </row>
    <row r="83" spans="3:7" x14ac:dyDescent="0.2">
      <c r="C83">
        <f>C82+1</f>
        <v>1986</v>
      </c>
      <c r="D83" s="214">
        <f t="shared" si="3"/>
        <v>0.81514363917238675</v>
      </c>
      <c r="E83" s="214">
        <f t="shared" si="3"/>
        <v>0.15224063209627542</v>
      </c>
      <c r="F83" s="214">
        <f t="shared" si="3"/>
        <v>3.2615728731337792E-2</v>
      </c>
    </row>
    <row r="84" spans="3:7" x14ac:dyDescent="0.2">
      <c r="C84" s="280">
        <f t="shared" ref="C84:C115" si="4">C83+1</f>
        <v>1987</v>
      </c>
      <c r="D84" s="214">
        <f t="shared" si="3"/>
        <v>0.81538567334174816</v>
      </c>
      <c r="E84" s="214">
        <f t="shared" si="3"/>
        <v>0.15192591868350991</v>
      </c>
      <c r="F84" s="214">
        <f t="shared" si="3"/>
        <v>3.2688407974741797E-2</v>
      </c>
    </row>
    <row r="85" spans="3:7" x14ac:dyDescent="0.2">
      <c r="C85" s="280">
        <f t="shared" si="4"/>
        <v>1988</v>
      </c>
      <c r="D85" s="214">
        <f t="shared" si="3"/>
        <v>0.81380923111687509</v>
      </c>
      <c r="E85" s="214">
        <f t="shared" si="3"/>
        <v>0.15270136808065138</v>
      </c>
      <c r="F85" s="214">
        <f t="shared" si="3"/>
        <v>3.3489400802473542E-2</v>
      </c>
    </row>
    <row r="86" spans="3:7" x14ac:dyDescent="0.2">
      <c r="C86" s="280">
        <f t="shared" si="4"/>
        <v>1989</v>
      </c>
      <c r="D86" s="214">
        <f t="shared" si="3"/>
        <v>0.81265693557778496</v>
      </c>
      <c r="E86" s="214">
        <f t="shared" si="3"/>
        <v>0.15309973365296811</v>
      </c>
      <c r="F86" s="214">
        <f t="shared" si="3"/>
        <v>3.4243330769246919E-2</v>
      </c>
    </row>
    <row r="87" spans="3:7" x14ac:dyDescent="0.2">
      <c r="C87" s="280">
        <f t="shared" si="4"/>
        <v>1990</v>
      </c>
      <c r="D87" s="214">
        <f t="shared" si="3"/>
        <v>0.81259108822159554</v>
      </c>
      <c r="E87" s="214">
        <f t="shared" si="3"/>
        <v>0.15177793522933966</v>
      </c>
      <c r="F87" s="214">
        <f t="shared" si="3"/>
        <v>3.5630976549064934E-2</v>
      </c>
    </row>
    <row r="88" spans="3:7" x14ac:dyDescent="0.2">
      <c r="C88" s="280">
        <f t="shared" si="4"/>
        <v>1991</v>
      </c>
      <c r="D88" s="214">
        <f t="shared" si="3"/>
        <v>0.81318280824854916</v>
      </c>
      <c r="E88" s="214">
        <f t="shared" si="3"/>
        <v>0.15010849280995414</v>
      </c>
      <c r="F88" s="214">
        <f t="shared" si="3"/>
        <v>3.6708698941496615E-2</v>
      </c>
    </row>
    <row r="89" spans="3:7" x14ac:dyDescent="0.2">
      <c r="C89" s="280">
        <f t="shared" si="4"/>
        <v>1992</v>
      </c>
      <c r="D89" s="214">
        <f t="shared" si="3"/>
        <v>0.81479067609112887</v>
      </c>
      <c r="E89" s="214">
        <f t="shared" si="3"/>
        <v>0.14848388685806904</v>
      </c>
      <c r="F89" s="214">
        <f t="shared" si="3"/>
        <v>3.6725437050802098E-2</v>
      </c>
    </row>
    <row r="90" spans="3:7" x14ac:dyDescent="0.2">
      <c r="C90" s="280">
        <f t="shared" si="4"/>
        <v>1993</v>
      </c>
      <c r="D90" s="214">
        <f t="shared" si="3"/>
        <v>0.81677016104077083</v>
      </c>
      <c r="E90" s="214">
        <f t="shared" si="3"/>
        <v>0.14638841458867602</v>
      </c>
      <c r="F90" s="214">
        <f t="shared" si="3"/>
        <v>3.684142437055319E-2</v>
      </c>
    </row>
    <row r="91" spans="3:7" x14ac:dyDescent="0.2">
      <c r="C91" s="280">
        <f t="shared" si="4"/>
        <v>1994</v>
      </c>
      <c r="D91" s="214">
        <f t="shared" si="3"/>
        <v>0.81842473364070611</v>
      </c>
      <c r="E91" s="214">
        <f t="shared" si="3"/>
        <v>0.14431339420966782</v>
      </c>
      <c r="F91" s="214">
        <f t="shared" si="3"/>
        <v>3.7261872149626021E-2</v>
      </c>
    </row>
    <row r="92" spans="3:7" x14ac:dyDescent="0.2">
      <c r="C92" s="280">
        <f t="shared" si="4"/>
        <v>1995</v>
      </c>
      <c r="D92" s="214">
        <f t="shared" si="3"/>
        <v>0.81908319432166388</v>
      </c>
      <c r="E92" s="214">
        <f t="shared" si="3"/>
        <v>0.14306677692290773</v>
      </c>
      <c r="F92" s="214">
        <f t="shared" si="3"/>
        <v>3.7850028755428422E-2</v>
      </c>
    </row>
    <row r="93" spans="3:7" x14ac:dyDescent="0.2">
      <c r="C93" s="280">
        <f t="shared" si="4"/>
        <v>1996</v>
      </c>
      <c r="D93" s="214">
        <f t="shared" si="3"/>
        <v>0.8192370044795797</v>
      </c>
      <c r="E93" s="214">
        <f t="shared" si="3"/>
        <v>0.14264160626705444</v>
      </c>
      <c r="F93" s="214">
        <f t="shared" si="3"/>
        <v>3.8121389253365834E-2</v>
      </c>
    </row>
    <row r="94" spans="3:7" x14ac:dyDescent="0.2">
      <c r="C94" s="280">
        <f t="shared" si="4"/>
        <v>1997</v>
      </c>
      <c r="D94" s="214">
        <f t="shared" si="3"/>
        <v>0.81925357866806792</v>
      </c>
      <c r="E94" s="214">
        <f t="shared" si="3"/>
        <v>0.14235648594022379</v>
      </c>
      <c r="F94" s="214">
        <f t="shared" si="3"/>
        <v>3.8389935391708312E-2</v>
      </c>
    </row>
    <row r="95" spans="3:7" x14ac:dyDescent="0.2">
      <c r="C95" s="280">
        <f t="shared" si="4"/>
        <v>1998</v>
      </c>
      <c r="D95" s="214">
        <f t="shared" si="3"/>
        <v>0.82140446872408801</v>
      </c>
      <c r="E95" s="214">
        <f t="shared" si="3"/>
        <v>0.13930135019273368</v>
      </c>
      <c r="F95" s="214">
        <f t="shared" si="3"/>
        <v>3.9294181083178302E-2</v>
      </c>
    </row>
    <row r="96" spans="3:7" x14ac:dyDescent="0.2">
      <c r="C96" s="280">
        <f t="shared" si="4"/>
        <v>1999</v>
      </c>
      <c r="D96" s="214">
        <f t="shared" si="3"/>
        <v>0.82355379492266179</v>
      </c>
      <c r="E96" s="214">
        <f t="shared" si="3"/>
        <v>0.13634029238159878</v>
      </c>
      <c r="F96" s="214">
        <f t="shared" si="3"/>
        <v>4.0105912695739425E-2</v>
      </c>
    </row>
    <row r="97" spans="3:6" x14ac:dyDescent="0.2">
      <c r="C97" s="280">
        <f t="shared" si="4"/>
        <v>2000</v>
      </c>
      <c r="D97" s="214">
        <f t="shared" si="3"/>
        <v>0.82390272245503704</v>
      </c>
      <c r="E97" s="214">
        <f t="shared" si="3"/>
        <v>0.13546728889213536</v>
      </c>
      <c r="F97" s="214">
        <f t="shared" si="3"/>
        <v>4.0629988652827735E-2</v>
      </c>
    </row>
    <row r="98" spans="3:6" x14ac:dyDescent="0.2">
      <c r="C98" s="280">
        <f t="shared" si="4"/>
        <v>2001</v>
      </c>
      <c r="D98" s="214">
        <f t="shared" si="3"/>
        <v>0.82462864578429229</v>
      </c>
      <c r="E98" s="214">
        <f t="shared" si="3"/>
        <v>0.1344919383282133</v>
      </c>
      <c r="F98" s="214">
        <f t="shared" si="3"/>
        <v>4.0879415887494469E-2</v>
      </c>
    </row>
    <row r="99" spans="3:6" x14ac:dyDescent="0.2">
      <c r="C99" s="280">
        <f t="shared" si="4"/>
        <v>2002</v>
      </c>
      <c r="D99" s="214">
        <f t="shared" si="3"/>
        <v>0.82578927961009063</v>
      </c>
      <c r="E99" s="214">
        <f t="shared" si="3"/>
        <v>0.13495221250636324</v>
      </c>
      <c r="F99" s="214">
        <f t="shared" si="3"/>
        <v>3.9258507883546213E-2</v>
      </c>
    </row>
    <row r="100" spans="3:6" x14ac:dyDescent="0.2">
      <c r="C100" s="280">
        <f t="shared" si="4"/>
        <v>2003</v>
      </c>
      <c r="D100" s="214">
        <f t="shared" si="3"/>
        <v>0.8272809947934997</v>
      </c>
      <c r="E100" s="214">
        <f t="shared" si="3"/>
        <v>0.13514314504287114</v>
      </c>
      <c r="F100" s="214">
        <f t="shared" si="3"/>
        <v>3.7575860163629175E-2</v>
      </c>
    </row>
    <row r="101" spans="3:6" x14ac:dyDescent="0.2">
      <c r="C101" s="280">
        <f t="shared" si="4"/>
        <v>2004</v>
      </c>
      <c r="D101" s="214">
        <f t="shared" si="3"/>
        <v>0.82871096365429597</v>
      </c>
      <c r="E101" s="214">
        <f t="shared" si="3"/>
        <v>0.13344709697612173</v>
      </c>
      <c r="F101" s="214">
        <f t="shared" si="3"/>
        <v>3.7841939369582321E-2</v>
      </c>
    </row>
    <row r="102" spans="3:6" x14ac:dyDescent="0.2">
      <c r="C102" s="280">
        <f t="shared" si="4"/>
        <v>2005</v>
      </c>
      <c r="D102" s="214">
        <f t="shared" si="3"/>
        <v>0.83047611405483623</v>
      </c>
      <c r="E102" s="214">
        <f t="shared" si="3"/>
        <v>0.13151388489013138</v>
      </c>
      <c r="F102" s="214">
        <f t="shared" si="3"/>
        <v>3.8010001055032341E-2</v>
      </c>
    </row>
    <row r="103" spans="3:6" x14ac:dyDescent="0.2">
      <c r="C103" s="280">
        <f t="shared" si="4"/>
        <v>2006</v>
      </c>
      <c r="D103" s="214">
        <f t="shared" si="3"/>
        <v>0.83156225118588756</v>
      </c>
      <c r="E103" s="214">
        <f t="shared" si="3"/>
        <v>0.13102970755480675</v>
      </c>
      <c r="F103" s="214">
        <f t="shared" si="3"/>
        <v>3.7408041259305594E-2</v>
      </c>
    </row>
    <row r="104" spans="3:6" x14ac:dyDescent="0.2">
      <c r="C104" s="280">
        <f t="shared" si="4"/>
        <v>2007</v>
      </c>
      <c r="D104" s="214">
        <f t="shared" si="3"/>
        <v>0.83196351208435737</v>
      </c>
      <c r="E104" s="214">
        <f t="shared" si="3"/>
        <v>0.1310314881775366</v>
      </c>
      <c r="F104" s="214">
        <f t="shared" si="3"/>
        <v>3.7004999738105976E-2</v>
      </c>
    </row>
    <row r="105" spans="3:6" x14ac:dyDescent="0.2">
      <c r="C105" s="280">
        <f t="shared" si="4"/>
        <v>2008</v>
      </c>
      <c r="D105" s="214">
        <f t="shared" si="3"/>
        <v>0.83363144986150794</v>
      </c>
      <c r="E105" s="214">
        <f t="shared" si="3"/>
        <v>0.12987818144099025</v>
      </c>
      <c r="F105" s="214">
        <f t="shared" si="3"/>
        <v>3.6490368697501739E-2</v>
      </c>
    </row>
    <row r="106" spans="3:6" x14ac:dyDescent="0.2">
      <c r="C106" s="280">
        <f t="shared" si="4"/>
        <v>2009</v>
      </c>
      <c r="D106" s="214">
        <f t="shared" si="3"/>
        <v>0.83488260661087565</v>
      </c>
      <c r="E106" s="214">
        <f t="shared" si="3"/>
        <v>0.12903048076122225</v>
      </c>
      <c r="F106" s="214">
        <f t="shared" si="3"/>
        <v>3.6086912627902125E-2</v>
      </c>
    </row>
    <row r="107" spans="3:6" x14ac:dyDescent="0.2">
      <c r="C107" s="280">
        <f t="shared" si="4"/>
        <v>2010</v>
      </c>
      <c r="D107" s="214">
        <f t="shared" si="3"/>
        <v>0.83337054980764347</v>
      </c>
      <c r="E107" s="214">
        <f t="shared" si="3"/>
        <v>0.13008004910536575</v>
      </c>
      <c r="F107" s="214">
        <f t="shared" si="3"/>
        <v>3.6549401086990667E-2</v>
      </c>
    </row>
    <row r="108" spans="3:6" s="341" customFormat="1" x14ac:dyDescent="0.2">
      <c r="C108" s="341">
        <f t="shared" si="4"/>
        <v>2011</v>
      </c>
      <c r="D108" s="214">
        <f t="shared" ref="D108:F108" si="5">D71/$G71</f>
        <v>0.83185295051056496</v>
      </c>
      <c r="E108" s="214">
        <f t="shared" si="5"/>
        <v>0.13114491262269626</v>
      </c>
      <c r="F108" s="214">
        <f t="shared" si="5"/>
        <v>3.7002136866738811E-2</v>
      </c>
    </row>
    <row r="109" spans="3:6" s="341" customFormat="1" x14ac:dyDescent="0.2">
      <c r="C109" s="341">
        <f t="shared" si="4"/>
        <v>2012</v>
      </c>
      <c r="D109" s="214">
        <f t="shared" ref="D109:F109" si="6">D72/$G72</f>
        <v>0.83171233079259754</v>
      </c>
      <c r="E109" s="214">
        <f t="shared" si="6"/>
        <v>0.13090848275665878</v>
      </c>
      <c r="F109" s="214">
        <f t="shared" si="6"/>
        <v>3.7379186450743611E-2</v>
      </c>
    </row>
    <row r="110" spans="3:6" s="341" customFormat="1" x14ac:dyDescent="0.2">
      <c r="C110" s="341">
        <f t="shared" si="4"/>
        <v>2013</v>
      </c>
      <c r="D110" s="214">
        <f t="shared" ref="D110:F110" si="7">D73/$G73</f>
        <v>0.83172158116697181</v>
      </c>
      <c r="E110" s="214">
        <f t="shared" si="7"/>
        <v>0.13056870684068031</v>
      </c>
      <c r="F110" s="214">
        <f t="shared" si="7"/>
        <v>3.7709711992347926E-2</v>
      </c>
    </row>
    <row r="111" spans="3:6" s="341" customFormat="1" x14ac:dyDescent="0.2">
      <c r="C111" s="341">
        <f t="shared" si="4"/>
        <v>2014</v>
      </c>
      <c r="D111" s="214">
        <f t="shared" ref="D111:F111" si="8">D74/$G74</f>
        <v>0.8326158980488112</v>
      </c>
      <c r="E111" s="214">
        <f t="shared" si="8"/>
        <v>0.1298991257863216</v>
      </c>
      <c r="F111" s="214">
        <f t="shared" si="8"/>
        <v>3.7484976164867179E-2</v>
      </c>
    </row>
    <row r="112" spans="3:6" s="341" customFormat="1" x14ac:dyDescent="0.2">
      <c r="C112" s="341">
        <f t="shared" si="4"/>
        <v>2015</v>
      </c>
      <c r="D112" s="214">
        <f t="shared" ref="D112:F112" si="9">D75/$G75</f>
        <v>0.83345221881732778</v>
      </c>
      <c r="E112" s="214">
        <f t="shared" si="9"/>
        <v>0.12931893546425735</v>
      </c>
      <c r="F112" s="214">
        <f t="shared" si="9"/>
        <v>3.7228845718414845E-2</v>
      </c>
    </row>
    <row r="113" spans="3:8" s="341" customFormat="1" x14ac:dyDescent="0.2">
      <c r="C113" s="341">
        <f t="shared" si="4"/>
        <v>2016</v>
      </c>
      <c r="D113" s="214">
        <f t="shared" ref="D113:F113" si="10">D76/$G76</f>
        <v>0.83496005551679231</v>
      </c>
      <c r="E113" s="214">
        <f t="shared" si="10"/>
        <v>0.12815493651130858</v>
      </c>
      <c r="F113" s="214">
        <f t="shared" si="10"/>
        <v>3.6885007971899059E-2</v>
      </c>
    </row>
    <row r="114" spans="3:8" s="341" customFormat="1" x14ac:dyDescent="0.2">
      <c r="C114" s="341">
        <f t="shared" si="4"/>
        <v>2017</v>
      </c>
      <c r="D114" s="214">
        <f t="shared" ref="D114:F114" si="11">D77/$G77</f>
        <v>0.83648782571790803</v>
      </c>
      <c r="E114" s="214">
        <f t="shared" si="11"/>
        <v>0.12697514595067003</v>
      </c>
      <c r="F114" s="214">
        <f t="shared" si="11"/>
        <v>3.6537028331421896E-2</v>
      </c>
    </row>
    <row r="115" spans="3:8" s="341" customFormat="1" x14ac:dyDescent="0.2">
      <c r="C115" s="341">
        <f t="shared" si="4"/>
        <v>2018</v>
      </c>
      <c r="D115" s="214">
        <f t="shared" ref="D115:F115" si="12">D78/$G78</f>
        <v>0.83769334545034635</v>
      </c>
      <c r="E115" s="214">
        <f t="shared" si="12"/>
        <v>0.12624956375115978</v>
      </c>
      <c r="F115" s="214">
        <f t="shared" si="12"/>
        <v>3.6057090798493771E-2</v>
      </c>
    </row>
    <row r="116" spans="3:8" s="341" customFormat="1" x14ac:dyDescent="0.2">
      <c r="D116" s="214"/>
      <c r="E116" s="214"/>
      <c r="F116" s="214"/>
    </row>
    <row r="117" spans="3:8" x14ac:dyDescent="0.2">
      <c r="C117" s="280"/>
    </row>
    <row r="118" spans="3:8" x14ac:dyDescent="0.2">
      <c r="C118" t="s">
        <v>89</v>
      </c>
      <c r="D118" t="s">
        <v>328</v>
      </c>
      <c r="E118" t="s">
        <v>329</v>
      </c>
      <c r="F118" t="s">
        <v>330</v>
      </c>
      <c r="G118" t="s">
        <v>331</v>
      </c>
    </row>
    <row r="119" spans="3:8" x14ac:dyDescent="0.2">
      <c r="C119">
        <v>1985</v>
      </c>
      <c r="D119" s="24">
        <f>'Final Floorspace Estimates'!$X49</f>
        <v>30.295053407897139</v>
      </c>
      <c r="E119" s="24">
        <f>'Final Floorspace Estimates'!$X90</f>
        <v>34.388131631610612</v>
      </c>
      <c r="F119" s="24">
        <f>'Final Floorspace Estimates'!$X131</f>
        <v>43.540885389042344</v>
      </c>
      <c r="G119" s="24">
        <f>'Final Floorspace Estimates'!$X171</f>
        <v>23.938290935475301</v>
      </c>
      <c r="H119" s="24">
        <f>SUM(D119:G119)</f>
        <v>132.1623613640254</v>
      </c>
    </row>
    <row r="120" spans="3:8" x14ac:dyDescent="0.2">
      <c r="C120">
        <f>C119+1</f>
        <v>1986</v>
      </c>
      <c r="D120" s="24">
        <f>'Final Floorspace Estimates'!$X50</f>
        <v>30.643275658947726</v>
      </c>
      <c r="E120" s="24">
        <f>'Final Floorspace Estimates'!$X91</f>
        <v>34.54575359515156</v>
      </c>
      <c r="F120" s="24">
        <f>'Final Floorspace Estimates'!$X132</f>
        <v>44.766708197559495</v>
      </c>
      <c r="G120" s="24">
        <f>'Final Floorspace Estimates'!$X172</f>
        <v>24.663453729499828</v>
      </c>
      <c r="H120" s="24">
        <f t="shared" ref="H120:H144" si="13">SUM(D120:G120)</f>
        <v>134.61919118115861</v>
      </c>
    </row>
    <row r="121" spans="3:8" x14ac:dyDescent="0.2">
      <c r="C121" s="280">
        <f t="shared" ref="C121:C152" si="14">C120+1</f>
        <v>1987</v>
      </c>
      <c r="D121" s="24">
        <f>'Final Floorspace Estimates'!$X51</f>
        <v>31.175276157783056</v>
      </c>
      <c r="E121" s="24">
        <f>'Final Floorspace Estimates'!$X92</f>
        <v>34.933795547035174</v>
      </c>
      <c r="F121" s="24">
        <f>'Final Floorspace Estimates'!$X133</f>
        <v>46.323985573585304</v>
      </c>
      <c r="G121" s="24">
        <f>'Final Floorspace Estimates'!$X173</f>
        <v>25.56210137884872</v>
      </c>
      <c r="H121" s="24">
        <f t="shared" si="13"/>
        <v>137.99515865725226</v>
      </c>
    </row>
    <row r="122" spans="3:8" x14ac:dyDescent="0.2">
      <c r="C122" s="280">
        <f t="shared" si="14"/>
        <v>1988</v>
      </c>
      <c r="D122" s="24">
        <f>'Final Floorspace Estimates'!$X52</f>
        <v>31.825092179685441</v>
      </c>
      <c r="E122" s="24">
        <f>'Final Floorspace Estimates'!$X93</f>
        <v>35.760123071070126</v>
      </c>
      <c r="F122" s="24">
        <f>'Final Floorspace Estimates'!$X134</f>
        <v>47.714706637699692</v>
      </c>
      <c r="G122" s="24">
        <f>'Final Floorspace Estimates'!$X174</f>
        <v>26.126681159090523</v>
      </c>
      <c r="H122" s="24">
        <f t="shared" si="13"/>
        <v>141.42660304754577</v>
      </c>
    </row>
    <row r="123" spans="3:8" x14ac:dyDescent="0.2">
      <c r="C123" s="280">
        <f t="shared" si="14"/>
        <v>1989</v>
      </c>
      <c r="D123" s="24">
        <f>'Final Floorspace Estimates'!$X53</f>
        <v>32.425595185412007</v>
      </c>
      <c r="E123" s="24">
        <f>'Final Floorspace Estimates'!$X94</f>
        <v>36.547631200535513</v>
      </c>
      <c r="F123" s="24">
        <f>'Final Floorspace Estimates'!$X135</f>
        <v>49.067637734387915</v>
      </c>
      <c r="G123" s="24">
        <f>'Final Floorspace Estimates'!$X175</f>
        <v>26.655876087665362</v>
      </c>
      <c r="H123" s="24">
        <f t="shared" si="13"/>
        <v>144.69674020800079</v>
      </c>
    </row>
    <row r="124" spans="3:8" x14ac:dyDescent="0.2">
      <c r="C124" s="280">
        <f t="shared" si="14"/>
        <v>1990</v>
      </c>
      <c r="D124" s="24">
        <f>'Final Floorspace Estimates'!$X54</f>
        <v>32.67223968353165</v>
      </c>
      <c r="E124" s="24">
        <f>'Final Floorspace Estimates'!$X95</f>
        <v>36.861312261546871</v>
      </c>
      <c r="F124" s="24">
        <f>'Final Floorspace Estimates'!$X136</f>
        <v>49.692743410475757</v>
      </c>
      <c r="G124" s="24">
        <f>'Final Floorspace Estimates'!$X176</f>
        <v>27.608578423838036</v>
      </c>
      <c r="H124" s="24">
        <f t="shared" si="13"/>
        <v>146.83487377939232</v>
      </c>
    </row>
    <row r="125" spans="3:8" x14ac:dyDescent="0.2">
      <c r="C125" s="280">
        <f t="shared" si="14"/>
        <v>1991</v>
      </c>
      <c r="D125" s="24">
        <f>'Final Floorspace Estimates'!$X55</f>
        <v>32.803248557776286</v>
      </c>
      <c r="E125" s="24">
        <f>'Final Floorspace Estimates'!$X96</f>
        <v>37.045870592262403</v>
      </c>
      <c r="F125" s="24">
        <f>'Final Floorspace Estimates'!$X137</f>
        <v>50.135835752022828</v>
      </c>
      <c r="G125" s="24">
        <f>'Final Floorspace Estimates'!$X177</f>
        <v>28.48089961514729</v>
      </c>
      <c r="H125" s="24">
        <f t="shared" si="13"/>
        <v>148.46585451720881</v>
      </c>
    </row>
    <row r="126" spans="3:8" x14ac:dyDescent="0.2">
      <c r="C126" s="280">
        <f t="shared" si="14"/>
        <v>1992</v>
      </c>
      <c r="D126" s="24">
        <f>'Final Floorspace Estimates'!$X56</f>
        <v>33.123810811152985</v>
      </c>
      <c r="E126" s="24">
        <f>'Final Floorspace Estimates'!$X97</f>
        <v>38.013526848234868</v>
      </c>
      <c r="F126" s="24">
        <f>'Final Floorspace Estimates'!$X138</f>
        <v>51.871601639980831</v>
      </c>
      <c r="G126" s="24">
        <f>'Final Floorspace Estimates'!$X178</f>
        <v>29.166554621733042</v>
      </c>
      <c r="H126" s="24">
        <f t="shared" si="13"/>
        <v>152.17549392110172</v>
      </c>
    </row>
    <row r="127" spans="3:8" x14ac:dyDescent="0.2">
      <c r="C127" s="280">
        <f t="shared" si="14"/>
        <v>1993</v>
      </c>
      <c r="D127" s="24">
        <f>'Final Floorspace Estimates'!$X57</f>
        <v>33.442004088055405</v>
      </c>
      <c r="E127" s="24">
        <f>'Final Floorspace Estimates'!$X98</f>
        <v>39.018604511774463</v>
      </c>
      <c r="F127" s="24">
        <f>'Final Floorspace Estimates'!$X139</f>
        <v>53.686604430688952</v>
      </c>
      <c r="G127" s="24">
        <f>'Final Floorspace Estimates'!$X179</f>
        <v>29.876926889168121</v>
      </c>
      <c r="H127" s="24">
        <f t="shared" si="13"/>
        <v>156.02413991968695</v>
      </c>
    </row>
    <row r="128" spans="3:8" x14ac:dyDescent="0.2">
      <c r="C128" s="280">
        <f t="shared" si="14"/>
        <v>1994</v>
      </c>
      <c r="D128" s="24">
        <f>'Final Floorspace Estimates'!$X58</f>
        <v>33.794844080936734</v>
      </c>
      <c r="E128" s="24">
        <f>'Final Floorspace Estimates'!$X99</f>
        <v>40.247017452275266</v>
      </c>
      <c r="F128" s="24">
        <f>'Final Floorspace Estimates'!$X140</f>
        <v>54.898161731397273</v>
      </c>
      <c r="G128" s="24">
        <f>'Final Floorspace Estimates'!$X180</f>
        <v>30.536582043990535</v>
      </c>
      <c r="H128" s="24">
        <f t="shared" si="13"/>
        <v>159.4766053085998</v>
      </c>
    </row>
    <row r="129" spans="3:8" x14ac:dyDescent="0.2">
      <c r="C129" s="280">
        <f t="shared" si="14"/>
        <v>1995</v>
      </c>
      <c r="D129" s="24">
        <f>'Final Floorspace Estimates'!$X59</f>
        <v>34.120822974170473</v>
      </c>
      <c r="E129" s="24">
        <f>'Final Floorspace Estimates'!$X100</f>
        <v>41.460826812849838</v>
      </c>
      <c r="F129" s="24">
        <f>'Final Floorspace Estimates'!$X141</f>
        <v>56.071509757288283</v>
      </c>
      <c r="G129" s="24">
        <f>'Final Floorspace Estimates'!$X181</f>
        <v>31.176583964867213</v>
      </c>
      <c r="H129" s="24">
        <f t="shared" si="13"/>
        <v>162.82974350917581</v>
      </c>
    </row>
    <row r="130" spans="3:8" x14ac:dyDescent="0.2">
      <c r="C130" s="280">
        <f t="shared" si="14"/>
        <v>1996</v>
      </c>
      <c r="D130" s="24">
        <f>'Final Floorspace Estimates'!$X60</f>
        <v>34.685693592890182</v>
      </c>
      <c r="E130" s="24">
        <f>'Final Floorspace Estimates'!$X101</f>
        <v>41.780578625641475</v>
      </c>
      <c r="F130" s="24">
        <f>'Final Floorspace Estimates'!$X142</f>
        <v>57.058362989511124</v>
      </c>
      <c r="G130" s="24">
        <f>'Final Floorspace Estimates'!$X182</f>
        <v>31.873360425699101</v>
      </c>
      <c r="H130" s="24">
        <f t="shared" si="13"/>
        <v>165.39799563374189</v>
      </c>
    </row>
    <row r="131" spans="3:8" x14ac:dyDescent="0.2">
      <c r="C131" s="280">
        <f t="shared" si="14"/>
        <v>1997</v>
      </c>
      <c r="D131" s="24">
        <f>'Final Floorspace Estimates'!$X61</f>
        <v>35.250382714846289</v>
      </c>
      <c r="E131" s="24">
        <f>'Final Floorspace Estimates'!$X102</f>
        <v>42.086243910257572</v>
      </c>
      <c r="F131" s="24">
        <f>'Final Floorspace Estimates'!$X143</f>
        <v>58.04378508102559</v>
      </c>
      <c r="G131" s="24">
        <f>'Final Floorspace Estimates'!$X183</f>
        <v>32.574158934978151</v>
      </c>
      <c r="H131" s="24">
        <f t="shared" si="13"/>
        <v>167.95457064110761</v>
      </c>
    </row>
    <row r="132" spans="3:8" x14ac:dyDescent="0.2">
      <c r="C132" s="280">
        <f t="shared" si="14"/>
        <v>1998</v>
      </c>
      <c r="D132" s="24">
        <f>'Final Floorspace Estimates'!$X62</f>
        <v>35.929642010942651</v>
      </c>
      <c r="E132" s="24">
        <f>'Final Floorspace Estimates'!$X103</f>
        <v>42.637856971091821</v>
      </c>
      <c r="F132" s="24">
        <f>'Final Floorspace Estimates'!$X144</f>
        <v>59.462308116786389</v>
      </c>
      <c r="G132" s="24">
        <f>'Final Floorspace Estimates'!$X184</f>
        <v>33.512032229383422</v>
      </c>
      <c r="H132" s="24">
        <f t="shared" si="13"/>
        <v>171.54183932820428</v>
      </c>
    </row>
    <row r="133" spans="3:8" x14ac:dyDescent="0.2">
      <c r="C133" s="280">
        <f t="shared" si="14"/>
        <v>1999</v>
      </c>
      <c r="D133" s="24">
        <f>'Final Floorspace Estimates'!$X63</f>
        <v>36.685997888937528</v>
      </c>
      <c r="E133" s="24">
        <f>'Final Floorspace Estimates'!$X104</f>
        <v>43.265481638178109</v>
      </c>
      <c r="F133" s="24">
        <f>'Final Floorspace Estimates'!$X145</f>
        <v>61.001955535822056</v>
      </c>
      <c r="G133" s="24">
        <f>'Final Floorspace Estimates'!$X185</f>
        <v>34.534555706901976</v>
      </c>
      <c r="H133" s="24">
        <f t="shared" si="13"/>
        <v>175.48799076983968</v>
      </c>
    </row>
    <row r="134" spans="3:8" x14ac:dyDescent="0.2">
      <c r="C134" s="280">
        <f t="shared" si="14"/>
        <v>2000</v>
      </c>
      <c r="D134" s="24">
        <f>'Final Floorspace Estimates'!$X64</f>
        <v>37.150451147479217</v>
      </c>
      <c r="E134" s="24">
        <f>'Final Floorspace Estimates'!$X105</f>
        <v>43.668983792992734</v>
      </c>
      <c r="F134" s="24">
        <f>'Final Floorspace Estimates'!$X146</f>
        <v>62.745493450841778</v>
      </c>
      <c r="G134" s="24">
        <f>'Final Floorspace Estimates'!$X186</f>
        <v>35.475019883892436</v>
      </c>
      <c r="H134" s="24">
        <f t="shared" si="13"/>
        <v>179.03994827520617</v>
      </c>
    </row>
    <row r="135" spans="3:8" x14ac:dyDescent="0.2">
      <c r="C135" s="280">
        <f t="shared" si="14"/>
        <v>2001</v>
      </c>
      <c r="D135" s="24">
        <f>'Final Floorspace Estimates'!$X65</f>
        <v>37.615996433606391</v>
      </c>
      <c r="E135" s="24">
        <f>'Final Floorspace Estimates'!$X106</f>
        <v>44.068274907866439</v>
      </c>
      <c r="F135" s="24">
        <f>'Final Floorspace Estimates'!$X147</f>
        <v>64.513710398010431</v>
      </c>
      <c r="G135" s="24">
        <f>'Final Floorspace Estimates'!$X187</f>
        <v>36.431506163491569</v>
      </c>
      <c r="H135" s="24">
        <f t="shared" si="13"/>
        <v>182.62948790297483</v>
      </c>
    </row>
    <row r="136" spans="3:8" x14ac:dyDescent="0.2">
      <c r="C136" s="280">
        <f t="shared" si="14"/>
        <v>2002</v>
      </c>
      <c r="D136" s="24">
        <f>'Final Floorspace Estimates'!$X66</f>
        <v>37.923216202434688</v>
      </c>
      <c r="E136" s="24">
        <f>'Final Floorspace Estimates'!$X107</f>
        <v>44.680020203371278</v>
      </c>
      <c r="F136" s="24">
        <f>'Final Floorspace Estimates'!$X148</f>
        <v>65.897474894119654</v>
      </c>
      <c r="G136" s="24">
        <f>'Final Floorspace Estimates'!$X188</f>
        <v>37.246326516718156</v>
      </c>
      <c r="H136" s="24">
        <f t="shared" si="13"/>
        <v>185.7470378166438</v>
      </c>
    </row>
    <row r="137" spans="3:8" x14ac:dyDescent="0.2">
      <c r="C137" s="280">
        <f t="shared" si="14"/>
        <v>2003</v>
      </c>
      <c r="D137" s="24">
        <f>'Final Floorspace Estimates'!$X67</f>
        <v>38.231358204590848</v>
      </c>
      <c r="E137" s="24">
        <f>'Final Floorspace Estimates'!$X108</f>
        <v>45.303012201466302</v>
      </c>
      <c r="F137" s="24">
        <f>'Final Floorspace Estimates'!$X149</f>
        <v>67.31170779626359</v>
      </c>
      <c r="G137" s="24">
        <f>'Final Floorspace Estimates'!$X189</f>
        <v>38.07721213403989</v>
      </c>
      <c r="H137" s="24">
        <f t="shared" si="13"/>
        <v>188.92329033636062</v>
      </c>
    </row>
    <row r="138" spans="3:8" x14ac:dyDescent="0.2">
      <c r="C138" s="280">
        <f t="shared" si="14"/>
        <v>2004</v>
      </c>
      <c r="D138" s="24">
        <f>'Final Floorspace Estimates'!$X68</f>
        <v>38.588555492771604</v>
      </c>
      <c r="E138" s="24">
        <f>'Final Floorspace Estimates'!$X109</f>
        <v>46.047233035630605</v>
      </c>
      <c r="F138" s="24">
        <f>'Final Floorspace Estimates'!$X150</f>
        <v>69.422555758946004</v>
      </c>
      <c r="G138" s="24">
        <f>'Final Floorspace Estimates'!$X190</f>
        <v>39.041963829701487</v>
      </c>
      <c r="H138" s="24">
        <f t="shared" si="13"/>
        <v>193.10030811704968</v>
      </c>
    </row>
    <row r="139" spans="3:8" x14ac:dyDescent="0.2">
      <c r="C139" s="280">
        <f t="shared" si="14"/>
        <v>2005</v>
      </c>
      <c r="D139" s="24">
        <f>'Final Floorspace Estimates'!$X69</f>
        <v>38.992871452908545</v>
      </c>
      <c r="E139" s="24">
        <f>'Final Floorspace Estimates'!$X110</f>
        <v>46.867938813061997</v>
      </c>
      <c r="F139" s="24">
        <f>'Final Floorspace Estimates'!$X151</f>
        <v>71.688733309583739</v>
      </c>
      <c r="G139" s="24">
        <f>'Final Floorspace Estimates'!$X191</f>
        <v>40.082952950836585</v>
      </c>
      <c r="H139" s="24">
        <f t="shared" si="13"/>
        <v>197.63249652639087</v>
      </c>
    </row>
    <row r="140" spans="3:8" x14ac:dyDescent="0.2">
      <c r="C140" s="280">
        <f t="shared" si="14"/>
        <v>2006</v>
      </c>
      <c r="D140" s="24">
        <f>'Final Floorspace Estimates'!$X70</f>
        <v>39.23206519932063</v>
      </c>
      <c r="E140" s="24">
        <f>'Final Floorspace Estimates'!$X111</f>
        <v>47.322011394125397</v>
      </c>
      <c r="F140" s="24">
        <f>'Final Floorspace Estimates'!$X152</f>
        <v>73.56480878051552</v>
      </c>
      <c r="G140" s="24">
        <f>'Final Floorspace Estimates'!$X192</f>
        <v>41.084056843223522</v>
      </c>
      <c r="H140" s="24">
        <f t="shared" si="13"/>
        <v>201.20294221718507</v>
      </c>
    </row>
    <row r="141" spans="3:8" x14ac:dyDescent="0.2">
      <c r="C141" s="280">
        <f t="shared" si="14"/>
        <v>2007</v>
      </c>
      <c r="D141" s="24">
        <f>'Final Floorspace Estimates'!$X71</f>
        <v>39.231788515015019</v>
      </c>
      <c r="E141" s="24">
        <f>'Final Floorspace Estimates'!$X112</f>
        <v>47.475323134158216</v>
      </c>
      <c r="F141" s="24">
        <f>'Final Floorspace Estimates'!$X153</f>
        <v>75.024307467893479</v>
      </c>
      <c r="G141" s="24">
        <f>'Final Floorspace Estimates'!$X193</f>
        <v>41.850473380066234</v>
      </c>
      <c r="H141" s="24">
        <f t="shared" si="13"/>
        <v>203.58189249713294</v>
      </c>
    </row>
    <row r="142" spans="3:8" x14ac:dyDescent="0.2">
      <c r="C142" s="280">
        <f t="shared" si="14"/>
        <v>2008</v>
      </c>
      <c r="D142" s="24">
        <f>'Final Floorspace Estimates'!$X72</f>
        <v>39.462988294859123</v>
      </c>
      <c r="E142" s="24">
        <f>'Final Floorspace Estimates'!$X113</f>
        <v>47.741339065063094</v>
      </c>
      <c r="F142" s="24">
        <f>'Final Floorspace Estimates'!$X154</f>
        <v>76.260846941237389</v>
      </c>
      <c r="G142" s="24">
        <f>'Final Floorspace Estimates'!$X194</f>
        <v>42.229116049061361</v>
      </c>
      <c r="H142" s="24">
        <f t="shared" si="13"/>
        <v>205.69429035022097</v>
      </c>
    </row>
    <row r="143" spans="3:8" x14ac:dyDescent="0.2">
      <c r="C143" s="280">
        <f t="shared" si="14"/>
        <v>2009</v>
      </c>
      <c r="D143" s="24">
        <f>'Final Floorspace Estimates'!$X73</f>
        <v>39.534348268440539</v>
      </c>
      <c r="E143" s="24">
        <f>'Final Floorspace Estimates'!$X114</f>
        <v>47.806505942247668</v>
      </c>
      <c r="F143" s="24">
        <f>'Final Floorspace Estimates'!$X155</f>
        <v>77.198891989558163</v>
      </c>
      <c r="G143" s="24">
        <f>'Final Floorspace Estimates'!$X195</f>
        <v>42.433246394288012</v>
      </c>
      <c r="H143" s="24">
        <f t="shared" si="13"/>
        <v>206.97299259453439</v>
      </c>
    </row>
    <row r="144" spans="3:8" x14ac:dyDescent="0.2">
      <c r="C144" s="280">
        <f t="shared" si="14"/>
        <v>2010</v>
      </c>
      <c r="D144" s="24">
        <f>'Final Floorspace Estimates'!$X74</f>
        <v>39.539739908516438</v>
      </c>
      <c r="E144" s="24">
        <f>'Final Floorspace Estimates'!$X115</f>
        <v>47.990896980269561</v>
      </c>
      <c r="F144" s="24">
        <f>'Final Floorspace Estimates'!$X156</f>
        <v>78.318399650530608</v>
      </c>
      <c r="G144" s="24">
        <f>'Final Floorspace Estimates'!$X196</f>
        <v>43.332234285153191</v>
      </c>
      <c r="H144" s="24">
        <f t="shared" si="13"/>
        <v>209.18127082446981</v>
      </c>
    </row>
    <row r="145" spans="3:8" s="341" customFormat="1" x14ac:dyDescent="0.2">
      <c r="C145" s="341">
        <f t="shared" si="14"/>
        <v>2011</v>
      </c>
      <c r="D145" s="24">
        <f>'Final Floorspace Estimates'!$X75</f>
        <v>39.537390021370676</v>
      </c>
      <c r="E145" s="24">
        <f>'Final Floorspace Estimates'!$X116</f>
        <v>48.189713585675165</v>
      </c>
      <c r="F145" s="24">
        <f>'Final Floorspace Estimates'!$X157</f>
        <v>79.438723817678309</v>
      </c>
      <c r="G145" s="24">
        <f>'Final Floorspace Estimates'!$X197</f>
        <v>44.238829450446723</v>
      </c>
      <c r="H145" s="24">
        <f t="shared" ref="H145:H152" si="15">SUM(D145:G145)</f>
        <v>211.4046568751709</v>
      </c>
    </row>
    <row r="146" spans="3:8" s="341" customFormat="1" x14ac:dyDescent="0.2">
      <c r="C146" s="341">
        <f t="shared" si="14"/>
        <v>2012</v>
      </c>
      <c r="D146" s="24">
        <f>'Final Floorspace Estimates'!$X76</f>
        <v>39.805597917327454</v>
      </c>
      <c r="E146" s="24">
        <f>'Final Floorspace Estimates'!$X117</f>
        <v>48.643679807115575</v>
      </c>
      <c r="F146" s="24">
        <f>'Final Floorspace Estimates'!$X158</f>
        <v>80.185945824416351</v>
      </c>
      <c r="G146" s="24">
        <f>'Final Floorspace Estimates'!$X198</f>
        <v>44.729438644819687</v>
      </c>
      <c r="H146" s="24">
        <f t="shared" si="15"/>
        <v>213.36466219367904</v>
      </c>
    </row>
    <row r="147" spans="3:8" s="341" customFormat="1" x14ac:dyDescent="0.2">
      <c r="C147" s="341">
        <f t="shared" si="14"/>
        <v>2013</v>
      </c>
      <c r="D147" s="24">
        <f>'Final Floorspace Estimates'!$X77</f>
        <v>40.121726396476959</v>
      </c>
      <c r="E147" s="24">
        <f>'Final Floorspace Estimates'!$X118</f>
        <v>49.171642986878524</v>
      </c>
      <c r="F147" s="24">
        <f>'Final Floorspace Estimates'!$X159</f>
        <v>81.04051846122502</v>
      </c>
      <c r="G147" s="24">
        <f>'Final Floorspace Estimates'!$X199</f>
        <v>45.281364349502027</v>
      </c>
      <c r="H147" s="24">
        <f t="shared" si="15"/>
        <v>215.61525219408253</v>
      </c>
    </row>
    <row r="148" spans="3:8" s="341" customFormat="1" x14ac:dyDescent="0.2">
      <c r="C148" s="341">
        <f t="shared" si="14"/>
        <v>2014</v>
      </c>
      <c r="D148" s="24">
        <f>'Final Floorspace Estimates'!$X78</f>
        <v>40.424179080045448</v>
      </c>
      <c r="E148" s="24">
        <f>'Final Floorspace Estimates'!$X119</f>
        <v>49.750785188682734</v>
      </c>
      <c r="F148" s="24">
        <f>'Final Floorspace Estimates'!$X160</f>
        <v>82.142438187164515</v>
      </c>
      <c r="G148" s="24">
        <f>'Final Floorspace Estimates'!$X200</f>
        <v>46.130699347420233</v>
      </c>
      <c r="H148" s="24">
        <f t="shared" si="15"/>
        <v>218.44810180331294</v>
      </c>
    </row>
    <row r="149" spans="3:8" s="341" customFormat="1" x14ac:dyDescent="0.2">
      <c r="C149" s="341">
        <f t="shared" si="14"/>
        <v>2015</v>
      </c>
      <c r="D149" s="24">
        <f>'Final Floorspace Estimates'!$X79</f>
        <v>40.794945818245871</v>
      </c>
      <c r="E149" s="24">
        <f>'Final Floorspace Estimates'!$X120</f>
        <v>50.365790730596906</v>
      </c>
      <c r="F149" s="24">
        <f>'Final Floorspace Estimates'!$X161</f>
        <v>83.256902641561751</v>
      </c>
      <c r="G149" s="24">
        <f>'Final Floorspace Estimates'!$X201</f>
        <v>46.995069687795834</v>
      </c>
      <c r="H149" s="24">
        <f t="shared" si="15"/>
        <v>221.41270887820036</v>
      </c>
    </row>
    <row r="150" spans="3:8" s="341" customFormat="1" x14ac:dyDescent="0.2">
      <c r="C150" s="341">
        <f t="shared" si="14"/>
        <v>2016</v>
      </c>
      <c r="D150" s="24">
        <f>'Final Floorspace Estimates'!$X80</f>
        <v>41.133336811281914</v>
      </c>
      <c r="E150" s="24">
        <f>'Final Floorspace Estimates'!$X121</f>
        <v>51.193926301300756</v>
      </c>
      <c r="F150" s="24">
        <f>'Final Floorspace Estimates'!$X162</f>
        <v>84.838301884436646</v>
      </c>
      <c r="G150" s="24">
        <f>'Final Floorspace Estimates'!$X202</f>
        <v>47.668436521050822</v>
      </c>
      <c r="H150" s="24">
        <f t="shared" si="15"/>
        <v>224.83400151807012</v>
      </c>
    </row>
    <row r="151" spans="3:8" s="341" customFormat="1" x14ac:dyDescent="0.2">
      <c r="C151" s="341">
        <f t="shared" si="14"/>
        <v>2017</v>
      </c>
      <c r="D151" s="24">
        <f>'Final Floorspace Estimates'!$X81</f>
        <v>41.504877258722011</v>
      </c>
      <c r="E151" s="24">
        <f>'Final Floorspace Estimates'!$X122</f>
        <v>52.066464647038671</v>
      </c>
      <c r="F151" s="24">
        <f>'Final Floorspace Estimates'!$X163</f>
        <v>86.482426080678621</v>
      </c>
      <c r="G151" s="24">
        <f>'Final Floorspace Estimates'!$X203</f>
        <v>48.369028993996096</v>
      </c>
      <c r="H151" s="24">
        <f t="shared" si="15"/>
        <v>228.42279698043541</v>
      </c>
    </row>
    <row r="152" spans="3:8" s="341" customFormat="1" x14ac:dyDescent="0.2">
      <c r="C152" s="341">
        <f t="shared" si="14"/>
        <v>2018</v>
      </c>
      <c r="D152" s="24">
        <f>'Final Floorspace Estimates'!$X82</f>
        <v>41.976775141163756</v>
      </c>
      <c r="E152" s="24">
        <f>'Final Floorspace Estimates'!$X123</f>
        <v>52.689126314219756</v>
      </c>
      <c r="F152" s="24">
        <f>'Final Floorspace Estimates'!$X164</f>
        <v>87.48072213841229</v>
      </c>
      <c r="G152" s="24">
        <f>'Final Floorspace Estimates'!$X204</f>
        <v>48.930693891283113</v>
      </c>
      <c r="H152" s="24">
        <f t="shared" si="15"/>
        <v>231.07731748507891</v>
      </c>
    </row>
    <row r="153" spans="3:8" s="341" customFormat="1" x14ac:dyDescent="0.2">
      <c r="D153" s="24"/>
      <c r="E153" s="24"/>
      <c r="F153" s="24"/>
      <c r="G153" s="24"/>
      <c r="H153" s="24"/>
    </row>
    <row r="154" spans="3:8" s="341" customFormat="1" x14ac:dyDescent="0.2">
      <c r="D154" s="24"/>
      <c r="E154" s="24"/>
      <c r="F154" s="24"/>
      <c r="G154" s="24"/>
      <c r="H154" s="24"/>
    </row>
    <row r="155" spans="3:8" s="341" customFormat="1" x14ac:dyDescent="0.2">
      <c r="D155" s="24"/>
      <c r="E155" s="24"/>
      <c r="F155" s="24"/>
      <c r="G155" s="24"/>
      <c r="H155" s="24"/>
    </row>
    <row r="156" spans="3:8" x14ac:dyDescent="0.2">
      <c r="C156" s="280"/>
    </row>
    <row r="157" spans="3:8" x14ac:dyDescent="0.2">
      <c r="C157" s="280"/>
      <c r="D157" t="s">
        <v>22</v>
      </c>
      <c r="E157" t="s">
        <v>21</v>
      </c>
      <c r="F157" t="s">
        <v>20</v>
      </c>
      <c r="G157" t="s">
        <v>23</v>
      </c>
    </row>
    <row r="158" spans="3:8" x14ac:dyDescent="0.2">
      <c r="C158" s="280">
        <f>C119</f>
        <v>1985</v>
      </c>
      <c r="D158" s="214">
        <f t="shared" ref="D158:D183" si="16">F119/$H119</f>
        <v>0.3294499654793106</v>
      </c>
      <c r="E158" s="214">
        <f t="shared" ref="E158:E183" si="17">E119/$H119</f>
        <v>0.2601961048266429</v>
      </c>
      <c r="F158" s="214">
        <f t="shared" ref="F158:F183" si="18">D119/$H119</f>
        <v>0.22922602997727198</v>
      </c>
      <c r="G158" s="214">
        <f t="shared" ref="G158:G183" si="19">G119/$H119</f>
        <v>0.18112789971677445</v>
      </c>
    </row>
    <row r="159" spans="3:8" x14ac:dyDescent="0.2">
      <c r="C159" s="280">
        <f>C158+1</f>
        <v>1986</v>
      </c>
      <c r="D159" s="214">
        <f t="shared" si="16"/>
        <v>0.33254328602610911</v>
      </c>
      <c r="E159" s="214">
        <f t="shared" si="17"/>
        <v>0.25661834164983904</v>
      </c>
      <c r="F159" s="214">
        <f t="shared" si="18"/>
        <v>0.22762932528476354</v>
      </c>
      <c r="G159" s="214">
        <f t="shared" si="19"/>
        <v>0.18320904703928825</v>
      </c>
    </row>
    <row r="160" spans="3:8" x14ac:dyDescent="0.2">
      <c r="C160" s="280">
        <f t="shared" ref="C160:C191" si="20">C159+1</f>
        <v>1987</v>
      </c>
      <c r="D160" s="214">
        <f t="shared" si="16"/>
        <v>0.33569283172204079</v>
      </c>
      <c r="E160" s="214">
        <f t="shared" si="17"/>
        <v>0.25315232713201602</v>
      </c>
      <c r="F160" s="214">
        <f t="shared" si="18"/>
        <v>0.22591572386401729</v>
      </c>
      <c r="G160" s="214">
        <f t="shared" si="19"/>
        <v>0.18523911728192588</v>
      </c>
    </row>
    <row r="161" spans="3:7" x14ac:dyDescent="0.2">
      <c r="C161" s="280">
        <f t="shared" si="20"/>
        <v>1988</v>
      </c>
      <c r="D161" s="214">
        <f t="shared" si="16"/>
        <v>0.33738140922227083</v>
      </c>
      <c r="E161" s="214">
        <f t="shared" si="17"/>
        <v>0.25285287421524255</v>
      </c>
      <c r="F161" s="214">
        <f t="shared" si="18"/>
        <v>0.22502903622019588</v>
      </c>
      <c r="G161" s="214">
        <f t="shared" si="19"/>
        <v>0.18473668034229088</v>
      </c>
    </row>
    <row r="162" spans="3:7" x14ac:dyDescent="0.2">
      <c r="C162" s="280">
        <f t="shared" si="20"/>
        <v>1989</v>
      </c>
      <c r="D162" s="214">
        <f t="shared" si="16"/>
        <v>0.33910672530599822</v>
      </c>
      <c r="E162" s="214">
        <f t="shared" si="17"/>
        <v>0.25258088847059368</v>
      </c>
      <c r="F162" s="214">
        <f t="shared" si="18"/>
        <v>0.22409347397045978</v>
      </c>
      <c r="G162" s="214">
        <f t="shared" si="19"/>
        <v>0.18421891225294837</v>
      </c>
    </row>
    <row r="163" spans="3:7" x14ac:dyDescent="0.2">
      <c r="C163" s="280">
        <f t="shared" si="20"/>
        <v>1990</v>
      </c>
      <c r="D163" s="214">
        <f t="shared" si="16"/>
        <v>0.33842603008012345</v>
      </c>
      <c r="E163" s="214">
        <f t="shared" si="17"/>
        <v>0.25103922053917554</v>
      </c>
      <c r="F163" s="214">
        <f t="shared" si="18"/>
        <v>0.22251008117199109</v>
      </c>
      <c r="G163" s="214">
        <f t="shared" si="19"/>
        <v>0.18802466820870989</v>
      </c>
    </row>
    <row r="164" spans="3:7" x14ac:dyDescent="0.2">
      <c r="C164" s="280">
        <f t="shared" si="20"/>
        <v>1991</v>
      </c>
      <c r="D164" s="214">
        <f t="shared" si="16"/>
        <v>0.33769270324855427</v>
      </c>
      <c r="E164" s="214">
        <f t="shared" si="17"/>
        <v>0.24952451668251022</v>
      </c>
      <c r="F164" s="214">
        <f t="shared" si="18"/>
        <v>0.22094810058816608</v>
      </c>
      <c r="G164" s="214">
        <f t="shared" si="19"/>
        <v>0.19183467948076938</v>
      </c>
    </row>
    <row r="165" spans="3:7" x14ac:dyDescent="0.2">
      <c r="C165" s="280">
        <f t="shared" si="20"/>
        <v>1992</v>
      </c>
      <c r="D165" s="214">
        <f t="shared" si="16"/>
        <v>0.34086698392367071</v>
      </c>
      <c r="E165" s="214">
        <f t="shared" si="17"/>
        <v>0.24980058134684752</v>
      </c>
      <c r="F165" s="214">
        <f t="shared" si="18"/>
        <v>0.21766849548276582</v>
      </c>
      <c r="G165" s="214">
        <f t="shared" si="19"/>
        <v>0.19166393924671601</v>
      </c>
    </row>
    <row r="166" spans="3:7" x14ac:dyDescent="0.2">
      <c r="C166" s="280">
        <f t="shared" si="20"/>
        <v>1993</v>
      </c>
      <c r="D166" s="214">
        <f t="shared" si="16"/>
        <v>0.34409165439606976</v>
      </c>
      <c r="E166" s="214">
        <f t="shared" si="17"/>
        <v>0.25008056145580548</v>
      </c>
      <c r="F166" s="214">
        <f t="shared" si="18"/>
        <v>0.21433865365493826</v>
      </c>
      <c r="G166" s="214">
        <f t="shared" si="19"/>
        <v>0.1914891304931865</v>
      </c>
    </row>
    <row r="167" spans="3:7" x14ac:dyDescent="0.2">
      <c r="C167" s="280">
        <f t="shared" si="20"/>
        <v>1994</v>
      </c>
      <c r="D167" s="214">
        <f t="shared" si="16"/>
        <v>0.34423959316894792</v>
      </c>
      <c r="E167" s="214">
        <f t="shared" si="17"/>
        <v>0.25236941414945541</v>
      </c>
      <c r="F167" s="214">
        <f t="shared" si="18"/>
        <v>0.21191098227568267</v>
      </c>
      <c r="G167" s="214">
        <f t="shared" si="19"/>
        <v>0.19148001040591403</v>
      </c>
    </row>
    <row r="168" spans="3:7" x14ac:dyDescent="0.2">
      <c r="C168" s="280">
        <f t="shared" si="20"/>
        <v>1995</v>
      </c>
      <c r="D168" s="214">
        <f t="shared" si="16"/>
        <v>0.34435667924594215</v>
      </c>
      <c r="E168" s="214">
        <f t="shared" si="17"/>
        <v>0.25462686312291238</v>
      </c>
      <c r="F168" s="214">
        <f t="shared" si="18"/>
        <v>0.20954908015468127</v>
      </c>
      <c r="G168" s="214">
        <f t="shared" si="19"/>
        <v>0.1914673774764642</v>
      </c>
    </row>
    <row r="169" spans="3:7" x14ac:dyDescent="0.2">
      <c r="C169" s="280">
        <f t="shared" si="20"/>
        <v>1996</v>
      </c>
      <c r="D169" s="214">
        <f t="shared" si="16"/>
        <v>0.34497614539333016</v>
      </c>
      <c r="E169" s="214">
        <f t="shared" si="17"/>
        <v>0.25260631766155489</v>
      </c>
      <c r="F169" s="214">
        <f t="shared" si="18"/>
        <v>0.20971048324973871</v>
      </c>
      <c r="G169" s="214">
        <f t="shared" si="19"/>
        <v>0.19270705369537622</v>
      </c>
    </row>
    <row r="170" spans="3:7" x14ac:dyDescent="0.2">
      <c r="C170" s="280">
        <f t="shared" si="20"/>
        <v>1997</v>
      </c>
      <c r="D170" s="214">
        <f t="shared" si="16"/>
        <v>0.34559217328509617</v>
      </c>
      <c r="E170" s="214">
        <f t="shared" si="17"/>
        <v>0.25058111696280794</v>
      </c>
      <c r="F170" s="214">
        <f t="shared" si="18"/>
        <v>0.20988046100972618</v>
      </c>
      <c r="G170" s="214">
        <f t="shared" si="19"/>
        <v>0.19394624874236965</v>
      </c>
    </row>
    <row r="171" spans="3:7" x14ac:dyDescent="0.2">
      <c r="C171" s="280">
        <f t="shared" si="20"/>
        <v>1998</v>
      </c>
      <c r="D171" s="214">
        <f t="shared" si="16"/>
        <v>0.34663443244898107</v>
      </c>
      <c r="E171" s="214">
        <f t="shared" si="17"/>
        <v>0.24855660367214835</v>
      </c>
      <c r="F171" s="214">
        <f t="shared" si="18"/>
        <v>0.20945118783645472</v>
      </c>
      <c r="G171" s="214">
        <f t="shared" si="19"/>
        <v>0.19535777604241589</v>
      </c>
    </row>
    <row r="172" spans="3:7" x14ac:dyDescent="0.2">
      <c r="C172" s="280">
        <f t="shared" si="20"/>
        <v>1999</v>
      </c>
      <c r="D172" s="214">
        <f t="shared" si="16"/>
        <v>0.34761327694399807</v>
      </c>
      <c r="E172" s="214">
        <f t="shared" si="17"/>
        <v>0.2465438315657891</v>
      </c>
      <c r="F172" s="214">
        <f t="shared" si="18"/>
        <v>0.20905133011097521</v>
      </c>
      <c r="G172" s="214">
        <f t="shared" si="19"/>
        <v>0.19679156137923753</v>
      </c>
    </row>
    <row r="173" spans="3:7" x14ac:dyDescent="0.2">
      <c r="C173" s="280">
        <f t="shared" si="20"/>
        <v>2000</v>
      </c>
      <c r="D173" s="214">
        <f t="shared" si="16"/>
        <v>0.3504552702081567</v>
      </c>
      <c r="E173" s="214">
        <f t="shared" si="17"/>
        <v>0.24390636957662765</v>
      </c>
      <c r="F173" s="214">
        <f t="shared" si="18"/>
        <v>0.20749811148501035</v>
      </c>
      <c r="G173" s="214">
        <f t="shared" si="19"/>
        <v>0.19814024873020528</v>
      </c>
    </row>
    <row r="174" spans="3:7" x14ac:dyDescent="0.2">
      <c r="C174" s="280">
        <f t="shared" si="20"/>
        <v>2001</v>
      </c>
      <c r="D174" s="214">
        <f t="shared" si="16"/>
        <v>0.35324914469608815</v>
      </c>
      <c r="E174" s="214">
        <f t="shared" si="17"/>
        <v>0.24129879251087039</v>
      </c>
      <c r="F174" s="214">
        <f t="shared" si="18"/>
        <v>0.20596890932306922</v>
      </c>
      <c r="G174" s="214">
        <f t="shared" si="19"/>
        <v>0.19948315346997225</v>
      </c>
    </row>
    <row r="175" spans="3:7" x14ac:dyDescent="0.2">
      <c r="C175" s="280">
        <f t="shared" si="20"/>
        <v>2002</v>
      </c>
      <c r="D175" s="214">
        <f t="shared" si="16"/>
        <v>0.35476999078267363</v>
      </c>
      <c r="E175" s="214">
        <f t="shared" si="17"/>
        <v>0.24054230273904126</v>
      </c>
      <c r="F175" s="214">
        <f t="shared" si="18"/>
        <v>0.20416592721047738</v>
      </c>
      <c r="G175" s="214">
        <f t="shared" si="19"/>
        <v>0.20052177926780759</v>
      </c>
    </row>
    <row r="176" spans="3:7" x14ac:dyDescent="0.2">
      <c r="C176" s="280">
        <f t="shared" si="20"/>
        <v>2003</v>
      </c>
      <c r="D176" s="214">
        <f t="shared" si="16"/>
        <v>0.35629121045066098</v>
      </c>
      <c r="E176" s="214">
        <f t="shared" si="17"/>
        <v>0.23979580347562462</v>
      </c>
      <c r="F176" s="214">
        <f t="shared" si="18"/>
        <v>0.20236445245328627</v>
      </c>
      <c r="G176" s="214">
        <f t="shared" si="19"/>
        <v>0.20154853362042816</v>
      </c>
    </row>
    <row r="177" spans="3:7" x14ac:dyDescent="0.2">
      <c r="C177" s="280">
        <f t="shared" si="20"/>
        <v>2004</v>
      </c>
      <c r="D177" s="214">
        <f t="shared" si="16"/>
        <v>0.35951551002634768</v>
      </c>
      <c r="E177" s="214">
        <f t="shared" si="17"/>
        <v>0.23846276313406303</v>
      </c>
      <c r="F177" s="214">
        <f t="shared" si="18"/>
        <v>0.19983684059882892</v>
      </c>
      <c r="G177" s="214">
        <f t="shared" si="19"/>
        <v>0.20218488624076048</v>
      </c>
    </row>
    <row r="178" spans="3:7" x14ac:dyDescent="0.2">
      <c r="C178" s="280">
        <f t="shared" si="20"/>
        <v>2005</v>
      </c>
      <c r="D178" s="214">
        <f t="shared" si="16"/>
        <v>0.36273757893864778</v>
      </c>
      <c r="E178" s="214">
        <f t="shared" si="17"/>
        <v>0.2371469249076833</v>
      </c>
      <c r="F178" s="214">
        <f t="shared" si="18"/>
        <v>0.19729989823663252</v>
      </c>
      <c r="G178" s="214">
        <f t="shared" si="19"/>
        <v>0.20281559791703641</v>
      </c>
    </row>
    <row r="179" spans="3:7" x14ac:dyDescent="0.2">
      <c r="C179" s="280">
        <f t="shared" si="20"/>
        <v>2006</v>
      </c>
      <c r="D179" s="214">
        <f t="shared" si="16"/>
        <v>0.36562491566901267</v>
      </c>
      <c r="E179" s="214">
        <f t="shared" si="17"/>
        <v>0.23519542444386554</v>
      </c>
      <c r="F179" s="214">
        <f t="shared" si="18"/>
        <v>0.19498753232431487</v>
      </c>
      <c r="G179" s="214">
        <f t="shared" si="19"/>
        <v>0.20419212756280691</v>
      </c>
    </row>
    <row r="180" spans="3:7" x14ac:dyDescent="0.2">
      <c r="C180" s="280">
        <f t="shared" si="20"/>
        <v>2007</v>
      </c>
      <c r="D180" s="214">
        <f t="shared" si="16"/>
        <v>0.36852151508980618</v>
      </c>
      <c r="E180" s="214">
        <f t="shared" si="17"/>
        <v>0.23320012674912538</v>
      </c>
      <c r="F180" s="214">
        <f t="shared" si="18"/>
        <v>0.19270765210892971</v>
      </c>
      <c r="G180" s="214">
        <f t="shared" si="19"/>
        <v>0.20557070605213879</v>
      </c>
    </row>
    <row r="181" spans="3:7" x14ac:dyDescent="0.2">
      <c r="C181" s="280">
        <f t="shared" si="20"/>
        <v>2008</v>
      </c>
      <c r="D181" s="214">
        <f t="shared" si="16"/>
        <v>0.37074848704547653</v>
      </c>
      <c r="E181" s="214">
        <f t="shared" si="17"/>
        <v>0.23209851369125184</v>
      </c>
      <c r="F181" s="214">
        <f t="shared" si="18"/>
        <v>0.19185261889218369</v>
      </c>
      <c r="G181" s="214">
        <f t="shared" si="19"/>
        <v>0.20530038037108791</v>
      </c>
    </row>
    <row r="182" spans="3:7" x14ac:dyDescent="0.2">
      <c r="C182" s="280">
        <f t="shared" si="20"/>
        <v>2009</v>
      </c>
      <c r="D182" s="214">
        <f t="shared" si="16"/>
        <v>0.37299017143165558</v>
      </c>
      <c r="E182" s="214">
        <f t="shared" si="17"/>
        <v>0.2309794400852187</v>
      </c>
      <c r="F182" s="214">
        <f t="shared" si="18"/>
        <v>0.19101211115930175</v>
      </c>
      <c r="G182" s="214">
        <f t="shared" si="19"/>
        <v>0.20501827732382394</v>
      </c>
    </row>
    <row r="183" spans="3:7" x14ac:dyDescent="0.2">
      <c r="C183" s="280">
        <f t="shared" si="20"/>
        <v>2010</v>
      </c>
      <c r="D183" s="214">
        <f t="shared" si="16"/>
        <v>0.37440445476712825</v>
      </c>
      <c r="E183" s="214">
        <f t="shared" si="17"/>
        <v>0.22942253286404471</v>
      </c>
      <c r="F183" s="214">
        <f t="shared" si="18"/>
        <v>0.18902141550567117</v>
      </c>
      <c r="G183" s="214">
        <f t="shared" si="19"/>
        <v>0.20715159686315585</v>
      </c>
    </row>
    <row r="184" spans="3:7" x14ac:dyDescent="0.2">
      <c r="C184" s="341">
        <f t="shared" si="20"/>
        <v>2011</v>
      </c>
      <c r="D184" s="214">
        <f t="shared" ref="D184:D190" si="21">F145/$H145</f>
        <v>0.37576619641158077</v>
      </c>
      <c r="E184" s="214">
        <f t="shared" ref="E184:E191" si="22">E145/$H145</f>
        <v>0.22795010430697357</v>
      </c>
      <c r="F184" s="214">
        <f t="shared" ref="F184:F190" si="23">D145/$H145</f>
        <v>0.18702232299791061</v>
      </c>
      <c r="G184" s="214">
        <f t="shared" ref="G184:G191" si="24">G145/$H145</f>
        <v>0.20926137628353492</v>
      </c>
    </row>
    <row r="185" spans="3:7" x14ac:dyDescent="0.2">
      <c r="C185" s="341">
        <f t="shared" si="20"/>
        <v>2012</v>
      </c>
      <c r="D185" s="214">
        <f t="shared" si="21"/>
        <v>0.37581643089345595</v>
      </c>
      <c r="E185" s="214">
        <f t="shared" si="22"/>
        <v>0.22798376875998283</v>
      </c>
      <c r="F185" s="214">
        <f t="shared" si="23"/>
        <v>0.18656134295188223</v>
      </c>
      <c r="G185" s="214">
        <f t="shared" si="24"/>
        <v>0.20963845739467912</v>
      </c>
    </row>
    <row r="186" spans="3:7" x14ac:dyDescent="0.2">
      <c r="C186" s="341">
        <f t="shared" si="20"/>
        <v>2013</v>
      </c>
      <c r="D186" s="214">
        <f t="shared" si="21"/>
        <v>0.37585707706928695</v>
      </c>
      <c r="E186" s="214">
        <f t="shared" si="22"/>
        <v>0.22805271188615858</v>
      </c>
      <c r="F186" s="214">
        <f t="shared" si="23"/>
        <v>0.18608018675952501</v>
      </c>
      <c r="G186" s="214">
        <f t="shared" si="24"/>
        <v>0.21001002428502949</v>
      </c>
    </row>
    <row r="187" spans="3:7" x14ac:dyDescent="0.2">
      <c r="C187" s="341">
        <f t="shared" si="20"/>
        <v>2014</v>
      </c>
      <c r="D187" s="214">
        <f t="shared" si="21"/>
        <v>0.37602724633022544</v>
      </c>
      <c r="E187" s="214">
        <f t="shared" si="22"/>
        <v>0.22774647514894644</v>
      </c>
      <c r="F187" s="214">
        <f t="shared" si="23"/>
        <v>0.18505163810689787</v>
      </c>
      <c r="G187" s="214">
        <f t="shared" si="24"/>
        <v>0.21117464041393022</v>
      </c>
    </row>
    <row r="188" spans="3:7" x14ac:dyDescent="0.2">
      <c r="C188" s="341">
        <f t="shared" si="20"/>
        <v>2015</v>
      </c>
      <c r="D188" s="214">
        <f t="shared" si="21"/>
        <v>0.37602585264137461</v>
      </c>
      <c r="E188" s="214">
        <f t="shared" si="22"/>
        <v>0.22747470543031584</v>
      </c>
      <c r="F188" s="214">
        <f t="shared" si="23"/>
        <v>0.18424843824428916</v>
      </c>
      <c r="G188" s="214">
        <f t="shared" si="24"/>
        <v>0.21225100368402036</v>
      </c>
    </row>
    <row r="189" spans="3:7" x14ac:dyDescent="0.2">
      <c r="C189" s="341">
        <f t="shared" si="20"/>
        <v>2016</v>
      </c>
      <c r="D189" s="214">
        <f t="shared" si="21"/>
        <v>0.37733750816874606</v>
      </c>
      <c r="E189" s="214">
        <f t="shared" si="22"/>
        <v>0.22769654925696925</v>
      </c>
      <c r="F189" s="214">
        <f t="shared" si="23"/>
        <v>0.18294980533883345</v>
      </c>
      <c r="G189" s="214">
        <f t="shared" si="24"/>
        <v>0.21201613723545129</v>
      </c>
    </row>
    <row r="190" spans="3:7" x14ac:dyDescent="0.2">
      <c r="C190" s="341">
        <f t="shared" si="20"/>
        <v>2017</v>
      </c>
      <c r="D190" s="214">
        <f t="shared" si="21"/>
        <v>0.3786068081816103</v>
      </c>
      <c r="E190" s="214">
        <f t="shared" si="22"/>
        <v>0.2279390031788211</v>
      </c>
      <c r="F190" s="214">
        <f t="shared" si="23"/>
        <v>0.18170199212768126</v>
      </c>
      <c r="G190" s="214">
        <f t="shared" si="24"/>
        <v>0.21175219651188731</v>
      </c>
    </row>
    <row r="191" spans="3:7" x14ac:dyDescent="0.2">
      <c r="C191" s="341">
        <f t="shared" si="20"/>
        <v>2018</v>
      </c>
      <c r="D191" s="214">
        <f t="shared" ref="D191" si="25">F152/$H152</f>
        <v>0.37857771195591744</v>
      </c>
      <c r="E191" s="214">
        <f t="shared" si="22"/>
        <v>0.22801513747718657</v>
      </c>
      <c r="F191" s="214">
        <f t="shared" ref="F191" si="26">D152/$H152</f>
        <v>0.18165683935583282</v>
      </c>
      <c r="G191" s="214">
        <f t="shared" si="24"/>
        <v>0.21175031121106319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D2:H112"/>
  <sheetViews>
    <sheetView topLeftCell="I106" workbookViewId="0">
      <selection activeCell="O118" sqref="O118"/>
    </sheetView>
  </sheetViews>
  <sheetFormatPr defaultRowHeight="12.75" x14ac:dyDescent="0.2"/>
  <sheetData>
    <row r="2" spans="4:8" x14ac:dyDescent="0.2">
      <c r="E2" t="s">
        <v>498</v>
      </c>
    </row>
    <row r="4" spans="4:8" x14ac:dyDescent="0.2">
      <c r="E4" t="s">
        <v>20</v>
      </c>
      <c r="F4" t="s">
        <v>21</v>
      </c>
      <c r="G4" t="s">
        <v>22</v>
      </c>
      <c r="H4" t="s">
        <v>23</v>
      </c>
    </row>
    <row r="5" spans="4:8" x14ac:dyDescent="0.2">
      <c r="D5">
        <f>1985</f>
        <v>1985</v>
      </c>
      <c r="E5" s="2">
        <f>'Final Floorspace Estimates'!D49</f>
        <v>10661.946838373824</v>
      </c>
      <c r="F5" s="2">
        <f>'Final Floorspace Estimates'!D90</f>
        <v>15571.196605823206</v>
      </c>
      <c r="G5" s="2">
        <f>'Final Floorspace Estimates'!D131</f>
        <v>20927.68169510816</v>
      </c>
      <c r="H5" s="2">
        <f>'Final Floorspace Estimates'!D171</f>
        <v>11266.556350537945</v>
      </c>
    </row>
    <row r="6" spans="4:8" x14ac:dyDescent="0.2">
      <c r="D6">
        <f>D5+1</f>
        <v>1986</v>
      </c>
      <c r="E6" s="2">
        <f>'Final Floorspace Estimates'!D50</f>
        <v>10765.150022483866</v>
      </c>
      <c r="F6" s="2">
        <f>'Final Floorspace Estimates'!D91</f>
        <v>15662.459601981938</v>
      </c>
      <c r="G6" s="2">
        <f>'Final Floorspace Estimates'!D132</f>
        <v>21459.109669887544</v>
      </c>
      <c r="H6" s="2">
        <f>'Final Floorspace Estimates'!D172</f>
        <v>11579.917981157525</v>
      </c>
    </row>
    <row r="7" spans="4:8" x14ac:dyDescent="0.2">
      <c r="D7">
        <f t="shared" ref="D7:D38" si="0">D6+1</f>
        <v>1987</v>
      </c>
      <c r="E7" s="2">
        <f>'Final Floorspace Estimates'!D51</f>
        <v>10869.675808334023</v>
      </c>
      <c r="F7" s="2">
        <f>'Final Floorspace Estimates'!D92</f>
        <v>15753.527543237458</v>
      </c>
      <c r="G7" s="2">
        <f>'Final Floorspace Estimates'!D133</f>
        <v>22004.895637356145</v>
      </c>
      <c r="H7" s="2">
        <f>'Final Floorspace Estimates'!D173</f>
        <v>11901.984455347636</v>
      </c>
    </row>
    <row r="8" spans="4:8" x14ac:dyDescent="0.2">
      <c r="D8">
        <f t="shared" si="0"/>
        <v>1988</v>
      </c>
      <c r="E8" s="2">
        <f>'Final Floorspace Estimates'!D52</f>
        <v>11075.257528735498</v>
      </c>
      <c r="F8" s="2">
        <f>'Final Floorspace Estimates'!D93</f>
        <v>15959.481604125898</v>
      </c>
      <c r="G8" s="2">
        <f>'Final Floorspace Estimates'!D134</f>
        <v>22371.937102217707</v>
      </c>
      <c r="H8" s="2">
        <f>'Final Floorspace Estimates'!D174</f>
        <v>12041.913214850374</v>
      </c>
    </row>
    <row r="9" spans="4:8" x14ac:dyDescent="0.2">
      <c r="D9">
        <f t="shared" si="0"/>
        <v>1989</v>
      </c>
      <c r="E9" s="2">
        <f>'Final Floorspace Estimates'!D53</f>
        <v>11274.278554757284</v>
      </c>
      <c r="F9" s="2">
        <f>'Final Floorspace Estimates'!D94</f>
        <v>16153.305616541074</v>
      </c>
      <c r="G9" s="2">
        <f>'Final Floorspace Estimates'!D135</f>
        <v>22724.296481697525</v>
      </c>
      <c r="H9" s="2">
        <f>'Final Floorspace Estimates'!D175</f>
        <v>12172.23098023332</v>
      </c>
    </row>
    <row r="10" spans="4:8" x14ac:dyDescent="0.2">
      <c r="D10">
        <f t="shared" si="0"/>
        <v>1990</v>
      </c>
      <c r="E10" s="2">
        <f>'Final Floorspace Estimates'!D54</f>
        <v>11323.682417035505</v>
      </c>
      <c r="F10" s="2">
        <f>'Final Floorspace Estimates'!D95</f>
        <v>16115.33439296062</v>
      </c>
      <c r="G10" s="2">
        <f>'Final Floorspace Estimates'!D136</f>
        <v>22799.822999882894</v>
      </c>
      <c r="H10" s="2">
        <f>'Final Floorspace Estimates'!D176</f>
        <v>12548.079425067765</v>
      </c>
    </row>
    <row r="11" spans="4:8" x14ac:dyDescent="0.2">
      <c r="D11">
        <f t="shared" si="0"/>
        <v>1991</v>
      </c>
      <c r="E11" s="2">
        <f>'Final Floorspace Estimates'!D55</f>
        <v>11356.287754787172</v>
      </c>
      <c r="F11" s="2">
        <f>'Final Floorspace Estimates'!D96</f>
        <v>16052.005582430296</v>
      </c>
      <c r="G11" s="2">
        <f>'Final Floorspace Estimates'!D137</f>
        <v>22841.205472331061</v>
      </c>
      <c r="H11" s="2">
        <f>'Final Floorspace Estimates'!D177</f>
        <v>12909.615019589437</v>
      </c>
    </row>
    <row r="12" spans="4:8" x14ac:dyDescent="0.2">
      <c r="D12">
        <f t="shared" si="0"/>
        <v>1992</v>
      </c>
      <c r="E12" s="2">
        <f>'Final Floorspace Estimates'!D56</f>
        <v>11428.553626159308</v>
      </c>
      <c r="F12" s="2">
        <f>'Final Floorspace Estimates'!D97</f>
        <v>16370.458386455215</v>
      </c>
      <c r="G12" s="2">
        <f>'Final Floorspace Estimates'!D138</f>
        <v>23363.38356738746</v>
      </c>
      <c r="H12" s="2">
        <f>'Final Floorspace Estimates'!D178</f>
        <v>13169.796588458346</v>
      </c>
    </row>
    <row r="13" spans="4:8" x14ac:dyDescent="0.2">
      <c r="D13">
        <f t="shared" si="0"/>
        <v>1993</v>
      </c>
      <c r="E13" s="2">
        <f>'Final Floorspace Estimates'!D57</f>
        <v>11512.545365176451</v>
      </c>
      <c r="F13" s="2">
        <f>'Final Floorspace Estimates'!D98</f>
        <v>16714.017218843761</v>
      </c>
      <c r="G13" s="2">
        <f>'Final Floorspace Estimates'!D139</f>
        <v>23924.009224753379</v>
      </c>
      <c r="H13" s="2">
        <f>'Final Floorspace Estimates'!D179</f>
        <v>13450.329885237492</v>
      </c>
    </row>
    <row r="14" spans="4:8" x14ac:dyDescent="0.2">
      <c r="D14">
        <f t="shared" si="0"/>
        <v>1994</v>
      </c>
      <c r="E14" s="2">
        <f>'Final Floorspace Estimates'!D58</f>
        <v>11562.432278319018</v>
      </c>
      <c r="F14" s="2">
        <f>'Final Floorspace Estimates'!D99</f>
        <v>17201.523596345658</v>
      </c>
      <c r="G14" s="2">
        <f>'Final Floorspace Estimates'!D140</f>
        <v>24265.426509503603</v>
      </c>
      <c r="H14" s="2">
        <f>'Final Floorspace Estimates'!D180</f>
        <v>13597.379781626672</v>
      </c>
    </row>
    <row r="15" spans="4:8" x14ac:dyDescent="0.2">
      <c r="D15">
        <f t="shared" si="0"/>
        <v>1995</v>
      </c>
      <c r="E15" s="2">
        <f>'Final Floorspace Estimates'!D59</f>
        <v>11610.539400629194</v>
      </c>
      <c r="F15" s="2">
        <f>'Final Floorspace Estimates'!D100</f>
        <v>17699.389918736448</v>
      </c>
      <c r="G15" s="2">
        <f>'Final Floorspace Estimates'!D141</f>
        <v>24610.559185496135</v>
      </c>
      <c r="H15" s="2">
        <f>'Final Floorspace Estimates'!D181</f>
        <v>13745.118395046897</v>
      </c>
    </row>
    <row r="16" spans="4:8" x14ac:dyDescent="0.2">
      <c r="D16">
        <f t="shared" si="0"/>
        <v>1996</v>
      </c>
      <c r="E16" s="2">
        <f>'Final Floorspace Estimates'!D60</f>
        <v>11790.626557823442</v>
      </c>
      <c r="F16" s="2">
        <f>'Final Floorspace Estimates'!D101</f>
        <v>17698.708254350502</v>
      </c>
      <c r="G16" s="2">
        <f>'Final Floorspace Estimates'!D142</f>
        <v>24794.931310274744</v>
      </c>
      <c r="H16" s="2">
        <f>'Final Floorspace Estimates'!D182</f>
        <v>13949.238597001486</v>
      </c>
    </row>
    <row r="17" spans="4:8" x14ac:dyDescent="0.2">
      <c r="D17">
        <f t="shared" si="0"/>
        <v>1997</v>
      </c>
      <c r="E17" s="2">
        <f>'Final Floorspace Estimates'!D61</f>
        <v>11974.026987158602</v>
      </c>
      <c r="F17" s="2">
        <f>'Final Floorspace Estimates'!D102</f>
        <v>17698.406515525097</v>
      </c>
      <c r="G17" s="2">
        <f>'Final Floorspace Estimates'!D143</f>
        <v>24982.976981023257</v>
      </c>
      <c r="H17" s="2">
        <f>'Final Floorspace Estimates'!D183</f>
        <v>14157.127177339964</v>
      </c>
    </row>
    <row r="18" spans="4:8" x14ac:dyDescent="0.2">
      <c r="D18">
        <f t="shared" si="0"/>
        <v>1998</v>
      </c>
      <c r="E18" s="2">
        <f>'Final Floorspace Estimates'!D62</f>
        <v>12233.293258748883</v>
      </c>
      <c r="F18" s="2">
        <f>'Final Floorspace Estimates'!D103</f>
        <v>17851.36998822631</v>
      </c>
      <c r="G18" s="2">
        <f>'Final Floorspace Estimates'!D144</f>
        <v>25319.400937472219</v>
      </c>
      <c r="H18" s="2">
        <f>'Final Floorspace Estimates'!D184</f>
        <v>14532.524627730963</v>
      </c>
    </row>
    <row r="19" spans="4:8" x14ac:dyDescent="0.2">
      <c r="D19">
        <f t="shared" si="0"/>
        <v>1999</v>
      </c>
      <c r="E19" s="2">
        <f>'Final Floorspace Estimates'!D63</f>
        <v>12506.823037756811</v>
      </c>
      <c r="F19" s="2">
        <f>'Final Floorspace Estimates'!D104</f>
        <v>18017.557041831653</v>
      </c>
      <c r="G19" s="2">
        <f>'Final Floorspace Estimates'!D145</f>
        <v>25678.604168549009</v>
      </c>
      <c r="H19" s="2">
        <f>'Final Floorspace Estimates'!D185</f>
        <v>14927.136483914663</v>
      </c>
    </row>
    <row r="20" spans="4:8" x14ac:dyDescent="0.2">
      <c r="D20">
        <f t="shared" si="0"/>
        <v>2000</v>
      </c>
      <c r="E20" s="2">
        <f>'Final Floorspace Estimates'!D64</f>
        <v>12647.682758919735</v>
      </c>
      <c r="F20" s="2">
        <f>'Final Floorspace Estimates'!D105</f>
        <v>18068.187408970996</v>
      </c>
      <c r="G20" s="2">
        <f>'Final Floorspace Estimates'!D146</f>
        <v>26153.39819849288</v>
      </c>
      <c r="H20" s="2">
        <f>'Final Floorspace Estimates'!D186</f>
        <v>15190.787961528284</v>
      </c>
    </row>
    <row r="21" spans="4:8" x14ac:dyDescent="0.2">
      <c r="D21">
        <f t="shared" si="0"/>
        <v>2001</v>
      </c>
      <c r="E21" s="2">
        <f>'Final Floorspace Estimates'!D65</f>
        <v>12786.042100626948</v>
      </c>
      <c r="F21" s="2">
        <f>'Final Floorspace Estimates'!D106</f>
        <v>18111.331174203544</v>
      </c>
      <c r="G21" s="2">
        <f>'Final Floorspace Estimates'!D147</f>
        <v>26627.792170217013</v>
      </c>
      <c r="H21" s="2">
        <f>'Final Floorspace Estimates'!D187</f>
        <v>15453.891894384393</v>
      </c>
    </row>
    <row r="22" spans="4:8" x14ac:dyDescent="0.2">
      <c r="D22">
        <f t="shared" si="0"/>
        <v>2002</v>
      </c>
      <c r="E22" s="2">
        <f>'Final Floorspace Estimates'!D66</f>
        <v>12839.174344722856</v>
      </c>
      <c r="F22" s="2">
        <f>'Final Floorspace Estimates'!D107</f>
        <v>18285.026441394628</v>
      </c>
      <c r="G22" s="2">
        <f>'Final Floorspace Estimates'!D148</f>
        <v>26947.695945592975</v>
      </c>
      <c r="H22" s="2">
        <f>'Final Floorspace Estimates'!D188</f>
        <v>15640.654164627489</v>
      </c>
    </row>
    <row r="23" spans="4:8" x14ac:dyDescent="0.2">
      <c r="D23">
        <f t="shared" si="0"/>
        <v>2003</v>
      </c>
      <c r="E23" s="2">
        <f>'Final Floorspace Estimates'!D67</f>
        <v>12898.395673473922</v>
      </c>
      <c r="F23" s="2">
        <f>'Final Floorspace Estimates'!D108</f>
        <v>18469.422882614355</v>
      </c>
      <c r="G23" s="2">
        <f>'Final Floorspace Estimates'!D149</f>
        <v>27284.693912353203</v>
      </c>
      <c r="H23" s="2">
        <f>'Final Floorspace Estimates'!D189</f>
        <v>15837.360553404236</v>
      </c>
    </row>
    <row r="24" spans="4:8" x14ac:dyDescent="0.2">
      <c r="D24">
        <f t="shared" si="0"/>
        <v>2004</v>
      </c>
      <c r="E24" s="2">
        <f>'Final Floorspace Estimates'!D68</f>
        <v>12928.641250419496</v>
      </c>
      <c r="F24" s="2">
        <f>'Final Floorspace Estimates'!D109</f>
        <v>18670.879745359354</v>
      </c>
      <c r="G24" s="2">
        <f>'Final Floorspace Estimates'!D150</f>
        <v>27869.161681269678</v>
      </c>
      <c r="H24" s="2">
        <f>'Final Floorspace Estimates'!D190</f>
        <v>16103.52123461977</v>
      </c>
    </row>
    <row r="25" spans="4:8" x14ac:dyDescent="0.2">
      <c r="D25">
        <f t="shared" si="0"/>
        <v>2005</v>
      </c>
      <c r="E25" s="2">
        <f>'Final Floorspace Estimates'!D69</f>
        <v>12971.196476644878</v>
      </c>
      <c r="F25" s="2">
        <f>'Final Floorspace Estimates'!D110</f>
        <v>18894.909268777141</v>
      </c>
      <c r="G25" s="2">
        <f>'Final Floorspace Estimates'!D151</f>
        <v>28495.947654885684</v>
      </c>
      <c r="H25" s="2">
        <f>'Final Floorspace Estimates'!D191</f>
        <v>16391.959385158741</v>
      </c>
    </row>
    <row r="26" spans="4:8" x14ac:dyDescent="0.2">
      <c r="D26">
        <f t="shared" si="0"/>
        <v>2006</v>
      </c>
      <c r="E26" s="2">
        <f>'Final Floorspace Estimates'!D70</f>
        <v>13021.749637110312</v>
      </c>
      <c r="F26" s="2">
        <f>'Final Floorspace Estimates'!D111</f>
        <v>18913.135888832599</v>
      </c>
      <c r="G26" s="2">
        <f>'Final Floorspace Estimates'!D152</f>
        <v>28964.052093764512</v>
      </c>
      <c r="H26" s="2">
        <f>'Final Floorspace Estimates'!D192</f>
        <v>16620.579983362408</v>
      </c>
    </row>
    <row r="27" spans="4:8" x14ac:dyDescent="0.2">
      <c r="D27">
        <f t="shared" si="0"/>
        <v>2007</v>
      </c>
      <c r="E27" s="2">
        <f>'Final Floorspace Estimates'!D71</f>
        <v>13038.223289521238</v>
      </c>
      <c r="F27" s="2">
        <f>'Final Floorspace Estimates'!D112</f>
        <v>18880.903573506337</v>
      </c>
      <c r="G27" s="2">
        <f>'Final Floorspace Estimates'!D153</f>
        <v>29362.545796420432</v>
      </c>
      <c r="H27" s="2">
        <f>'Final Floorspace Estimates'!D193</f>
        <v>16808.559261188377</v>
      </c>
    </row>
    <row r="28" spans="4:8" x14ac:dyDescent="0.2">
      <c r="D28">
        <f t="shared" si="0"/>
        <v>2008</v>
      </c>
      <c r="E28" s="2">
        <f>'Final Floorspace Estimates'!D72</f>
        <v>13176.872533616734</v>
      </c>
      <c r="F28" s="2">
        <f>'Final Floorspace Estimates'!D113</f>
        <v>18994.644561948757</v>
      </c>
      <c r="G28" s="2">
        <f>'Final Floorspace Estimates'!D154</f>
        <v>29765.13632318806</v>
      </c>
      <c r="H28" s="2">
        <f>'Final Floorspace Estimates'!D194</f>
        <v>16860.213781920156</v>
      </c>
    </row>
    <row r="29" spans="4:8" x14ac:dyDescent="0.2">
      <c r="D29">
        <f t="shared" si="0"/>
        <v>2009</v>
      </c>
      <c r="E29" s="2">
        <f>'Final Floorspace Estimates'!D73</f>
        <v>13267.957495898203</v>
      </c>
      <c r="F29" s="2">
        <f>'Final Floorspace Estimates'!D114</f>
        <v>19038.577958580951</v>
      </c>
      <c r="G29" s="2">
        <f>'Final Floorspace Estimates'!D155</f>
        <v>30061.574517097004</v>
      </c>
      <c r="H29" s="2">
        <f>'Final Floorspace Estimates'!D195</f>
        <v>16849.193377954507</v>
      </c>
    </row>
    <row r="30" spans="4:8" x14ac:dyDescent="0.2">
      <c r="D30">
        <f t="shared" si="0"/>
        <v>2010</v>
      </c>
      <c r="E30" s="2">
        <f>'Final Floorspace Estimates'!D74</f>
        <v>13268.366090606991</v>
      </c>
      <c r="F30" s="2">
        <f>'Final Floorspace Estimates'!D115</f>
        <v>19071.417953813114</v>
      </c>
      <c r="G30" s="2">
        <f>'Final Floorspace Estimates'!D156</f>
        <v>30339.443127939852</v>
      </c>
      <c r="H30" s="2">
        <f>'Final Floorspace Estimates'!D196</f>
        <v>17124.186808364411</v>
      </c>
    </row>
    <row r="31" spans="4:8" x14ac:dyDescent="0.2">
      <c r="D31" s="280">
        <f t="shared" si="0"/>
        <v>2011</v>
      </c>
      <c r="E31" s="282">
        <f>'Final Floorspace Estimates'!D75</f>
        <v>13262.746037956804</v>
      </c>
      <c r="F31" s="282">
        <f>'Final Floorspace Estimates'!D116</f>
        <v>19096.058543430641</v>
      </c>
      <c r="G31" s="282">
        <f>'Final Floorspace Estimates'!D157</f>
        <v>30607.527298154608</v>
      </c>
      <c r="H31" s="282">
        <f>'Final Floorspace Estimates'!D197</f>
        <v>17395.364657871723</v>
      </c>
    </row>
    <row r="32" spans="4:8" s="341" customFormat="1" x14ac:dyDescent="0.2">
      <c r="D32" s="341">
        <f t="shared" si="0"/>
        <v>2012</v>
      </c>
      <c r="E32" s="344">
        <f>'Final Floorspace Estimates'!D76</f>
        <v>13403.29839551334</v>
      </c>
      <c r="F32" s="344">
        <f>'Final Floorspace Estimates'!D117</f>
        <v>19224.730619573424</v>
      </c>
      <c r="G32" s="344">
        <f>'Final Floorspace Estimates'!D158</f>
        <v>30713.561567753532</v>
      </c>
      <c r="H32" s="344">
        <f>'Final Floorspace Estimates'!D198</f>
        <v>17480.072162353834</v>
      </c>
    </row>
    <row r="33" spans="4:8" s="341" customFormat="1" x14ac:dyDescent="0.2">
      <c r="D33" s="341">
        <f t="shared" si="0"/>
        <v>2013</v>
      </c>
      <c r="E33" s="344">
        <f>'Final Floorspace Estimates'!D77</f>
        <v>13552.896685952008</v>
      </c>
      <c r="F33" s="344">
        <f>'Final Floorspace Estimates'!D118</f>
        <v>19365.497463267569</v>
      </c>
      <c r="G33" s="344">
        <f>'Final Floorspace Estimates'!D159</f>
        <v>30837.717358744245</v>
      </c>
      <c r="H33" s="344">
        <f>'Final Floorspace Estimates'!D199</f>
        <v>17575.387181072256</v>
      </c>
    </row>
    <row r="34" spans="4:8" s="341" customFormat="1" x14ac:dyDescent="0.2">
      <c r="D34" s="341">
        <f t="shared" si="0"/>
        <v>2014</v>
      </c>
      <c r="E34" s="344">
        <f>'Final Floorspace Estimates'!D78</f>
        <v>13601.338168709615</v>
      </c>
      <c r="F34" s="344">
        <f>'Final Floorspace Estimates'!D119</f>
        <v>19526.654973644352</v>
      </c>
      <c r="G34" s="344">
        <f>'Final Floorspace Estimates'!D160</f>
        <v>31049.117789782133</v>
      </c>
      <c r="H34" s="344">
        <f>'Final Floorspace Estimates'!D200</f>
        <v>17878.830953263448</v>
      </c>
    </row>
    <row r="35" spans="4:8" s="341" customFormat="1" x14ac:dyDescent="0.2">
      <c r="D35" s="341">
        <f t="shared" si="0"/>
        <v>2015</v>
      </c>
      <c r="E35" s="344">
        <f>'Final Floorspace Estimates'!D79</f>
        <v>13654.210899253439</v>
      </c>
      <c r="F35" s="344">
        <f>'Final Floorspace Estimates'!D120</f>
        <v>19695.845207911709</v>
      </c>
      <c r="G35" s="344">
        <f>'Final Floorspace Estimates'!D161</f>
        <v>31272.472813728491</v>
      </c>
      <c r="H35" s="344">
        <f>'Final Floorspace Estimates'!D201</f>
        <v>18192.472974571865</v>
      </c>
    </row>
    <row r="36" spans="4:8" s="341" customFormat="1" x14ac:dyDescent="0.2">
      <c r="D36" s="341">
        <f t="shared" si="0"/>
        <v>2016</v>
      </c>
      <c r="E36" s="344">
        <f>'Final Floorspace Estimates'!D80</f>
        <v>13726.103784523679</v>
      </c>
      <c r="F36" s="344">
        <f>'Final Floorspace Estimates'!D121</f>
        <v>19990.696532212085</v>
      </c>
      <c r="G36" s="344">
        <f>'Final Floorspace Estimates'!D162</f>
        <v>31705.291049906267</v>
      </c>
      <c r="H36" s="344">
        <f>'Final Floorspace Estimates'!D202</f>
        <v>18344.155320500839</v>
      </c>
    </row>
    <row r="37" spans="4:8" s="341" customFormat="1" x14ac:dyDescent="0.2">
      <c r="D37" s="341">
        <f t="shared" si="0"/>
        <v>2017</v>
      </c>
      <c r="E37" s="344">
        <f>'Final Floorspace Estimates'!D81</f>
        <v>13806.74167477463</v>
      </c>
      <c r="F37" s="344">
        <f>'Final Floorspace Estimates'!D122</f>
        <v>20302.802772139959</v>
      </c>
      <c r="G37" s="344">
        <f>'Final Floorspace Estimates'!D163</f>
        <v>32164.648230513507</v>
      </c>
      <c r="H37" s="344">
        <f>'Final Floorspace Estimates'!D203</f>
        <v>18508.846197890874</v>
      </c>
    </row>
    <row r="38" spans="4:8" s="341" customFormat="1" x14ac:dyDescent="0.2">
      <c r="D38" s="341">
        <f t="shared" si="0"/>
        <v>2018</v>
      </c>
      <c r="E38" s="344">
        <f>'Final Floorspace Estimates'!D82</f>
        <v>13912.342021603421</v>
      </c>
      <c r="F38" s="344">
        <f>'Final Floorspace Estimates'!D123</f>
        <v>20458.087999084681</v>
      </c>
      <c r="G38" s="344">
        <f>'Final Floorspace Estimates'!D164</f>
        <v>32410.658338385227</v>
      </c>
      <c r="H38" s="344">
        <f>'Final Floorspace Estimates'!D204</f>
        <v>18650.410415136212</v>
      </c>
    </row>
    <row r="41" spans="4:8" x14ac:dyDescent="0.2">
      <c r="E41" t="s">
        <v>32</v>
      </c>
    </row>
    <row r="43" spans="4:8" x14ac:dyDescent="0.2">
      <c r="E43" t="s">
        <v>20</v>
      </c>
      <c r="F43" t="s">
        <v>21</v>
      </c>
      <c r="G43" t="s">
        <v>22</v>
      </c>
      <c r="H43" t="s">
        <v>23</v>
      </c>
    </row>
    <row r="44" spans="4:8" x14ac:dyDescent="0.2">
      <c r="D44">
        <f>1985</f>
        <v>1985</v>
      </c>
      <c r="E44" s="2">
        <f>'Final Floorspace Estimates'!E49</f>
        <v>7184.2602261481088</v>
      </c>
      <c r="F44" s="2">
        <f>'Final Floorspace Estimates'!E90</f>
        <v>5286.4120661769584</v>
      </c>
      <c r="G44" s="2">
        <f>'Final Floorspace Estimates'!E131</f>
        <v>6164.8539643045051</v>
      </c>
      <c r="H44" s="2">
        <f>'Final Floorspace Estimates'!E171</f>
        <v>4858.0382380323163</v>
      </c>
    </row>
    <row r="45" spans="4:8" x14ac:dyDescent="0.2">
      <c r="D45">
        <f>D44+1</f>
        <v>1986</v>
      </c>
      <c r="E45" s="2">
        <f>'Final Floorspace Estimates'!E50</f>
        <v>7236.9094652954536</v>
      </c>
      <c r="F45" s="2">
        <f>'Final Floorspace Estimates'!E91</f>
        <v>5215.0971773341626</v>
      </c>
      <c r="G45" s="2">
        <f>'Final Floorspace Estimates'!E132</f>
        <v>6207.2721356467646</v>
      </c>
      <c r="H45" s="2">
        <f>'Final Floorspace Estimates'!E172</f>
        <v>4972.082535285268</v>
      </c>
    </row>
    <row r="46" spans="4:8" x14ac:dyDescent="0.2">
      <c r="D46">
        <f t="shared" ref="D46:D77" si="1">D45+1</f>
        <v>1987</v>
      </c>
      <c r="E46" s="2">
        <f>'Final Floorspace Estimates'!E51</f>
        <v>7280.5166624420408</v>
      </c>
      <c r="F46" s="2">
        <f>'Final Floorspace Estimates'!E92</f>
        <v>5136.1237057496346</v>
      </c>
      <c r="G46" s="2">
        <f>'Final Floorspace Estimates'!E133</f>
        <v>6241.9060686634693</v>
      </c>
      <c r="H46" s="2">
        <f>'Final Floorspace Estimates'!E173</f>
        <v>5080.7289774903211</v>
      </c>
    </row>
    <row r="47" spans="4:8" x14ac:dyDescent="0.2">
      <c r="D47">
        <f t="shared" si="1"/>
        <v>1988</v>
      </c>
      <c r="E47" s="2">
        <f>'Final Floorspace Estimates'!E52</f>
        <v>7277.1893741698768</v>
      </c>
      <c r="F47" s="2">
        <f>'Final Floorspace Estimates'!E93</f>
        <v>5241.7147107419714</v>
      </c>
      <c r="G47" s="2">
        <f>'Final Floorspace Estimates'!E134</f>
        <v>6411.7230571947184</v>
      </c>
      <c r="H47" s="2">
        <f>'Final Floorspace Estimates'!E174</f>
        <v>5213.7751525357853</v>
      </c>
    </row>
    <row r="48" spans="4:8" x14ac:dyDescent="0.2">
      <c r="D48">
        <f t="shared" si="1"/>
        <v>1989</v>
      </c>
      <c r="E48" s="2">
        <f>'Final Floorspace Estimates'!E53</f>
        <v>7258.3255836811659</v>
      </c>
      <c r="F48" s="2">
        <f>'Final Floorspace Estimates'!E94</f>
        <v>5339.6277328528331</v>
      </c>
      <c r="G48" s="2">
        <f>'Final Floorspace Estimates'!E135</f>
        <v>6573.4708319025331</v>
      </c>
      <c r="H48" s="2">
        <f>'Final Floorspace Estimates'!E175</f>
        <v>5340.0957023540495</v>
      </c>
    </row>
    <row r="49" spans="4:8" x14ac:dyDescent="0.2">
      <c r="D49">
        <f t="shared" si="1"/>
        <v>1990</v>
      </c>
      <c r="E49" s="2">
        <f>'Final Floorspace Estimates'!E54</f>
        <v>7182.2265373233122</v>
      </c>
      <c r="F49" s="2">
        <f>'Final Floorspace Estimates'!E95</f>
        <v>5392.9687188862044</v>
      </c>
      <c r="G49" s="2">
        <f>'Final Floorspace Estimates'!E136</f>
        <v>6534.795378823017</v>
      </c>
      <c r="H49" s="2">
        <f>'Final Floorspace Estimates'!E176</f>
        <v>5357.3008563573239</v>
      </c>
    </row>
    <row r="50" spans="4:8" x14ac:dyDescent="0.2">
      <c r="D50">
        <f t="shared" si="1"/>
        <v>1991</v>
      </c>
      <c r="E50" s="2">
        <f>'Final Floorspace Estimates'!E55</f>
        <v>7094.4160499057189</v>
      </c>
      <c r="F50" s="2">
        <f>'Final Floorspace Estimates'!E96</f>
        <v>5436.9321994959737</v>
      </c>
      <c r="G50" s="2">
        <f>'Final Floorspace Estimates'!E137</f>
        <v>6485.302733134562</v>
      </c>
      <c r="H50" s="2">
        <f>'Final Floorspace Estimates'!E177</f>
        <v>5365.3795600776275</v>
      </c>
    </row>
    <row r="51" spans="4:8" x14ac:dyDescent="0.2">
      <c r="D51">
        <f t="shared" si="1"/>
        <v>1992</v>
      </c>
      <c r="E51" s="2">
        <f>'Final Floorspace Estimates'!E56</f>
        <v>7122.1208649558721</v>
      </c>
      <c r="F51" s="2">
        <f>'Final Floorspace Estimates'!E97</f>
        <v>5516.5624781360848</v>
      </c>
      <c r="G51" s="2">
        <f>'Final Floorspace Estimates'!E138</f>
        <v>6637.6017276674665</v>
      </c>
      <c r="H51" s="2">
        <f>'Final Floorspace Estimates'!E178</f>
        <v>5428.6426892498721</v>
      </c>
    </row>
    <row r="52" spans="4:8" x14ac:dyDescent="0.2">
      <c r="D52">
        <f t="shared" si="1"/>
        <v>1993</v>
      </c>
      <c r="E52" s="2">
        <f>'Final Floorspace Estimates'!E57</f>
        <v>7141.2859033117056</v>
      </c>
      <c r="F52" s="2">
        <f>'Final Floorspace Estimates'!E98</f>
        <v>5591.0619998649299</v>
      </c>
      <c r="G52" s="2">
        <f>'Final Floorspace Estimates'!E139</f>
        <v>6785.1682390470014</v>
      </c>
      <c r="H52" s="2">
        <f>'Final Floorspace Estimates'!E179</f>
        <v>5486.4716988722121</v>
      </c>
    </row>
    <row r="53" spans="4:8" x14ac:dyDescent="0.2">
      <c r="D53">
        <f t="shared" si="1"/>
        <v>1994</v>
      </c>
      <c r="E53" s="2">
        <f>'Final Floorspace Estimates'!E58</f>
        <v>7199.4876601438691</v>
      </c>
      <c r="F53" s="2">
        <f>'Final Floorspace Estimates'!E99</f>
        <v>5528.5186735802299</v>
      </c>
      <c r="G53" s="2">
        <f>'Final Floorspace Estimates'!E140</f>
        <v>6791.7664222657022</v>
      </c>
      <c r="H53" s="2">
        <f>'Final Floorspace Estimates'!E180</f>
        <v>5655.8425536346531</v>
      </c>
    </row>
    <row r="54" spans="4:8" x14ac:dyDescent="0.2">
      <c r="D54">
        <f t="shared" si="1"/>
        <v>1995</v>
      </c>
      <c r="E54" s="2">
        <f>'Final Floorspace Estimates'!E59</f>
        <v>7264.8137789393613</v>
      </c>
      <c r="F54" s="2">
        <f>'Final Floorspace Estimates'!E100</f>
        <v>5469.8691957177589</v>
      </c>
      <c r="G54" s="2">
        <f>'Final Floorspace Estimates'!E141</f>
        <v>6804.3751097617633</v>
      </c>
      <c r="H54" s="2">
        <f>'Final Floorspace Estimates'!E181</f>
        <v>5832.628554135641</v>
      </c>
    </row>
    <row r="55" spans="4:8" x14ac:dyDescent="0.2">
      <c r="D55">
        <f t="shared" si="1"/>
        <v>1996</v>
      </c>
      <c r="E55" s="2">
        <f>'Final Floorspace Estimates'!E60</f>
        <v>7261.4451196645268</v>
      </c>
      <c r="F55" s="2">
        <f>'Final Floorspace Estimates'!E101</f>
        <v>5466.34475984033</v>
      </c>
      <c r="G55" s="2">
        <f>'Final Floorspace Estimates'!E142</f>
        <v>6823.4781653720302</v>
      </c>
      <c r="H55" s="2">
        <f>'Final Floorspace Estimates'!E182</f>
        <v>5967.7633752824231</v>
      </c>
    </row>
    <row r="56" spans="4:8" x14ac:dyDescent="0.2">
      <c r="D56">
        <f t="shared" si="1"/>
        <v>1997</v>
      </c>
      <c r="E56" s="2">
        <f>'Final Floorspace Estimates'!E61</f>
        <v>7260.2641171652749</v>
      </c>
      <c r="F56" s="2">
        <f>'Final Floorspace Estimates'!E102</f>
        <v>5464.4553148070008</v>
      </c>
      <c r="G56" s="2">
        <f>'Final Floorspace Estimates'!E143</f>
        <v>6844.9040016022327</v>
      </c>
      <c r="H56" s="2">
        <f>'Final Floorspace Estimates'!E183</f>
        <v>6106.3500027155114</v>
      </c>
    </row>
    <row r="57" spans="4:8" x14ac:dyDescent="0.2">
      <c r="D57">
        <f t="shared" si="1"/>
        <v>1998</v>
      </c>
      <c r="E57" s="2">
        <f>'Final Floorspace Estimates'!E62</f>
        <v>7160.1786872791254</v>
      </c>
      <c r="F57" s="2">
        <f>'Final Floorspace Estimates'!E103</f>
        <v>5355.4021783219323</v>
      </c>
      <c r="G57" s="2">
        <f>'Final Floorspace Estimates'!E144</f>
        <v>6958.9142150757007</v>
      </c>
      <c r="H57" s="2">
        <f>'Final Floorspace Estimates'!E184</f>
        <v>6049.5681159560963</v>
      </c>
    </row>
    <row r="58" spans="4:8" x14ac:dyDescent="0.2">
      <c r="D58">
        <f t="shared" si="1"/>
        <v>1999</v>
      </c>
      <c r="E58" s="2">
        <f>'Final Floorspace Estimates'!E63</f>
        <v>7063.351086919648</v>
      </c>
      <c r="F58" s="2">
        <f>'Final Floorspace Estimates'!E104</f>
        <v>5249.1779995855195</v>
      </c>
      <c r="G58" s="2">
        <f>'Final Floorspace Estimates'!E145</f>
        <v>7073.6668307879991</v>
      </c>
      <c r="H58" s="2">
        <f>'Final Floorspace Estimates'!E185</f>
        <v>5995.2200512228046</v>
      </c>
    </row>
    <row r="59" spans="4:8" x14ac:dyDescent="0.2">
      <c r="D59">
        <f t="shared" si="1"/>
        <v>2000</v>
      </c>
      <c r="E59" s="2">
        <f>'Final Floorspace Estimates'!E64</f>
        <v>7014.006190627073</v>
      </c>
      <c r="F59" s="2">
        <f>'Final Floorspace Estimates'!E105</f>
        <v>5260.7501168144336</v>
      </c>
      <c r="G59" s="2">
        <f>'Final Floorspace Estimates'!E146</f>
        <v>7128.6605223731558</v>
      </c>
      <c r="H59" s="2">
        <f>'Final Floorspace Estimates'!E186</f>
        <v>6082.9032762579927</v>
      </c>
    </row>
    <row r="60" spans="4:8" x14ac:dyDescent="0.2">
      <c r="D60">
        <f t="shared" si="1"/>
        <v>2001</v>
      </c>
      <c r="E60" s="2">
        <f>'Final Floorspace Estimates'!E65</f>
        <v>6962.362581959188</v>
      </c>
      <c r="F60" s="2">
        <f>'Final Floorspace Estimates'!E106</f>
        <v>5270.9880917323426</v>
      </c>
      <c r="G60" s="2">
        <f>'Final Floorspace Estimates'!E147</f>
        <v>7182.1619274820032</v>
      </c>
      <c r="H60" s="2">
        <f>'Final Floorspace Estimates'!E187</f>
        <v>6169.6402863395106</v>
      </c>
    </row>
    <row r="61" spans="4:8" x14ac:dyDescent="0.2">
      <c r="D61">
        <f t="shared" si="1"/>
        <v>2002</v>
      </c>
      <c r="E61" s="2">
        <f>'Final Floorspace Estimates'!E66</f>
        <v>7013.1894708199261</v>
      </c>
      <c r="F61" s="2">
        <f>'Final Floorspace Estimates'!E107</f>
        <v>5250.3686608330027</v>
      </c>
      <c r="G61" s="2">
        <f>'Final Floorspace Estimates'!E148</f>
        <v>7342.8455610732844</v>
      </c>
      <c r="H61" s="2">
        <f>'Final Floorspace Estimates'!E188</f>
        <v>6251.4422633321674</v>
      </c>
    </row>
    <row r="62" spans="4:8" x14ac:dyDescent="0.2">
      <c r="D62">
        <f t="shared" si="1"/>
        <v>2003</v>
      </c>
      <c r="E62" s="2">
        <f>'Final Floorspace Estimates'!E67</f>
        <v>7062.2447881695625</v>
      </c>
      <c r="F62" s="2">
        <f>'Final Floorspace Estimates'!E108</f>
        <v>5227.1831504438451</v>
      </c>
      <c r="G62" s="2">
        <f>'Final Floorspace Estimates'!E149</f>
        <v>7503.9453190112745</v>
      </c>
      <c r="H62" s="2">
        <f>'Final Floorspace Estimates'!E189</f>
        <v>6332.4363055346894</v>
      </c>
    </row>
    <row r="63" spans="4:8" x14ac:dyDescent="0.2">
      <c r="D63">
        <f t="shared" si="1"/>
        <v>2004</v>
      </c>
      <c r="E63" s="2">
        <f>'Final Floorspace Estimates'!E68</f>
        <v>7059.3982026130261</v>
      </c>
      <c r="F63" s="2">
        <f>'Final Floorspace Estimates'!E109</f>
        <v>5171.8411797432454</v>
      </c>
      <c r="G63" s="2">
        <f>'Final Floorspace Estimates'!E150</f>
        <v>7546.4278798435962</v>
      </c>
      <c r="H63" s="2">
        <f>'Final Floorspace Estimates'!E190</f>
        <v>6337.5022991775031</v>
      </c>
    </row>
    <row r="64" spans="4:8" x14ac:dyDescent="0.2">
      <c r="D64">
        <f t="shared" si="1"/>
        <v>2005</v>
      </c>
      <c r="E64" s="2">
        <f>'Final Floorspace Estimates'!E69</f>
        <v>7056.2378817607714</v>
      </c>
      <c r="F64" s="2">
        <f>'Final Floorspace Estimates'!E110</f>
        <v>5116.3151051567384</v>
      </c>
      <c r="G64" s="2">
        <f>'Final Floorspace Estimates'!E151</f>
        <v>7588.5359569615512</v>
      </c>
      <c r="H64" s="2">
        <f>'Final Floorspace Estimates'!E191</f>
        <v>6342.2800937715374</v>
      </c>
    </row>
    <row r="65" spans="4:8" x14ac:dyDescent="0.2">
      <c r="D65">
        <f t="shared" si="1"/>
        <v>2006</v>
      </c>
      <c r="E65" s="2">
        <f>'Final Floorspace Estimates'!E70</f>
        <v>6977.8877261702655</v>
      </c>
      <c r="F65" s="2">
        <f>'Final Floorspace Estimates'!E111</f>
        <v>5169.9748748866132</v>
      </c>
      <c r="G65" s="2">
        <f>'Final Floorspace Estimates'!E152</f>
        <v>7631.4347756849984</v>
      </c>
      <c r="H65" s="2">
        <f>'Final Floorspace Estimates'!E192</f>
        <v>6398.6643268193311</v>
      </c>
    </row>
    <row r="66" spans="4:8" x14ac:dyDescent="0.2">
      <c r="D66">
        <f t="shared" si="1"/>
        <v>2007</v>
      </c>
      <c r="E66" s="2">
        <f>'Final Floorspace Estimates'!E71</f>
        <v>6897.9588636503922</v>
      </c>
      <c r="F66" s="2">
        <f>'Final Floorspace Estimates'!E112</f>
        <v>5223.0868437713698</v>
      </c>
      <c r="G66" s="2">
        <f>'Final Floorspace Estimates'!E153</f>
        <v>7673.3228556239264</v>
      </c>
      <c r="H66" s="2">
        <f>'Final Floorspace Estimates'!E193</f>
        <v>6454.3147433631884</v>
      </c>
    </row>
    <row r="67" spans="4:8" x14ac:dyDescent="0.2">
      <c r="D67">
        <f t="shared" si="1"/>
        <v>2008</v>
      </c>
      <c r="E67" s="2">
        <f>'Final Floorspace Estimates'!E72</f>
        <v>6808.5924913194467</v>
      </c>
      <c r="F67" s="2">
        <f>'Final Floorspace Estimates'!E113</f>
        <v>5243.298327199901</v>
      </c>
      <c r="G67" s="2">
        <f>'Final Floorspace Estimates'!E154</f>
        <v>7698.1625693600863</v>
      </c>
      <c r="H67" s="2">
        <f>'Final Floorspace Estimates'!E194</f>
        <v>6425.747180862747</v>
      </c>
    </row>
    <row r="68" spans="4:8" x14ac:dyDescent="0.2">
      <c r="D68">
        <f t="shared" si="1"/>
        <v>2009</v>
      </c>
      <c r="E68" s="2">
        <f>'Final Floorspace Estimates'!E73</f>
        <v>6718.367930551628</v>
      </c>
      <c r="F68" s="2">
        <f>'Final Floorspace Estimates'!E114</f>
        <v>5262.3380403102701</v>
      </c>
      <c r="G68" s="2">
        <f>'Final Floorspace Estimates'!E155</f>
        <v>7721.3096421616974</v>
      </c>
      <c r="H68" s="2">
        <f>'Final Floorspace Estimates'!E195</f>
        <v>6396.0496491912909</v>
      </c>
    </row>
    <row r="69" spans="4:8" x14ac:dyDescent="0.2">
      <c r="D69">
        <f t="shared" si="1"/>
        <v>2010</v>
      </c>
      <c r="E69" s="2">
        <f>'Final Floorspace Estimates'!E74</f>
        <v>6790.2961648840528</v>
      </c>
      <c r="F69" s="2">
        <f>'Final Floorspace Estimates'!E115</f>
        <v>5319.1205917871439</v>
      </c>
      <c r="G69" s="2">
        <f>'Final Floorspace Estimates'!E156</f>
        <v>7855.9562779680455</v>
      </c>
      <c r="H69" s="2">
        <f>'Final Floorspace Estimates'!E196</f>
        <v>6529.5733925952063</v>
      </c>
    </row>
    <row r="70" spans="4:8" s="341" customFormat="1" x14ac:dyDescent="0.2">
      <c r="D70" s="341">
        <f t="shared" si="1"/>
        <v>2011</v>
      </c>
      <c r="E70" s="344">
        <f>'Final Floorspace Estimates'!E75</f>
        <v>6853.480050913281</v>
      </c>
      <c r="F70" s="344">
        <f>'Final Floorspace Estimates'!E116</f>
        <v>5369.0661439367486</v>
      </c>
      <c r="G70" s="344">
        <f>'Final Floorspace Estimates'!E157</f>
        <v>7981.9899236864285</v>
      </c>
      <c r="H70" s="344">
        <f>'Final Floorspace Estimates'!E197</f>
        <v>6656.5701825140804</v>
      </c>
    </row>
    <row r="71" spans="4:8" s="341" customFormat="1" x14ac:dyDescent="0.2">
      <c r="D71" s="341">
        <f t="shared" si="1"/>
        <v>2012</v>
      </c>
      <c r="E71" s="344">
        <f>'Final Floorspace Estimates'!E76</f>
        <v>6873.6645303990972</v>
      </c>
      <c r="F71" s="344">
        <f>'Final Floorspace Estimates'!E117</f>
        <v>5385.3351991244081</v>
      </c>
      <c r="G71" s="344">
        <f>'Final Floorspace Estimates'!E158</f>
        <v>8059.0647980937511</v>
      </c>
      <c r="H71" s="344">
        <f>'Final Floorspace Estimates'!E198</f>
        <v>6743.2057880131288</v>
      </c>
    </row>
    <row r="72" spans="4:8" s="341" customFormat="1" x14ac:dyDescent="0.2">
      <c r="D72" s="341">
        <f t="shared" si="1"/>
        <v>2013</v>
      </c>
      <c r="E72" s="344">
        <f>'Final Floorspace Estimates'!E77</f>
        <v>6897.0084649147357</v>
      </c>
      <c r="F72" s="344">
        <f>'Final Floorspace Estimates'!E118</f>
        <v>5404.0866282832185</v>
      </c>
      <c r="G72" s="344">
        <f>'Final Floorspace Estimates'!E159</f>
        <v>8140.6684245261995</v>
      </c>
      <c r="H72" s="344">
        <f>'Final Floorspace Estimates'!E199</f>
        <v>6833.972540914604</v>
      </c>
    </row>
    <row r="73" spans="4:8" s="341" customFormat="1" x14ac:dyDescent="0.2">
      <c r="D73" s="341">
        <f t="shared" si="1"/>
        <v>2014</v>
      </c>
      <c r="E73" s="344">
        <f>'Final Floorspace Estimates'!E78</f>
        <v>7010.2804434498757</v>
      </c>
      <c r="F73" s="344">
        <f>'Final Floorspace Estimates'!E119</f>
        <v>5466.5593697520681</v>
      </c>
      <c r="G73" s="344">
        <f>'Final Floorspace Estimates'!E160</f>
        <v>8295.1449027604904</v>
      </c>
      <c r="H73" s="344">
        <f>'Final Floorspace Estimates'!E200</f>
        <v>6720.3992792437621</v>
      </c>
    </row>
    <row r="74" spans="4:8" s="341" customFormat="1" x14ac:dyDescent="0.2">
      <c r="D74" s="341">
        <f t="shared" si="1"/>
        <v>2015</v>
      </c>
      <c r="E74" s="344">
        <f>'Final Floorspace Estimates'!E79</f>
        <v>7132.7012183771149</v>
      </c>
      <c r="F74" s="344">
        <f>'Final Floorspace Estimates'!E120</f>
        <v>5535.7251971774294</v>
      </c>
      <c r="G74" s="344">
        <f>'Final Floorspace Estimates'!E161</f>
        <v>8460.7957410403596</v>
      </c>
      <c r="H74" s="344">
        <f>'Final Floorspace Estimates'!E201</f>
        <v>6611.8066854801509</v>
      </c>
    </row>
    <row r="75" spans="4:8" s="341" customFormat="1" x14ac:dyDescent="0.2">
      <c r="D75" s="341">
        <f t="shared" si="1"/>
        <v>2016</v>
      </c>
      <c r="E75" s="344">
        <f>'Final Floorspace Estimates'!E80</f>
        <v>7133.9820303176293</v>
      </c>
      <c r="F75" s="344">
        <f>'Final Floorspace Estimates'!E121</f>
        <v>5427.736110263093</v>
      </c>
      <c r="G75" s="344">
        <f>'Final Floorspace Estimates'!E162</f>
        <v>8661.1470207320126</v>
      </c>
      <c r="H75" s="344">
        <f>'Final Floorspace Estimates'!E202</f>
        <v>6693.2658239570173</v>
      </c>
    </row>
    <row r="76" spans="4:8" s="341" customFormat="1" x14ac:dyDescent="0.2">
      <c r="D76" s="341">
        <f t="shared" si="1"/>
        <v>2017</v>
      </c>
      <c r="E76" s="344">
        <f>'Final Floorspace Estimates'!E81</f>
        <v>7137.1008796410742</v>
      </c>
      <c r="F76" s="344">
        <f>'Final Floorspace Estimates'!E122</f>
        <v>5319.7329807551423</v>
      </c>
      <c r="G76" s="344">
        <f>'Final Floorspace Estimates'!E163</f>
        <v>8866.306762601931</v>
      </c>
      <c r="H76" s="344">
        <f>'Final Floorspace Estimates'!E203</f>
        <v>6777.4898131562668</v>
      </c>
    </row>
    <row r="77" spans="4:8" s="341" customFormat="1" x14ac:dyDescent="0.2">
      <c r="D77" s="341">
        <f t="shared" si="1"/>
        <v>2018</v>
      </c>
      <c r="E77" s="344">
        <f>'Final Floorspace Estimates'!E82</f>
        <v>7178.7837819373008</v>
      </c>
      <c r="F77" s="344">
        <f>'Final Floorspace Estimates'!E123</f>
        <v>5350.8018858775786</v>
      </c>
      <c r="G77" s="344">
        <f>'Final Floorspace Estimates'!E164</f>
        <v>8918.0887683135406</v>
      </c>
      <c r="H77" s="344">
        <f>'Final Floorspace Estimates'!E204</f>
        <v>6817.0724743039218</v>
      </c>
    </row>
    <row r="79" spans="4:8" x14ac:dyDescent="0.2">
      <c r="E79">
        <f>E69/E44</f>
        <v>0.94516289097795081</v>
      </c>
      <c r="F79">
        <f>F69/F44</f>
        <v>1.0061872826409917</v>
      </c>
      <c r="G79">
        <f>G69/G44</f>
        <v>1.2743134425333178</v>
      </c>
      <c r="H79">
        <f>H69/H44</f>
        <v>1.3440761625704953</v>
      </c>
    </row>
    <row r="84" spans="4:8" x14ac:dyDescent="0.2">
      <c r="E84" t="s">
        <v>499</v>
      </c>
    </row>
    <row r="86" spans="4:8" x14ac:dyDescent="0.2">
      <c r="E86" t="s">
        <v>20</v>
      </c>
      <c r="F86" t="s">
        <v>21</v>
      </c>
      <c r="G86" t="s">
        <v>22</v>
      </c>
      <c r="H86" t="s">
        <v>23</v>
      </c>
    </row>
    <row r="87" spans="4:8" x14ac:dyDescent="0.2">
      <c r="D87">
        <f>1985</f>
        <v>1985</v>
      </c>
      <c r="E87" s="2">
        <f>'Final Floorspace Estimates'!F49</f>
        <v>464.04307650359141</v>
      </c>
      <c r="F87" s="2">
        <f>'Final Floorspace Estimates'!F90</f>
        <v>1078.0239695897578</v>
      </c>
      <c r="G87" s="2">
        <f>'Final Floorspace Estimates'!F131</f>
        <v>2315.6283783070826</v>
      </c>
      <c r="H87" s="2">
        <f>'Final Floorspace Estimates'!F171</f>
        <v>1065.5212653401156</v>
      </c>
    </row>
    <row r="88" spans="4:8" x14ac:dyDescent="0.2">
      <c r="D88">
        <f>D87+1</f>
        <v>1986</v>
      </c>
      <c r="E88" s="2">
        <f>'Final Floorspace Estimates'!F50</f>
        <v>491.65783301069712</v>
      </c>
      <c r="F88" s="2">
        <f>'Final Floorspace Estimates'!F91</f>
        <v>1038.0853988667566</v>
      </c>
      <c r="G88" s="2">
        <f>'Final Floorspace Estimates'!F132</f>
        <v>2439.7249548955788</v>
      </c>
      <c r="H88" s="2">
        <f>'Final Floorspace Estimates'!F172</f>
        <v>1108.2155796994198</v>
      </c>
    </row>
    <row r="89" spans="4:8" x14ac:dyDescent="0.2">
      <c r="D89">
        <f t="shared" ref="D89:D112" si="2">D88+1</f>
        <v>1987</v>
      </c>
      <c r="E89" s="2">
        <f>'Final Floorspace Estimates'!F51</f>
        <v>518.52315973181669</v>
      </c>
      <c r="F89" s="2">
        <f>'Final Floorspace Estimates'!F92</f>
        <v>990.70952855586631</v>
      </c>
      <c r="G89" s="2">
        <f>'Final Floorspace Estimates'!F133</f>
        <v>2559.3318360722856</v>
      </c>
      <c r="H89" s="2">
        <f>'Final Floorspace Estimates'!F173</f>
        <v>1148.0555273656948</v>
      </c>
    </row>
    <row r="90" spans="4:8" x14ac:dyDescent="0.2">
      <c r="D90">
        <f t="shared" si="2"/>
        <v>1988</v>
      </c>
      <c r="E90" s="2">
        <f>'Final Floorspace Estimates'!F52</f>
        <v>506.52345251219231</v>
      </c>
      <c r="F90" s="2">
        <f>'Final Floorspace Estimates'!F93</f>
        <v>1023.7692105797508</v>
      </c>
      <c r="G90" s="2">
        <f>'Final Floorspace Estimates'!F134</f>
        <v>2657.0360066987769</v>
      </c>
      <c r="H90" s="2">
        <f>'Final Floorspace Estimates'!F174</f>
        <v>1130.923043904306</v>
      </c>
    </row>
    <row r="91" spans="4:8" x14ac:dyDescent="0.2">
      <c r="D91">
        <f t="shared" si="2"/>
        <v>1989</v>
      </c>
      <c r="E91" s="2">
        <f>'Final Floorspace Estimates'!F53</f>
        <v>492.47619174243727</v>
      </c>
      <c r="F91" s="2">
        <f>'Final Floorspace Estimates'!F94</f>
        <v>1054.7785405154</v>
      </c>
      <c r="G91" s="2">
        <f>'Final Floorspace Estimates'!F135</f>
        <v>2749.8524609219244</v>
      </c>
      <c r="H91" s="2">
        <f>'Final Floorspace Estimates'!F175</f>
        <v>1109.5708793739125</v>
      </c>
    </row>
    <row r="92" spans="4:8" x14ac:dyDescent="0.2">
      <c r="D92">
        <f t="shared" si="2"/>
        <v>1990</v>
      </c>
      <c r="E92" s="2">
        <f>'Final Floorspace Estimates'!F54</f>
        <v>521.31621472598306</v>
      </c>
      <c r="F92" s="2">
        <f>'Final Floorspace Estimates'!F95</f>
        <v>1086.6572920016877</v>
      </c>
      <c r="G92" s="2">
        <f>'Final Floorspace Estimates'!F136</f>
        <v>2769.6794818209196</v>
      </c>
      <c r="H92" s="2">
        <f>'Final Floorspace Estimates'!F176</f>
        <v>1174.5355236832218</v>
      </c>
    </row>
    <row r="93" spans="4:8" x14ac:dyDescent="0.2">
      <c r="D93">
        <f t="shared" si="2"/>
        <v>1991</v>
      </c>
      <c r="E93" s="2">
        <f>'Final Floorspace Estimates'!F55</f>
        <v>550.18077859830441</v>
      </c>
      <c r="F93" s="2">
        <f>'Final Floorspace Estimates'!F96</f>
        <v>1117.110113261758</v>
      </c>
      <c r="G93" s="2">
        <f>'Final Floorspace Estimates'!F137</f>
        <v>2782.6588648152697</v>
      </c>
      <c r="H93" s="2">
        <f>'Final Floorspace Estimates'!F177</f>
        <v>1239.5548059519595</v>
      </c>
    </row>
    <row r="94" spans="4:8" x14ac:dyDescent="0.2">
      <c r="D94">
        <f t="shared" si="2"/>
        <v>1992</v>
      </c>
      <c r="E94" s="2">
        <f>'Final Floorspace Estimates'!F56</f>
        <v>522.76187392489555</v>
      </c>
      <c r="F94" s="2">
        <f>'Final Floorspace Estimates'!F97</f>
        <v>1086.9812888269164</v>
      </c>
      <c r="G94" s="2">
        <f>'Final Floorspace Estimates'!F138</f>
        <v>2935.9473839963389</v>
      </c>
      <c r="H94" s="2">
        <f>'Final Floorspace Estimates'!F178</f>
        <v>1195.1739582615505</v>
      </c>
    </row>
    <row r="95" spans="4:8" x14ac:dyDescent="0.2">
      <c r="D95">
        <f t="shared" si="2"/>
        <v>1993</v>
      </c>
      <c r="E95" s="2">
        <f>'Final Floorspace Estimates'!F57</f>
        <v>496.41428909229745</v>
      </c>
      <c r="F95" s="2">
        <f>'Final Floorspace Estimates'!F98</f>
        <v>1059.6567422437383</v>
      </c>
      <c r="G95" s="2">
        <f>'Final Floorspace Estimates'!F139</f>
        <v>3101.8441293036258</v>
      </c>
      <c r="H95" s="2">
        <f>'Final Floorspace Estimates'!F179</f>
        <v>1153.6351205321446</v>
      </c>
    </row>
    <row r="96" spans="4:8" x14ac:dyDescent="0.2">
      <c r="D96">
        <f t="shared" si="2"/>
        <v>1994</v>
      </c>
      <c r="E96" s="2">
        <f>'Final Floorspace Estimates'!F58</f>
        <v>523.91661116987689</v>
      </c>
      <c r="F96" s="2">
        <f>'Final Floorspace Estimates'!F99</f>
        <v>1069.5164515891424</v>
      </c>
      <c r="G96" s="2">
        <f>'Final Floorspace Estimates'!F140</f>
        <v>3168.7831602439192</v>
      </c>
      <c r="H96" s="2">
        <f>'Final Floorspace Estimates'!F180</f>
        <v>1190.8728725931689</v>
      </c>
    </row>
    <row r="97" spans="4:8" x14ac:dyDescent="0.2">
      <c r="D97">
        <f t="shared" si="2"/>
        <v>1995</v>
      </c>
      <c r="E97" s="2">
        <f>'Final Floorspace Estimates'!F59</f>
        <v>554.300309137976</v>
      </c>
      <c r="F97" s="2">
        <f>'Final Floorspace Estimates'!F100</f>
        <v>1082.8148676569872</v>
      </c>
      <c r="G97" s="2">
        <f>'Final Floorspace Estimates'!F141</f>
        <v>3247.9020433371584</v>
      </c>
      <c r="H97" s="2">
        <f>'Final Floorspace Estimates'!F181</f>
        <v>1233.3257477283519</v>
      </c>
    </row>
    <row r="98" spans="4:8" x14ac:dyDescent="0.2">
      <c r="D98">
        <f t="shared" si="2"/>
        <v>1996</v>
      </c>
      <c r="E98" s="2">
        <f>'Final Floorspace Estimates'!F60</f>
        <v>538.39014456359087</v>
      </c>
      <c r="F98" s="2">
        <f>'Final Floorspace Estimates'!F101</f>
        <v>1088.1134105947567</v>
      </c>
      <c r="G98" s="2">
        <f>'Final Floorspace Estimates'!F142</f>
        <v>3357.9053041539732</v>
      </c>
      <c r="H98" s="2">
        <f>'Final Floorspace Estimates'!F182</f>
        <v>1218.8729345924557</v>
      </c>
    </row>
    <row r="99" spans="4:8" x14ac:dyDescent="0.2">
      <c r="D99">
        <f t="shared" si="2"/>
        <v>1997</v>
      </c>
      <c r="E99" s="2">
        <f>'Final Floorspace Estimates'!F61</f>
        <v>521.74653680964639</v>
      </c>
      <c r="F99" s="2">
        <f>'Final Floorspace Estimates'!F102</f>
        <v>1092.9631255185466</v>
      </c>
      <c r="G99" s="2">
        <f>'Final Floorspace Estimates'!F143</f>
        <v>3469.1077149997695</v>
      </c>
      <c r="H99" s="2">
        <f>'Final Floorspace Estimates'!F183</f>
        <v>1203.3547697894098</v>
      </c>
    </row>
    <row r="100" spans="4:8" x14ac:dyDescent="0.2">
      <c r="D100">
        <f t="shared" si="2"/>
        <v>1998</v>
      </c>
      <c r="E100" s="2">
        <f>'Final Floorspace Estimates'!F62</f>
        <v>533.97509728313241</v>
      </c>
      <c r="F100" s="2">
        <f>'Final Floorspace Estimates'!F103</f>
        <v>1115.2128034280433</v>
      </c>
      <c r="G100" s="2">
        <f>'Final Floorspace Estimates'!F144</f>
        <v>3603.2963797401289</v>
      </c>
      <c r="H100" s="2">
        <f>'Final Floorspace Estimates'!F184</f>
        <v>1262.3344603320879</v>
      </c>
    </row>
    <row r="101" spans="4:8" x14ac:dyDescent="0.2">
      <c r="D101">
        <f t="shared" si="2"/>
        <v>1999</v>
      </c>
      <c r="E101" s="2">
        <f>'Final Floorspace Estimates'!F63</f>
        <v>545.77910530013207</v>
      </c>
      <c r="F101" s="2">
        <f>'Final Floorspace Estimates'!F104</f>
        <v>1136.3372981574516</v>
      </c>
      <c r="G101" s="2">
        <f>'Final Floorspace Estimates'!F145</f>
        <v>3738.3660270826249</v>
      </c>
      <c r="H101" s="2">
        <f>'Final Floorspace Estimates'!F185</f>
        <v>1322.4905493166484</v>
      </c>
    </row>
    <row r="102" spans="4:8" x14ac:dyDescent="0.2">
      <c r="D102">
        <f t="shared" si="2"/>
        <v>2000</v>
      </c>
      <c r="E102" s="2">
        <f>'Final Floorspace Estimates'!F64</f>
        <v>565.74307986234908</v>
      </c>
      <c r="F102" s="2">
        <f>'Final Floorspace Estimates'!F105</f>
        <v>1156.7293031498789</v>
      </c>
      <c r="G102" s="2">
        <f>'Final Floorspace Estimates'!F146</f>
        <v>3861.1033406536385</v>
      </c>
      <c r="H102" s="2">
        <f>'Final Floorspace Estimates'!F186</f>
        <v>1325.4521771360792</v>
      </c>
    </row>
    <row r="103" spans="4:8" x14ac:dyDescent="0.2">
      <c r="D103">
        <f t="shared" si="2"/>
        <v>2001</v>
      </c>
      <c r="E103" s="2">
        <f>'Final Floorspace Estimates'!F65</f>
        <v>582.28350103299863</v>
      </c>
      <c r="F103" s="2">
        <f>'Final Floorspace Estimates'!F106</f>
        <v>1169.2520519051377</v>
      </c>
      <c r="G103" s="2">
        <f>'Final Floorspace Estimates'!F147</f>
        <v>3959.9003101083731</v>
      </c>
      <c r="H103" s="2">
        <f>'Final Floorspace Estimates'!F187</f>
        <v>1318.5282640533733</v>
      </c>
    </row>
    <row r="104" spans="4:8" x14ac:dyDescent="0.2">
      <c r="D104">
        <f t="shared" si="2"/>
        <v>2002</v>
      </c>
      <c r="E104" s="2">
        <f>'Final Floorspace Estimates'!F66</f>
        <v>529.43546288106768</v>
      </c>
      <c r="F104" s="2">
        <f>'Final Floorspace Estimates'!F107</f>
        <v>1144.4182467862613</v>
      </c>
      <c r="G104" s="2">
        <f>'Final Floorspace Estimates'!F148</f>
        <v>3885.5238399570458</v>
      </c>
      <c r="H104" s="2">
        <f>'Final Floorspace Estimates'!F188</f>
        <v>1307.0648788155311</v>
      </c>
    </row>
    <row r="105" spans="4:8" x14ac:dyDescent="0.2">
      <c r="D105">
        <f t="shared" si="2"/>
        <v>2003</v>
      </c>
      <c r="E105" s="2">
        <f>'Final Floorspace Estimates'!F67</f>
        <v>477.14473603747382</v>
      </c>
      <c r="F105" s="2">
        <f>'Final Floorspace Estimates'!F108</f>
        <v>1116.395807827387</v>
      </c>
      <c r="G105" s="2">
        <f>'Final Floorspace Estimates'!F149</f>
        <v>3799.8329111754651</v>
      </c>
      <c r="H105" s="2">
        <f>'Final Floorspace Estimates'!F189</f>
        <v>1291.1292058443578</v>
      </c>
    </row>
    <row r="106" spans="4:8" x14ac:dyDescent="0.2">
      <c r="D106">
        <f t="shared" si="2"/>
        <v>2004</v>
      </c>
      <c r="E106" s="2">
        <f>'Final Floorspace Estimates'!F68</f>
        <v>546.2131329300986</v>
      </c>
      <c r="F106" s="2">
        <f>'Final Floorspace Estimates'!F109</f>
        <v>1149.0588548294309</v>
      </c>
      <c r="G106" s="2">
        <f>'Final Floorspace Estimates'!F150</f>
        <v>3904.1003404662756</v>
      </c>
      <c r="H106" s="2">
        <f>'Final Floorspace Estimates'!F190</f>
        <v>1281.2796603433001</v>
      </c>
    </row>
    <row r="107" spans="4:8" x14ac:dyDescent="0.2">
      <c r="D107">
        <f t="shared" si="2"/>
        <v>2005</v>
      </c>
      <c r="E107" s="2">
        <f>'Final Floorspace Estimates'!F69</f>
        <v>618.12369729465024</v>
      </c>
      <c r="F107" s="2">
        <f>'Final Floorspace Estimates'!F110</f>
        <v>1181.147984339003</v>
      </c>
      <c r="G107" s="2">
        <f>'Final Floorspace Estimates'!F151</f>
        <v>4006.0274098351492</v>
      </c>
      <c r="H107" s="2">
        <f>'Final Floorspace Estimates'!F191</f>
        <v>1268.0981729369792</v>
      </c>
    </row>
    <row r="108" spans="4:8" x14ac:dyDescent="0.2">
      <c r="D108">
        <f t="shared" si="2"/>
        <v>2006</v>
      </c>
      <c r="E108" s="2">
        <f>'Final Floorspace Estimates'!F70</f>
        <v>586.26112373969431</v>
      </c>
      <c r="F108" s="2">
        <f>'Final Floorspace Estimates'!F111</f>
        <v>1177.9376188364092</v>
      </c>
      <c r="G108" s="2">
        <f>'Final Floorspace Estimates'!F152</f>
        <v>4013.2026693478224</v>
      </c>
      <c r="H108" s="2">
        <f>'Final Floorspace Estimates'!F192</f>
        <v>1268.2906269283378</v>
      </c>
    </row>
    <row r="109" spans="4:8" x14ac:dyDescent="0.2">
      <c r="D109">
        <f t="shared" si="2"/>
        <v>2007</v>
      </c>
      <c r="E109" s="2">
        <f>'Final Floorspace Estimates'!F71</f>
        <v>554.09240709928076</v>
      </c>
      <c r="F109" s="2">
        <f>'Final Floorspace Estimates'!F112</f>
        <v>1173.5772932955681</v>
      </c>
      <c r="G109" s="2">
        <f>'Final Floorspace Estimates'!F153</f>
        <v>4016.3007332821376</v>
      </c>
      <c r="H109" s="2">
        <f>'Final Floorspace Estimates'!F193</f>
        <v>1267.2128185211091</v>
      </c>
    </row>
    <row r="110" spans="4:8" x14ac:dyDescent="0.2">
      <c r="D110">
        <f t="shared" si="2"/>
        <v>2008</v>
      </c>
      <c r="E110" s="2">
        <f>'Final Floorspace Estimates'!F72</f>
        <v>568.1872349799354</v>
      </c>
      <c r="F110" s="2">
        <f>'Final Floorspace Estimates'!F113</f>
        <v>1102.5649785854653</v>
      </c>
      <c r="G110" s="2">
        <f>'Final Floorspace Estimates'!F154</f>
        <v>3954.1837650724719</v>
      </c>
      <c r="H110" s="2">
        <f>'Final Floorspace Estimates'!F194</f>
        <v>1320.0974752612142</v>
      </c>
    </row>
    <row r="111" spans="4:8" x14ac:dyDescent="0.2">
      <c r="D111">
        <f t="shared" si="2"/>
        <v>2009</v>
      </c>
      <c r="E111" s="2">
        <f>'Final Floorspace Estimates'!F73</f>
        <v>581.26568714632481</v>
      </c>
      <c r="F111" s="2">
        <f>'Final Floorspace Estimates'!F114</f>
        <v>1031.5440008813787</v>
      </c>
      <c r="G111" s="2">
        <f>'Final Floorspace Estimates'!F155</f>
        <v>3888.1917237214834</v>
      </c>
      <c r="H111" s="2">
        <f>'Final Floorspace Estimates'!F195</f>
        <v>1370.2187355317612</v>
      </c>
    </row>
    <row r="112" spans="4:8" x14ac:dyDescent="0.2">
      <c r="D112">
        <f t="shared" si="2"/>
        <v>2010</v>
      </c>
      <c r="E112" s="2">
        <f>'Final Floorspace Estimates'!F74</f>
        <v>585.64189597277129</v>
      </c>
      <c r="F112" s="2">
        <f>'Final Floorspace Estimates'!F115</f>
        <v>1039.3102462685565</v>
      </c>
      <c r="G112" s="2">
        <f>'Final Floorspace Estimates'!F156</f>
        <v>3917.4649791647944</v>
      </c>
      <c r="H112" s="2">
        <f>'Final Floorspace Estimates'!F196</f>
        <v>1380.5347811150386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K154"/>
  <sheetViews>
    <sheetView topLeftCell="L1" workbookViewId="0">
      <selection activeCell="Z21" sqref="Z21"/>
    </sheetView>
  </sheetViews>
  <sheetFormatPr defaultRowHeight="12.75" x14ac:dyDescent="0.2"/>
  <cols>
    <col min="1" max="1" width="13.140625" customWidth="1"/>
    <col min="11" max="11" width="10.28515625" customWidth="1"/>
    <col min="13" max="13" width="9.5703125" customWidth="1"/>
  </cols>
  <sheetData>
    <row r="1" spans="1:16" x14ac:dyDescent="0.2">
      <c r="A1" s="1" t="s">
        <v>486</v>
      </c>
    </row>
    <row r="2" spans="1:16" x14ac:dyDescent="0.2">
      <c r="A2" s="1"/>
    </row>
    <row r="3" spans="1:16" x14ac:dyDescent="0.2">
      <c r="H3" s="1" t="s">
        <v>487</v>
      </c>
    </row>
    <row r="5" spans="1:16" x14ac:dyDescent="0.2">
      <c r="C5" t="s">
        <v>477</v>
      </c>
      <c r="H5" t="s">
        <v>408</v>
      </c>
      <c r="P5" t="s">
        <v>415</v>
      </c>
    </row>
    <row r="7" spans="1:16" x14ac:dyDescent="0.2">
      <c r="H7">
        <f>1</f>
        <v>1</v>
      </c>
      <c r="P7">
        <v>1</v>
      </c>
    </row>
    <row r="8" spans="1:16" ht="13.5" thickBot="1" x14ac:dyDescent="0.25">
      <c r="C8" s="16" t="s">
        <v>356</v>
      </c>
      <c r="D8" s="16" t="s">
        <v>463</v>
      </c>
      <c r="E8" s="16" t="s">
        <v>475</v>
      </c>
      <c r="F8" s="16" t="s">
        <v>476</v>
      </c>
    </row>
    <row r="9" spans="1:16" ht="15.75" x14ac:dyDescent="0.25">
      <c r="A9" s="6" t="s">
        <v>18</v>
      </c>
      <c r="B9">
        <v>1985</v>
      </c>
      <c r="C9" s="24">
        <f>'Final Floorspace Estimates'!U10</f>
        <v>108.03747267576522</v>
      </c>
      <c r="D9" s="24">
        <f>'Final Floorspace Estimates'!V10</f>
        <v>19.903149932090489</v>
      </c>
      <c r="E9" s="24">
        <f>'Final Floorspace Estimates'!W10</f>
        <v>4.2217387561696782</v>
      </c>
      <c r="F9" s="24">
        <f>'Final Floorspace Estimates'!X10</f>
        <v>132.16236136402537</v>
      </c>
      <c r="H9">
        <f>H$7*C9</f>
        <v>108.03747267576522</v>
      </c>
      <c r="I9">
        <f>I$37*D9</f>
        <v>25.060579735370968</v>
      </c>
      <c r="J9">
        <f>J$37*E9</f>
        <v>8.8129256232265405</v>
      </c>
      <c r="K9">
        <f>SUM(H9:J9)</f>
        <v>141.91097803436273</v>
      </c>
    </row>
    <row r="10" spans="1:16" x14ac:dyDescent="0.2">
      <c r="B10">
        <f>B9+1</f>
        <v>1986</v>
      </c>
      <c r="C10" s="24">
        <f>'Final Floorspace Estimates'!U11</f>
        <v>109.73397740185293</v>
      </c>
      <c r="D10" s="24">
        <f>'Final Floorspace Estimates'!V11</f>
        <v>20.494510757708937</v>
      </c>
      <c r="E10" s="24">
        <f>'Final Floorspace Estimates'!W11</f>
        <v>4.3907030215967708</v>
      </c>
      <c r="F10" s="24">
        <f>'Final Floorspace Estimates'!X11</f>
        <v>134.61919118115864</v>
      </c>
    </row>
    <row r="11" spans="1:16" x14ac:dyDescent="0.2">
      <c r="B11">
        <f t="shared" ref="B11:B34" si="0">B10+1</f>
        <v>1987</v>
      </c>
      <c r="C11" s="24">
        <f>'Final Floorspace Estimates'!U12</f>
        <v>112.51927535964501</v>
      </c>
      <c r="D11" s="24">
        <f>'Final Floorspace Estimates'!V12</f>
        <v>20.965041252879754</v>
      </c>
      <c r="E11" s="24">
        <f>'Final Floorspace Estimates'!W12</f>
        <v>4.5108420447274842</v>
      </c>
      <c r="F11" s="24">
        <f>'Final Floorspace Estimates'!X12</f>
        <v>137.99515865725226</v>
      </c>
    </row>
    <row r="12" spans="1:16" x14ac:dyDescent="0.2">
      <c r="B12">
        <f t="shared" si="0"/>
        <v>1988</v>
      </c>
      <c r="C12" s="24">
        <f>'Final Floorspace Estimates'!U13</f>
        <v>115.09427508559475</v>
      </c>
      <c r="D12" s="24">
        <f>'Final Floorspace Estimates'!V13</f>
        <v>21.596035768359464</v>
      </c>
      <c r="E12" s="24">
        <f>'Final Floorspace Estimates'!W13</f>
        <v>4.7362921935915869</v>
      </c>
      <c r="F12" s="24">
        <f>'Final Floorspace Estimates'!X13</f>
        <v>141.4266030475458</v>
      </c>
    </row>
    <row r="13" spans="1:16" x14ac:dyDescent="0.2">
      <c r="B13">
        <f t="shared" si="0"/>
        <v>1989</v>
      </c>
      <c r="C13" s="24">
        <f>'Final Floorspace Estimates'!U14</f>
        <v>117.58880948552878</v>
      </c>
      <c r="D13" s="24">
        <f>'Final Floorspace Estimates'!V14</f>
        <v>22.153032386297642</v>
      </c>
      <c r="E13" s="24">
        <f>'Final Floorspace Estimates'!W14</f>
        <v>4.9548983361743613</v>
      </c>
      <c r="F13" s="24">
        <f>'Final Floorspace Estimates'!X14</f>
        <v>144.69674020800079</v>
      </c>
    </row>
    <row r="14" spans="1:16" x14ac:dyDescent="0.2">
      <c r="B14">
        <f t="shared" si="0"/>
        <v>1990</v>
      </c>
      <c r="C14" s="24">
        <f>'Final Floorspace Estimates'!U15</f>
        <v>119.31670987327701</v>
      </c>
      <c r="D14" s="24">
        <f>'Final Floorspace Estimates'!V15</f>
        <v>22.28629396189687</v>
      </c>
      <c r="E14" s="24">
        <f>'Final Floorspace Estimates'!W15</f>
        <v>5.2318699442184364</v>
      </c>
      <c r="F14" s="24">
        <f>'Final Floorspace Estimates'!X15</f>
        <v>146.8348737793923</v>
      </c>
    </row>
    <row r="15" spans="1:16" x14ac:dyDescent="0.2">
      <c r="B15">
        <f t="shared" si="0"/>
        <v>1991</v>
      </c>
      <c r="C15" s="24">
        <f>'Final Floorspace Estimates'!U16</f>
        <v>120.7298805053244</v>
      </c>
      <c r="D15" s="24">
        <f>'Final Floorspace Estimates'!V16</f>
        <v>22.285985655320136</v>
      </c>
      <c r="E15" s="24">
        <f>'Final Floorspace Estimates'!W16</f>
        <v>5.449988356564254</v>
      </c>
      <c r="F15" s="24">
        <f>'Final Floorspace Estimates'!X16</f>
        <v>148.46585451720881</v>
      </c>
    </row>
    <row r="16" spans="1:16" x14ac:dyDescent="0.2">
      <c r="B16">
        <f t="shared" si="0"/>
        <v>1992</v>
      </c>
      <c r="C16" s="24">
        <f>'Final Floorspace Estimates'!U17</f>
        <v>123.99117357647596</v>
      </c>
      <c r="D16" s="24">
        <f>'Final Floorspace Estimates'!V17</f>
        <v>22.595608821951643</v>
      </c>
      <c r="E16" s="24">
        <f>'Final Floorspace Estimates'!W17</f>
        <v>5.5887115226741395</v>
      </c>
      <c r="F16" s="24">
        <f>'Final Floorspace Estimates'!X17</f>
        <v>152.17549392110175</v>
      </c>
    </row>
    <row r="17" spans="2:6" x14ac:dyDescent="0.2">
      <c r="B17">
        <f t="shared" si="0"/>
        <v>1993</v>
      </c>
      <c r="C17" s="24">
        <f>'Final Floorspace Estimates'!U18</f>
        <v>127.43586188845045</v>
      </c>
      <c r="D17" s="24">
        <f>'Final Floorspace Estimates'!V18</f>
        <v>22.840126480404724</v>
      </c>
      <c r="E17" s="24">
        <f>'Final Floorspace Estimates'!W18</f>
        <v>5.7481515508317544</v>
      </c>
      <c r="F17" s="24">
        <f>'Final Floorspace Estimates'!X18</f>
        <v>156.02413991968692</v>
      </c>
    </row>
    <row r="18" spans="2:6" x14ac:dyDescent="0.2">
      <c r="B18">
        <f t="shared" si="0"/>
        <v>1994</v>
      </c>
      <c r="C18" s="24">
        <f>'Final Floorspace Estimates'!U19</f>
        <v>130.51959822161481</v>
      </c>
      <c r="D18" s="24">
        <f>'Final Floorspace Estimates'!V19</f>
        <v>23.014610209119567</v>
      </c>
      <c r="E18" s="24">
        <f>'Final Floorspace Estimates'!W19</f>
        <v>5.9423968778654164</v>
      </c>
      <c r="F18" s="24">
        <f>'Final Floorspace Estimates'!X19</f>
        <v>159.4766053085998</v>
      </c>
    </row>
    <row r="19" spans="2:6" x14ac:dyDescent="0.2">
      <c r="B19">
        <f t="shared" si="0"/>
        <v>1995</v>
      </c>
      <c r="C19" s="24">
        <f>'Final Floorspace Estimates'!U20</f>
        <v>133.37110644407292</v>
      </c>
      <c r="D19" s="24">
        <f>'Final Floorspace Estimates'!V20</f>
        <v>23.295526591041533</v>
      </c>
      <c r="E19" s="24">
        <f>'Final Floorspace Estimates'!W20</f>
        <v>6.1631104740613374</v>
      </c>
      <c r="F19" s="24">
        <f>'Final Floorspace Estimates'!X20</f>
        <v>162.82974350917578</v>
      </c>
    </row>
    <row r="20" spans="2:6" x14ac:dyDescent="0.2">
      <c r="B20">
        <f t="shared" si="0"/>
        <v>1996</v>
      </c>
      <c r="C20" s="24">
        <f>'Final Floorspace Estimates'!U21</f>
        <v>135.5001584899133</v>
      </c>
      <c r="D20" s="24">
        <f>'Final Floorspace Estimates'!V21</f>
        <v>23.592635770548199</v>
      </c>
      <c r="E20" s="24">
        <f>'Final Floorspace Estimates'!W21</f>
        <v>6.3052013732803776</v>
      </c>
      <c r="F20" s="24">
        <f>'Final Floorspace Estimates'!X21</f>
        <v>165.39799563374189</v>
      </c>
    </row>
    <row r="21" spans="2:6" x14ac:dyDescent="0.2">
      <c r="B21">
        <f t="shared" si="0"/>
        <v>1997</v>
      </c>
      <c r="C21" s="24">
        <f>'Final Floorspace Estimates'!U22</f>
        <v>137.59738305138623</v>
      </c>
      <c r="D21" s="24">
        <f>'Final Floorspace Estimates'!V22</f>
        <v>23.90942247406716</v>
      </c>
      <c r="E21" s="24">
        <f>'Final Floorspace Estimates'!W22</f>
        <v>6.4477651156542306</v>
      </c>
      <c r="F21" s="24">
        <f>'Final Floorspace Estimates'!X22</f>
        <v>167.95457064110761</v>
      </c>
    </row>
    <row r="22" spans="2:6" x14ac:dyDescent="0.2">
      <c r="B22">
        <f t="shared" si="0"/>
        <v>1998</v>
      </c>
      <c r="C22" s="24">
        <f>'Final Floorspace Estimates'!U23</f>
        <v>140.9052333973365</v>
      </c>
      <c r="D22" s="24">
        <f>'Final Floorspace Estimates'!V23</f>
        <v>23.896009832963838</v>
      </c>
      <c r="E22" s="24">
        <f>'Final Floorspace Estimates'!W23</f>
        <v>6.7405960979039365</v>
      </c>
      <c r="F22" s="24">
        <f>'Final Floorspace Estimates'!X23</f>
        <v>171.54183932820428</v>
      </c>
    </row>
    <row r="23" spans="2:6" x14ac:dyDescent="0.2">
      <c r="B23">
        <f t="shared" si="0"/>
        <v>1999</v>
      </c>
      <c r="C23" s="24">
        <f>'Final Floorspace Estimates'!U24</f>
        <v>144.52380076185449</v>
      </c>
      <c r="D23" s="24">
        <f>'Final Floorspace Estimates'!V24</f>
        <v>23.926083971019246</v>
      </c>
      <c r="E23" s="24">
        <f>'Final Floorspace Estimates'!W24</f>
        <v>7.0381060369659156</v>
      </c>
      <c r="F23" s="24">
        <f>'Final Floorspace Estimates'!X24</f>
        <v>175.48799076983966</v>
      </c>
    </row>
    <row r="24" spans="2:6" x14ac:dyDescent="0.2">
      <c r="B24">
        <f t="shared" si="0"/>
        <v>2000</v>
      </c>
      <c r="C24" s="24">
        <f>'Final Floorspace Estimates'!U25</f>
        <v>147.51150081215135</v>
      </c>
      <c r="D24" s="24">
        <f>'Final Floorspace Estimates'!V25</f>
        <v>24.254056396230322</v>
      </c>
      <c r="E24" s="24">
        <f>'Final Floorspace Estimates'!W25</f>
        <v>7.2743910668244904</v>
      </c>
      <c r="F24" s="24">
        <f>'Final Floorspace Estimates'!X25</f>
        <v>179.03994827520614</v>
      </c>
    </row>
    <row r="25" spans="2:6" x14ac:dyDescent="0.2">
      <c r="B25">
        <f t="shared" si="0"/>
        <v>2001</v>
      </c>
      <c r="C25" s="24">
        <f>'Final Floorspace Estimates'!U26</f>
        <v>150.60150728970891</v>
      </c>
      <c r="D25" s="24">
        <f>'Final Floorspace Estimates'!V26</f>
        <v>24.562193823960062</v>
      </c>
      <c r="E25" s="24">
        <f>'Final Floorspace Estimates'!W26</f>
        <v>7.4657867893058469</v>
      </c>
      <c r="F25" s="24">
        <f>'Final Floorspace Estimates'!X26</f>
        <v>182.6294879029748</v>
      </c>
    </row>
    <row r="26" spans="2:6" x14ac:dyDescent="0.2">
      <c r="B26">
        <f t="shared" si="0"/>
        <v>2002</v>
      </c>
      <c r="C26" s="24">
        <f>'Final Floorspace Estimates'!U27</f>
        <v>153.38791254831452</v>
      </c>
      <c r="D26" s="24">
        <f>'Final Floorspace Estimates'!V27</f>
        <v>25.066973719859199</v>
      </c>
      <c r="E26" s="24">
        <f>'Final Floorspace Estimates'!W27</f>
        <v>7.2921515484700654</v>
      </c>
      <c r="F26" s="24">
        <f>'Final Floorspace Estimates'!X27</f>
        <v>185.74703781664377</v>
      </c>
    </row>
    <row r="27" spans="2:6" x14ac:dyDescent="0.2">
      <c r="B27">
        <f t="shared" si="0"/>
        <v>2003</v>
      </c>
      <c r="C27" s="24">
        <f>'Final Floorspace Estimates'!U28</f>
        <v>156.29264756912559</v>
      </c>
      <c r="D27" s="24">
        <f>'Final Floorspace Estimates'!V28</f>
        <v>25.531687627903242</v>
      </c>
      <c r="E27" s="24">
        <f>'Final Floorspace Estimates'!W28</f>
        <v>7.0989551393318022</v>
      </c>
      <c r="F27" s="24">
        <f>'Final Floorspace Estimates'!X28</f>
        <v>188.92329033636062</v>
      </c>
    </row>
    <row r="28" spans="2:6" x14ac:dyDescent="0.2">
      <c r="B28">
        <f t="shared" si="0"/>
        <v>2004</v>
      </c>
      <c r="C28" s="24">
        <f>'Final Floorspace Estimates'!U29</f>
        <v>160.02434242162172</v>
      </c>
      <c r="D28" s="24">
        <f>'Final Floorspace Estimates'!V29</f>
        <v>25.768675543414918</v>
      </c>
      <c r="E28" s="24">
        <f>'Final Floorspace Estimates'!W29</f>
        <v>7.30729015201306</v>
      </c>
      <c r="F28" s="24">
        <f>'Final Floorspace Estimates'!X29</f>
        <v>193.10030811704971</v>
      </c>
    </row>
    <row r="29" spans="2:6" x14ac:dyDescent="0.2">
      <c r="B29">
        <f t="shared" si="0"/>
        <v>2005</v>
      </c>
      <c r="C29" s="24">
        <f>'Final Floorspace Estimates'!U30</f>
        <v>164.12906772619303</v>
      </c>
      <c r="D29" s="24">
        <f>'Final Floorspace Estimates'!V30</f>
        <v>25.991417398721062</v>
      </c>
      <c r="E29" s="24">
        <f>'Final Floorspace Estimates'!W30</f>
        <v>7.5120114014767934</v>
      </c>
      <c r="F29" s="24">
        <f>'Final Floorspace Estimates'!X30</f>
        <v>197.6324965263909</v>
      </c>
    </row>
    <row r="30" spans="2:6" x14ac:dyDescent="0.2">
      <c r="B30">
        <f t="shared" si="0"/>
        <v>2006</v>
      </c>
      <c r="C30" s="24">
        <f>'Final Floorspace Estimates'!U31</f>
        <v>167.31277157534649</v>
      </c>
      <c r="D30" s="24">
        <f>'Final Floorspace Estimates'!V31</f>
        <v>26.363562677884445</v>
      </c>
      <c r="E30" s="24">
        <f>'Final Floorspace Estimates'!W31</f>
        <v>7.526607963954139</v>
      </c>
      <c r="F30" s="24">
        <f>'Final Floorspace Estimates'!X31</f>
        <v>201.2029422171851</v>
      </c>
    </row>
    <row r="31" spans="2:6" x14ac:dyDescent="0.2">
      <c r="B31">
        <f t="shared" si="0"/>
        <v>2007</v>
      </c>
      <c r="C31" s="24">
        <f>'Final Floorspace Estimates'!U32</f>
        <v>169.37270627869484</v>
      </c>
      <c r="D31" s="24">
        <f>'Final Floorspace Estimates'!V32</f>
        <v>26.675638339898605</v>
      </c>
      <c r="E31" s="24">
        <f>'Final Floorspace Estimates'!W32</f>
        <v>7.5335478785395242</v>
      </c>
      <c r="F31" s="24">
        <f>'Final Floorspace Estimates'!X32</f>
        <v>203.58189249713297</v>
      </c>
    </row>
    <row r="32" spans="2:6" x14ac:dyDescent="0.2">
      <c r="B32">
        <f t="shared" si="0"/>
        <v>2008</v>
      </c>
      <c r="C32" s="24">
        <f>'Final Floorspace Estimates'!U33</f>
        <v>171.47322949288872</v>
      </c>
      <c r="D32" s="24">
        <f>'Final Floorspace Estimates'!V33</f>
        <v>26.715200363481735</v>
      </c>
      <c r="E32" s="24">
        <f>'Final Floorspace Estimates'!W33</f>
        <v>7.5058604938505376</v>
      </c>
      <c r="F32" s="24">
        <f>'Final Floorspace Estimates'!X33</f>
        <v>205.694290350221</v>
      </c>
    </row>
    <row r="33" spans="1:37" ht="18" x14ac:dyDescent="0.25">
      <c r="B33">
        <f t="shared" si="0"/>
        <v>2009</v>
      </c>
      <c r="C33" s="24">
        <f>'Final Floorspace Estimates'!U34</f>
        <v>172.7981515553783</v>
      </c>
      <c r="D33" s="24">
        <f>'Final Floorspace Estimates'!V34</f>
        <v>26.705824739061658</v>
      </c>
      <c r="E33" s="24">
        <f>'Final Floorspace Estimates'!W34</f>
        <v>7.4690163000943945</v>
      </c>
      <c r="F33" s="24">
        <f>'Final Floorspace Estimates'!X34</f>
        <v>206.97299259453433</v>
      </c>
      <c r="H33" s="209" t="s">
        <v>408</v>
      </c>
      <c r="P33" s="209" t="s">
        <v>483</v>
      </c>
      <c r="W33" s="209" t="s">
        <v>484</v>
      </c>
      <c r="AD33" s="209" t="s">
        <v>485</v>
      </c>
      <c r="AK33">
        <v>3.2</v>
      </c>
    </row>
    <row r="34" spans="1:37" x14ac:dyDescent="0.2">
      <c r="B34">
        <f t="shared" si="0"/>
        <v>2010</v>
      </c>
      <c r="C34" s="24">
        <f>'Final Floorspace Estimates'!U35</f>
        <v>174.32551067644999</v>
      </c>
      <c r="D34" s="24">
        <f>'Final Floorspace Estimates'!V35</f>
        <v>27.21030998076985</v>
      </c>
      <c r="E34" s="24">
        <f>'Final Floorspace Estimates'!W35</f>
        <v>7.6454501672499671</v>
      </c>
      <c r="F34" s="24">
        <f>'Final Floorspace Estimates'!X35</f>
        <v>209.18127082446983</v>
      </c>
      <c r="M34" t="s">
        <v>481</v>
      </c>
      <c r="U34" t="s">
        <v>481</v>
      </c>
      <c r="AB34" t="s">
        <v>481</v>
      </c>
      <c r="AI34" t="s">
        <v>481</v>
      </c>
    </row>
    <row r="35" spans="1:37" ht="13.5" thickBot="1" x14ac:dyDescent="0.25">
      <c r="C35" s="24"/>
      <c r="D35" s="24"/>
      <c r="E35" s="24"/>
      <c r="F35" s="24"/>
      <c r="H35" s="16" t="s">
        <v>356</v>
      </c>
      <c r="I35" s="16" t="s">
        <v>463</v>
      </c>
      <c r="J35" s="16" t="s">
        <v>475</v>
      </c>
      <c r="K35" s="16" t="s">
        <v>480</v>
      </c>
      <c r="L35" s="16" t="s">
        <v>412</v>
      </c>
      <c r="M35" s="16" t="s">
        <v>482</v>
      </c>
      <c r="P35" s="16" t="s">
        <v>356</v>
      </c>
      <c r="Q35" s="16" t="s">
        <v>463</v>
      </c>
      <c r="R35" s="16" t="s">
        <v>475</v>
      </c>
      <c r="S35" s="16" t="s">
        <v>480</v>
      </c>
      <c r="T35" s="16" t="s">
        <v>412</v>
      </c>
      <c r="U35" s="16" t="s">
        <v>482</v>
      </c>
      <c r="W35" s="16" t="s">
        <v>356</v>
      </c>
      <c r="X35" s="16" t="s">
        <v>463</v>
      </c>
      <c r="Y35" s="16" t="s">
        <v>475</v>
      </c>
      <c r="Z35" s="16" t="s">
        <v>480</v>
      </c>
      <c r="AA35" s="16" t="s">
        <v>412</v>
      </c>
      <c r="AB35" s="16" t="s">
        <v>482</v>
      </c>
      <c r="AD35" s="16" t="s">
        <v>356</v>
      </c>
      <c r="AE35" s="16" t="s">
        <v>463</v>
      </c>
      <c r="AF35" s="16" t="s">
        <v>475</v>
      </c>
      <c r="AG35" s="16" t="s">
        <v>480</v>
      </c>
      <c r="AH35" s="16" t="s">
        <v>412</v>
      </c>
      <c r="AI35" s="16" t="s">
        <v>482</v>
      </c>
    </row>
    <row r="36" spans="1:37" x14ac:dyDescent="0.2">
      <c r="C36" s="24"/>
      <c r="D36" s="24"/>
      <c r="E36" s="24"/>
      <c r="F36" s="24" t="s">
        <v>479</v>
      </c>
      <c r="H36" s="23">
        <f>RECS_intensity_data!I181</f>
        <v>10.608275256490746</v>
      </c>
      <c r="I36" s="23">
        <f>RECS_intensity_data!J181</f>
        <v>13.357158481302072</v>
      </c>
      <c r="J36" s="23">
        <f>RECS_intensity_data!K181</f>
        <v>27.883213773314203</v>
      </c>
      <c r="P36">
        <f>RECS_intensity_data!I169</f>
        <v>38.534153197572905</v>
      </c>
      <c r="Q36">
        <f>RECS_intensity_data!J169</f>
        <v>55.428006100587922</v>
      </c>
      <c r="R36">
        <f>RECS_intensity_data!K169</f>
        <v>62.162668579626974</v>
      </c>
      <c r="W36" s="23">
        <f>H36+P36</f>
        <v>49.142428454063648</v>
      </c>
      <c r="X36" s="23">
        <f>I36+Q36</f>
        <v>68.785164581890001</v>
      </c>
      <c r="Y36" s="23">
        <f>J36+R36</f>
        <v>90.045882352941177</v>
      </c>
      <c r="AD36">
        <f>$AK$33*H36+P36</f>
        <v>72.480634018343295</v>
      </c>
      <c r="AE36">
        <f>$AK$33*I36+Q36</f>
        <v>98.170913240754558</v>
      </c>
      <c r="AF36">
        <f>$AK$33*J36+R36</f>
        <v>151.38895265423244</v>
      </c>
    </row>
    <row r="37" spans="1:37" x14ac:dyDescent="0.2">
      <c r="C37" s="24"/>
      <c r="D37" s="24"/>
      <c r="E37" s="24"/>
      <c r="F37" s="24" t="s">
        <v>478</v>
      </c>
      <c r="H37" s="23">
        <f>1</f>
        <v>1</v>
      </c>
      <c r="I37" s="23">
        <f>I36/H36</f>
        <v>1.2591263102010295</v>
      </c>
      <c r="J37" s="23">
        <f>J36/I36</f>
        <v>2.0875108888126417</v>
      </c>
      <c r="L37">
        <f>F39/K39</f>
        <v>0.93612986480193827</v>
      </c>
      <c r="N37" t="s">
        <v>413</v>
      </c>
      <c r="P37">
        <f>1</f>
        <v>1</v>
      </c>
      <c r="Q37">
        <f>Q36/P36</f>
        <v>1.4384124601466286</v>
      </c>
      <c r="R37">
        <f>R36/Q36</f>
        <v>1.1215028818972368</v>
      </c>
      <c r="T37">
        <f>F39/S39</f>
        <v>0.91475756880173598</v>
      </c>
      <c r="W37">
        <f>1</f>
        <v>1</v>
      </c>
      <c r="X37">
        <f>X36/W36</f>
        <v>1.3997103266108957</v>
      </c>
      <c r="Y37">
        <f>Y36/X36</f>
        <v>1.3090887097571731</v>
      </c>
      <c r="AA37">
        <f>F39/Z39</f>
        <v>0.91951737085714247</v>
      </c>
      <c r="AD37">
        <f>1</f>
        <v>1</v>
      </c>
      <c r="AE37">
        <f>AE36/AD36</f>
        <v>1.3544433567718186</v>
      </c>
      <c r="AF37">
        <f>AF36/AE36</f>
        <v>1.542095796572309</v>
      </c>
      <c r="AH37">
        <f>F39/AG39</f>
        <v>0.92499708734863806</v>
      </c>
    </row>
    <row r="38" spans="1:37" x14ac:dyDescent="0.2">
      <c r="C38" s="24"/>
      <c r="D38" s="24"/>
      <c r="E38" s="24"/>
      <c r="F38" s="24"/>
      <c r="N38" t="s">
        <v>414</v>
      </c>
    </row>
    <row r="39" spans="1:37" ht="15.75" x14ac:dyDescent="0.25">
      <c r="A39" s="6" t="s">
        <v>20</v>
      </c>
      <c r="C39" s="24">
        <f>'Final Floorspace Estimates'!U49</f>
        <v>23.572235695262115</v>
      </c>
      <c r="D39" s="24">
        <f>'Final Floorspace Estimates'!V49</f>
        <v>6.3305993480232257</v>
      </c>
      <c r="E39" s="24">
        <f>'Final Floorspace Estimates'!W49</f>
        <v>0.39221836461179749</v>
      </c>
      <c r="F39" s="24">
        <f>'Final Floorspace Estimates'!X49</f>
        <v>30.295053407897139</v>
      </c>
      <c r="H39" s="24">
        <f>H$7*C39</f>
        <v>23.572235695262115</v>
      </c>
      <c r="I39" s="24">
        <f>I$37*D39</f>
        <v>7.9710241984375267</v>
      </c>
      <c r="J39" s="24">
        <f>J$37*E39</f>
        <v>0.81876010691941414</v>
      </c>
      <c r="K39" s="24">
        <f>SUM(H39:J39)</f>
        <v>32.362020000619054</v>
      </c>
      <c r="L39" s="24">
        <f>K39*L$37</f>
        <v>30.295053407897139</v>
      </c>
      <c r="M39" s="254">
        <f>L39/F39</f>
        <v>1</v>
      </c>
      <c r="N39" s="24">
        <f>F39/M39</f>
        <v>30.295053407897139</v>
      </c>
      <c r="P39" s="24">
        <f>P$7*C39</f>
        <v>23.572235695262115</v>
      </c>
      <c r="Q39" s="24">
        <f>Q$37*D39</f>
        <v>9.1060129823927305</v>
      </c>
      <c r="R39" s="24">
        <f>R$37*E39</f>
        <v>0.43987402624515209</v>
      </c>
      <c r="S39" s="24">
        <f>SUM(P39:R39)</f>
        <v>33.118122703899999</v>
      </c>
      <c r="T39" s="24">
        <f>S39*T$37</f>
        <v>30.295053407897139</v>
      </c>
      <c r="U39" s="254">
        <f>T39/F39</f>
        <v>1</v>
      </c>
      <c r="W39" s="24">
        <f>W$37*C39</f>
        <v>23.572235695262115</v>
      </c>
      <c r="X39" s="24">
        <f>X$37*D39</f>
        <v>8.8610052810643118</v>
      </c>
      <c r="Y39" s="24">
        <f>Y$37*E39</f>
        <v>0.51344863287272646</v>
      </c>
      <c r="Z39" s="24">
        <f>SUM(W39:Y39)</f>
        <v>32.946689609199154</v>
      </c>
      <c r="AA39" s="24">
        <f>Z39*AA$37</f>
        <v>30.295053407897139</v>
      </c>
      <c r="AB39" s="254">
        <f>AA39/F39</f>
        <v>1</v>
      </c>
      <c r="AD39" s="24">
        <f>AD$37*C39</f>
        <v>23.572235695262115</v>
      </c>
      <c r="AE39" s="24">
        <f>AE$37*D39</f>
        <v>8.5744382313140637</v>
      </c>
      <c r="AF39" s="24">
        <f>AF$37*E39</f>
        <v>0.60483829140631817</v>
      </c>
      <c r="AG39" s="24">
        <f>SUM(AD39:AF39)</f>
        <v>32.751512217982494</v>
      </c>
      <c r="AH39" s="24">
        <f>AG39*AH$37</f>
        <v>30.295053407897139</v>
      </c>
      <c r="AI39" s="254">
        <f>AH39/F39</f>
        <v>1</v>
      </c>
    </row>
    <row r="40" spans="1:37" x14ac:dyDescent="0.2">
      <c r="C40" s="24">
        <f>'Final Floorspace Estimates'!U50</f>
        <v>23.689603185068016</v>
      </c>
      <c r="D40" s="24">
        <f>'Final Floorspace Estimates'!V50</f>
        <v>6.5350534810347556</v>
      </c>
      <c r="E40" s="24">
        <f>'Final Floorspace Estimates'!W50</f>
        <v>0.4186189928449538</v>
      </c>
      <c r="F40" s="24">
        <f>'Final Floorspace Estimates'!X50</f>
        <v>30.643275658947726</v>
      </c>
      <c r="H40" s="24">
        <f t="shared" ref="H40:H64" si="1">H$7*C40</f>
        <v>23.689603185068016</v>
      </c>
      <c r="I40" s="24">
        <f t="shared" ref="I40:I64" si="2">I$37*D40</f>
        <v>8.2284577765416849</v>
      </c>
      <c r="J40" s="24">
        <f t="shared" ref="J40:J64" si="3">J$37*E40</f>
        <v>0.87387170582762241</v>
      </c>
      <c r="K40" s="24">
        <f t="shared" ref="K40:K64" si="4">SUM(H40:J40)</f>
        <v>32.791932667437322</v>
      </c>
      <c r="L40" s="24">
        <f t="shared" ref="L40:L64" si="5">K40*L$37</f>
        <v>30.697507494562362</v>
      </c>
      <c r="M40" s="254">
        <f t="shared" ref="M40:M64" si="6">L40/F40</f>
        <v>1.0017697793218396</v>
      </c>
      <c r="N40" s="24">
        <f t="shared" ref="N40:N64" si="7">F40/M40</f>
        <v>30.589139632153874</v>
      </c>
      <c r="P40" s="24">
        <f t="shared" ref="P40:P64" si="8">P$7*C40</f>
        <v>23.689603185068016</v>
      </c>
      <c r="Q40" s="24">
        <f t="shared" ref="Q40:Q64" si="9">Q$37*D40</f>
        <v>9.4001023548449911</v>
      </c>
      <c r="R40" s="24">
        <f t="shared" ref="R40:R64" si="10">R$37*E40</f>
        <v>0.46948240689253445</v>
      </c>
      <c r="S40" s="24">
        <f t="shared" ref="S40:S64" si="11">SUM(P40:R40)</f>
        <v>33.559187946805537</v>
      </c>
      <c r="T40" s="24">
        <f t="shared" ref="T40:T64" si="12">S40*T$37</f>
        <v>30.698521177180353</v>
      </c>
      <c r="U40" s="254">
        <f t="shared" ref="U40:U64" si="13">T40/F40</f>
        <v>1.0018028594216721</v>
      </c>
      <c r="W40" s="24">
        <f t="shared" ref="W40:W64" si="14">W$37*C40</f>
        <v>23.689603185068016</v>
      </c>
      <c r="X40" s="24">
        <f t="shared" ref="X40:X64" si="15">X$37*D40</f>
        <v>9.1471818423588278</v>
      </c>
      <c r="Y40" s="24">
        <f t="shared" ref="Y40:Y64" si="16">Y$37*E40</f>
        <v>0.54800939722324782</v>
      </c>
      <c r="Z40" s="24">
        <f t="shared" ref="Z40:Z64" si="17">SUM(W40:Y40)</f>
        <v>33.384794424650089</v>
      </c>
      <c r="AA40" s="24">
        <f t="shared" ref="AA40:AA64" si="18">Z40*AA$37</f>
        <v>30.697898395960436</v>
      </c>
      <c r="AB40" s="254">
        <f t="shared" ref="AB40:AB64" si="19">AA40/F40</f>
        <v>1.0017825358365942</v>
      </c>
      <c r="AD40" s="24">
        <f t="shared" ref="AD40:AD64" si="20">AD$37*C40</f>
        <v>23.689603185068016</v>
      </c>
      <c r="AE40" s="24">
        <f t="shared" ref="AE40:AE64" si="21">AE$37*D40</f>
        <v>8.851359773536073</v>
      </c>
      <c r="AF40" s="24">
        <f t="shared" ref="AF40:AF64" si="22">AF$37*E40</f>
        <v>0.64555058923153674</v>
      </c>
      <c r="AG40" s="24">
        <f t="shared" ref="AG40:AG64" si="23">SUM(AD40:AF40)</f>
        <v>33.186513547835631</v>
      </c>
      <c r="AH40" s="24">
        <f t="shared" ref="AH40:AH64" si="24">AG40*AH$37</f>
        <v>30.697428371004076</v>
      </c>
      <c r="AI40" s="254">
        <f t="shared" ref="AI40:AI64" si="25">AH40/F40</f>
        <v>1.0017671972363222</v>
      </c>
    </row>
    <row r="41" spans="1:37" x14ac:dyDescent="0.2">
      <c r="C41" s="24">
        <f>'Final Floorspace Estimates'!U51</f>
        <v>24.032321779090307</v>
      </c>
      <c r="D41" s="24">
        <f>'Final Floorspace Estimates'!V51</f>
        <v>6.7019073517347891</v>
      </c>
      <c r="E41" s="24">
        <f>'Final Floorspace Estimates'!W51</f>
        <v>0.44104702695796039</v>
      </c>
      <c r="F41" s="24">
        <f>'Final Floorspace Estimates'!X51</f>
        <v>31.175276157783056</v>
      </c>
      <c r="H41" s="24">
        <f t="shared" si="1"/>
        <v>24.032321779090307</v>
      </c>
      <c r="I41" s="24">
        <f t="shared" si="2"/>
        <v>8.438547875098978</v>
      </c>
      <c r="J41" s="24">
        <f t="shared" si="3"/>
        <v>0.92069047125318504</v>
      </c>
      <c r="K41" s="24">
        <f t="shared" si="4"/>
        <v>33.391560125442474</v>
      </c>
      <c r="L41" s="24">
        <f t="shared" si="5"/>
        <v>31.258836665756256</v>
      </c>
      <c r="M41" s="254">
        <f t="shared" si="6"/>
        <v>1.0026803453977533</v>
      </c>
      <c r="N41" s="24">
        <f t="shared" si="7"/>
        <v>31.091939022117895</v>
      </c>
      <c r="P41" s="24">
        <f t="shared" si="8"/>
        <v>24.032321779090307</v>
      </c>
      <c r="Q41" s="24">
        <f t="shared" si="9"/>
        <v>9.6401070414836152</v>
      </c>
      <c r="R41" s="24">
        <f t="shared" si="10"/>
        <v>0.49463551178556087</v>
      </c>
      <c r="S41" s="24">
        <f t="shared" si="11"/>
        <v>34.16706433235948</v>
      </c>
      <c r="T41" s="24">
        <f t="shared" si="12"/>
        <v>31.254580701761668</v>
      </c>
      <c r="U41" s="254">
        <f t="shared" si="13"/>
        <v>1.0025438281148573</v>
      </c>
      <c r="W41" s="24">
        <f t="shared" si="14"/>
        <v>24.032321779090307</v>
      </c>
      <c r="X41" s="24">
        <f t="shared" si="15"/>
        <v>9.3807289282126654</v>
      </c>
      <c r="Y41" s="24">
        <f t="shared" si="16"/>
        <v>0.57736968346263351</v>
      </c>
      <c r="Z41" s="24">
        <f t="shared" si="17"/>
        <v>33.990420390765607</v>
      </c>
      <c r="AA41" s="24">
        <f t="shared" si="18"/>
        <v>31.254781992045796</v>
      </c>
      <c r="AB41" s="254">
        <f t="shared" si="19"/>
        <v>1.0025502848430388</v>
      </c>
      <c r="AD41" s="24">
        <f t="shared" si="20"/>
        <v>24.032321779090307</v>
      </c>
      <c r="AE41" s="24">
        <f t="shared" si="21"/>
        <v>9.0773538902573971</v>
      </c>
      <c r="AF41" s="24">
        <f t="shared" si="22"/>
        <v>0.68013676636258458</v>
      </c>
      <c r="AG41" s="24">
        <f t="shared" si="23"/>
        <v>33.789812435710289</v>
      </c>
      <c r="AH41" s="24">
        <f t="shared" si="24"/>
        <v>31.255478085088807</v>
      </c>
      <c r="AI41" s="254">
        <f t="shared" si="25"/>
        <v>1.0025726132111816</v>
      </c>
    </row>
    <row r="42" spans="1:37" x14ac:dyDescent="0.2">
      <c r="C42" s="24">
        <f>'Final Floorspace Estimates'!U52</f>
        <v>24.589092998876396</v>
      </c>
      <c r="D42" s="24">
        <f>'Final Floorspace Estimates'!V52</f>
        <v>6.7923529145528567</v>
      </c>
      <c r="E42" s="24">
        <f>'Final Floorspace Estimates'!W52</f>
        <v>0.44364626625618742</v>
      </c>
      <c r="F42" s="24">
        <f>'Final Floorspace Estimates'!X52</f>
        <v>31.825092179685441</v>
      </c>
      <c r="H42" s="24">
        <f t="shared" si="1"/>
        <v>24.589092998876396</v>
      </c>
      <c r="I42" s="24">
        <f t="shared" si="2"/>
        <v>8.5524302628841475</v>
      </c>
      <c r="J42" s="24">
        <f t="shared" si="3"/>
        <v>0.92611641159086366</v>
      </c>
      <c r="K42" s="24">
        <f t="shared" si="4"/>
        <v>34.067639673351401</v>
      </c>
      <c r="L42" s="24">
        <f t="shared" si="5"/>
        <v>31.891734921535594</v>
      </c>
      <c r="M42" s="254">
        <f t="shared" si="6"/>
        <v>1.0020940313848545</v>
      </c>
      <c r="N42" s="24">
        <f t="shared" si="7"/>
        <v>31.758588698212698</v>
      </c>
      <c r="P42" s="24">
        <f t="shared" si="8"/>
        <v>24.589092998876396</v>
      </c>
      <c r="Q42" s="24">
        <f t="shared" si="9"/>
        <v>9.7702050660060973</v>
      </c>
      <c r="R42" s="24">
        <f t="shared" si="10"/>
        <v>0.49755056614926302</v>
      </c>
      <c r="S42" s="24">
        <f t="shared" si="11"/>
        <v>34.85684863103176</v>
      </c>
      <c r="T42" s="24">
        <f t="shared" si="12"/>
        <v>31.885566109812732</v>
      </c>
      <c r="U42" s="254">
        <f t="shared" si="13"/>
        <v>1.0019001965425851</v>
      </c>
      <c r="W42" s="24">
        <f t="shared" si="14"/>
        <v>24.589092998876396</v>
      </c>
      <c r="X42" s="24">
        <f t="shared" si="15"/>
        <v>9.5073265164852483</v>
      </c>
      <c r="Y42" s="24">
        <f t="shared" si="16"/>
        <v>0.58077231828189968</v>
      </c>
      <c r="Z42" s="24">
        <f t="shared" si="17"/>
        <v>34.677191833643548</v>
      </c>
      <c r="AA42" s="24">
        <f t="shared" si="18"/>
        <v>31.886280263580687</v>
      </c>
      <c r="AB42" s="254">
        <f t="shared" si="19"/>
        <v>1.0019226365017193</v>
      </c>
      <c r="AD42" s="24">
        <f t="shared" si="20"/>
        <v>24.589092998876396</v>
      </c>
      <c r="AE42" s="24">
        <f t="shared" si="21"/>
        <v>9.1998572819658175</v>
      </c>
      <c r="AF42" s="24">
        <f t="shared" si="22"/>
        <v>0.68414504235866602</v>
      </c>
      <c r="AG42" s="24">
        <f t="shared" si="23"/>
        <v>34.47309532320088</v>
      </c>
      <c r="AH42" s="24">
        <f t="shared" si="24"/>
        <v>31.887512765852772</v>
      </c>
      <c r="AI42" s="254">
        <f t="shared" si="25"/>
        <v>1.0019613638764941</v>
      </c>
    </row>
    <row r="43" spans="1:37" x14ac:dyDescent="0.2">
      <c r="C43" s="24">
        <f>'Final Floorspace Estimates'!U53</f>
        <v>25.128582252943009</v>
      </c>
      <c r="D43" s="24">
        <f>'Final Floorspace Estimates'!V53</f>
        <v>6.8532239536196116</v>
      </c>
      <c r="E43" s="24">
        <f>'Final Floorspace Estimates'!W53</f>
        <v>0.44378897884938528</v>
      </c>
      <c r="F43" s="24">
        <f>'Final Floorspace Estimates'!X53</f>
        <v>32.425595185412007</v>
      </c>
      <c r="H43" s="24">
        <f t="shared" si="1"/>
        <v>25.128582252943009</v>
      </c>
      <c r="I43" s="24">
        <f t="shared" si="2"/>
        <v>8.6290745897023733</v>
      </c>
      <c r="J43" s="24">
        <f t="shared" si="3"/>
        <v>0.92641432568313486</v>
      </c>
      <c r="K43" s="24">
        <f t="shared" si="4"/>
        <v>34.684071168328515</v>
      </c>
      <c r="L43" s="24">
        <f t="shared" si="5"/>
        <v>32.468794853588179</v>
      </c>
      <c r="M43" s="254">
        <f t="shared" si="6"/>
        <v>1.0013322706315537</v>
      </c>
      <c r="N43" s="24">
        <f t="shared" si="7"/>
        <v>32.382452994310022</v>
      </c>
      <c r="P43" s="24">
        <f t="shared" si="8"/>
        <v>25.128582252943009</v>
      </c>
      <c r="Q43" s="24">
        <f t="shared" si="9"/>
        <v>9.8577627270617896</v>
      </c>
      <c r="R43" s="24">
        <f t="shared" si="10"/>
        <v>0.49771061873381744</v>
      </c>
      <c r="S43" s="24">
        <f t="shared" si="11"/>
        <v>35.484055598738621</v>
      </c>
      <c r="T43" s="24">
        <f t="shared" si="12"/>
        <v>32.459308430727766</v>
      </c>
      <c r="U43" s="254">
        <f t="shared" si="13"/>
        <v>1.0010397109173474</v>
      </c>
      <c r="W43" s="24">
        <f t="shared" si="14"/>
        <v>25.128582252943009</v>
      </c>
      <c r="X43" s="24">
        <f t="shared" si="15"/>
        <v>9.5925283384585196</v>
      </c>
      <c r="Y43" s="24">
        <f t="shared" si="16"/>
        <v>0.58095914172639518</v>
      </c>
      <c r="Z43" s="24">
        <f t="shared" si="17"/>
        <v>35.302069733127922</v>
      </c>
      <c r="AA43" s="24">
        <f t="shared" si="18"/>
        <v>32.460866346821291</v>
      </c>
      <c r="AB43" s="254">
        <f t="shared" si="19"/>
        <v>1.0010877567923611</v>
      </c>
      <c r="AD43" s="24">
        <f t="shared" si="20"/>
        <v>25.128582252943009</v>
      </c>
      <c r="AE43" s="24">
        <f t="shared" si="21"/>
        <v>9.2823036564495816</v>
      </c>
      <c r="AF43" s="24">
        <f t="shared" si="22"/>
        <v>0.68436511884875439</v>
      </c>
      <c r="AG43" s="24">
        <f t="shared" si="23"/>
        <v>35.095251028241343</v>
      </c>
      <c r="AH43" s="24">
        <f t="shared" si="24"/>
        <v>32.463004980892535</v>
      </c>
      <c r="AI43" s="254">
        <f t="shared" si="25"/>
        <v>1.0011537119138945</v>
      </c>
    </row>
    <row r="44" spans="1:37" x14ac:dyDescent="0.2">
      <c r="C44" s="24">
        <f>'Final Floorspace Estimates'!U54</f>
        <v>25.347694205895827</v>
      </c>
      <c r="D44" s="24">
        <f>'Final Floorspace Estimates'!V54</f>
        <v>6.8413359176121871</v>
      </c>
      <c r="E44" s="24">
        <f>'Final Floorspace Estimates'!W54</f>
        <v>0.48320956002363885</v>
      </c>
      <c r="F44" s="24">
        <f>'Final Floorspace Estimates'!X54</f>
        <v>32.67223968353165</v>
      </c>
      <c r="H44" s="24">
        <f t="shared" si="1"/>
        <v>25.347694205895827</v>
      </c>
      <c r="I44" s="24">
        <f t="shared" si="2"/>
        <v>8.6141060507888074</v>
      </c>
      <c r="J44" s="24">
        <f t="shared" si="3"/>
        <v>1.0087052181277119</v>
      </c>
      <c r="K44" s="24">
        <f t="shared" si="4"/>
        <v>34.970505474812342</v>
      </c>
      <c r="L44" s="24">
        <f t="shared" si="5"/>
        <v>32.736934562191522</v>
      </c>
      <c r="M44" s="254">
        <f t="shared" si="6"/>
        <v>1.0019801176560443</v>
      </c>
      <c r="N44" s="24">
        <f t="shared" si="7"/>
        <v>32.607672655184608</v>
      </c>
      <c r="P44" s="24">
        <f t="shared" si="8"/>
        <v>25.347694205895827</v>
      </c>
      <c r="Q44" s="24">
        <f t="shared" si="9"/>
        <v>9.8406628279420385</v>
      </c>
      <c r="R44" s="24">
        <f t="shared" si="10"/>
        <v>0.54192091412680676</v>
      </c>
      <c r="S44" s="24">
        <f t="shared" si="11"/>
        <v>35.730277947964673</v>
      </c>
      <c r="T44" s="24">
        <f t="shared" si="12"/>
        <v>32.684542188290443</v>
      </c>
      <c r="U44" s="254">
        <f t="shared" si="13"/>
        <v>1.0003765430493274</v>
      </c>
      <c r="W44" s="24">
        <f t="shared" si="14"/>
        <v>25.347694205895827</v>
      </c>
      <c r="X44" s="24">
        <f t="shared" si="15"/>
        <v>9.5758885316958064</v>
      </c>
      <c r="Y44" s="24">
        <f t="shared" si="16"/>
        <v>0.6325641794736766</v>
      </c>
      <c r="Z44" s="24">
        <f t="shared" si="17"/>
        <v>35.556146917065306</v>
      </c>
      <c r="AA44" s="24">
        <f t="shared" si="18"/>
        <v>32.694494730990179</v>
      </c>
      <c r="AB44" s="254">
        <f t="shared" si="19"/>
        <v>1.0006811607552495</v>
      </c>
      <c r="AD44" s="24">
        <f t="shared" si="20"/>
        <v>25.347694205895827</v>
      </c>
      <c r="AE44" s="24">
        <f t="shared" si="21"/>
        <v>9.266201985054261</v>
      </c>
      <c r="AF44" s="24">
        <f t="shared" si="22"/>
        <v>0.74515543137600826</v>
      </c>
      <c r="AG44" s="24">
        <f t="shared" si="23"/>
        <v>35.359051622326092</v>
      </c>
      <c r="AH44" s="24">
        <f t="shared" si="24"/>
        <v>32.707019762061769</v>
      </c>
      <c r="AI44" s="254">
        <f t="shared" si="25"/>
        <v>1.0010645146726092</v>
      </c>
    </row>
    <row r="45" spans="1:37" x14ac:dyDescent="0.2">
      <c r="C45" s="24">
        <f>'Final Floorspace Estimates'!U55</f>
        <v>25.496602282894951</v>
      </c>
      <c r="D45" s="24">
        <f>'Final Floorspace Estimates'!V55</f>
        <v>6.7880580472827603</v>
      </c>
      <c r="E45" s="24">
        <f>'Final Floorspace Estimates'!W55</f>
        <v>0.51858822759856893</v>
      </c>
      <c r="F45" s="24">
        <f>'Final Floorspace Estimates'!X55</f>
        <v>32.803248557776286</v>
      </c>
      <c r="H45" s="24">
        <f t="shared" si="1"/>
        <v>25.496602282894951</v>
      </c>
      <c r="I45" s="24">
        <f t="shared" si="2"/>
        <v>8.5470224825055467</v>
      </c>
      <c r="J45" s="24">
        <f t="shared" si="3"/>
        <v>1.0825585719220612</v>
      </c>
      <c r="K45" s="24">
        <f t="shared" si="4"/>
        <v>35.126183337322558</v>
      </c>
      <c r="L45" s="24">
        <f t="shared" si="5"/>
        <v>32.882669258575866</v>
      </c>
      <c r="M45" s="254">
        <f t="shared" si="6"/>
        <v>1.0024211230378508</v>
      </c>
      <c r="N45" s="24">
        <f t="shared" si="7"/>
        <v>32.724019679838349</v>
      </c>
      <c r="P45" s="24">
        <f t="shared" si="8"/>
        <v>25.496602282894951</v>
      </c>
      <c r="Q45" s="24">
        <f t="shared" si="9"/>
        <v>9.7640272754101147</v>
      </c>
      <c r="R45" s="24">
        <f t="shared" si="10"/>
        <v>0.58159819176977523</v>
      </c>
      <c r="S45" s="24">
        <f t="shared" si="11"/>
        <v>35.842227750074848</v>
      </c>
      <c r="T45" s="24">
        <f t="shared" si="12"/>
        <v>32.786949117096583</v>
      </c>
      <c r="U45" s="254">
        <f t="shared" si="13"/>
        <v>0.99950311504511524</v>
      </c>
      <c r="W45" s="24">
        <f t="shared" si="14"/>
        <v>25.496602282894951</v>
      </c>
      <c r="X45" s="24">
        <f t="shared" si="15"/>
        <v>9.5013149464158708</v>
      </c>
      <c r="Y45" s="24">
        <f t="shared" si="16"/>
        <v>0.67887799376226976</v>
      </c>
      <c r="Z45" s="24">
        <f t="shared" si="17"/>
        <v>35.676795223073093</v>
      </c>
      <c r="AA45" s="24">
        <f t="shared" si="18"/>
        <v>32.805432944128832</v>
      </c>
      <c r="AB45" s="254">
        <f t="shared" si="19"/>
        <v>1.0000665905496737</v>
      </c>
      <c r="AD45" s="24">
        <f t="shared" si="20"/>
        <v>25.496602282894951</v>
      </c>
      <c r="AE45" s="24">
        <f t="shared" si="21"/>
        <v>9.1940401275236177</v>
      </c>
      <c r="AF45" s="24">
        <f t="shared" si="22"/>
        <v>0.799712725931637</v>
      </c>
      <c r="AG45" s="24">
        <f t="shared" si="23"/>
        <v>35.490355136350203</v>
      </c>
      <c r="AH45" s="24">
        <f t="shared" si="24"/>
        <v>32.828475130092713</v>
      </c>
      <c r="AI45" s="254">
        <f t="shared" si="25"/>
        <v>1.0007690266490525</v>
      </c>
    </row>
    <row r="46" spans="1:37" x14ac:dyDescent="0.2">
      <c r="C46" s="24">
        <f>'Final Floorspace Estimates'!U56</f>
        <v>25.798751224363617</v>
      </c>
      <c r="D46" s="24">
        <f>'Final Floorspace Estimates'!V56</f>
        <v>6.8248393919382142</v>
      </c>
      <c r="E46" s="24">
        <f>'Final Floorspace Estimates'!W56</f>
        <v>0.50022019485114955</v>
      </c>
      <c r="F46" s="24">
        <f>'Final Floorspace Estimates'!X56</f>
        <v>33.123810811152985</v>
      </c>
      <c r="H46" s="24">
        <f t="shared" si="1"/>
        <v>25.798751224363617</v>
      </c>
      <c r="I46" s="24">
        <f t="shared" si="2"/>
        <v>8.5933348412858006</v>
      </c>
      <c r="J46" s="24">
        <f t="shared" si="3"/>
        <v>1.0442151035557561</v>
      </c>
      <c r="K46" s="24">
        <f t="shared" si="4"/>
        <v>35.436301169205173</v>
      </c>
      <c r="L46" s="24">
        <f t="shared" si="5"/>
        <v>33.172979822608802</v>
      </c>
      <c r="M46" s="254">
        <f t="shared" si="6"/>
        <v>1.0014844008056967</v>
      </c>
      <c r="N46" s="24">
        <f t="shared" si="7"/>
        <v>33.07471467803672</v>
      </c>
      <c r="P46" s="24">
        <f t="shared" si="8"/>
        <v>25.798751224363617</v>
      </c>
      <c r="Q46" s="24">
        <f t="shared" si="9"/>
        <v>9.8169340198634671</v>
      </c>
      <c r="R46" s="24">
        <f t="shared" si="10"/>
        <v>0.56099839010876151</v>
      </c>
      <c r="S46" s="24">
        <f t="shared" si="11"/>
        <v>36.176683634335845</v>
      </c>
      <c r="T46" s="24">
        <f t="shared" si="12"/>
        <v>33.092895168654607</v>
      </c>
      <c r="U46" s="254">
        <f t="shared" si="13"/>
        <v>0.99906666407815703</v>
      </c>
      <c r="W46" s="24">
        <f t="shared" si="14"/>
        <v>25.798751224363617</v>
      </c>
      <c r="X46" s="24">
        <f t="shared" si="15"/>
        <v>9.5527981743567452</v>
      </c>
      <c r="Y46" s="24">
        <f t="shared" si="16"/>
        <v>0.65483260947217303</v>
      </c>
      <c r="Z46" s="24">
        <f t="shared" si="17"/>
        <v>36.006382008192539</v>
      </c>
      <c r="AA46" s="24">
        <f t="shared" si="18"/>
        <v>33.108493718251118</v>
      </c>
      <c r="AB46" s="254">
        <f t="shared" si="19"/>
        <v>0.9995375805945399</v>
      </c>
      <c r="AD46" s="24">
        <f t="shared" si="20"/>
        <v>25.798751224363617</v>
      </c>
      <c r="AE46" s="24">
        <f t="shared" si="21"/>
        <v>9.243858375445333</v>
      </c>
      <c r="AF46" s="24">
        <f t="shared" si="22"/>
        <v>0.77138745984053902</v>
      </c>
      <c r="AG46" s="24">
        <f t="shared" si="23"/>
        <v>35.813997059649488</v>
      </c>
      <c r="AH46" s="24">
        <f t="shared" si="24"/>
        <v>33.127842966488465</v>
      </c>
      <c r="AI46" s="254">
        <f t="shared" si="25"/>
        <v>1.0001217298141953</v>
      </c>
    </row>
    <row r="47" spans="1:37" x14ac:dyDescent="0.2">
      <c r="C47" s="24">
        <f>'Final Floorspace Estimates'!U57</f>
        <v>26.119452132801445</v>
      </c>
      <c r="D47" s="24">
        <f>'Final Floorspace Estimates'!V57</f>
        <v>6.8404590708350179</v>
      </c>
      <c r="E47" s="24">
        <f>'Final Floorspace Estimates'!W57</f>
        <v>0.4820928844189396</v>
      </c>
      <c r="F47" s="24">
        <f>'Final Floorspace Estimates'!X57</f>
        <v>33.442004088055405</v>
      </c>
      <c r="H47" s="24">
        <f t="shared" si="1"/>
        <v>26.119452132801445</v>
      </c>
      <c r="I47" s="24">
        <f t="shared" si="2"/>
        <v>8.6130019899416581</v>
      </c>
      <c r="J47" s="24">
        <f t="shared" si="3"/>
        <v>1.0063741456436308</v>
      </c>
      <c r="K47" s="24">
        <f t="shared" si="4"/>
        <v>35.73882826838674</v>
      </c>
      <c r="L47" s="24">
        <f t="shared" si="5"/>
        <v>33.456184475064568</v>
      </c>
      <c r="M47" s="254">
        <f t="shared" si="6"/>
        <v>1.0004240292230042</v>
      </c>
      <c r="N47" s="24">
        <f t="shared" si="7"/>
        <v>33.427829711396164</v>
      </c>
      <c r="P47" s="24">
        <f t="shared" si="8"/>
        <v>26.119452132801445</v>
      </c>
      <c r="Q47" s="24">
        <f t="shared" si="9"/>
        <v>9.839401560612119</v>
      </c>
      <c r="R47" s="24">
        <f t="shared" si="10"/>
        <v>0.54066855921799228</v>
      </c>
      <c r="S47" s="24">
        <f t="shared" si="11"/>
        <v>36.499522252631557</v>
      </c>
      <c r="T47" s="24">
        <f t="shared" si="12"/>
        <v>33.388214238242107</v>
      </c>
      <c r="U47" s="254">
        <f t="shared" si="13"/>
        <v>0.9983915482555511</v>
      </c>
      <c r="W47" s="24">
        <f t="shared" si="14"/>
        <v>26.119452132801445</v>
      </c>
      <c r="X47" s="24">
        <f t="shared" si="15"/>
        <v>9.5746612002069469</v>
      </c>
      <c r="Y47" s="24">
        <f t="shared" si="16"/>
        <v>0.63110235204710363</v>
      </c>
      <c r="Z47" s="24">
        <f t="shared" si="17"/>
        <v>36.32521568505549</v>
      </c>
      <c r="AA47" s="24">
        <f t="shared" si="18"/>
        <v>33.401666822540854</v>
      </c>
      <c r="AB47" s="254">
        <f t="shared" si="19"/>
        <v>0.99879381434771852</v>
      </c>
      <c r="AD47" s="24">
        <f t="shared" si="20"/>
        <v>26.119452132801445</v>
      </c>
      <c r="AE47" s="24">
        <f t="shared" si="21"/>
        <v>9.2650143457620171</v>
      </c>
      <c r="AF47" s="24">
        <f t="shared" si="22"/>
        <v>0.74343341061986679</v>
      </c>
      <c r="AG47" s="24">
        <f t="shared" si="23"/>
        <v>36.127899889183325</v>
      </c>
      <c r="AH47" s="24">
        <f t="shared" si="24"/>
        <v>33.418202169517762</v>
      </c>
      <c r="AI47" s="254">
        <f t="shared" si="25"/>
        <v>0.99928826279444949</v>
      </c>
    </row>
    <row r="48" spans="1:37" x14ac:dyDescent="0.2">
      <c r="C48" s="24">
        <f>'Final Floorspace Estimates'!U58</f>
        <v>26.371031425154495</v>
      </c>
      <c r="D48" s="24">
        <f>'Final Floorspace Estimates'!V58</f>
        <v>6.9103545573378744</v>
      </c>
      <c r="E48" s="24">
        <f>'Final Floorspace Estimates'!W58</f>
        <v>0.51345809844436929</v>
      </c>
      <c r="F48" s="24">
        <f>'Final Floorspace Estimates'!X58</f>
        <v>33.794844080936734</v>
      </c>
      <c r="H48" s="24">
        <f t="shared" si="1"/>
        <v>26.371031425154495</v>
      </c>
      <c r="I48" s="24">
        <f t="shared" si="2"/>
        <v>8.7010092359617062</v>
      </c>
      <c r="J48" s="24">
        <f t="shared" si="3"/>
        <v>1.0718493714516542</v>
      </c>
      <c r="K48" s="24">
        <f t="shared" si="4"/>
        <v>36.14389003256786</v>
      </c>
      <c r="L48" s="24">
        <f t="shared" si="5"/>
        <v>33.835374889603877</v>
      </c>
      <c r="M48" s="254">
        <f t="shared" si="6"/>
        <v>1.0011993192976441</v>
      </c>
      <c r="N48" s="24">
        <f t="shared" si="7"/>
        <v>33.754361823422244</v>
      </c>
      <c r="P48" s="24">
        <f t="shared" si="8"/>
        <v>26.371031425154495</v>
      </c>
      <c r="Q48" s="24">
        <f t="shared" si="9"/>
        <v>9.9399400993058382</v>
      </c>
      <c r="R48" s="24">
        <f t="shared" si="10"/>
        <v>0.57584473713883533</v>
      </c>
      <c r="S48" s="24">
        <f t="shared" si="11"/>
        <v>36.886816261599172</v>
      </c>
      <c r="T48" s="24">
        <f t="shared" si="12"/>
        <v>33.742494364296796</v>
      </c>
      <c r="U48" s="254">
        <f t="shared" si="13"/>
        <v>0.99845095552106811</v>
      </c>
      <c r="W48" s="24">
        <f t="shared" si="14"/>
        <v>26.371031425154495</v>
      </c>
      <c r="X48" s="24">
        <f t="shared" si="15"/>
        <v>9.672494634448487</v>
      </c>
      <c r="Y48" s="24">
        <f t="shared" si="16"/>
        <v>0.67216219960691093</v>
      </c>
      <c r="Z48" s="24">
        <f t="shared" si="17"/>
        <v>36.715688259209891</v>
      </c>
      <c r="AA48" s="24">
        <f t="shared" si="18"/>
        <v>33.760713137319129</v>
      </c>
      <c r="AB48" s="254">
        <f t="shared" si="19"/>
        <v>0.99899005470965152</v>
      </c>
      <c r="AD48" s="24">
        <f t="shared" si="20"/>
        <v>26.371031425154495</v>
      </c>
      <c r="AE48" s="24">
        <f t="shared" si="21"/>
        <v>9.3596838231241453</v>
      </c>
      <c r="AF48" s="24">
        <f t="shared" si="22"/>
        <v>0.79180157532707274</v>
      </c>
      <c r="AG48" s="24">
        <f t="shared" si="23"/>
        <v>36.522516823605713</v>
      </c>
      <c r="AH48" s="24">
        <f t="shared" si="24"/>
        <v>33.783221684476914</v>
      </c>
      <c r="AI48" s="254">
        <f t="shared" si="25"/>
        <v>0.9996560896558071</v>
      </c>
    </row>
    <row r="49" spans="3:35" x14ac:dyDescent="0.2">
      <c r="C49" s="24">
        <f>'Final Floorspace Estimates'!U59</f>
        <v>26.559984568236739</v>
      </c>
      <c r="D49" s="24">
        <f>'Final Floorspace Estimates'!V59</f>
        <v>7.0126773771973854</v>
      </c>
      <c r="E49" s="24">
        <f>'Final Floorspace Estimates'!W59</f>
        <v>0.54816102873634476</v>
      </c>
      <c r="F49" s="24">
        <f>'Final Floorspace Estimates'!X59</f>
        <v>34.120822974170473</v>
      </c>
      <c r="H49" s="24">
        <f t="shared" si="1"/>
        <v>26.559984568236739</v>
      </c>
      <c r="I49" s="24">
        <f t="shared" si="2"/>
        <v>8.829846590580777</v>
      </c>
      <c r="J49" s="24">
        <f t="shared" si="3"/>
        <v>1.1442921163098592</v>
      </c>
      <c r="K49" s="24">
        <f t="shared" si="4"/>
        <v>36.534123275127371</v>
      </c>
      <c r="L49" s="24">
        <f t="shared" si="5"/>
        <v>34.200683882202334</v>
      </c>
      <c r="M49" s="254">
        <f t="shared" si="6"/>
        <v>1.0023405328790667</v>
      </c>
      <c r="N49" s="24">
        <f t="shared" si="7"/>
        <v>34.041148546755601</v>
      </c>
      <c r="P49" s="24">
        <f t="shared" si="8"/>
        <v>26.559984568236739</v>
      </c>
      <c r="Q49" s="24">
        <f t="shared" si="9"/>
        <v>10.087122518349098</v>
      </c>
      <c r="R49" s="24">
        <f t="shared" si="10"/>
        <v>0.61476417347156465</v>
      </c>
      <c r="S49" s="24">
        <f t="shared" si="11"/>
        <v>37.261871260057397</v>
      </c>
      <c r="T49" s="24">
        <f t="shared" si="12"/>
        <v>34.08557876285338</v>
      </c>
      <c r="U49" s="254">
        <f t="shared" si="13"/>
        <v>0.9989670761650804</v>
      </c>
      <c r="W49" s="24">
        <f t="shared" si="14"/>
        <v>26.559984568236739</v>
      </c>
      <c r="X49" s="24">
        <f t="shared" si="15"/>
        <v>9.8157169420537915</v>
      </c>
      <c r="Y49" s="24">
        <f t="shared" si="16"/>
        <v>0.71759141384762626</v>
      </c>
      <c r="Z49" s="24">
        <f t="shared" si="17"/>
        <v>37.093292924138161</v>
      </c>
      <c r="AA49" s="24">
        <f t="shared" si="18"/>
        <v>34.107927186037365</v>
      </c>
      <c r="AB49" s="254">
        <f t="shared" si="19"/>
        <v>0.99962205518480984</v>
      </c>
      <c r="AD49" s="24">
        <f t="shared" si="20"/>
        <v>26.559984568236739</v>
      </c>
      <c r="AE49" s="24">
        <f t="shared" si="21"/>
        <v>9.4982742867290195</v>
      </c>
      <c r="AF49" s="24">
        <f t="shared" si="22"/>
        <v>0.8453168182590699</v>
      </c>
      <c r="AG49" s="24">
        <f t="shared" si="23"/>
        <v>36.903575673224829</v>
      </c>
      <c r="AH49" s="24">
        <f t="shared" si="24"/>
        <v>34.135700010483021</v>
      </c>
      <c r="AI49" s="254">
        <f t="shared" si="25"/>
        <v>1.0004360104773502</v>
      </c>
    </row>
    <row r="50" spans="3:35" x14ac:dyDescent="0.2">
      <c r="C50" s="24">
        <f>'Final Floorspace Estimates'!U60</f>
        <v>27.081840165488771</v>
      </c>
      <c r="D50" s="24">
        <f>'Final Floorspace Estimates'!V60</f>
        <v>7.0668442236898006</v>
      </c>
      <c r="E50" s="24">
        <f>'Final Floorspace Estimates'!W60</f>
        <v>0.53700920371161331</v>
      </c>
      <c r="F50" s="24">
        <f>'Final Floorspace Estimates'!X60</f>
        <v>34.685693592890182</v>
      </c>
      <c r="H50" s="24">
        <f t="shared" si="1"/>
        <v>27.081840165488771</v>
      </c>
      <c r="I50" s="24">
        <f t="shared" si="2"/>
        <v>8.8980494921399966</v>
      </c>
      <c r="J50" s="24">
        <f t="shared" si="3"/>
        <v>1.1210125601405989</v>
      </c>
      <c r="K50" s="24">
        <f t="shared" si="4"/>
        <v>37.100902217769367</v>
      </c>
      <c r="L50" s="24">
        <f t="shared" si="5"/>
        <v>34.731262577150368</v>
      </c>
      <c r="M50" s="254">
        <f t="shared" si="6"/>
        <v>1.0013137688637579</v>
      </c>
      <c r="N50" s="24">
        <f t="shared" si="7"/>
        <v>34.640184397194318</v>
      </c>
      <c r="P50" s="24">
        <f t="shared" si="8"/>
        <v>27.081840165488771</v>
      </c>
      <c r="Q50" s="24">
        <f t="shared" si="9"/>
        <v>10.165036785270638</v>
      </c>
      <c r="R50" s="24">
        <f t="shared" si="10"/>
        <v>0.60225736956791465</v>
      </c>
      <c r="S50" s="24">
        <f t="shared" si="11"/>
        <v>37.849134320327323</v>
      </c>
      <c r="T50" s="24">
        <f t="shared" si="12"/>
        <v>34.622782092112971</v>
      </c>
      <c r="U50" s="254">
        <f t="shared" si="13"/>
        <v>0.99818624065830686</v>
      </c>
      <c r="W50" s="24">
        <f t="shared" si="14"/>
        <v>27.081840165488771</v>
      </c>
      <c r="X50" s="24">
        <f t="shared" si="15"/>
        <v>9.8915348364491731</v>
      </c>
      <c r="Y50" s="24">
        <f t="shared" si="16"/>
        <v>0.70299268561456274</v>
      </c>
      <c r="Z50" s="24">
        <f t="shared" si="17"/>
        <v>37.676367687552506</v>
      </c>
      <c r="AA50" s="24">
        <f t="shared" si="18"/>
        <v>34.644074559505277</v>
      </c>
      <c r="AB50" s="254">
        <f t="shared" si="19"/>
        <v>0.99880010952430731</v>
      </c>
      <c r="AD50" s="24">
        <f t="shared" si="20"/>
        <v>27.081840165488771</v>
      </c>
      <c r="AE50" s="24">
        <f t="shared" si="21"/>
        <v>9.5716402121179502</v>
      </c>
      <c r="AF50" s="24">
        <f t="shared" si="22"/>
        <v>0.82811963576432168</v>
      </c>
      <c r="AG50" s="24">
        <f t="shared" si="23"/>
        <v>37.481600013371043</v>
      </c>
      <c r="AH50" s="24">
        <f t="shared" si="24"/>
        <v>34.67037084153489</v>
      </c>
      <c r="AI50" s="254">
        <f t="shared" si="25"/>
        <v>0.99955824001863314</v>
      </c>
    </row>
    <row r="51" spans="3:35" x14ac:dyDescent="0.2">
      <c r="C51" s="24">
        <f>'Final Floorspace Estimates'!U61</f>
        <v>27.599563935463181</v>
      </c>
      <c r="D51" s="24">
        <f>'Final Floorspace Estimates'!V61</f>
        <v>7.1259738979612628</v>
      </c>
      <c r="E51" s="24">
        <f>'Final Floorspace Estimates'!W61</f>
        <v>0.52484488142185226</v>
      </c>
      <c r="F51" s="24">
        <f>'Final Floorspace Estimates'!X61</f>
        <v>35.250382714846289</v>
      </c>
      <c r="H51" s="24">
        <f t="shared" si="1"/>
        <v>27.599563935463181</v>
      </c>
      <c r="I51" s="24">
        <f t="shared" si="2"/>
        <v>8.9725012207288124</v>
      </c>
      <c r="J51" s="24">
        <f t="shared" si="3"/>
        <v>1.0956194049056964</v>
      </c>
      <c r="K51" s="24">
        <f t="shared" si="4"/>
        <v>37.667684561097694</v>
      </c>
      <c r="L51" s="24">
        <f t="shared" si="5"/>
        <v>35.261844455582441</v>
      </c>
      <c r="M51" s="254">
        <f t="shared" si="6"/>
        <v>1.0003251522353351</v>
      </c>
      <c r="N51" s="24">
        <f t="shared" si="7"/>
        <v>35.238924699709372</v>
      </c>
      <c r="P51" s="24">
        <f t="shared" si="8"/>
        <v>27.599563935463181</v>
      </c>
      <c r="Q51" s="24">
        <f t="shared" si="9"/>
        <v>10.250089645507121</v>
      </c>
      <c r="R51" s="24">
        <f t="shared" si="10"/>
        <v>0.58861504706362078</v>
      </c>
      <c r="S51" s="24">
        <f t="shared" si="11"/>
        <v>38.438268628033917</v>
      </c>
      <c r="T51" s="24">
        <f t="shared" si="12"/>
        <v>35.161697159128344</v>
      </c>
      <c r="U51" s="254">
        <f t="shared" si="13"/>
        <v>0.99748412502538331</v>
      </c>
      <c r="W51" s="24">
        <f t="shared" si="14"/>
        <v>27.599563935463181</v>
      </c>
      <c r="X51" s="24">
        <f t="shared" si="15"/>
        <v>9.9742992521360758</v>
      </c>
      <c r="Y51" s="24">
        <f t="shared" si="16"/>
        <v>0.68706850864318902</v>
      </c>
      <c r="Z51" s="24">
        <f t="shared" si="17"/>
        <v>38.260931696242444</v>
      </c>
      <c r="AA51" s="24">
        <f t="shared" si="18"/>
        <v>35.181591319873561</v>
      </c>
      <c r="AB51" s="254">
        <f t="shared" si="19"/>
        <v>0.99804849225243286</v>
      </c>
      <c r="AD51" s="24">
        <f t="shared" si="20"/>
        <v>27.599563935463181</v>
      </c>
      <c r="AE51" s="24">
        <f t="shared" si="21"/>
        <v>9.6517280066230136</v>
      </c>
      <c r="AF51" s="24">
        <f t="shared" si="22"/>
        <v>0.80936108549313035</v>
      </c>
      <c r="AG51" s="24">
        <f t="shared" si="23"/>
        <v>38.060653027579328</v>
      </c>
      <c r="AH51" s="24">
        <f t="shared" si="24"/>
        <v>35.205993193098003</v>
      </c>
      <c r="AI51" s="254">
        <f t="shared" si="25"/>
        <v>0.99874073645930683</v>
      </c>
    </row>
    <row r="52" spans="3:35" x14ac:dyDescent="0.2">
      <c r="C52" s="24">
        <f>'Final Floorspace Estimates'!U62</f>
        <v>28.316499423209848</v>
      </c>
      <c r="D52" s="24">
        <f>'Final Floorspace Estimates'!V62</f>
        <v>7.0713252783495761</v>
      </c>
      <c r="E52" s="24">
        <f>'Final Floorspace Estimates'!W62</f>
        <v>0.54181730938322803</v>
      </c>
      <c r="F52" s="24">
        <f>'Final Floorspace Estimates'!X62</f>
        <v>35.929642010942651</v>
      </c>
      <c r="H52" s="24">
        <f t="shared" si="1"/>
        <v>28.316499423209848</v>
      </c>
      <c r="I52" s="24">
        <f t="shared" si="2"/>
        <v>8.9036917059595702</v>
      </c>
      <c r="J52" s="24">
        <f t="shared" si="3"/>
        <v>1.1310495330846564</v>
      </c>
      <c r="K52" s="24">
        <f t="shared" si="4"/>
        <v>38.351240662254078</v>
      </c>
      <c r="L52" s="24">
        <f t="shared" si="5"/>
        <v>35.901741736142505</v>
      </c>
      <c r="M52" s="254">
        <f t="shared" si="6"/>
        <v>0.99922347473454787</v>
      </c>
      <c r="N52" s="24">
        <f t="shared" si="7"/>
        <v>35.957563967847797</v>
      </c>
      <c r="P52" s="24">
        <f t="shared" si="8"/>
        <v>28.316499423209848</v>
      </c>
      <c r="Q52" s="24">
        <f t="shared" si="9"/>
        <v>10.171482390127856</v>
      </c>
      <c r="R52" s="24">
        <f t="shared" si="10"/>
        <v>0.60764967393509695</v>
      </c>
      <c r="S52" s="24">
        <f t="shared" si="11"/>
        <v>39.095631487272804</v>
      </c>
      <c r="T52" s="24">
        <f t="shared" si="12"/>
        <v>35.76302481006627</v>
      </c>
      <c r="U52" s="254">
        <f t="shared" si="13"/>
        <v>0.99536268129736338</v>
      </c>
      <c r="W52" s="24">
        <f t="shared" si="14"/>
        <v>28.316499423209848</v>
      </c>
      <c r="X52" s="24">
        <f t="shared" si="15"/>
        <v>9.8978070149305672</v>
      </c>
      <c r="Y52" s="24">
        <f t="shared" si="16"/>
        <v>0.70928692246459302</v>
      </c>
      <c r="Z52" s="24">
        <f t="shared" si="17"/>
        <v>38.923593360605004</v>
      </c>
      <c r="AA52" s="24">
        <f t="shared" si="18"/>
        <v>35.790920231256038</v>
      </c>
      <c r="AB52" s="254">
        <f t="shared" si="19"/>
        <v>0.99613907147629344</v>
      </c>
      <c r="AD52" s="24">
        <f t="shared" si="20"/>
        <v>28.316499423209848</v>
      </c>
      <c r="AE52" s="24">
        <f t="shared" si="21"/>
        <v>9.5777095468332138</v>
      </c>
      <c r="AF52" s="24">
        <f t="shared" si="22"/>
        <v>0.83553419530999418</v>
      </c>
      <c r="AG52" s="24">
        <f t="shared" si="23"/>
        <v>38.729743165353057</v>
      </c>
      <c r="AH52" s="24">
        <f t="shared" si="24"/>
        <v>35.824899621712397</v>
      </c>
      <c r="AI52" s="254">
        <f t="shared" si="25"/>
        <v>0.99708479173829911</v>
      </c>
    </row>
    <row r="53" spans="3:35" x14ac:dyDescent="0.2">
      <c r="C53" s="24">
        <f>'Final Floorspace Estimates'!U63</f>
        <v>29.098000851417197</v>
      </c>
      <c r="D53" s="24">
        <f>'Final Floorspace Estimates'!V63</f>
        <v>7.0294296436595465</v>
      </c>
      <c r="E53" s="24">
        <f>'Final Floorspace Estimates'!W63</f>
        <v>0.5585673938607868</v>
      </c>
      <c r="F53" s="24">
        <f>'Final Floorspace Estimates'!X63</f>
        <v>36.685997888937528</v>
      </c>
      <c r="H53" s="24">
        <f t="shared" si="1"/>
        <v>29.098000851417197</v>
      </c>
      <c r="I53" s="24">
        <f t="shared" si="2"/>
        <v>8.8509398100387831</v>
      </c>
      <c r="J53" s="24">
        <f t="shared" si="3"/>
        <v>1.1660155168200919</v>
      </c>
      <c r="K53" s="24">
        <f t="shared" si="4"/>
        <v>39.114956178276067</v>
      </c>
      <c r="L53" s="24">
        <f t="shared" si="5"/>
        <v>36.616678638903316</v>
      </c>
      <c r="M53" s="254">
        <f t="shared" si="6"/>
        <v>0.99811047118728868</v>
      </c>
      <c r="N53" s="24">
        <f t="shared" si="7"/>
        <v>36.755448367652328</v>
      </c>
      <c r="P53" s="24">
        <f t="shared" si="8"/>
        <v>29.098000851417197</v>
      </c>
      <c r="Q53" s="24">
        <f t="shared" si="9"/>
        <v>10.111219187163966</v>
      </c>
      <c r="R53" s="24">
        <f t="shared" si="10"/>
        <v>0.62643494194870131</v>
      </c>
      <c r="S53" s="24">
        <f t="shared" si="11"/>
        <v>39.835654980529867</v>
      </c>
      <c r="T53" s="24">
        <f t="shared" si="12"/>
        <v>36.43996690161427</v>
      </c>
      <c r="U53" s="254">
        <f t="shared" si="13"/>
        <v>0.99329359969795317</v>
      </c>
      <c r="W53" s="24">
        <f t="shared" si="14"/>
        <v>29.098000851417197</v>
      </c>
      <c r="X53" s="24">
        <f t="shared" si="15"/>
        <v>9.8391652624150154</v>
      </c>
      <c r="Y53" s="24">
        <f t="shared" si="16"/>
        <v>0.7312142689416441</v>
      </c>
      <c r="Z53" s="24">
        <f t="shared" si="17"/>
        <v>39.668380382773854</v>
      </c>
      <c r="AA53" s="24">
        <f t="shared" si="18"/>
        <v>36.475764835729258</v>
      </c>
      <c r="AB53" s="254">
        <f t="shared" si="19"/>
        <v>0.99426939253922642</v>
      </c>
      <c r="AD53" s="24">
        <f t="shared" si="20"/>
        <v>29.098000851417197</v>
      </c>
      <c r="AE53" s="24">
        <f t="shared" si="21"/>
        <v>9.5209642827495653</v>
      </c>
      <c r="AF53" s="24">
        <f t="shared" si="22"/>
        <v>0.8613644301750687</v>
      </c>
      <c r="AG53" s="24">
        <f t="shared" si="23"/>
        <v>39.480329564341829</v>
      </c>
      <c r="AH53" s="24">
        <f t="shared" si="24"/>
        <v>36.519189854580517</v>
      </c>
      <c r="AI53" s="254">
        <f t="shared" si="25"/>
        <v>0.99545308717342229</v>
      </c>
    </row>
    <row r="54" spans="3:35" x14ac:dyDescent="0.2">
      <c r="C54" s="24">
        <f>'Final Floorspace Estimates'!U64</f>
        <v>29.502824473921493</v>
      </c>
      <c r="D54" s="24">
        <f>'Final Floorspace Estimates'!V64</f>
        <v>7.0636741748492184</v>
      </c>
      <c r="E54" s="24">
        <f>'Final Floorspace Estimates'!W64</f>
        <v>0.58395249870850474</v>
      </c>
      <c r="F54" s="24">
        <f>'Final Floorspace Estimates'!X64</f>
        <v>37.150451147479217</v>
      </c>
      <c r="H54" s="24">
        <f t="shared" si="1"/>
        <v>29.502824473921493</v>
      </c>
      <c r="I54" s="24">
        <f t="shared" si="2"/>
        <v>8.8940580002401983</v>
      </c>
      <c r="J54" s="24">
        <f t="shared" si="3"/>
        <v>1.2190071996033538</v>
      </c>
      <c r="K54" s="24">
        <f t="shared" si="4"/>
        <v>39.615889673765047</v>
      </c>
      <c r="L54" s="24">
        <f t="shared" si="5"/>
        <v>37.085617444310174</v>
      </c>
      <c r="M54" s="254">
        <f t="shared" si="6"/>
        <v>0.99825483402848414</v>
      </c>
      <c r="N54" s="24">
        <f t="shared" si="7"/>
        <v>37.215398194023841</v>
      </c>
      <c r="P54" s="24">
        <f t="shared" si="8"/>
        <v>29.502824473921493</v>
      </c>
      <c r="Q54" s="24">
        <f t="shared" si="9"/>
        <v>10.16047694751907</v>
      </c>
      <c r="R54" s="24">
        <f t="shared" si="10"/>
        <v>0.65490441019268053</v>
      </c>
      <c r="S54" s="24">
        <f t="shared" si="11"/>
        <v>40.318205831633243</v>
      </c>
      <c r="T54" s="24">
        <f t="shared" si="12"/>
        <v>36.881383944992798</v>
      </c>
      <c r="U54" s="254">
        <f t="shared" si="13"/>
        <v>0.99275736379571056</v>
      </c>
      <c r="W54" s="24">
        <f t="shared" si="14"/>
        <v>29.502824473921493</v>
      </c>
      <c r="X54" s="24">
        <f t="shared" si="15"/>
        <v>9.8870976863511491</v>
      </c>
      <c r="Y54" s="24">
        <f t="shared" si="16"/>
        <v>0.76444562309379371</v>
      </c>
      <c r="Z54" s="24">
        <f t="shared" si="17"/>
        <v>40.154367783366432</v>
      </c>
      <c r="AA54" s="24">
        <f t="shared" si="18"/>
        <v>36.922638692591846</v>
      </c>
      <c r="AB54" s="254">
        <f t="shared" si="19"/>
        <v>0.99386784149718654</v>
      </c>
      <c r="AD54" s="24">
        <f t="shared" si="20"/>
        <v>29.502824473921493</v>
      </c>
      <c r="AE54" s="24">
        <f t="shared" si="21"/>
        <v>9.5673465605251806</v>
      </c>
      <c r="AF54" s="24">
        <f t="shared" si="22"/>
        <v>0.90051069365628189</v>
      </c>
      <c r="AG54" s="24">
        <f t="shared" si="23"/>
        <v>39.970681728102953</v>
      </c>
      <c r="AH54" s="24">
        <f t="shared" si="24"/>
        <v>36.972764177834655</v>
      </c>
      <c r="AI54" s="254">
        <f t="shared" si="25"/>
        <v>0.99521709793134994</v>
      </c>
    </row>
    <row r="55" spans="3:35" x14ac:dyDescent="0.2">
      <c r="C55" s="24">
        <f>'Final Floorspace Estimates'!U65</f>
        <v>29.919547002518438</v>
      </c>
      <c r="D55" s="24">
        <f>'Final Floorspace Estimates'!V65</f>
        <v>7.0903277377890292</v>
      </c>
      <c r="E55" s="24">
        <f>'Final Floorspace Estimates'!W65</f>
        <v>0.60612169329892229</v>
      </c>
      <c r="F55" s="24">
        <f>'Final Floorspace Estimates'!X65</f>
        <v>37.615996433606391</v>
      </c>
      <c r="H55" s="24">
        <f t="shared" si="1"/>
        <v>29.919547002518438</v>
      </c>
      <c r="I55" s="24">
        <f t="shared" si="2"/>
        <v>8.9276182025983122</v>
      </c>
      <c r="J55" s="24">
        <f t="shared" si="3"/>
        <v>1.2652856347070567</v>
      </c>
      <c r="K55" s="24">
        <f t="shared" si="4"/>
        <v>40.112450839823808</v>
      </c>
      <c r="L55" s="24">
        <f t="shared" si="5"/>
        <v>37.550463181558655</v>
      </c>
      <c r="M55" s="254">
        <f t="shared" si="6"/>
        <v>0.99825783554176473</v>
      </c>
      <c r="N55" s="24">
        <f t="shared" si="7"/>
        <v>37.681644054606195</v>
      </c>
      <c r="P55" s="24">
        <f t="shared" si="8"/>
        <v>29.919547002518438</v>
      </c>
      <c r="Q55" s="24">
        <f t="shared" si="9"/>
        <v>10.198815764558997</v>
      </c>
      <c r="R55" s="24">
        <f t="shared" si="10"/>
        <v>0.67976722581517446</v>
      </c>
      <c r="S55" s="24">
        <f t="shared" si="11"/>
        <v>40.798129992892612</v>
      </c>
      <c r="T55" s="24">
        <f t="shared" si="12"/>
        <v>37.320398203955634</v>
      </c>
      <c r="U55" s="254">
        <f t="shared" si="13"/>
        <v>0.99214168817320847</v>
      </c>
      <c r="W55" s="24">
        <f t="shared" si="14"/>
        <v>29.919547002518438</v>
      </c>
      <c r="X55" s="24">
        <f t="shared" si="15"/>
        <v>9.9244049536389749</v>
      </c>
      <c r="Y55" s="24">
        <f t="shared" si="16"/>
        <v>0.79346706543651913</v>
      </c>
      <c r="Z55" s="24">
        <f t="shared" si="17"/>
        <v>40.637419021593928</v>
      </c>
      <c r="AA55" s="24">
        <f t="shared" si="18"/>
        <v>37.366812697156078</v>
      </c>
      <c r="AB55" s="254">
        <f t="shared" si="19"/>
        <v>0.99337559123576236</v>
      </c>
      <c r="AD55" s="24">
        <f t="shared" si="20"/>
        <v>29.919547002518438</v>
      </c>
      <c r="AE55" s="24">
        <f t="shared" si="21"/>
        <v>9.6034473017833069</v>
      </c>
      <c r="AF55" s="24">
        <f t="shared" si="22"/>
        <v>0.93469771544755831</v>
      </c>
      <c r="AG55" s="24">
        <f t="shared" si="23"/>
        <v>40.457692019749302</v>
      </c>
      <c r="AH55" s="24">
        <f t="shared" si="24"/>
        <v>37.423247279116339</v>
      </c>
      <c r="AI55" s="254">
        <f t="shared" si="25"/>
        <v>0.99487587269340949</v>
      </c>
    </row>
    <row r="56" spans="3:35" x14ac:dyDescent="0.2">
      <c r="C56" s="24">
        <f>'Final Floorspace Estimates'!U66</f>
        <v>30.145023050508854</v>
      </c>
      <c r="D56" s="24">
        <f>'Final Floorspace Estimates'!V66</f>
        <v>7.2271539006826746</v>
      </c>
      <c r="E56" s="24">
        <f>'Final Floorspace Estimates'!W66</f>
        <v>0.55103925124315933</v>
      </c>
      <c r="F56" s="24">
        <f>'Final Floorspace Estimates'!X66</f>
        <v>37.923216202434688</v>
      </c>
      <c r="H56" s="24">
        <f t="shared" si="1"/>
        <v>30.145023050508854</v>
      </c>
      <c r="I56" s="24">
        <f t="shared" si="2"/>
        <v>9.0998996242215533</v>
      </c>
      <c r="J56" s="24">
        <f t="shared" si="3"/>
        <v>1.1503004371332601</v>
      </c>
      <c r="K56" s="24">
        <f t="shared" si="4"/>
        <v>40.395223111863665</v>
      </c>
      <c r="L56" s="24">
        <f t="shared" si="5"/>
        <v>37.815174750353066</v>
      </c>
      <c r="M56" s="254">
        <f t="shared" si="6"/>
        <v>0.99715104722381942</v>
      </c>
      <c r="N56" s="24">
        <f t="shared" si="7"/>
        <v>38.031566338938504</v>
      </c>
      <c r="P56" s="24">
        <f t="shared" si="8"/>
        <v>30.145023050508854</v>
      </c>
      <c r="Q56" s="24">
        <f t="shared" si="9"/>
        <v>10.395628222139269</v>
      </c>
      <c r="R56" s="24">
        <f t="shared" si="10"/>
        <v>0.61799210830769868</v>
      </c>
      <c r="S56" s="24">
        <f t="shared" si="11"/>
        <v>41.158643380955816</v>
      </c>
      <c r="T56" s="24">
        <f t="shared" si="12"/>
        <v>37.650180554340807</v>
      </c>
      <c r="U56" s="254">
        <f t="shared" si="13"/>
        <v>0.99280030347013781</v>
      </c>
      <c r="W56" s="24">
        <f t="shared" si="14"/>
        <v>30.145023050508854</v>
      </c>
      <c r="X56" s="24">
        <f t="shared" si="15"/>
        <v>10.115921946791754</v>
      </c>
      <c r="Y56" s="24">
        <f t="shared" si="16"/>
        <v>0.72135926243546622</v>
      </c>
      <c r="Z56" s="24">
        <f t="shared" si="17"/>
        <v>40.982304259736075</v>
      </c>
      <c r="AA56" s="24">
        <f t="shared" si="18"/>
        <v>37.683940664579985</v>
      </c>
      <c r="AB56" s="254">
        <f t="shared" si="19"/>
        <v>0.99369052623128151</v>
      </c>
      <c r="AD56" s="24">
        <f t="shared" si="20"/>
        <v>30.145023050508854</v>
      </c>
      <c r="AE56" s="24">
        <f t="shared" si="21"/>
        <v>9.7887705891471839</v>
      </c>
      <c r="AF56" s="24">
        <f t="shared" si="22"/>
        <v>0.84975531308842855</v>
      </c>
      <c r="AG56" s="24">
        <f t="shared" si="23"/>
        <v>40.783548952744468</v>
      </c>
      <c r="AH56" s="24">
        <f t="shared" si="24"/>
        <v>37.724663993029232</v>
      </c>
      <c r="AI56" s="254">
        <f t="shared" si="25"/>
        <v>0.99476436259135881</v>
      </c>
    </row>
    <row r="57" spans="3:35" x14ac:dyDescent="0.2">
      <c r="C57" s="24">
        <f>'Final Floorspace Estimates'!U67</f>
        <v>30.382749425090839</v>
      </c>
      <c r="D57" s="24">
        <f>'Final Floorspace Estimates'!V67</f>
        <v>7.3520578310238296</v>
      </c>
      <c r="E57" s="24">
        <f>'Final Floorspace Estimates'!W67</f>
        <v>0.49655094847617892</v>
      </c>
      <c r="F57" s="24">
        <f>'Final Floorspace Estimates'!X67</f>
        <v>38.231358204590848</v>
      </c>
      <c r="H57" s="24">
        <f t="shared" si="1"/>
        <v>30.382749425090839</v>
      </c>
      <c r="I57" s="24">
        <f t="shared" si="2"/>
        <v>9.2571694491616192</v>
      </c>
      <c r="J57" s="24">
        <f t="shared" si="3"/>
        <v>1.0365555117942684</v>
      </c>
      <c r="K57" s="24">
        <f t="shared" si="4"/>
        <v>40.676474386046728</v>
      </c>
      <c r="L57" s="24">
        <f t="shared" si="5"/>
        <v>38.078462467629429</v>
      </c>
      <c r="M57" s="254">
        <f t="shared" si="6"/>
        <v>0.9960007767408311</v>
      </c>
      <c r="N57" s="24">
        <f t="shared" si="7"/>
        <v>38.384867860940446</v>
      </c>
      <c r="P57" s="24">
        <f t="shared" si="8"/>
        <v>30.382749425090839</v>
      </c>
      <c r="Q57" s="24">
        <f t="shared" si="9"/>
        <v>10.575291591863273</v>
      </c>
      <c r="R57" s="24">
        <f t="shared" si="10"/>
        <v>0.55688331972484095</v>
      </c>
      <c r="S57" s="24">
        <f t="shared" si="11"/>
        <v>41.514924336678952</v>
      </c>
      <c r="T57" s="24">
        <f t="shared" si="12"/>
        <v>37.976091255208459</v>
      </c>
      <c r="U57" s="254">
        <f t="shared" si="13"/>
        <v>0.99332310016253267</v>
      </c>
      <c r="W57" s="24">
        <f t="shared" si="14"/>
        <v>30.382749425090839</v>
      </c>
      <c r="X57" s="24">
        <f t="shared" si="15"/>
        <v>10.290751267924557</v>
      </c>
      <c r="Y57" s="24">
        <f t="shared" si="16"/>
        <v>0.6500292404693816</v>
      </c>
      <c r="Z57" s="24">
        <f t="shared" si="17"/>
        <v>41.323529933484778</v>
      </c>
      <c r="AA57" s="24">
        <f t="shared" si="18"/>
        <v>37.997703598974347</v>
      </c>
      <c r="AB57" s="254">
        <f t="shared" si="19"/>
        <v>0.99388840426839864</v>
      </c>
      <c r="AD57" s="24">
        <f t="shared" si="20"/>
        <v>30.382749425090839</v>
      </c>
      <c r="AE57" s="24">
        <f t="shared" si="21"/>
        <v>9.9579458878324516</v>
      </c>
      <c r="AF57" s="24">
        <f t="shared" si="22"/>
        <v>0.76572913042910873</v>
      </c>
      <c r="AG57" s="24">
        <f t="shared" si="23"/>
        <v>41.106424443352395</v>
      </c>
      <c r="AH57" s="24">
        <f t="shared" si="24"/>
        <v>38.023322881417826</v>
      </c>
      <c r="AI57" s="254">
        <f t="shared" si="25"/>
        <v>0.99455851602080825</v>
      </c>
    </row>
    <row r="58" spans="3:35" x14ac:dyDescent="0.2">
      <c r="C58" s="24">
        <f>'Final Floorspace Estimates'!U68</f>
        <v>30.584632822516181</v>
      </c>
      <c r="D58" s="24">
        <f>'Final Floorspace Estimates'!V68</f>
        <v>7.4354166356947413</v>
      </c>
      <c r="E58" s="24">
        <f>'Final Floorspace Estimates'!W68</f>
        <v>0.56850603456068538</v>
      </c>
      <c r="F58" s="24">
        <f>'Final Floorspace Estimates'!X68</f>
        <v>38.588555492771604</v>
      </c>
      <c r="H58" s="24">
        <f t="shared" si="1"/>
        <v>30.584632822516181</v>
      </c>
      <c r="I58" s="24">
        <f t="shared" si="2"/>
        <v>9.3621287133096711</v>
      </c>
      <c r="J58" s="24">
        <f t="shared" si="3"/>
        <v>1.1867625375011268</v>
      </c>
      <c r="K58" s="24">
        <f t="shared" si="4"/>
        <v>41.133524073326974</v>
      </c>
      <c r="L58" s="24">
        <f t="shared" si="5"/>
        <v>38.506320329590856</v>
      </c>
      <c r="M58" s="254">
        <f t="shared" si="6"/>
        <v>0.9978689235155187</v>
      </c>
      <c r="N58" s="24">
        <f t="shared" si="7"/>
        <v>38.670966279642322</v>
      </c>
      <c r="P58" s="24">
        <f t="shared" si="8"/>
        <v>30.584632822516181</v>
      </c>
      <c r="Q58" s="24">
        <f t="shared" si="9"/>
        <v>10.695195935164842</v>
      </c>
      <c r="R58" s="24">
        <f t="shared" si="10"/>
        <v>0.6375811561357787</v>
      </c>
      <c r="S58" s="24">
        <f t="shared" si="11"/>
        <v>41.917409913816805</v>
      </c>
      <c r="T58" s="24">
        <f t="shared" si="12"/>
        <v>38.344267983228846</v>
      </c>
      <c r="U58" s="254">
        <f t="shared" si="13"/>
        <v>0.99366943109366923</v>
      </c>
      <c r="W58" s="24">
        <f t="shared" si="14"/>
        <v>30.584632822516181</v>
      </c>
      <c r="X58" s="24">
        <f t="shared" si="15"/>
        <v>10.407429447636373</v>
      </c>
      <c r="Y58" s="24">
        <f t="shared" si="16"/>
        <v>0.7442248312722145</v>
      </c>
      <c r="Z58" s="24">
        <f t="shared" si="17"/>
        <v>41.736287101424765</v>
      </c>
      <c r="AA58" s="24">
        <f t="shared" si="18"/>
        <v>38.377240984840967</v>
      </c>
      <c r="AB58" s="254">
        <f t="shared" si="19"/>
        <v>0.99452390727685513</v>
      </c>
      <c r="AD58" s="24">
        <f t="shared" si="20"/>
        <v>30.584632822516181</v>
      </c>
      <c r="AE58" s="24">
        <f t="shared" si="21"/>
        <v>10.070850667047408</v>
      </c>
      <c r="AF58" s="24">
        <f t="shared" si="22"/>
        <v>0.8766907662220248</v>
      </c>
      <c r="AG58" s="24">
        <f t="shared" si="23"/>
        <v>41.532174255785613</v>
      </c>
      <c r="AH58" s="24">
        <f t="shared" si="24"/>
        <v>38.417140217857778</v>
      </c>
      <c r="AI58" s="254">
        <f t="shared" si="25"/>
        <v>0.99555787272353491</v>
      </c>
    </row>
    <row r="59" spans="3:35" x14ac:dyDescent="0.2">
      <c r="C59" s="24">
        <f>'Final Floorspace Estimates'!U69</f>
        <v>30.834466306642089</v>
      </c>
      <c r="D59" s="24">
        <f>'Final Floorspace Estimates'!V69</f>
        <v>7.5149658145430314</v>
      </c>
      <c r="E59" s="24">
        <f>'Final Floorspace Estimates'!W69</f>
        <v>0.64343933172342471</v>
      </c>
      <c r="F59" s="24">
        <f>'Final Floorspace Estimates'!X69</f>
        <v>38.992871452908545</v>
      </c>
      <c r="H59" s="24">
        <f t="shared" si="1"/>
        <v>30.834466306642089</v>
      </c>
      <c r="I59" s="24">
        <f t="shared" si="2"/>
        <v>9.4622911773524407</v>
      </c>
      <c r="J59" s="24">
        <f t="shared" si="3"/>
        <v>1.3431866112629784</v>
      </c>
      <c r="K59" s="24">
        <f t="shared" si="4"/>
        <v>41.639944095257505</v>
      </c>
      <c r="L59" s="24">
        <f t="shared" si="5"/>
        <v>38.980395236253678</v>
      </c>
      <c r="M59" s="254">
        <f t="shared" si="6"/>
        <v>0.99968003852524856</v>
      </c>
      <c r="N59" s="24">
        <f t="shared" si="7"/>
        <v>39.00535166274976</v>
      </c>
      <c r="P59" s="24">
        <f t="shared" si="8"/>
        <v>30.834466306642089</v>
      </c>
      <c r="Q59" s="24">
        <f t="shared" si="9"/>
        <v>10.809620465214655</v>
      </c>
      <c r="R59" s="24">
        <f t="shared" si="10"/>
        <v>0.72161906485385297</v>
      </c>
      <c r="S59" s="24">
        <f t="shared" si="11"/>
        <v>42.365705836710596</v>
      </c>
      <c r="T59" s="24">
        <f t="shared" si="12"/>
        <v>38.7543500717589</v>
      </c>
      <c r="U59" s="254">
        <f t="shared" si="13"/>
        <v>0.99388294905550345</v>
      </c>
      <c r="W59" s="24">
        <f t="shared" si="14"/>
        <v>30.834466306642089</v>
      </c>
      <c r="X59" s="24">
        <f t="shared" si="15"/>
        <v>10.518775254743742</v>
      </c>
      <c r="Y59" s="24">
        <f t="shared" si="16"/>
        <v>0.84231916457283573</v>
      </c>
      <c r="Z59" s="24">
        <f t="shared" si="17"/>
        <v>42.195560725958664</v>
      </c>
      <c r="AA59" s="24">
        <f t="shared" si="18"/>
        <v>38.799551060576405</v>
      </c>
      <c r="AB59" s="254">
        <f t="shared" si="19"/>
        <v>0.99504216065324624</v>
      </c>
      <c r="AD59" s="24">
        <f t="shared" si="20"/>
        <v>30.834466306642089</v>
      </c>
      <c r="AE59" s="24">
        <f t="shared" si="21"/>
        <v>10.178595523875128</v>
      </c>
      <c r="AF59" s="24">
        <f t="shared" si="22"/>
        <v>0.99224508879998885</v>
      </c>
      <c r="AG59" s="24">
        <f t="shared" si="23"/>
        <v>42.005306919317206</v>
      </c>
      <c r="AH59" s="24">
        <f t="shared" si="24"/>
        <v>38.854786553554007</v>
      </c>
      <c r="AI59" s="254">
        <f t="shared" si="25"/>
        <v>0.9964587142672654</v>
      </c>
    </row>
    <row r="60" spans="3:35" x14ac:dyDescent="0.2">
      <c r="C60" s="24">
        <f>'Final Floorspace Estimates'!U70</f>
        <v>31.083748484210247</v>
      </c>
      <c r="D60" s="24">
        <f>'Final Floorspace Estimates'!V70</f>
        <v>7.5345398573724918</v>
      </c>
      <c r="E60" s="24">
        <f>'Final Floorspace Estimates'!W70</f>
        <v>0.61377685773788981</v>
      </c>
      <c r="F60" s="24">
        <f>'Final Floorspace Estimates'!X70</f>
        <v>39.23206519932063</v>
      </c>
      <c r="H60" s="24">
        <f t="shared" si="1"/>
        <v>31.083748484210247</v>
      </c>
      <c r="I60" s="24">
        <f t="shared" si="2"/>
        <v>9.4869373696760171</v>
      </c>
      <c r="J60" s="24">
        <f t="shared" si="3"/>
        <v>1.2812658738290528</v>
      </c>
      <c r="K60" s="24">
        <f t="shared" si="4"/>
        <v>41.85195172771531</v>
      </c>
      <c r="L60" s="24">
        <f t="shared" si="5"/>
        <v>39.178861912563377</v>
      </c>
      <c r="M60" s="254">
        <f t="shared" si="6"/>
        <v>0.99864388258719106</v>
      </c>
      <c r="N60" s="24">
        <f t="shared" si="7"/>
        <v>39.28534073395808</v>
      </c>
      <c r="P60" s="24">
        <f t="shared" si="8"/>
        <v>31.083748484210247</v>
      </c>
      <c r="Q60" s="24">
        <f t="shared" si="9"/>
        <v>10.837776012315993</v>
      </c>
      <c r="R60" s="24">
        <f t="shared" si="10"/>
        <v>0.68835251479487369</v>
      </c>
      <c r="S60" s="24">
        <f t="shared" si="11"/>
        <v>42.60987701132111</v>
      </c>
      <c r="T60" s="24">
        <f t="shared" si="12"/>
        <v>38.977707501817079</v>
      </c>
      <c r="U60" s="254">
        <f t="shared" si="13"/>
        <v>0.99351658659284769</v>
      </c>
      <c r="W60" s="24">
        <f t="shared" si="14"/>
        <v>31.083748484210247</v>
      </c>
      <c r="X60" s="24">
        <f t="shared" si="15"/>
        <v>10.546173244625662</v>
      </c>
      <c r="Y60" s="24">
        <f t="shared" si="16"/>
        <v>0.8034883547749061</v>
      </c>
      <c r="Z60" s="24">
        <f t="shared" si="17"/>
        <v>42.433410083610816</v>
      </c>
      <c r="AA60" s="24">
        <f t="shared" si="18"/>
        <v>39.018257676584774</v>
      </c>
      <c r="AB60" s="254">
        <f t="shared" si="19"/>
        <v>0.99455018435431342</v>
      </c>
      <c r="AD60" s="24">
        <f t="shared" si="20"/>
        <v>31.083748484210247</v>
      </c>
      <c r="AE60" s="24">
        <f t="shared" si="21"/>
        <v>10.205107456150657</v>
      </c>
      <c r="AF60" s="24">
        <f t="shared" si="22"/>
        <v>0.94650271235095995</v>
      </c>
      <c r="AG60" s="24">
        <f t="shared" si="23"/>
        <v>42.235358652711867</v>
      </c>
      <c r="AH60" s="24">
        <f t="shared" si="24"/>
        <v>39.067583736883577</v>
      </c>
      <c r="AI60" s="254">
        <f t="shared" si="25"/>
        <v>0.99580747376918866</v>
      </c>
    </row>
    <row r="61" spans="3:35" x14ac:dyDescent="0.2">
      <c r="C61" s="24">
        <f>'Final Floorspace Estimates'!U71</f>
        <v>31.11403173989277</v>
      </c>
      <c r="D61" s="24">
        <f>'Final Floorspace Estimates'!V71</f>
        <v>7.5343466427437233</v>
      </c>
      <c r="E61" s="24">
        <f>'Final Floorspace Estimates'!W71</f>
        <v>0.58341013237852424</v>
      </c>
      <c r="F61" s="24">
        <f>'Final Floorspace Estimates'!X71</f>
        <v>39.231788515015019</v>
      </c>
      <c r="H61" s="24">
        <f t="shared" si="1"/>
        <v>31.11403173989277</v>
      </c>
      <c r="I61" s="24">
        <f t="shared" si="2"/>
        <v>9.4866940880534187</v>
      </c>
      <c r="J61" s="24">
        <f t="shared" si="3"/>
        <v>1.217875003983794</v>
      </c>
      <c r="K61" s="24">
        <f t="shared" si="4"/>
        <v>41.818600831929984</v>
      </c>
      <c r="L61" s="24">
        <f t="shared" si="5"/>
        <v>39.14764114300084</v>
      </c>
      <c r="M61" s="254">
        <f t="shared" si="6"/>
        <v>0.99785512271555055</v>
      </c>
      <c r="N61" s="24">
        <f t="shared" si="7"/>
        <v>39.316116760767954</v>
      </c>
      <c r="P61" s="24">
        <f t="shared" si="8"/>
        <v>31.11403173989277</v>
      </c>
      <c r="Q61" s="24">
        <f t="shared" si="9"/>
        <v>10.837498089986491</v>
      </c>
      <c r="R61" s="24">
        <f t="shared" si="10"/>
        <v>0.65429614479056331</v>
      </c>
      <c r="S61" s="24">
        <f t="shared" si="11"/>
        <v>42.605825974669827</v>
      </c>
      <c r="T61" s="24">
        <f t="shared" si="12"/>
        <v>38.974001785378825</v>
      </c>
      <c r="U61" s="254">
        <f t="shared" si="13"/>
        <v>0.9934291364377249</v>
      </c>
      <c r="W61" s="24">
        <f t="shared" si="14"/>
        <v>31.11403173989277</v>
      </c>
      <c r="X61" s="24">
        <f t="shared" si="15"/>
        <v>10.545902800114522</v>
      </c>
      <c r="Y61" s="24">
        <f t="shared" si="16"/>
        <v>0.76373561745466378</v>
      </c>
      <c r="Z61" s="24">
        <f t="shared" si="17"/>
        <v>42.423670157461956</v>
      </c>
      <c r="AA61" s="24">
        <f t="shared" si="18"/>
        <v>39.009301645300035</v>
      </c>
      <c r="AB61" s="254">
        <f t="shared" si="19"/>
        <v>0.99432891341087259</v>
      </c>
      <c r="AD61" s="24">
        <f t="shared" si="20"/>
        <v>31.11403173989277</v>
      </c>
      <c r="AE61" s="24">
        <f t="shared" si="21"/>
        <v>10.204845757880291</v>
      </c>
      <c r="AF61" s="24">
        <f t="shared" si="22"/>
        <v>0.89967431281861654</v>
      </c>
      <c r="AG61" s="24">
        <f t="shared" si="23"/>
        <v>42.218551810591677</v>
      </c>
      <c r="AH61" s="24">
        <f t="shared" si="24"/>
        <v>39.052037456874871</v>
      </c>
      <c r="AI61" s="254">
        <f t="shared" si="25"/>
        <v>0.99541822932514656</v>
      </c>
    </row>
    <row r="62" spans="3:35" x14ac:dyDescent="0.2">
      <c r="C62" s="24">
        <f>'Final Floorspace Estimates'!U72</f>
        <v>31.376865403237655</v>
      </c>
      <c r="D62" s="24">
        <f>'Final Floorspace Estimates'!V72</f>
        <v>7.4845760476052119</v>
      </c>
      <c r="E62" s="24">
        <f>'Final Floorspace Estimates'!W72</f>
        <v>0.60154684401625302</v>
      </c>
      <c r="F62" s="24">
        <f>'Final Floorspace Estimates'!X72</f>
        <v>39.462988294859123</v>
      </c>
      <c r="H62" s="24">
        <f t="shared" si="1"/>
        <v>31.376865403237655</v>
      </c>
      <c r="I62" s="24">
        <f t="shared" si="2"/>
        <v>9.4240266222401559</v>
      </c>
      <c r="J62" s="24">
        <f t="shared" si="3"/>
        <v>1.2557355870148079</v>
      </c>
      <c r="K62" s="24">
        <f t="shared" si="4"/>
        <v>42.056627612492619</v>
      </c>
      <c r="L62" s="24">
        <f t="shared" si="5"/>
        <v>39.370465120908179</v>
      </c>
      <c r="M62" s="254">
        <f t="shared" si="6"/>
        <v>0.99765544430493625</v>
      </c>
      <c r="N62" s="24">
        <f t="shared" si="7"/>
        <v>39.555728904334181</v>
      </c>
      <c r="P62" s="24">
        <f t="shared" si="8"/>
        <v>31.376865403237655</v>
      </c>
      <c r="Q62" s="24">
        <f t="shared" si="9"/>
        <v>10.765907445790344</v>
      </c>
      <c r="R62" s="24">
        <f t="shared" si="10"/>
        <v>0.67463651916041534</v>
      </c>
      <c r="S62" s="24">
        <f t="shared" si="11"/>
        <v>42.817409368188414</v>
      </c>
      <c r="T62" s="24">
        <f t="shared" si="12"/>
        <v>39.167549296032711</v>
      </c>
      <c r="U62" s="254">
        <f t="shared" si="13"/>
        <v>0.99251351680164324</v>
      </c>
      <c r="W62" s="24">
        <f t="shared" si="14"/>
        <v>31.376865403237655</v>
      </c>
      <c r="X62" s="24">
        <f t="shared" si="15"/>
        <v>10.476238384137577</v>
      </c>
      <c r="Y62" s="24">
        <f t="shared" si="16"/>
        <v>0.78747818189173613</v>
      </c>
      <c r="Z62" s="24">
        <f t="shared" si="17"/>
        <v>42.640581969266968</v>
      </c>
      <c r="AA62" s="24">
        <f t="shared" si="18"/>
        <v>39.208755824198839</v>
      </c>
      <c r="AB62" s="254">
        <f t="shared" si="19"/>
        <v>0.99355769844998276</v>
      </c>
      <c r="AD62" s="24">
        <f t="shared" si="20"/>
        <v>31.376865403237655</v>
      </c>
      <c r="AE62" s="24">
        <f t="shared" si="21"/>
        <v>10.137434305932354</v>
      </c>
      <c r="AF62" s="24">
        <f t="shared" si="22"/>
        <v>0.92764285959880222</v>
      </c>
      <c r="AG62" s="24">
        <f t="shared" si="23"/>
        <v>42.441942568768816</v>
      </c>
      <c r="AH62" s="24">
        <f t="shared" si="24"/>
        <v>39.258673257529331</v>
      </c>
      <c r="AI62" s="254">
        <f t="shared" si="25"/>
        <v>0.99482261617383883</v>
      </c>
    </row>
    <row r="63" spans="3:35" x14ac:dyDescent="0.2">
      <c r="C63" s="24">
        <f>'Final Floorspace Estimates'!U73</f>
        <v>31.49478926726982</v>
      </c>
      <c r="D63" s="24">
        <f>'Final Floorspace Estimates'!V73</f>
        <v>7.4207959044166367</v>
      </c>
      <c r="E63" s="24">
        <f>'Final Floorspace Estimates'!W73</f>
        <v>0.61876309675407781</v>
      </c>
      <c r="F63" s="24">
        <f>'Final Floorspace Estimates'!X73</f>
        <v>39.534348268440539</v>
      </c>
      <c r="H63" s="24">
        <f t="shared" si="1"/>
        <v>31.49478926726982</v>
      </c>
      <c r="I63" s="24">
        <f t="shared" si="2"/>
        <v>9.3437193658830306</v>
      </c>
      <c r="J63" s="24">
        <f t="shared" si="3"/>
        <v>1.2916747020695676</v>
      </c>
      <c r="K63" s="24">
        <f t="shared" si="4"/>
        <v>42.130183335222419</v>
      </c>
      <c r="L63" s="24">
        <f t="shared" si="5"/>
        <v>39.439322829682638</v>
      </c>
      <c r="M63" s="254">
        <f t="shared" si="6"/>
        <v>0.99759638281848806</v>
      </c>
      <c r="N63" s="24">
        <f t="shared" si="7"/>
        <v>39.629602662296122</v>
      </c>
      <c r="P63" s="24">
        <f t="shared" si="8"/>
        <v>31.49478926726982</v>
      </c>
      <c r="Q63" s="24">
        <f t="shared" si="9"/>
        <v>10.67416529311796</v>
      </c>
      <c r="R63" s="24">
        <f t="shared" si="10"/>
        <v>0.69394459622135707</v>
      </c>
      <c r="S63" s="24">
        <f t="shared" si="11"/>
        <v>42.862899156609139</v>
      </c>
      <c r="T63" s="24">
        <f t="shared" si="12"/>
        <v>39.209161424293754</v>
      </c>
      <c r="U63" s="254">
        <f t="shared" si="13"/>
        <v>0.99177457430336913</v>
      </c>
      <c r="W63" s="24">
        <f t="shared" si="14"/>
        <v>31.49478926726982</v>
      </c>
      <c r="X63" s="24">
        <f t="shared" si="15"/>
        <v>10.386964659083807</v>
      </c>
      <c r="Y63" s="24">
        <f t="shared" si="16"/>
        <v>0.81001578397514862</v>
      </c>
      <c r="Z63" s="24">
        <f t="shared" si="17"/>
        <v>42.691769710328771</v>
      </c>
      <c r="AA63" s="24">
        <f t="shared" si="18"/>
        <v>39.255823841280105</v>
      </c>
      <c r="AB63" s="254">
        <f t="shared" si="19"/>
        <v>0.99295487495407186</v>
      </c>
      <c r="AD63" s="24">
        <f t="shared" si="20"/>
        <v>31.49478926726982</v>
      </c>
      <c r="AE63" s="24">
        <f t="shared" si="21"/>
        <v>10.051047714696633</v>
      </c>
      <c r="AF63" s="24">
        <f t="shared" si="22"/>
        <v>0.95419197057852834</v>
      </c>
      <c r="AG63" s="24">
        <f t="shared" si="23"/>
        <v>42.50002895254498</v>
      </c>
      <c r="AH63" s="24">
        <f t="shared" si="24"/>
        <v>39.312402993336896</v>
      </c>
      <c r="AI63" s="254">
        <f t="shared" si="25"/>
        <v>0.99438601406562666</v>
      </c>
    </row>
    <row r="64" spans="3:35" x14ac:dyDescent="0.2">
      <c r="C64" s="24">
        <f>'Final Floorspace Estimates'!U74</f>
        <v>31.365741722154102</v>
      </c>
      <c r="D64" s="24">
        <f>'Final Floorspace Estimates'!V74</f>
        <v>7.5406186044344157</v>
      </c>
      <c r="E64" s="24">
        <f>'Final Floorspace Estimates'!W74</f>
        <v>0.63337958192791532</v>
      </c>
      <c r="F64" s="24">
        <f>'Final Floorspace Estimates'!X74</f>
        <v>39.539739908516438</v>
      </c>
      <c r="H64" s="24">
        <f t="shared" si="1"/>
        <v>31.365741722154102</v>
      </c>
      <c r="I64" s="24">
        <f t="shared" si="2"/>
        <v>9.4945912800347418</v>
      </c>
      <c r="J64" s="24">
        <f t="shared" si="3"/>
        <v>1.3221867740261219</v>
      </c>
      <c r="K64" s="24">
        <f t="shared" si="4"/>
        <v>42.182519776214967</v>
      </c>
      <c r="L64" s="24">
        <f t="shared" si="5"/>
        <v>39.488316535113206</v>
      </c>
      <c r="M64" s="254">
        <f t="shared" si="6"/>
        <v>0.99869945089365253</v>
      </c>
      <c r="N64" s="24">
        <f t="shared" si="7"/>
        <v>39.591230247634194</v>
      </c>
      <c r="P64" s="24">
        <f t="shared" si="8"/>
        <v>31.365741722154102</v>
      </c>
      <c r="Q64" s="24">
        <f t="shared" si="9"/>
        <v>10.846519757831945</v>
      </c>
      <c r="R64" s="24">
        <f t="shared" si="10"/>
        <v>0.71033702646702401</v>
      </c>
      <c r="S64" s="24">
        <f t="shared" si="11"/>
        <v>42.92259850645307</v>
      </c>
      <c r="T64" s="24">
        <f t="shared" si="12"/>
        <v>39.263771856416035</v>
      </c>
      <c r="U64" s="254">
        <f t="shared" si="13"/>
        <v>0.9930204889374864</v>
      </c>
      <c r="W64" s="24">
        <f t="shared" si="14"/>
        <v>31.365741722154102</v>
      </c>
      <c r="X64" s="24">
        <f t="shared" si="15"/>
        <v>10.554681729661093</v>
      </c>
      <c r="Y64" s="24">
        <f t="shared" si="16"/>
        <v>0.8291500596925524</v>
      </c>
      <c r="Z64" s="24">
        <f t="shared" si="17"/>
        <v>42.749573511507748</v>
      </c>
      <c r="AA64" s="24">
        <f t="shared" si="18"/>
        <v>39.308975440565746</v>
      </c>
      <c r="AB64" s="254">
        <f t="shared" si="19"/>
        <v>0.99416373328492769</v>
      </c>
      <c r="AD64" s="24">
        <f t="shared" si="20"/>
        <v>31.365741722154102</v>
      </c>
      <c r="AE64" s="24">
        <f t="shared" si="21"/>
        <v>10.213340774726175</v>
      </c>
      <c r="AF64" s="24">
        <f t="shared" si="22"/>
        <v>0.97673199092576468</v>
      </c>
      <c r="AG64" s="24">
        <f t="shared" si="23"/>
        <v>42.555814487806039</v>
      </c>
      <c r="AH64" s="24">
        <f t="shared" si="24"/>
        <v>39.36400445096956</v>
      </c>
      <c r="AI64" s="254">
        <f t="shared" si="25"/>
        <v>0.99555547259659571</v>
      </c>
    </row>
    <row r="65" spans="1:35" x14ac:dyDescent="0.2">
      <c r="C65" s="24"/>
      <c r="D65" s="24"/>
      <c r="E65" s="24"/>
      <c r="F65" s="24"/>
      <c r="H65" s="24"/>
      <c r="I65" s="24"/>
      <c r="J65" s="24"/>
      <c r="K65" s="24"/>
      <c r="L65" s="24"/>
      <c r="O65" s="50" t="s">
        <v>73</v>
      </c>
    </row>
    <row r="66" spans="1:35" x14ac:dyDescent="0.2">
      <c r="C66" s="24"/>
      <c r="D66" s="24"/>
      <c r="E66" s="24"/>
      <c r="F66" s="24" t="s">
        <v>411</v>
      </c>
      <c r="H66" s="23">
        <f>RECS_intensity_data!O181</f>
        <v>12.9581770163059</v>
      </c>
      <c r="I66" s="23">
        <f>RECS_intensity_data!P181</f>
        <v>18.320245170977071</v>
      </c>
      <c r="J66" s="23">
        <f>RECS_intensity_data!Q181</f>
        <v>32.311030005264087</v>
      </c>
      <c r="P66">
        <f>RECS_intensity_data!O169</f>
        <v>38.678054515021486</v>
      </c>
      <c r="Q66">
        <f>RECS_intensity_data!P169</f>
        <v>58.899273207141775</v>
      </c>
      <c r="R66">
        <f>RECS_intensity_data!Q169</f>
        <v>70.627300929987712</v>
      </c>
      <c r="W66" s="23">
        <f>H66+P66</f>
        <v>51.636231531327383</v>
      </c>
      <c r="X66" s="23">
        <f>I66+Q66</f>
        <v>77.219518378118849</v>
      </c>
      <c r="Y66" s="23">
        <f>J66+R66</f>
        <v>102.9383309352518</v>
      </c>
      <c r="AD66">
        <f>$AK$33*H66+P66</f>
        <v>80.144220967200368</v>
      </c>
      <c r="AE66">
        <f>$AK$33*I66+Q66</f>
        <v>117.5240577542684</v>
      </c>
      <c r="AF66">
        <f>$AK$33*J66+R66</f>
        <v>174.02259694683278</v>
      </c>
    </row>
    <row r="67" spans="1:35" x14ac:dyDescent="0.2">
      <c r="C67" s="24"/>
      <c r="D67" s="24"/>
      <c r="E67" s="24"/>
      <c r="F67" s="24"/>
      <c r="H67" s="23">
        <f>1</f>
        <v>1</v>
      </c>
      <c r="I67" s="23">
        <f>I66/H66</f>
        <v>1.4137980325414463</v>
      </c>
      <c r="J67" s="23">
        <f>J66/I66</f>
        <v>1.7636789084270126</v>
      </c>
      <c r="L67">
        <f>F69/K69</f>
        <v>0.93149401871584925</v>
      </c>
      <c r="P67">
        <f>1</f>
        <v>1</v>
      </c>
      <c r="Q67">
        <f>Q66/P66</f>
        <v>1.5228085782925542</v>
      </c>
      <c r="R67">
        <f>R66/Q66</f>
        <v>1.1991200754141711</v>
      </c>
      <c r="T67">
        <f>F69/S69</f>
        <v>0.93160050001303152</v>
      </c>
      <c r="W67">
        <f>1</f>
        <v>1</v>
      </c>
      <c r="X67">
        <f>X66/W66</f>
        <v>1.4954522452179773</v>
      </c>
      <c r="Y67">
        <f>Y66/X66</f>
        <v>1.3330610329786867</v>
      </c>
      <c r="AA67">
        <f>F69/Z69</f>
        <v>0.93095789686991126</v>
      </c>
      <c r="AD67">
        <f>1</f>
        <v>1</v>
      </c>
      <c r="AE67">
        <f>AE66/AD66</f>
        <v>1.4664071387301401</v>
      </c>
      <c r="AF67">
        <f>AF66/AE66</f>
        <v>1.4807402013866593</v>
      </c>
      <c r="AH67">
        <f>F69/AG69</f>
        <v>0.93177700565598554</v>
      </c>
    </row>
    <row r="68" spans="1:35" x14ac:dyDescent="0.2">
      <c r="C68" s="24"/>
      <c r="D68" s="24"/>
      <c r="E68" s="24"/>
      <c r="F68" s="24"/>
      <c r="H68" s="24"/>
      <c r="I68" s="24"/>
      <c r="J68" s="24"/>
      <c r="K68" s="24"/>
      <c r="L68" s="24"/>
    </row>
    <row r="69" spans="1:35" x14ac:dyDescent="0.2">
      <c r="A69" t="s">
        <v>21</v>
      </c>
      <c r="C69" s="24">
        <f>'Final Floorspace Estimates'!U90</f>
        <v>29.016674770874502</v>
      </c>
      <c r="D69" s="24">
        <f>'Final Floorspace Estimates'!V90</f>
        <v>4.4958751156543775</v>
      </c>
      <c r="E69" s="24">
        <f>'Final Floorspace Estimates'!W90</f>
        <v>0.8755817450817307</v>
      </c>
      <c r="F69" s="24">
        <f>'Final Floorspace Estimates'!X90</f>
        <v>34.388131631610612</v>
      </c>
      <c r="H69" s="24">
        <f>H$7*C69</f>
        <v>29.016674770874502</v>
      </c>
      <c r="I69" s="24">
        <f>I$67*D69</f>
        <v>6.3562593930642066</v>
      </c>
      <c r="J69" s="24">
        <f>J$67*E69</f>
        <v>1.5442450564043655</v>
      </c>
      <c r="K69" s="24">
        <f>SUM(H69:J69)</f>
        <v>36.917179220343073</v>
      </c>
      <c r="L69" s="24">
        <f>K69*L$67</f>
        <v>34.388131631610612</v>
      </c>
      <c r="M69" s="254">
        <f>L69/F69</f>
        <v>1</v>
      </c>
      <c r="P69" s="24">
        <f>P$7*C69</f>
        <v>29.016674770874502</v>
      </c>
      <c r="Q69" s="24">
        <f>Q$67*D69</f>
        <v>6.8463571930505154</v>
      </c>
      <c r="R69" s="24">
        <f>R$67*E69</f>
        <v>1.0499276481936763</v>
      </c>
      <c r="S69" s="24">
        <f>SUM(P69:R69)</f>
        <v>36.912959612118691</v>
      </c>
      <c r="T69" s="24">
        <f>S69*T$67</f>
        <v>34.388131631610612</v>
      </c>
      <c r="U69" s="254">
        <f>T69/F69</f>
        <v>1</v>
      </c>
      <c r="W69" s="24">
        <f>W$67*C69</f>
        <v>29.016674770874502</v>
      </c>
      <c r="X69" s="24">
        <f>X$67*D69</f>
        <v>6.7233665359249724</v>
      </c>
      <c r="Y69" s="24">
        <f>Y$97*E69</f>
        <v>1.1983978505793975</v>
      </c>
      <c r="Z69" s="24">
        <f>SUM(W69:Y69)</f>
        <v>36.938439157378873</v>
      </c>
      <c r="AA69" s="24">
        <f>Z69*AA$67</f>
        <v>34.388131631610612</v>
      </c>
      <c r="AB69" s="254">
        <f>AA69/F69</f>
        <v>1</v>
      </c>
      <c r="AD69" s="24">
        <f>AD$67*C69</f>
        <v>29.016674770874502</v>
      </c>
      <c r="AE69" s="24">
        <f>AE$67*D69</f>
        <v>6.5927833644347729</v>
      </c>
      <c r="AF69" s="24">
        <f>AF$67*E69</f>
        <v>1.2965090895428044</v>
      </c>
      <c r="AG69" s="24">
        <f>SUM(AD69:AF69)</f>
        <v>36.905967224852077</v>
      </c>
      <c r="AH69" s="24">
        <f>AG69*AH$67</f>
        <v>34.388131631610612</v>
      </c>
      <c r="AI69" s="254">
        <f>AH69/F69</f>
        <v>1</v>
      </c>
    </row>
    <row r="70" spans="1:35" x14ac:dyDescent="0.2">
      <c r="C70" s="24">
        <f>'Final Floorspace Estimates'!U91</f>
        <v>29.154670013245031</v>
      </c>
      <c r="D70" s="24">
        <f>'Final Floorspace Estimates'!V91</f>
        <v>4.5417316043463414</v>
      </c>
      <c r="E70" s="24">
        <f>'Final Floorspace Estimates'!W91</f>
        <v>0.8493519775601871</v>
      </c>
      <c r="F70" s="24">
        <f>'Final Floorspace Estimates'!X91</f>
        <v>34.54575359515156</v>
      </c>
      <c r="H70" s="24">
        <f t="shared" ref="H70:H94" si="26">H$7*C70</f>
        <v>29.154670013245031</v>
      </c>
      <c r="I70" s="24">
        <f t="shared" ref="I70:I94" si="27">I$67*D70</f>
        <v>6.4210912065561638</v>
      </c>
      <c r="J70" s="24">
        <f t="shared" ref="J70:J94" si="28">J$67*E70</f>
        <v>1.4979841686536752</v>
      </c>
      <c r="K70" s="24">
        <f t="shared" ref="K70:K94" si="29">SUM(H70:J70)</f>
        <v>37.073745388454867</v>
      </c>
      <c r="L70" s="24">
        <f t="shared" ref="L70:L94" si="30">K70*L$67</f>
        <v>34.533972080740007</v>
      </c>
      <c r="M70" s="254">
        <f t="shared" ref="M70:M94" si="31">L70/F70</f>
        <v>0.99965895911406011</v>
      </c>
      <c r="P70" s="24">
        <f t="shared" ref="P70:P94" si="32">P$7*C70</f>
        <v>29.154670013245031</v>
      </c>
      <c r="Q70" s="24">
        <f t="shared" ref="Q70:Q94" si="33">Q$67*D70</f>
        <v>6.9161878474010132</v>
      </c>
      <c r="R70" s="24">
        <f t="shared" ref="R70:R94" si="34">R$67*E70</f>
        <v>1.018475007385147</v>
      </c>
      <c r="S70" s="24">
        <f t="shared" ref="S70:S94" si="35">SUM(P70:R70)</f>
        <v>37.089332868031192</v>
      </c>
      <c r="T70" s="24">
        <f t="shared" ref="T70:T94" si="36">S70*T$67</f>
        <v>34.552441045007626</v>
      </c>
      <c r="U70" s="254">
        <f t="shared" ref="U70:U94" si="37">T70/F70</f>
        <v>1.0001935823989958</v>
      </c>
      <c r="W70" s="24">
        <f t="shared" ref="W70:W94" si="38">W$37*C70</f>
        <v>29.154670013245031</v>
      </c>
      <c r="X70" s="24">
        <f t="shared" ref="X70:X94" si="39">X$67*D70</f>
        <v>6.791942724897182</v>
      </c>
      <c r="Y70" s="24">
        <f t="shared" ref="Y70:Y94" si="40">Y$97*E70</f>
        <v>1.1624974938216388</v>
      </c>
      <c r="Z70" s="24">
        <f t="shared" ref="Z70:Z94" si="41">SUM(W70:Y70)</f>
        <v>37.109110231963854</v>
      </c>
      <c r="AA70" s="24">
        <f t="shared" ref="AA70:AA94" si="42">Z70*AA$67</f>
        <v>34.547019216262775</v>
      </c>
      <c r="AB70" s="254">
        <f t="shared" ref="AB70:AB94" si="43">AA70/F70</f>
        <v>1.0000366360834403</v>
      </c>
      <c r="AD70" s="24">
        <f t="shared" ref="AD70:AD94" si="44">AD$67*C70</f>
        <v>29.154670013245031</v>
      </c>
      <c r="AE70" s="24">
        <f t="shared" ref="AE70:AE94" si="45">AE$67*D70</f>
        <v>6.660027646809767</v>
      </c>
      <c r="AF70" s="24">
        <f t="shared" ref="AF70:AF94" si="46">AF$67*E70</f>
        <v>1.2576696183006288</v>
      </c>
      <c r="AG70" s="24">
        <f t="shared" ref="AG70:AG94" si="47">SUM(AD70:AF70)</f>
        <v>37.072367278355429</v>
      </c>
      <c r="AH70" s="24">
        <f t="shared" ref="AH70:AH94" si="48">AG70*AH$67</f>
        <v>34.543179375204957</v>
      </c>
      <c r="AI70" s="254">
        <f t="shared" ref="AI70:AI94" si="49">AH70/F70</f>
        <v>0.99992548375187384</v>
      </c>
    </row>
    <row r="71" spans="1:35" x14ac:dyDescent="0.2">
      <c r="C71" s="24">
        <f>'Final Floorspace Estimates'!U92</f>
        <v>29.567774916095573</v>
      </c>
      <c r="D71" s="24">
        <f>'Final Floorspace Estimates'!V92</f>
        <v>4.5562505361694008</v>
      </c>
      <c r="E71" s="24">
        <f>'Final Floorspace Estimates'!W92</f>
        <v>0.80977009477019846</v>
      </c>
      <c r="F71" s="24">
        <f>'Final Floorspace Estimates'!X92</f>
        <v>34.933795547035174</v>
      </c>
      <c r="H71" s="24">
        <f t="shared" si="26"/>
        <v>29.567774916095573</v>
      </c>
      <c r="I71" s="24">
        <f t="shared" si="27"/>
        <v>6.441618043802209</v>
      </c>
      <c r="J71" s="24">
        <f t="shared" si="28"/>
        <v>1.4281744368211422</v>
      </c>
      <c r="K71" s="24">
        <f t="shared" si="29"/>
        <v>37.437567396718926</v>
      </c>
      <c r="L71" s="24">
        <f t="shared" si="30"/>
        <v>34.872870105315165</v>
      </c>
      <c r="M71" s="254">
        <f t="shared" si="31"/>
        <v>0.99825597417154466</v>
      </c>
      <c r="P71" s="24">
        <f t="shared" si="32"/>
        <v>29.567774916095573</v>
      </c>
      <c r="Q71" s="24">
        <f t="shared" si="33"/>
        <v>6.9382974013288132</v>
      </c>
      <c r="R71" s="24">
        <f t="shared" si="34"/>
        <v>0.97101157710898089</v>
      </c>
      <c r="S71" s="24">
        <f t="shared" si="35"/>
        <v>37.477083894533365</v>
      </c>
      <c r="T71" s="24">
        <f t="shared" si="36"/>
        <v>34.913670095177615</v>
      </c>
      <c r="U71" s="254">
        <f t="shared" si="37"/>
        <v>0.99942389735949355</v>
      </c>
      <c r="W71" s="24">
        <f t="shared" si="38"/>
        <v>29.567774916095573</v>
      </c>
      <c r="X71" s="24">
        <f t="shared" si="39"/>
        <v>6.8136550940901435</v>
      </c>
      <c r="Y71" s="24">
        <f t="shared" si="40"/>
        <v>1.108322262869353</v>
      </c>
      <c r="Z71" s="24">
        <f t="shared" si="41"/>
        <v>37.489752273055068</v>
      </c>
      <c r="AA71" s="24">
        <f t="shared" si="42"/>
        <v>34.901380930297321</v>
      </c>
      <c r="AB71" s="254">
        <f t="shared" si="43"/>
        <v>0.99907211294306086</v>
      </c>
      <c r="AD71" s="24">
        <f t="shared" si="44"/>
        <v>29.567774916095573</v>
      </c>
      <c r="AE71" s="24">
        <f t="shared" si="45"/>
        <v>6.6813183120818378</v>
      </c>
      <c r="AF71" s="24">
        <f t="shared" si="46"/>
        <v>1.1990591332069178</v>
      </c>
      <c r="AG71" s="24">
        <f t="shared" si="47"/>
        <v>37.448152361384324</v>
      </c>
      <c r="AH71" s="24">
        <f t="shared" si="48"/>
        <v>34.893327274639809</v>
      </c>
      <c r="AI71" s="254">
        <f t="shared" si="49"/>
        <v>0.99884157241543137</v>
      </c>
    </row>
    <row r="72" spans="1:35" x14ac:dyDescent="0.2">
      <c r="C72" s="24">
        <f>'Final Floorspace Estimates'!U93</f>
        <v>30.18717870535642</v>
      </c>
      <c r="D72" s="24">
        <f>'Final Floorspace Estimates'!V93</f>
        <v>4.7112802826277855</v>
      </c>
      <c r="E72" s="24">
        <f>'Final Floorspace Estimates'!W93</f>
        <v>0.86166408308592279</v>
      </c>
      <c r="F72" s="24">
        <f>'Final Floorspace Estimates'!X93</f>
        <v>35.760123071070126</v>
      </c>
      <c r="H72" s="24">
        <f t="shared" si="26"/>
        <v>30.18717870535642</v>
      </c>
      <c r="I72" s="24">
        <f t="shared" si="27"/>
        <v>6.6607987943304723</v>
      </c>
      <c r="J72" s="24">
        <f t="shared" si="28"/>
        <v>1.5196987694877431</v>
      </c>
      <c r="K72" s="24">
        <f t="shared" si="29"/>
        <v>38.367676269174638</v>
      </c>
      <c r="L72" s="24">
        <f t="shared" si="30"/>
        <v>35.739260956762202</v>
      </c>
      <c r="M72" s="254">
        <f t="shared" si="31"/>
        <v>0.99941660954951239</v>
      </c>
      <c r="P72" s="24">
        <f t="shared" si="32"/>
        <v>30.18717870535642</v>
      </c>
      <c r="Q72" s="24">
        <f t="shared" si="33"/>
        <v>7.174378029126161</v>
      </c>
      <c r="R72" s="24">
        <f t="shared" si="34"/>
        <v>1.0332387002916743</v>
      </c>
      <c r="S72" s="24">
        <f t="shared" si="35"/>
        <v>38.394795434774259</v>
      </c>
      <c r="T72" s="24">
        <f t="shared" si="36"/>
        <v>35.768610624933757</v>
      </c>
      <c r="U72" s="254">
        <f t="shared" si="37"/>
        <v>1.0002373468862722</v>
      </c>
      <c r="W72" s="24">
        <f t="shared" si="38"/>
        <v>30.18717870535642</v>
      </c>
      <c r="X72" s="24">
        <f t="shared" si="39"/>
        <v>7.045494676506908</v>
      </c>
      <c r="Y72" s="24">
        <f t="shared" si="40"/>
        <v>1.1793489196091544</v>
      </c>
      <c r="Z72" s="24">
        <f t="shared" si="41"/>
        <v>38.412022301472483</v>
      </c>
      <c r="AA72" s="24">
        <f t="shared" si="42"/>
        <v>35.759975496298949</v>
      </c>
      <c r="AB72" s="254">
        <f t="shared" si="43"/>
        <v>0.99999587320292826</v>
      </c>
      <c r="AD72" s="24">
        <f t="shared" si="44"/>
        <v>30.18717870535642</v>
      </c>
      <c r="AE72" s="24">
        <f t="shared" si="45"/>
        <v>6.9086550390039365</v>
      </c>
      <c r="AF72" s="24">
        <f t="shared" si="46"/>
        <v>1.2759006479163004</v>
      </c>
      <c r="AG72" s="24">
        <f t="shared" si="47"/>
        <v>38.371734392276657</v>
      </c>
      <c r="AH72" s="24">
        <f t="shared" si="48"/>
        <v>35.753899773862344</v>
      </c>
      <c r="AI72" s="254">
        <f t="shared" si="49"/>
        <v>0.9998259710349594</v>
      </c>
    </row>
    <row r="73" spans="1:35" x14ac:dyDescent="0.2">
      <c r="C73" s="24">
        <f>'Final Floorspace Estimates'!U94</f>
        <v>30.783022587826235</v>
      </c>
      <c r="D73" s="24">
        <f>'Final Floorspace Estimates'!V94</f>
        <v>4.8512292131686756</v>
      </c>
      <c r="E73" s="24">
        <f>'Final Floorspace Estimates'!W94</f>
        <v>0.91337939954060343</v>
      </c>
      <c r="F73" s="24">
        <f>'Final Floorspace Estimates'!X94</f>
        <v>36.547631200535513</v>
      </c>
      <c r="H73" s="24">
        <f t="shared" si="26"/>
        <v>30.783022587826235</v>
      </c>
      <c r="I73" s="24">
        <f t="shared" si="27"/>
        <v>6.858658316985462</v>
      </c>
      <c r="J73" s="24">
        <f t="shared" si="28"/>
        <v>1.6109079823614916</v>
      </c>
      <c r="K73" s="24">
        <f t="shared" si="29"/>
        <v>39.252588887173182</v>
      </c>
      <c r="L73" s="24">
        <f t="shared" si="30"/>
        <v>36.563551767514035</v>
      </c>
      <c r="M73" s="254">
        <f t="shared" si="31"/>
        <v>1.0004356114597732</v>
      </c>
      <c r="P73" s="24">
        <f t="shared" si="32"/>
        <v>30.783022587826235</v>
      </c>
      <c r="Q73" s="24">
        <f t="shared" si="33"/>
        <v>7.3874934610766978</v>
      </c>
      <c r="R73" s="24">
        <f t="shared" si="34"/>
        <v>1.0952515744588787</v>
      </c>
      <c r="S73" s="24">
        <f t="shared" si="35"/>
        <v>39.26576762336181</v>
      </c>
      <c r="T73" s="24">
        <f t="shared" si="36"/>
        <v>36.580008751319369</v>
      </c>
      <c r="U73" s="254">
        <f t="shared" si="37"/>
        <v>1.000885900117745</v>
      </c>
      <c r="W73" s="24">
        <f t="shared" si="38"/>
        <v>30.783022587826235</v>
      </c>
      <c r="X73" s="24">
        <f t="shared" si="39"/>
        <v>7.2547816189001368</v>
      </c>
      <c r="Y73" s="24">
        <f t="shared" si="40"/>
        <v>1.250131030393725</v>
      </c>
      <c r="Z73" s="24">
        <f t="shared" si="41"/>
        <v>39.287935237120095</v>
      </c>
      <c r="AA73" s="24">
        <f t="shared" si="42"/>
        <v>36.575413560710601</v>
      </c>
      <c r="AB73" s="254">
        <f t="shared" si="43"/>
        <v>1.0007601685598349</v>
      </c>
      <c r="AD73" s="24">
        <f t="shared" si="44"/>
        <v>30.783022587826235</v>
      </c>
      <c r="AE73" s="24">
        <f t="shared" si="45"/>
        <v>7.1138771498067461</v>
      </c>
      <c r="AF73" s="24">
        <f t="shared" si="46"/>
        <v>1.352477596018179</v>
      </c>
      <c r="AG73" s="24">
        <f t="shared" si="47"/>
        <v>39.249377333651154</v>
      </c>
      <c r="AH73" s="24">
        <f t="shared" si="48"/>
        <v>36.57166728581138</v>
      </c>
      <c r="AI73" s="254">
        <f t="shared" si="49"/>
        <v>1.0006576646553091</v>
      </c>
    </row>
    <row r="74" spans="1:35" x14ac:dyDescent="0.2">
      <c r="C74" s="24">
        <f>'Final Floorspace Estimates'!U95</f>
        <v>30.954120638715168</v>
      </c>
      <c r="D74" s="24">
        <f>'Final Floorspace Estimates'!V95</f>
        <v>4.9393026602256755</v>
      </c>
      <c r="E74" s="24">
        <f>'Final Floorspace Estimates'!W95</f>
        <v>0.96788896260602231</v>
      </c>
      <c r="F74" s="24">
        <f>'Final Floorspace Estimates'!X95</f>
        <v>36.861312261546871</v>
      </c>
      <c r="H74" s="24">
        <f t="shared" si="26"/>
        <v>30.954120638715168</v>
      </c>
      <c r="I74" s="24">
        <f t="shared" si="27"/>
        <v>6.9831763831537916</v>
      </c>
      <c r="J74" s="24">
        <f t="shared" si="28"/>
        <v>1.707045349047543</v>
      </c>
      <c r="K74" s="24">
        <f t="shared" si="29"/>
        <v>39.644342370916497</v>
      </c>
      <c r="L74" s="24">
        <f t="shared" si="30"/>
        <v>36.928467794432031</v>
      </c>
      <c r="M74" s="254">
        <f t="shared" si="31"/>
        <v>1.0018218432487878</v>
      </c>
      <c r="P74" s="24">
        <f t="shared" si="32"/>
        <v>30.954120638715168</v>
      </c>
      <c r="Q74" s="24">
        <f t="shared" si="33"/>
        <v>7.5216124617748923</v>
      </c>
      <c r="R74" s="24">
        <f t="shared" si="34"/>
        <v>1.1606150858326774</v>
      </c>
      <c r="S74" s="24">
        <f t="shared" si="35"/>
        <v>39.636348186322735</v>
      </c>
      <c r="T74" s="24">
        <f t="shared" si="36"/>
        <v>36.925241789068878</v>
      </c>
      <c r="U74" s="254">
        <f t="shared" si="37"/>
        <v>1.0017343258717541</v>
      </c>
      <c r="W74" s="24">
        <f t="shared" si="38"/>
        <v>30.954120638715168</v>
      </c>
      <c r="X74" s="24">
        <f t="shared" si="39"/>
        <v>7.3864912530456142</v>
      </c>
      <c r="Y74" s="24">
        <f t="shared" si="40"/>
        <v>1.3247375917805462</v>
      </c>
      <c r="Z74" s="24">
        <f t="shared" si="41"/>
        <v>39.665349483541327</v>
      </c>
      <c r="AA74" s="24">
        <f t="shared" si="42"/>
        <v>36.926770333807653</v>
      </c>
      <c r="AB74" s="254">
        <f t="shared" si="43"/>
        <v>1.0017757933248912</v>
      </c>
      <c r="AD74" s="24">
        <f t="shared" si="44"/>
        <v>30.954120638715168</v>
      </c>
      <c r="AE74" s="24">
        <f t="shared" si="45"/>
        <v>7.2430286813037021</v>
      </c>
      <c r="AF74" s="24">
        <f t="shared" si="46"/>
        <v>1.4331920974091663</v>
      </c>
      <c r="AG74" s="24">
        <f t="shared" si="47"/>
        <v>39.630341417428035</v>
      </c>
      <c r="AH74" s="24">
        <f t="shared" si="48"/>
        <v>36.926640859055482</v>
      </c>
      <c r="AI74" s="254">
        <f t="shared" si="49"/>
        <v>1.0017722808413623</v>
      </c>
    </row>
    <row r="75" spans="1:35" x14ac:dyDescent="0.2">
      <c r="C75" s="24">
        <f>'Final Floorspace Estimates'!U96</f>
        <v>31.035842796883749</v>
      </c>
      <c r="D75" s="24">
        <f>'Final Floorspace Estimates'!V96</f>
        <v>4.9981877170165889</v>
      </c>
      <c r="E75" s="24">
        <f>'Final Floorspace Estimates'!W96</f>
        <v>1.0118400783620651</v>
      </c>
      <c r="F75" s="24">
        <f>'Final Floorspace Estimates'!X96</f>
        <v>37.045870592262403</v>
      </c>
      <c r="H75" s="24">
        <f t="shared" si="26"/>
        <v>31.035842796883749</v>
      </c>
      <c r="I75" s="24">
        <f t="shared" si="27"/>
        <v>7.0664279605908771</v>
      </c>
      <c r="J75" s="24">
        <f t="shared" si="28"/>
        <v>1.7845610049083098</v>
      </c>
      <c r="K75" s="24">
        <f t="shared" si="29"/>
        <v>39.88683176238294</v>
      </c>
      <c r="L75" s="24">
        <f t="shared" si="30"/>
        <v>37.154345212185063</v>
      </c>
      <c r="M75" s="254">
        <f t="shared" si="31"/>
        <v>1.0029281163646162</v>
      </c>
      <c r="P75" s="24">
        <f t="shared" si="32"/>
        <v>31.035842796883749</v>
      </c>
      <c r="Q75" s="24">
        <f t="shared" si="33"/>
        <v>7.6112831313893388</v>
      </c>
      <c r="R75" s="24">
        <f t="shared" si="34"/>
        <v>1.2133177510726003</v>
      </c>
      <c r="S75" s="24">
        <f t="shared" si="35"/>
        <v>39.860443679345686</v>
      </c>
      <c r="T75" s="24">
        <f t="shared" si="36"/>
        <v>37.134009262419724</v>
      </c>
      <c r="U75" s="254">
        <f t="shared" si="37"/>
        <v>1.0023791766463637</v>
      </c>
      <c r="W75" s="24">
        <f t="shared" si="38"/>
        <v>31.035842796883749</v>
      </c>
      <c r="X75" s="24">
        <f t="shared" si="39"/>
        <v>7.4745510434333742</v>
      </c>
      <c r="Y75" s="24">
        <f t="shared" si="40"/>
        <v>1.3848929375817443</v>
      </c>
      <c r="Z75" s="24">
        <f t="shared" si="41"/>
        <v>39.895286777898868</v>
      </c>
      <c r="AA75" s="24">
        <f t="shared" si="42"/>
        <v>37.140832273774706</v>
      </c>
      <c r="AB75" s="254">
        <f t="shared" si="43"/>
        <v>1.0025633540255399</v>
      </c>
      <c r="AD75" s="24">
        <f t="shared" si="44"/>
        <v>31.035842796883749</v>
      </c>
      <c r="AE75" s="24">
        <f t="shared" si="45"/>
        <v>7.3293781489464269</v>
      </c>
      <c r="AF75" s="24">
        <f t="shared" si="46"/>
        <v>1.4982722814049374</v>
      </c>
      <c r="AG75" s="24">
        <f t="shared" si="47"/>
        <v>39.863493227235111</v>
      </c>
      <c r="AH75" s="24">
        <f t="shared" si="48"/>
        <v>37.143886354260793</v>
      </c>
      <c r="AI75" s="254">
        <f t="shared" si="49"/>
        <v>1.0026457945361085</v>
      </c>
    </row>
    <row r="76" spans="1:35" x14ac:dyDescent="0.2">
      <c r="C76" s="24">
        <f>'Final Floorspace Estimates'!U97</f>
        <v>31.938810886132917</v>
      </c>
      <c r="D76" s="24">
        <f>'Final Floorspace Estimates'!V97</f>
        <v>5.0752269198996771</v>
      </c>
      <c r="E76" s="24">
        <f>'Final Floorspace Estimates'!W97</f>
        <v>0.99948904220227497</v>
      </c>
      <c r="F76" s="24">
        <f>'Final Floorspace Estimates'!X97</f>
        <v>38.013526848234868</v>
      </c>
      <c r="H76" s="24">
        <f t="shared" si="26"/>
        <v>31.938810886132917</v>
      </c>
      <c r="I76" s="24">
        <f t="shared" si="27"/>
        <v>7.1753458340555483</v>
      </c>
      <c r="J76" s="24">
        <f t="shared" si="28"/>
        <v>1.7627777429360687</v>
      </c>
      <c r="K76" s="24">
        <f t="shared" si="29"/>
        <v>40.876934463124527</v>
      </c>
      <c r="L76" s="24">
        <f t="shared" si="30"/>
        <v>38.076619955840265</v>
      </c>
      <c r="M76" s="254">
        <f t="shared" si="31"/>
        <v>1.0016597541148258</v>
      </c>
      <c r="P76" s="24">
        <f t="shared" si="32"/>
        <v>31.938810886132917</v>
      </c>
      <c r="Q76" s="24">
        <f t="shared" si="33"/>
        <v>7.7285990904045265</v>
      </c>
      <c r="R76" s="24">
        <f t="shared" si="34"/>
        <v>1.1985073756612297</v>
      </c>
      <c r="S76" s="24">
        <f t="shared" si="35"/>
        <v>40.865917352198672</v>
      </c>
      <c r="T76" s="24">
        <f t="shared" si="36"/>
        <v>38.070709038799507</v>
      </c>
      <c r="U76" s="254">
        <f t="shared" si="37"/>
        <v>1.0015042590179262</v>
      </c>
      <c r="W76" s="24">
        <f t="shared" si="38"/>
        <v>31.938810886132917</v>
      </c>
      <c r="X76" s="24">
        <f t="shared" si="39"/>
        <v>7.5897594923546912</v>
      </c>
      <c r="Y76" s="24">
        <f t="shared" si="40"/>
        <v>1.3679882279193252</v>
      </c>
      <c r="Z76" s="24">
        <f t="shared" si="41"/>
        <v>40.896558606406934</v>
      </c>
      <c r="AA76" s="24">
        <f t="shared" si="42"/>
        <v>38.072974189437666</v>
      </c>
      <c r="AB76" s="254">
        <f t="shared" si="43"/>
        <v>1.0015638470337187</v>
      </c>
      <c r="AD76" s="24">
        <f t="shared" si="44"/>
        <v>31.938810886132917</v>
      </c>
      <c r="AE76" s="24">
        <f t="shared" si="45"/>
        <v>7.4423489860162668</v>
      </c>
      <c r="AF76" s="24">
        <f t="shared" si="46"/>
        <v>1.4799836056343558</v>
      </c>
      <c r="AG76" s="24">
        <f t="shared" si="47"/>
        <v>40.861143477783543</v>
      </c>
      <c r="AH76" s="24">
        <f t="shared" si="48"/>
        <v>38.073473917408755</v>
      </c>
      <c r="AI76" s="254">
        <f t="shared" si="49"/>
        <v>1.0015769930902023</v>
      </c>
    </row>
    <row r="77" spans="1:35" x14ac:dyDescent="0.2">
      <c r="C77" s="24">
        <f>'Final Floorspace Estimates'!U98</f>
        <v>32.89186084517808</v>
      </c>
      <c r="D77" s="24">
        <f>'Final Floorspace Estimates'!V98</f>
        <v>5.1378483795419649</v>
      </c>
      <c r="E77" s="24">
        <f>'Final Floorspace Estimates'!W98</f>
        <v>0.98889528705442042</v>
      </c>
      <c r="F77" s="24">
        <f>'Final Floorspace Estimates'!X98</f>
        <v>39.018604511774463</v>
      </c>
      <c r="H77" s="24">
        <f t="shared" si="26"/>
        <v>32.89186084517808</v>
      </c>
      <c r="I77" s="24">
        <f t="shared" si="27"/>
        <v>7.2638799304926884</v>
      </c>
      <c r="J77" s="24">
        <f t="shared" si="28"/>
        <v>1.7440937604207576</v>
      </c>
      <c r="K77" s="24">
        <f t="shared" si="29"/>
        <v>41.899834536091525</v>
      </c>
      <c r="L77" s="24">
        <f t="shared" si="30"/>
        <v>39.029445255553028</v>
      </c>
      <c r="M77" s="254">
        <f t="shared" si="31"/>
        <v>1.0002778352510093</v>
      </c>
      <c r="P77" s="24">
        <f t="shared" si="32"/>
        <v>32.89186084517808</v>
      </c>
      <c r="Q77" s="24">
        <f t="shared" si="33"/>
        <v>7.8239595863330029</v>
      </c>
      <c r="R77" s="24">
        <f t="shared" si="34"/>
        <v>1.185804191189415</v>
      </c>
      <c r="S77" s="24">
        <f t="shared" si="35"/>
        <v>41.901624622700496</v>
      </c>
      <c r="T77" s="24">
        <f t="shared" si="36"/>
        <v>39.035574449866132</v>
      </c>
      <c r="U77" s="254">
        <f t="shared" si="37"/>
        <v>1.0004349191444442</v>
      </c>
      <c r="W77" s="24">
        <f t="shared" si="38"/>
        <v>32.89186084517808</v>
      </c>
      <c r="X77" s="24">
        <f t="shared" si="39"/>
        <v>7.6834068947755778</v>
      </c>
      <c r="Y77" s="24">
        <f t="shared" si="40"/>
        <v>1.3534886869340705</v>
      </c>
      <c r="Z77" s="24">
        <f t="shared" si="41"/>
        <v>41.92875642688773</v>
      </c>
      <c r="AA77" s="24">
        <f t="shared" si="42"/>
        <v>39.033906901546175</v>
      </c>
      <c r="AB77" s="254">
        <f t="shared" si="43"/>
        <v>1.0003921818825452</v>
      </c>
      <c r="AD77" s="24">
        <f t="shared" si="44"/>
        <v>32.89186084517808</v>
      </c>
      <c r="AE77" s="24">
        <f t="shared" si="45"/>
        <v>7.5341775414734196</v>
      </c>
      <c r="AF77" s="24">
        <f t="shared" si="46"/>
        <v>1.4642970065032808</v>
      </c>
      <c r="AG77" s="24">
        <f t="shared" si="47"/>
        <v>41.890335393154778</v>
      </c>
      <c r="AH77" s="24">
        <f t="shared" si="48"/>
        <v>39.03245127855871</v>
      </c>
      <c r="AI77" s="254">
        <f t="shared" si="49"/>
        <v>1.000354876012546</v>
      </c>
    </row>
    <row r="78" spans="1:35" x14ac:dyDescent="0.2">
      <c r="C78" s="24">
        <f>'Final Floorspace Estimates'!U99</f>
        <v>34.152804375420672</v>
      </c>
      <c r="D78" s="24">
        <f>'Final Floorspace Estimates'!V99</f>
        <v>5.0869823567142776</v>
      </c>
      <c r="E78" s="24">
        <f>'Final Floorspace Estimates'!W99</f>
        <v>1.0072307201403132</v>
      </c>
      <c r="F78" s="24">
        <f>'Final Floorspace Estimates'!X99</f>
        <v>40.247017452275266</v>
      </c>
      <c r="H78" s="24">
        <f t="shared" si="26"/>
        <v>34.152804375420672</v>
      </c>
      <c r="I78" s="24">
        <f t="shared" si="27"/>
        <v>7.1919656474956959</v>
      </c>
      <c r="J78" s="24">
        <f t="shared" si="28"/>
        <v>1.7764315770312213</v>
      </c>
      <c r="K78" s="24">
        <f t="shared" si="29"/>
        <v>43.121201599947582</v>
      </c>
      <c r="L78" s="24">
        <f t="shared" si="30"/>
        <v>40.16714137019148</v>
      </c>
      <c r="M78" s="254">
        <f t="shared" si="31"/>
        <v>0.99801535400285246</v>
      </c>
      <c r="P78" s="24">
        <f t="shared" si="32"/>
        <v>34.152804375420672</v>
      </c>
      <c r="Q78" s="24">
        <f t="shared" si="33"/>
        <v>7.746500370427376</v>
      </c>
      <c r="R78" s="24">
        <f t="shared" si="34"/>
        <v>1.2077905770941222</v>
      </c>
      <c r="S78" s="24">
        <f t="shared" si="35"/>
        <v>43.107095322942172</v>
      </c>
      <c r="T78" s="24">
        <f t="shared" si="36"/>
        <v>40.158591556962342</v>
      </c>
      <c r="U78" s="254">
        <f t="shared" si="37"/>
        <v>0.99780292054143449</v>
      </c>
      <c r="W78" s="24">
        <f t="shared" si="38"/>
        <v>34.152804375420672</v>
      </c>
      <c r="X78" s="24">
        <f t="shared" si="39"/>
        <v>7.6073391867326041</v>
      </c>
      <c r="Y78" s="24">
        <f t="shared" si="40"/>
        <v>1.3785841662802338</v>
      </c>
      <c r="Z78" s="24">
        <f t="shared" si="41"/>
        <v>43.138727728433508</v>
      </c>
      <c r="AA78" s="24">
        <f t="shared" si="42"/>
        <v>40.160339239706182</v>
      </c>
      <c r="AB78" s="254">
        <f t="shared" si="43"/>
        <v>0.99784634444845843</v>
      </c>
      <c r="AD78" s="24">
        <f t="shared" si="44"/>
        <v>34.152804375420672</v>
      </c>
      <c r="AE78" s="24">
        <f t="shared" si="45"/>
        <v>7.4595872424800884</v>
      </c>
      <c r="AF78" s="24">
        <f t="shared" si="46"/>
        <v>1.4914470193833973</v>
      </c>
      <c r="AG78" s="24">
        <f t="shared" si="47"/>
        <v>43.103838637284163</v>
      </c>
      <c r="AH78" s="24">
        <f t="shared" si="48"/>
        <v>40.163165697727415</v>
      </c>
      <c r="AI78" s="254">
        <f t="shared" si="49"/>
        <v>0.9979165722119091</v>
      </c>
    </row>
    <row r="79" spans="1:35" x14ac:dyDescent="0.2">
      <c r="C79" s="24">
        <f>'Final Floorspace Estimates'!U100</f>
        <v>35.374000171302974</v>
      </c>
      <c r="D79" s="24">
        <f>'Final Floorspace Estimates'!V100</f>
        <v>5.0578253977882257</v>
      </c>
      <c r="E79" s="24">
        <f>'Final Floorspace Estimates'!W100</f>
        <v>1.0290012437586347</v>
      </c>
      <c r="F79" s="24">
        <f>'Final Floorspace Estimates'!X100</f>
        <v>41.460826812849838</v>
      </c>
      <c r="H79" s="24">
        <f t="shared" si="26"/>
        <v>35.374000171302974</v>
      </c>
      <c r="I79" s="24">
        <f t="shared" si="27"/>
        <v>7.1507435963311519</v>
      </c>
      <c r="J79" s="24">
        <f t="shared" si="28"/>
        <v>1.8148277903622672</v>
      </c>
      <c r="K79" s="24">
        <f t="shared" si="29"/>
        <v>44.339571557996393</v>
      </c>
      <c r="L79" s="24">
        <f t="shared" si="30"/>
        <v>41.302045698697029</v>
      </c>
      <c r="M79" s="254">
        <f t="shared" si="31"/>
        <v>0.996170334111533</v>
      </c>
      <c r="P79" s="24">
        <f t="shared" si="32"/>
        <v>35.374000171302974</v>
      </c>
      <c r="Q79" s="24">
        <f t="shared" si="33"/>
        <v>7.7020999032578601</v>
      </c>
      <c r="R79" s="24">
        <f t="shared" si="34"/>
        <v>1.2338960490171298</v>
      </c>
      <c r="S79" s="24">
        <f t="shared" si="35"/>
        <v>44.309996123577967</v>
      </c>
      <c r="T79" s="24">
        <f t="shared" si="36"/>
        <v>41.279214544300721</v>
      </c>
      <c r="U79" s="254">
        <f t="shared" si="37"/>
        <v>0.99561966601947194</v>
      </c>
      <c r="W79" s="24">
        <f t="shared" si="38"/>
        <v>35.374000171302974</v>
      </c>
      <c r="X79" s="24">
        <f t="shared" si="39"/>
        <v>7.5637363470429113</v>
      </c>
      <c r="Y79" s="24">
        <f t="shared" si="40"/>
        <v>1.4083812113382588</v>
      </c>
      <c r="Z79" s="24">
        <f t="shared" si="41"/>
        <v>44.346117729684146</v>
      </c>
      <c r="AA79" s="24">
        <f t="shared" si="42"/>
        <v>41.284368495972238</v>
      </c>
      <c r="AB79" s="254">
        <f t="shared" si="43"/>
        <v>0.9957439749652337</v>
      </c>
      <c r="AD79" s="24">
        <f t="shared" si="44"/>
        <v>35.374000171302974</v>
      </c>
      <c r="AE79" s="24">
        <f t="shared" si="45"/>
        <v>7.4168312697672647</v>
      </c>
      <c r="AF79" s="24">
        <f t="shared" si="46"/>
        <v>1.5236835089102836</v>
      </c>
      <c r="AG79" s="24">
        <f t="shared" si="47"/>
        <v>44.31451494998052</v>
      </c>
      <c r="AH79" s="24">
        <f t="shared" si="48"/>
        <v>41.291246047190256</v>
      </c>
      <c r="AI79" s="254">
        <f t="shared" si="49"/>
        <v>0.99590985567111212</v>
      </c>
    </row>
    <row r="80" spans="1:35" x14ac:dyDescent="0.2">
      <c r="C80" s="24">
        <f>'Final Floorspace Estimates'!U101</f>
        <v>35.645483063226685</v>
      </c>
      <c r="D80" s="24">
        <f>'Final Floorspace Estimates'!V101</f>
        <v>5.0921600767814157</v>
      </c>
      <c r="E80" s="24">
        <f>'Final Floorspace Estimates'!W101</f>
        <v>1.0429354856333748</v>
      </c>
      <c r="F80" s="24">
        <f>'Final Floorspace Estimates'!X101</f>
        <v>41.780578625641475</v>
      </c>
      <c r="H80" s="24">
        <f t="shared" si="26"/>
        <v>35.645483063226685</v>
      </c>
      <c r="I80" s="24">
        <f t="shared" si="27"/>
        <v>7.1992858979396654</v>
      </c>
      <c r="J80" s="24">
        <f t="shared" si="28"/>
        <v>1.8394033188616667</v>
      </c>
      <c r="K80" s="24">
        <f t="shared" si="29"/>
        <v>44.684172280028022</v>
      </c>
      <c r="L80" s="24">
        <f t="shared" si="30"/>
        <v>41.623039210114655</v>
      </c>
      <c r="M80" s="254">
        <f t="shared" si="31"/>
        <v>0.99622936252419125</v>
      </c>
      <c r="P80" s="24">
        <f t="shared" si="32"/>
        <v>35.645483063226685</v>
      </c>
      <c r="Q80" s="24">
        <f t="shared" si="33"/>
        <v>7.7543850469616116</v>
      </c>
      <c r="R80" s="24">
        <f t="shared" si="34"/>
        <v>1.2506048781848076</v>
      </c>
      <c r="S80" s="24">
        <f t="shared" si="35"/>
        <v>44.650472988373103</v>
      </c>
      <c r="T80" s="24">
        <f t="shared" si="36"/>
        <v>41.596402961786744</v>
      </c>
      <c r="U80" s="254">
        <f t="shared" si="37"/>
        <v>0.99559183549119878</v>
      </c>
      <c r="W80" s="24">
        <f t="shared" si="38"/>
        <v>35.645483063226685</v>
      </c>
      <c r="X80" s="24">
        <f t="shared" si="39"/>
        <v>7.6150822198321153</v>
      </c>
      <c r="Y80" s="24">
        <f t="shared" si="40"/>
        <v>1.4274528349827003</v>
      </c>
      <c r="Z80" s="24">
        <f t="shared" si="41"/>
        <v>44.688018118041505</v>
      </c>
      <c r="AA80" s="24">
        <f t="shared" si="42"/>
        <v>41.602663362456411</v>
      </c>
      <c r="AB80" s="254">
        <f t="shared" si="43"/>
        <v>0.99574167546172099</v>
      </c>
      <c r="AD80" s="24">
        <f t="shared" si="44"/>
        <v>35.645483063226685</v>
      </c>
      <c r="AE80" s="24">
        <f t="shared" si="45"/>
        <v>7.4671798881488858</v>
      </c>
      <c r="AF80" s="24">
        <f t="shared" si="46"/>
        <v>1.5443165010300568</v>
      </c>
      <c r="AG80" s="24">
        <f t="shared" si="47"/>
        <v>44.656979452405622</v>
      </c>
      <c r="AH80" s="24">
        <f t="shared" si="48"/>
        <v>41.610346595803385</v>
      </c>
      <c r="AI80" s="254">
        <f t="shared" si="49"/>
        <v>0.99592557031429874</v>
      </c>
    </row>
    <row r="81" spans="3:35" x14ac:dyDescent="0.2">
      <c r="C81" s="24">
        <f>'Final Floorspace Estimates'!U102</f>
        <v>35.899738812454423</v>
      </c>
      <c r="D81" s="24">
        <f>'Final Floorspace Estimates'!V102</f>
        <v>5.129990371438689</v>
      </c>
      <c r="E81" s="24">
        <f>'Final Floorspace Estimates'!W102</f>
        <v>1.0565147263644608</v>
      </c>
      <c r="F81" s="24">
        <f>'Final Floorspace Estimates'!X102</f>
        <v>42.086243910257572</v>
      </c>
      <c r="H81" s="24">
        <f t="shared" si="26"/>
        <v>35.899738812454423</v>
      </c>
      <c r="I81" s="24">
        <f t="shared" si="27"/>
        <v>7.2527702940965817</v>
      </c>
      <c r="J81" s="24">
        <f t="shared" si="28"/>
        <v>1.8633527393315361</v>
      </c>
      <c r="K81" s="24">
        <f t="shared" si="29"/>
        <v>45.015861845882547</v>
      </c>
      <c r="L81" s="24">
        <f t="shared" si="30"/>
        <v>41.932006056778604</v>
      </c>
      <c r="M81" s="254">
        <f t="shared" si="31"/>
        <v>0.99633519556157457</v>
      </c>
      <c r="P81" s="24">
        <f t="shared" si="32"/>
        <v>35.899738812454423</v>
      </c>
      <c r="Q81" s="24">
        <f t="shared" si="33"/>
        <v>7.8119933441850424</v>
      </c>
      <c r="R81" s="24">
        <f t="shared" si="34"/>
        <v>1.2668880183543345</v>
      </c>
      <c r="S81" s="24">
        <f t="shared" si="35"/>
        <v>44.9786201749938</v>
      </c>
      <c r="T81" s="24">
        <f t="shared" si="36"/>
        <v>41.902105044920454</v>
      </c>
      <c r="U81" s="254">
        <f t="shared" si="37"/>
        <v>0.99562472560559778</v>
      </c>
      <c r="W81" s="24">
        <f t="shared" si="38"/>
        <v>35.899738812454423</v>
      </c>
      <c r="X81" s="24">
        <f t="shared" si="39"/>
        <v>7.6716556189145928</v>
      </c>
      <c r="Y81" s="24">
        <f t="shared" si="40"/>
        <v>1.4460385729746619</v>
      </c>
      <c r="Z81" s="24">
        <f t="shared" si="41"/>
        <v>45.01743300434368</v>
      </c>
      <c r="AA81" s="24">
        <f t="shared" si="42"/>
        <v>41.909334752205922</v>
      </c>
      <c r="AB81" s="254">
        <f t="shared" si="43"/>
        <v>0.9957965087492987</v>
      </c>
      <c r="AD81" s="24">
        <f t="shared" si="44"/>
        <v>35.899738812454423</v>
      </c>
      <c r="AE81" s="24">
        <f t="shared" si="45"/>
        <v>7.5226545022945759</v>
      </c>
      <c r="AF81" s="24">
        <f t="shared" si="46"/>
        <v>1.5644238286848828</v>
      </c>
      <c r="AG81" s="24">
        <f t="shared" si="47"/>
        <v>44.986817143433882</v>
      </c>
      <c r="AH81" s="24">
        <f t="shared" si="48"/>
        <v>41.917681771902181</v>
      </c>
      <c r="AI81" s="254">
        <f t="shared" si="49"/>
        <v>0.99599484005474992</v>
      </c>
    </row>
    <row r="82" spans="3:35" x14ac:dyDescent="0.2">
      <c r="C82" s="24">
        <f>'Final Floorspace Estimates'!U103</f>
        <v>36.49544464986981</v>
      </c>
      <c r="D82" s="24">
        <f>'Final Floorspace Estimates'!V103</f>
        <v>5.0550149657878203</v>
      </c>
      <c r="E82" s="24">
        <f>'Final Floorspace Estimates'!W103</f>
        <v>1.0873973554341922</v>
      </c>
      <c r="F82" s="24">
        <f>'Final Floorspace Estimates'!X103</f>
        <v>42.637856971091821</v>
      </c>
      <c r="H82" s="24">
        <f t="shared" si="26"/>
        <v>36.49544464986981</v>
      </c>
      <c r="I82" s="24">
        <f t="shared" si="27"/>
        <v>7.146770213098387</v>
      </c>
      <c r="J82" s="24">
        <f t="shared" si="28"/>
        <v>1.9178197808585964</v>
      </c>
      <c r="K82" s="24">
        <f t="shared" si="29"/>
        <v>45.560034643826789</v>
      </c>
      <c r="L82" s="24">
        <f t="shared" si="30"/>
        <v>42.438899763211531</v>
      </c>
      <c r="M82" s="254">
        <f t="shared" si="31"/>
        <v>0.99533378968799524</v>
      </c>
      <c r="P82" s="24">
        <f t="shared" si="32"/>
        <v>36.49544464986981</v>
      </c>
      <c r="Q82" s="24">
        <f t="shared" si="33"/>
        <v>7.6978201532989354</v>
      </c>
      <c r="R82" s="24">
        <f t="shared" si="34"/>
        <v>1.3039199988534189</v>
      </c>
      <c r="S82" s="24">
        <f t="shared" si="35"/>
        <v>45.497184802022161</v>
      </c>
      <c r="T82" s="24">
        <f t="shared" si="36"/>
        <v>42.385200110749146</v>
      </c>
      <c r="U82" s="254">
        <f t="shared" si="37"/>
        <v>0.99407435367790709</v>
      </c>
      <c r="W82" s="24">
        <f t="shared" si="38"/>
        <v>36.49544464986981</v>
      </c>
      <c r="X82" s="24">
        <f t="shared" si="39"/>
        <v>7.5595334801978726</v>
      </c>
      <c r="Y82" s="24">
        <f t="shared" si="40"/>
        <v>1.488307243496056</v>
      </c>
      <c r="Z82" s="24">
        <f t="shared" si="41"/>
        <v>45.543285373563734</v>
      </c>
      <c r="AA82" s="24">
        <f t="shared" si="42"/>
        <v>42.398881167919086</v>
      </c>
      <c r="AB82" s="254">
        <f t="shared" si="43"/>
        <v>0.99439522011308501</v>
      </c>
      <c r="AD82" s="24">
        <f t="shared" si="44"/>
        <v>36.49544464986981</v>
      </c>
      <c r="AE82" s="24">
        <f t="shared" si="45"/>
        <v>7.4127100322189543</v>
      </c>
      <c r="AF82" s="24">
        <f t="shared" si="46"/>
        <v>1.6101529790729465</v>
      </c>
      <c r="AG82" s="24">
        <f t="shared" si="47"/>
        <v>45.518307661161714</v>
      </c>
      <c r="AH82" s="24">
        <f t="shared" si="48"/>
        <v>42.41291241504517</v>
      </c>
      <c r="AI82" s="254">
        <f t="shared" si="49"/>
        <v>0.99472429967108422</v>
      </c>
    </row>
    <row r="83" spans="3:35" x14ac:dyDescent="0.2">
      <c r="C83" s="24">
        <f>'Final Floorspace Estimates'!U104</f>
        <v>37.158750836148918</v>
      </c>
      <c r="D83" s="24">
        <f>'Final Floorspace Estimates'!V104</f>
        <v>4.9891869053840461</v>
      </c>
      <c r="E83" s="24">
        <f>'Final Floorspace Estimates'!W104</f>
        <v>1.1175438966451436</v>
      </c>
      <c r="F83" s="24">
        <f>'Final Floorspace Estimates'!X104</f>
        <v>43.265481638178109</v>
      </c>
      <c r="H83" s="24">
        <f t="shared" si="26"/>
        <v>37.158750836148918</v>
      </c>
      <c r="I83" s="24">
        <f t="shared" si="27"/>
        <v>7.0537026308135111</v>
      </c>
      <c r="J83" s="24">
        <f t="shared" si="28"/>
        <v>1.970988599754377</v>
      </c>
      <c r="K83" s="24">
        <f t="shared" si="29"/>
        <v>46.183442066716808</v>
      </c>
      <c r="L83" s="24">
        <f t="shared" si="30"/>
        <v>43.019600048856645</v>
      </c>
      <c r="M83" s="254">
        <f t="shared" si="31"/>
        <v>0.99431691084875173</v>
      </c>
      <c r="P83" s="24">
        <f t="shared" si="32"/>
        <v>37.158750836148918</v>
      </c>
      <c r="Q83" s="24">
        <f t="shared" si="33"/>
        <v>7.5975766182237079</v>
      </c>
      <c r="R83" s="24">
        <f t="shared" si="34"/>
        <v>1.3400693216237713</v>
      </c>
      <c r="S83" s="24">
        <f t="shared" si="35"/>
        <v>46.096396775996396</v>
      </c>
      <c r="T83" s="24">
        <f t="shared" si="36"/>
        <v>42.943426285317337</v>
      </c>
      <c r="U83" s="254">
        <f t="shared" si="37"/>
        <v>0.9925562979847522</v>
      </c>
      <c r="W83" s="24">
        <f t="shared" si="38"/>
        <v>37.158750836148918</v>
      </c>
      <c r="X83" s="24">
        <f t="shared" si="39"/>
        <v>7.4610907594687035</v>
      </c>
      <c r="Y83" s="24">
        <f t="shared" si="40"/>
        <v>1.5295684397150739</v>
      </c>
      <c r="Z83" s="24">
        <f t="shared" si="41"/>
        <v>46.149410035332693</v>
      </c>
      <c r="AA83" s="24">
        <f t="shared" si="42"/>
        <v>42.963157708280498</v>
      </c>
      <c r="AB83" s="254">
        <f t="shared" si="43"/>
        <v>0.9930123526088096</v>
      </c>
      <c r="AD83" s="24">
        <f t="shared" si="44"/>
        <v>37.158750836148918</v>
      </c>
      <c r="AE83" s="24">
        <f t="shared" si="45"/>
        <v>7.3161792945141011</v>
      </c>
      <c r="AF83" s="24">
        <f t="shared" si="46"/>
        <v>1.654792174576762</v>
      </c>
      <c r="AG83" s="24">
        <f t="shared" si="47"/>
        <v>46.129722305239781</v>
      </c>
      <c r="AH83" s="24">
        <f t="shared" si="48"/>
        <v>42.982614521318453</v>
      </c>
      <c r="AI83" s="254">
        <f t="shared" si="49"/>
        <v>0.99346206014241967</v>
      </c>
    </row>
    <row r="84" spans="3:35" x14ac:dyDescent="0.2">
      <c r="C84" s="24">
        <f>'Final Floorspace Estimates'!U105</f>
        <v>37.47211820055545</v>
      </c>
      <c r="D84" s="24">
        <f>'Final Floorspace Estimates'!V105</f>
        <v>5.0495347662940508</v>
      </c>
      <c r="E84" s="24">
        <f>'Final Floorspace Estimates'!W105</f>
        <v>1.1473308261432349</v>
      </c>
      <c r="F84" s="24">
        <f>'Final Floorspace Estimates'!X105</f>
        <v>43.668983792992734</v>
      </c>
      <c r="H84" s="24">
        <f t="shared" si="26"/>
        <v>37.47211820055545</v>
      </c>
      <c r="I84" s="24">
        <f t="shared" si="27"/>
        <v>7.1390223178361607</v>
      </c>
      <c r="J84" s="24">
        <f t="shared" si="28"/>
        <v>2.023523179056963</v>
      </c>
      <c r="K84" s="24">
        <f t="shared" si="29"/>
        <v>46.634663697448573</v>
      </c>
      <c r="L84" s="24">
        <f t="shared" si="30"/>
        <v>43.439910298998498</v>
      </c>
      <c r="M84" s="254">
        <f t="shared" si="31"/>
        <v>0.99475432047880641</v>
      </c>
      <c r="P84" s="24">
        <f t="shared" si="32"/>
        <v>37.47211820055545</v>
      </c>
      <c r="Q84" s="24">
        <f t="shared" si="33"/>
        <v>7.6894748584990689</v>
      </c>
      <c r="R84" s="24">
        <f t="shared" si="34"/>
        <v>1.3757874267698791</v>
      </c>
      <c r="S84" s="24">
        <f t="shared" si="35"/>
        <v>46.5373804858244</v>
      </c>
      <c r="T84" s="24">
        <f t="shared" si="36"/>
        <v>43.354246929890706</v>
      </c>
      <c r="U84" s="254">
        <f t="shared" si="37"/>
        <v>0.99279266802740362</v>
      </c>
      <c r="W84" s="24">
        <f t="shared" si="38"/>
        <v>37.47211820055545</v>
      </c>
      <c r="X84" s="24">
        <f t="shared" si="39"/>
        <v>7.5513381035606724</v>
      </c>
      <c r="Y84" s="24">
        <f t="shared" si="40"/>
        <v>1.5703374398528516</v>
      </c>
      <c r="Z84" s="24">
        <f t="shared" si="41"/>
        <v>46.593793743968973</v>
      </c>
      <c r="AA84" s="24">
        <f t="shared" si="42"/>
        <v>43.376860231075781</v>
      </c>
      <c r="AB84" s="254">
        <f t="shared" si="43"/>
        <v>0.99331050240826013</v>
      </c>
      <c r="AD84" s="24">
        <f t="shared" si="44"/>
        <v>37.47211820055545</v>
      </c>
      <c r="AE84" s="24">
        <f t="shared" si="45"/>
        <v>7.4046738285596252</v>
      </c>
      <c r="AF84" s="24">
        <f t="shared" si="46"/>
        <v>1.6988988785604557</v>
      </c>
      <c r="AG84" s="24">
        <f t="shared" si="47"/>
        <v>46.575690907675529</v>
      </c>
      <c r="AH84" s="24">
        <f t="shared" si="48"/>
        <v>43.398157810312618</v>
      </c>
      <c r="AI84" s="254">
        <f t="shared" si="49"/>
        <v>0.99379820735092139</v>
      </c>
    </row>
    <row r="85" spans="3:35" x14ac:dyDescent="0.2">
      <c r="C85" s="24">
        <f>'Final Floorspace Estimates'!U106</f>
        <v>37.793030994263376</v>
      </c>
      <c r="D85" s="24">
        <f>'Final Floorspace Estimates'!V106</f>
        <v>5.1056579761326315</v>
      </c>
      <c r="E85" s="24">
        <f>'Final Floorspace Estimates'!W106</f>
        <v>1.1695859374704314</v>
      </c>
      <c r="F85" s="24">
        <f>'Final Floorspace Estimates'!X106</f>
        <v>44.068274907866439</v>
      </c>
      <c r="H85" s="24">
        <f t="shared" si="26"/>
        <v>37.793030994263376</v>
      </c>
      <c r="I85" s="24">
        <f t="shared" si="27"/>
        <v>7.2183692014858574</v>
      </c>
      <c r="J85" s="24">
        <f t="shared" si="28"/>
        <v>2.0627740495094344</v>
      </c>
      <c r="K85" s="24">
        <f t="shared" si="29"/>
        <v>47.074174245258668</v>
      </c>
      <c r="L85" s="24">
        <f t="shared" si="30"/>
        <v>43.849311745446123</v>
      </c>
      <c r="M85" s="254">
        <f t="shared" si="31"/>
        <v>0.99503127447402695</v>
      </c>
      <c r="P85" s="24">
        <f t="shared" si="32"/>
        <v>37.793030994263376</v>
      </c>
      <c r="Q85" s="24">
        <f t="shared" si="33"/>
        <v>7.7749397638825721</v>
      </c>
      <c r="R85" s="24">
        <f t="shared" si="34"/>
        <v>1.4024739775428976</v>
      </c>
      <c r="S85" s="24">
        <f t="shared" si="35"/>
        <v>46.970444735688844</v>
      </c>
      <c r="T85" s="24">
        <f t="shared" si="36"/>
        <v>43.75768980160219</v>
      </c>
      <c r="U85" s="254">
        <f t="shared" si="37"/>
        <v>0.99295218369873595</v>
      </c>
      <c r="W85" s="24">
        <f t="shared" si="38"/>
        <v>37.793030994263376</v>
      </c>
      <c r="X85" s="24">
        <f t="shared" si="39"/>
        <v>7.6352676837226179</v>
      </c>
      <c r="Y85" s="24">
        <f t="shared" si="40"/>
        <v>1.6007977340843489</v>
      </c>
      <c r="Z85" s="24">
        <f t="shared" si="41"/>
        <v>47.029096412070345</v>
      </c>
      <c r="AA85" s="24">
        <f t="shared" si="42"/>
        <v>43.782108687473297</v>
      </c>
      <c r="AB85" s="254">
        <f t="shared" si="43"/>
        <v>0.99350629855624184</v>
      </c>
      <c r="AD85" s="24">
        <f t="shared" si="44"/>
        <v>37.793030994263376</v>
      </c>
      <c r="AE85" s="24">
        <f t="shared" si="45"/>
        <v>7.4869733041153701</v>
      </c>
      <c r="AF85" s="24">
        <f t="shared" si="46"/>
        <v>1.7318529165889713</v>
      </c>
      <c r="AG85" s="24">
        <f t="shared" si="47"/>
        <v>47.011857214967712</v>
      </c>
      <c r="AH85" s="24">
        <f t="shared" si="48"/>
        <v>43.804567546089352</v>
      </c>
      <c r="AI85" s="254">
        <f t="shared" si="49"/>
        <v>0.99401593635493057</v>
      </c>
    </row>
    <row r="86" spans="3:35" x14ac:dyDescent="0.2">
      <c r="C86" s="24">
        <f>'Final Floorspace Estimates'!U107</f>
        <v>38.399680357508053</v>
      </c>
      <c r="D86" s="24">
        <f>'Final Floorspace Estimates'!V107</f>
        <v>5.1357419720318997</v>
      </c>
      <c r="E86" s="24">
        <f>'Final Floorspace Estimates'!W107</f>
        <v>1.1445978738313247</v>
      </c>
      <c r="F86" s="24">
        <f>'Final Floorspace Estimates'!X107</f>
        <v>44.680020203371278</v>
      </c>
      <c r="H86" s="24">
        <f t="shared" si="26"/>
        <v>38.399680357508053</v>
      </c>
      <c r="I86" s="24">
        <f t="shared" si="27"/>
        <v>7.2609018956992273</v>
      </c>
      <c r="J86" s="24">
        <f t="shared" si="28"/>
        <v>2.0187031287067101</v>
      </c>
      <c r="K86" s="24">
        <f t="shared" si="29"/>
        <v>47.679285381913992</v>
      </c>
      <c r="L86" s="24">
        <f t="shared" si="30"/>
        <v>44.412969149898906</v>
      </c>
      <c r="M86" s="254">
        <f t="shared" si="31"/>
        <v>0.99402303194455088</v>
      </c>
      <c r="P86" s="24">
        <f t="shared" si="32"/>
        <v>38.399680357508053</v>
      </c>
      <c r="Q86" s="24">
        <f t="shared" si="33"/>
        <v>7.8207519309072957</v>
      </c>
      <c r="R86" s="24">
        <f t="shared" si="34"/>
        <v>1.372510288787518</v>
      </c>
      <c r="S86" s="24">
        <f t="shared" si="35"/>
        <v>47.592942577202869</v>
      </c>
      <c r="T86" s="24">
        <f t="shared" si="36"/>
        <v>44.337609102013687</v>
      </c>
      <c r="U86" s="254">
        <f t="shared" si="37"/>
        <v>0.99233637093718785</v>
      </c>
      <c r="W86" s="24">
        <f t="shared" si="38"/>
        <v>38.399680357508053</v>
      </c>
      <c r="X86" s="24">
        <f t="shared" si="39"/>
        <v>7.6802568629353063</v>
      </c>
      <c r="Y86" s="24">
        <f t="shared" si="40"/>
        <v>1.5665968819954885</v>
      </c>
      <c r="Z86" s="24">
        <f t="shared" si="41"/>
        <v>47.646534102438849</v>
      </c>
      <c r="AA86" s="24">
        <f t="shared" si="42"/>
        <v>44.356917181146976</v>
      </c>
      <c r="AB86" s="254">
        <f t="shared" si="43"/>
        <v>0.99276851217269768</v>
      </c>
      <c r="AD86" s="24">
        <f t="shared" si="44"/>
        <v>38.399680357508053</v>
      </c>
      <c r="AE86" s="24">
        <f t="shared" si="45"/>
        <v>7.5310886904635854</v>
      </c>
      <c r="AF86" s="24">
        <f t="shared" si="46"/>
        <v>1.6948520862037377</v>
      </c>
      <c r="AG86" s="24">
        <f t="shared" si="47"/>
        <v>47.625621134175375</v>
      </c>
      <c r="AH86" s="24">
        <f t="shared" si="48"/>
        <v>44.376458652908354</v>
      </c>
      <c r="AI86" s="254">
        <f t="shared" si="49"/>
        <v>0.99320587705463892</v>
      </c>
    </row>
    <row r="87" spans="3:35" x14ac:dyDescent="0.2">
      <c r="C87" s="24">
        <f>'Final Floorspace Estimates'!U108</f>
        <v>39.031829902655062</v>
      </c>
      <c r="D87" s="24">
        <f>'Final Floorspace Estimates'!V108</f>
        <v>5.1547547880141575</v>
      </c>
      <c r="E87" s="24">
        <f>'Final Floorspace Estimates'!W108</f>
        <v>1.1164275107970778</v>
      </c>
      <c r="F87" s="24">
        <f>'Final Floorspace Estimates'!X108</f>
        <v>45.303012201466302</v>
      </c>
      <c r="H87" s="24">
        <f t="shared" si="26"/>
        <v>39.031829902655062</v>
      </c>
      <c r="I87" s="24">
        <f t="shared" si="27"/>
        <v>7.2877821775280163</v>
      </c>
      <c r="J87" s="24">
        <f t="shared" si="28"/>
        <v>1.9690196535804769</v>
      </c>
      <c r="K87" s="24">
        <f t="shared" si="29"/>
        <v>48.288631733763552</v>
      </c>
      <c r="L87" s="24">
        <f t="shared" si="30"/>
        <v>44.980571631973099</v>
      </c>
      <c r="M87" s="254">
        <f t="shared" si="31"/>
        <v>0.99288257990309159</v>
      </c>
      <c r="P87" s="24">
        <f t="shared" si="32"/>
        <v>39.031829902655062</v>
      </c>
      <c r="Q87" s="24">
        <f t="shared" si="33"/>
        <v>7.8497048101825762</v>
      </c>
      <c r="R87" s="24">
        <f t="shared" si="34"/>
        <v>1.3387306409414472</v>
      </c>
      <c r="S87" s="24">
        <f t="shared" si="35"/>
        <v>48.220265353779084</v>
      </c>
      <c r="T87" s="24">
        <f t="shared" si="36"/>
        <v>44.922023314341658</v>
      </c>
      <c r="U87" s="254">
        <f t="shared" si="37"/>
        <v>0.99159020849584234</v>
      </c>
      <c r="W87" s="24">
        <f t="shared" si="38"/>
        <v>39.031829902655062</v>
      </c>
      <c r="X87" s="24">
        <f t="shared" si="39"/>
        <v>7.7086896212838907</v>
      </c>
      <c r="Y87" s="24">
        <f t="shared" si="40"/>
        <v>1.5280404562820542</v>
      </c>
      <c r="Z87" s="24">
        <f t="shared" si="41"/>
        <v>48.268559980221006</v>
      </c>
      <c r="AA87" s="24">
        <f t="shared" si="42"/>
        <v>44.935997084125717</v>
      </c>
      <c r="AB87" s="254">
        <f t="shared" si="43"/>
        <v>0.99189865972469027</v>
      </c>
      <c r="AD87" s="24">
        <f t="shared" si="44"/>
        <v>39.031829902655062</v>
      </c>
      <c r="AE87" s="24">
        <f t="shared" si="45"/>
        <v>7.5589692195473308</v>
      </c>
      <c r="AF87" s="24">
        <f t="shared" si="46"/>
        <v>1.6531390971712718</v>
      </c>
      <c r="AG87" s="24">
        <f t="shared" si="47"/>
        <v>48.243938219373661</v>
      </c>
      <c r="AH87" s="24">
        <f t="shared" si="48"/>
        <v>44.952592295100345</v>
      </c>
      <c r="AI87" s="254">
        <f t="shared" si="49"/>
        <v>0.99226497556481208</v>
      </c>
    </row>
    <row r="88" spans="3:35" x14ac:dyDescent="0.2">
      <c r="C88" s="24">
        <f>'Final Floorspace Estimates'!U109</f>
        <v>39.748423177983867</v>
      </c>
      <c r="D88" s="24">
        <f>'Final Floorspace Estimates'!V109</f>
        <v>5.149561560802244</v>
      </c>
      <c r="E88" s="24">
        <f>'Final Floorspace Estimates'!W109</f>
        <v>1.1492482968444975</v>
      </c>
      <c r="F88" s="24">
        <f>'Final Floorspace Estimates'!X109</f>
        <v>46.047233035630605</v>
      </c>
      <c r="H88" s="24">
        <f t="shared" si="26"/>
        <v>39.748423177983867</v>
      </c>
      <c r="I88" s="24">
        <f t="shared" si="27"/>
        <v>7.2804400031132719</v>
      </c>
      <c r="J88" s="24">
        <f t="shared" si="28"/>
        <v>2.0269049816903064</v>
      </c>
      <c r="K88" s="24">
        <f t="shared" si="29"/>
        <v>49.055768162787444</v>
      </c>
      <c r="L88" s="24">
        <f t="shared" si="30"/>
        <v>45.695154627147886</v>
      </c>
      <c r="M88" s="254">
        <f t="shared" si="31"/>
        <v>0.99235397253489077</v>
      </c>
      <c r="P88" s="24">
        <f t="shared" si="32"/>
        <v>39.748423177983867</v>
      </c>
      <c r="Q88" s="24">
        <f t="shared" si="33"/>
        <v>7.8417965192352517</v>
      </c>
      <c r="R88" s="24">
        <f t="shared" si="34"/>
        <v>1.3780867043817815</v>
      </c>
      <c r="S88" s="24">
        <f t="shared" si="35"/>
        <v>48.968306401600898</v>
      </c>
      <c r="T88" s="24">
        <f t="shared" si="36"/>
        <v>45.61889872852273</v>
      </c>
      <c r="U88" s="254">
        <f t="shared" si="37"/>
        <v>0.99069793603501788</v>
      </c>
      <c r="W88" s="24">
        <f t="shared" si="38"/>
        <v>39.748423177983867</v>
      </c>
      <c r="X88" s="24">
        <f t="shared" si="39"/>
        <v>7.7009233979899072</v>
      </c>
      <c r="Y88" s="24">
        <f t="shared" si="40"/>
        <v>1.572961858166561</v>
      </c>
      <c r="Z88" s="24">
        <f t="shared" si="41"/>
        <v>49.022308434140335</v>
      </c>
      <c r="AA88" s="24">
        <f t="shared" si="42"/>
        <v>45.637705159555402</v>
      </c>
      <c r="AB88" s="254">
        <f t="shared" si="43"/>
        <v>0.99110635212851295</v>
      </c>
      <c r="AD88" s="24">
        <f t="shared" si="44"/>
        <v>39.748423177983867</v>
      </c>
      <c r="AE88" s="24">
        <f t="shared" si="45"/>
        <v>7.5513538340907331</v>
      </c>
      <c r="AF88" s="24">
        <f t="shared" si="46"/>
        <v>1.7017381545127963</v>
      </c>
      <c r="AG88" s="24">
        <f t="shared" si="47"/>
        <v>49.001515166587396</v>
      </c>
      <c r="AH88" s="24">
        <f t="shared" si="48"/>
        <v>45.658485074529167</v>
      </c>
      <c r="AI88" s="254">
        <f t="shared" si="49"/>
        <v>0.99155762604018727</v>
      </c>
    </row>
    <row r="89" spans="3:35" x14ac:dyDescent="0.2">
      <c r="C89" s="24">
        <f>'Final Floorspace Estimates'!U110</f>
        <v>40.545848697156337</v>
      </c>
      <c r="D89" s="24">
        <f>'Final Floorspace Estimates'!V110</f>
        <v>5.1405861654897285</v>
      </c>
      <c r="E89" s="24">
        <f>'Final Floorspace Estimates'!W110</f>
        <v>1.1815039504159284</v>
      </c>
      <c r="F89" s="24">
        <f>'Final Floorspace Estimates'!X110</f>
        <v>46.867938813061997</v>
      </c>
      <c r="H89" s="24">
        <f t="shared" si="26"/>
        <v>40.545848697156337</v>
      </c>
      <c r="I89" s="24">
        <f t="shared" si="27"/>
        <v>7.2677506068791562</v>
      </c>
      <c r="J89" s="24">
        <f t="shared" si="28"/>
        <v>2.0837935975717676</v>
      </c>
      <c r="K89" s="24">
        <f t="shared" si="29"/>
        <v>49.897392901607262</v>
      </c>
      <c r="L89" s="24">
        <f t="shared" si="30"/>
        <v>46.479123037361838</v>
      </c>
      <c r="M89" s="254">
        <f t="shared" si="31"/>
        <v>0.99170401375552286</v>
      </c>
      <c r="P89" s="24">
        <f t="shared" si="32"/>
        <v>40.545848697156337</v>
      </c>
      <c r="Q89" s="24">
        <f t="shared" si="33"/>
        <v>7.8281287102597865</v>
      </c>
      <c r="R89" s="24">
        <f t="shared" si="34"/>
        <v>1.4167651061248892</v>
      </c>
      <c r="S89" s="24">
        <f t="shared" si="35"/>
        <v>49.790742513541012</v>
      </c>
      <c r="T89" s="24">
        <f t="shared" si="36"/>
        <v>46.385080621634913</v>
      </c>
      <c r="U89" s="254">
        <f t="shared" si="37"/>
        <v>0.98969747329079227</v>
      </c>
      <c r="W89" s="24">
        <f t="shared" si="38"/>
        <v>40.545848697156337</v>
      </c>
      <c r="X89" s="24">
        <f t="shared" si="39"/>
        <v>7.6875011229180865</v>
      </c>
      <c r="Y89" s="24">
        <f t="shared" si="40"/>
        <v>1.6171097702560577</v>
      </c>
      <c r="Z89" s="24">
        <f t="shared" si="41"/>
        <v>49.85045959033048</v>
      </c>
      <c r="AA89" s="24">
        <f t="shared" si="42"/>
        <v>46.40867901821256</v>
      </c>
      <c r="AB89" s="254">
        <f t="shared" si="43"/>
        <v>0.99020098159892955</v>
      </c>
      <c r="AD89" s="24">
        <f t="shared" si="44"/>
        <v>40.545848697156337</v>
      </c>
      <c r="AE89" s="24">
        <f t="shared" si="45"/>
        <v>7.5381922503315346</v>
      </c>
      <c r="AF89" s="24">
        <f t="shared" si="46"/>
        <v>1.7495003974780152</v>
      </c>
      <c r="AG89" s="24">
        <f t="shared" si="47"/>
        <v>49.833541344965887</v>
      </c>
      <c r="AH89" s="24">
        <f t="shared" si="48"/>
        <v>46.433747935646068</v>
      </c>
      <c r="AI89" s="254">
        <f t="shared" si="49"/>
        <v>0.99073586574507255</v>
      </c>
    </row>
    <row r="90" spans="3:35" x14ac:dyDescent="0.2">
      <c r="C90" s="24">
        <f>'Final Floorspace Estimates'!U111</f>
        <v>40.88116520955726</v>
      </c>
      <c r="D90" s="24">
        <f>'Final Floorspace Estimates'!V111</f>
        <v>5.255786131080864</v>
      </c>
      <c r="E90" s="24">
        <f>'Final Floorspace Estimates'!W111</f>
        <v>1.1850600534872788</v>
      </c>
      <c r="F90" s="24">
        <f>'Final Floorspace Estimates'!X111</f>
        <v>47.322011394125397</v>
      </c>
      <c r="H90" s="24">
        <f t="shared" si="26"/>
        <v>40.88116520955726</v>
      </c>
      <c r="I90" s="24">
        <f t="shared" si="27"/>
        <v>7.4306200915807459</v>
      </c>
      <c r="J90" s="24">
        <f t="shared" si="28"/>
        <v>2.0900654215549013</v>
      </c>
      <c r="K90" s="24">
        <f t="shared" si="29"/>
        <v>50.401850722692906</v>
      </c>
      <c r="L90" s="24">
        <f t="shared" si="30"/>
        <v>46.949022480397545</v>
      </c>
      <c r="M90" s="254">
        <f t="shared" si="31"/>
        <v>0.99211806720087647</v>
      </c>
      <c r="P90" s="24">
        <f t="shared" si="32"/>
        <v>40.88116520955726</v>
      </c>
      <c r="Q90" s="24">
        <f t="shared" si="33"/>
        <v>8.0035562060809742</v>
      </c>
      <c r="R90" s="24">
        <f t="shared" si="34"/>
        <v>1.4210293007079875</v>
      </c>
      <c r="S90" s="24">
        <f t="shared" si="35"/>
        <v>50.305750716346218</v>
      </c>
      <c r="T90" s="24">
        <f t="shared" si="36"/>
        <v>46.864862520879058</v>
      </c>
      <c r="U90" s="254">
        <f t="shared" si="37"/>
        <v>0.99033961448851071</v>
      </c>
      <c r="W90" s="24">
        <f t="shared" si="38"/>
        <v>40.88116520955726</v>
      </c>
      <c r="X90" s="24">
        <f t="shared" si="39"/>
        <v>7.8597771701103838</v>
      </c>
      <c r="Y90" s="24">
        <f t="shared" si="40"/>
        <v>1.6219769643256958</v>
      </c>
      <c r="Z90" s="24">
        <f t="shared" si="41"/>
        <v>50.36291934399334</v>
      </c>
      <c r="AA90" s="24">
        <f t="shared" si="42"/>
        <v>46.88575747271301</v>
      </c>
      <c r="AB90" s="254">
        <f t="shared" si="43"/>
        <v>0.99078116274942307</v>
      </c>
      <c r="AD90" s="24">
        <f t="shared" si="44"/>
        <v>40.88116520955726</v>
      </c>
      <c r="AE90" s="24">
        <f t="shared" si="45"/>
        <v>7.7071223022558426</v>
      </c>
      <c r="AF90" s="24">
        <f t="shared" si="46"/>
        <v>1.7547660622560386</v>
      </c>
      <c r="AG90" s="24">
        <f t="shared" si="47"/>
        <v>50.343053574069138</v>
      </c>
      <c r="AH90" s="24">
        <f t="shared" si="48"/>
        <v>46.908499714825005</v>
      </c>
      <c r="AI90" s="254">
        <f t="shared" si="49"/>
        <v>0.9912617476071246</v>
      </c>
    </row>
    <row r="91" spans="3:35" x14ac:dyDescent="0.2">
      <c r="C91" s="24">
        <f>'Final Floorspace Estimates'!U112</f>
        <v>40.927666208147215</v>
      </c>
      <c r="D91" s="24">
        <f>'Final Floorspace Estimates'!V112</f>
        <v>5.3602430478764393</v>
      </c>
      <c r="E91" s="24">
        <f>'Final Floorspace Estimates'!W112</f>
        <v>1.1874138781345633</v>
      </c>
      <c r="F91" s="24">
        <f>'Final Floorspace Estimates'!X112</f>
        <v>47.475323134158216</v>
      </c>
      <c r="H91" s="24">
        <f t="shared" si="26"/>
        <v>40.927666208147215</v>
      </c>
      <c r="I91" s="24">
        <f t="shared" si="27"/>
        <v>7.5783010750316757</v>
      </c>
      <c r="J91" s="24">
        <f t="shared" si="28"/>
        <v>2.0942168124394525</v>
      </c>
      <c r="K91" s="24">
        <f t="shared" si="29"/>
        <v>50.600184095618346</v>
      </c>
      <c r="L91" s="24">
        <f t="shared" si="30"/>
        <v>47.133768830989332</v>
      </c>
      <c r="M91" s="254">
        <f t="shared" si="31"/>
        <v>0.99280564553075912</v>
      </c>
      <c r="P91" s="24">
        <f t="shared" si="32"/>
        <v>40.927666208147215</v>
      </c>
      <c r="Q91" s="24">
        <f t="shared" si="33"/>
        <v>8.1626240950392681</v>
      </c>
      <c r="R91" s="24">
        <f t="shared" si="34"/>
        <v>1.423851819096551</v>
      </c>
      <c r="S91" s="24">
        <f t="shared" si="35"/>
        <v>50.514142122283033</v>
      </c>
      <c r="T91" s="24">
        <f t="shared" si="36"/>
        <v>47.059000058848213</v>
      </c>
      <c r="U91" s="254">
        <f t="shared" si="37"/>
        <v>0.99123074793754351</v>
      </c>
      <c r="W91" s="24">
        <f t="shared" si="38"/>
        <v>40.927666208147215</v>
      </c>
      <c r="X91" s="24">
        <f t="shared" si="39"/>
        <v>8.0159875008608754</v>
      </c>
      <c r="Y91" s="24">
        <f t="shared" si="40"/>
        <v>1.6251986148612301</v>
      </c>
      <c r="Z91" s="24">
        <f t="shared" si="41"/>
        <v>50.568852323869322</v>
      </c>
      <c r="AA91" s="24">
        <f t="shared" si="42"/>
        <v>47.077472406554506</v>
      </c>
      <c r="AB91" s="254">
        <f t="shared" si="43"/>
        <v>0.99161984160740846</v>
      </c>
      <c r="AD91" s="24">
        <f t="shared" si="44"/>
        <v>40.927666208147215</v>
      </c>
      <c r="AE91" s="24">
        <f t="shared" si="45"/>
        <v>7.8602986707346147</v>
      </c>
      <c r="AF91" s="24">
        <f t="shared" si="46"/>
        <v>1.7582514650382874</v>
      </c>
      <c r="AG91" s="24">
        <f t="shared" si="47"/>
        <v>50.546216343920115</v>
      </c>
      <c r="AH91" s="24">
        <f t="shared" si="48"/>
        <v>47.097802112177519</v>
      </c>
      <c r="AI91" s="254">
        <f t="shared" si="49"/>
        <v>0.99204805787390049</v>
      </c>
    </row>
    <row r="92" spans="3:35" x14ac:dyDescent="0.2">
      <c r="C92" s="24">
        <f>'Final Floorspace Estimates'!U113</f>
        <v>41.215032624572032</v>
      </c>
      <c r="D92" s="24">
        <f>'Final Floorspace Estimates'!V113</f>
        <v>5.4045958308915072</v>
      </c>
      <c r="E92" s="24">
        <f>'Final Floorspace Estimates'!W113</f>
        <v>1.1217106095995508</v>
      </c>
      <c r="F92" s="24">
        <f>'Final Floorspace Estimates'!X113</f>
        <v>47.741339065063094</v>
      </c>
      <c r="H92" s="24">
        <f t="shared" si="26"/>
        <v>41.215032624572032</v>
      </c>
      <c r="I92" s="24">
        <f t="shared" si="27"/>
        <v>7.6410069523961166</v>
      </c>
      <c r="J92" s="24">
        <f t="shared" si="28"/>
        <v>1.9783373435095346</v>
      </c>
      <c r="K92" s="24">
        <f t="shared" si="29"/>
        <v>50.834376920477688</v>
      </c>
      <c r="L92" s="24">
        <f t="shared" si="30"/>
        <v>47.351918046571981</v>
      </c>
      <c r="M92" s="254">
        <f t="shared" si="31"/>
        <v>0.99184310649602014</v>
      </c>
      <c r="P92" s="24">
        <f t="shared" si="32"/>
        <v>41.215032624572032</v>
      </c>
      <c r="Q92" s="24">
        <f t="shared" si="33"/>
        <v>8.2301648934857621</v>
      </c>
      <c r="R92" s="24">
        <f t="shared" si="34"/>
        <v>1.3450657107758892</v>
      </c>
      <c r="S92" s="24">
        <f t="shared" si="35"/>
        <v>50.790263228833687</v>
      </c>
      <c r="T92" s="24">
        <f t="shared" si="36"/>
        <v>47.316234619774953</v>
      </c>
      <c r="U92" s="254">
        <f t="shared" si="37"/>
        <v>0.99109567402982146</v>
      </c>
      <c r="W92" s="24">
        <f t="shared" si="38"/>
        <v>41.215032624572032</v>
      </c>
      <c r="X92" s="24">
        <f t="shared" si="39"/>
        <v>8.0823149698024235</v>
      </c>
      <c r="Y92" s="24">
        <f t="shared" si="40"/>
        <v>1.5352713679414691</v>
      </c>
      <c r="Z92" s="24">
        <f t="shared" si="41"/>
        <v>50.832618962315927</v>
      </c>
      <c r="AA92" s="24">
        <f t="shared" si="42"/>
        <v>47.323028041547204</v>
      </c>
      <c r="AB92" s="254">
        <f t="shared" si="43"/>
        <v>0.99123797045269701</v>
      </c>
      <c r="AD92" s="24">
        <f t="shared" si="44"/>
        <v>41.215032624572032</v>
      </c>
      <c r="AE92" s="24">
        <f t="shared" si="45"/>
        <v>7.9253379083704587</v>
      </c>
      <c r="AF92" s="24">
        <f t="shared" si="46"/>
        <v>1.6609619939559912</v>
      </c>
      <c r="AG92" s="24">
        <f t="shared" si="47"/>
        <v>50.801332526898484</v>
      </c>
      <c r="AH92" s="24">
        <f t="shared" si="48"/>
        <v>47.335513505247491</v>
      </c>
      <c r="AI92" s="254">
        <f t="shared" si="49"/>
        <v>0.9914994935675655</v>
      </c>
    </row>
    <row r="93" spans="3:35" x14ac:dyDescent="0.2">
      <c r="C93" s="24">
        <f>'Final Floorspace Estimates'!U114</f>
        <v>41.312145700038862</v>
      </c>
      <c r="D93" s="24">
        <f>'Final Floorspace Estimates'!V114</f>
        <v>5.4391569702738316</v>
      </c>
      <c r="E93" s="24">
        <f>'Final Floorspace Estimates'!W114</f>
        <v>1.0552032719349693</v>
      </c>
      <c r="F93" s="24">
        <f>'Final Floorspace Estimates'!X114</f>
        <v>47.806505942247668</v>
      </c>
      <c r="H93" s="24">
        <f t="shared" si="26"/>
        <v>41.312145700038862</v>
      </c>
      <c r="I93" s="24">
        <f t="shared" si="27"/>
        <v>7.6898694232572371</v>
      </c>
      <c r="J93" s="24">
        <f t="shared" si="28"/>
        <v>1.8610397548148787</v>
      </c>
      <c r="K93" s="24">
        <f t="shared" si="29"/>
        <v>50.863054878110972</v>
      </c>
      <c r="L93" s="24">
        <f t="shared" si="30"/>
        <v>47.378631392576366</v>
      </c>
      <c r="M93" s="254">
        <f t="shared" si="31"/>
        <v>0.99104986776929083</v>
      </c>
      <c r="P93" s="24">
        <f t="shared" si="32"/>
        <v>41.312145700038862</v>
      </c>
      <c r="Q93" s="24">
        <f t="shared" si="33"/>
        <v>8.2827948930127295</v>
      </c>
      <c r="R93" s="24">
        <f t="shared" si="34"/>
        <v>1.2653154270199405</v>
      </c>
      <c r="S93" s="24">
        <f t="shared" si="35"/>
        <v>50.860256020071532</v>
      </c>
      <c r="T93" s="24">
        <f t="shared" si="36"/>
        <v>47.381439939089432</v>
      </c>
      <c r="U93" s="254">
        <f t="shared" si="37"/>
        <v>0.99110861597641686</v>
      </c>
      <c r="W93" s="24">
        <f t="shared" si="38"/>
        <v>41.312145700038862</v>
      </c>
      <c r="X93" s="24">
        <f t="shared" si="39"/>
        <v>8.1339995032890116</v>
      </c>
      <c r="Y93" s="24">
        <f t="shared" si="40"/>
        <v>1.4442436015990439</v>
      </c>
      <c r="Z93" s="24">
        <f t="shared" si="41"/>
        <v>50.890388804926914</v>
      </c>
      <c r="AA93" s="24">
        <f t="shared" si="42"/>
        <v>47.376809332726836</v>
      </c>
      <c r="AB93" s="254">
        <f t="shared" si="43"/>
        <v>0.99101175454989487</v>
      </c>
      <c r="AD93" s="24">
        <f t="shared" si="44"/>
        <v>41.312145700038862</v>
      </c>
      <c r="AE93" s="24">
        <f t="shared" si="45"/>
        <v>7.9760186098833472</v>
      </c>
      <c r="AF93" s="24">
        <f t="shared" si="46"/>
        <v>1.5624819053888483</v>
      </c>
      <c r="AG93" s="24">
        <f t="shared" si="47"/>
        <v>50.850646215311059</v>
      </c>
      <c r="AH93" s="24">
        <f t="shared" si="48"/>
        <v>47.381462866174409</v>
      </c>
      <c r="AI93" s="254">
        <f t="shared" si="49"/>
        <v>0.99110909555727145</v>
      </c>
    </row>
    <row r="94" spans="3:35" x14ac:dyDescent="0.2">
      <c r="C94" s="24">
        <f>'Final Floorspace Estimates'!U115</f>
        <v>41.390484067016807</v>
      </c>
      <c r="D94" s="24">
        <f>'Final Floorspace Estimates'!V115</f>
        <v>5.5202835216759851</v>
      </c>
      <c r="E94" s="24">
        <f>'Final Floorspace Estimates'!W115</f>
        <v>1.0801293915767685</v>
      </c>
      <c r="F94" s="24">
        <f>'Final Floorspace Estimates'!X115</f>
        <v>47.990896980269561</v>
      </c>
      <c r="H94" s="24">
        <f t="shared" si="26"/>
        <v>41.390484067016807</v>
      </c>
      <c r="I94" s="24">
        <f t="shared" si="27"/>
        <v>7.8045659820164746</v>
      </c>
      <c r="J94" s="24">
        <f t="shared" si="28"/>
        <v>1.9050014262960482</v>
      </c>
      <c r="K94" s="24">
        <f t="shared" si="29"/>
        <v>51.10005147532933</v>
      </c>
      <c r="L94" s="24">
        <f t="shared" si="30"/>
        <v>47.599392305341276</v>
      </c>
      <c r="M94" s="254">
        <f t="shared" si="31"/>
        <v>0.99184210549160512</v>
      </c>
      <c r="P94" s="24">
        <f t="shared" si="32"/>
        <v>41.390484067016807</v>
      </c>
      <c r="Q94" s="24">
        <f t="shared" si="33"/>
        <v>8.4063351014152214</v>
      </c>
      <c r="R94" s="24">
        <f t="shared" si="34"/>
        <v>1.2952048374845972</v>
      </c>
      <c r="S94" s="24">
        <f t="shared" si="35"/>
        <v>51.092024005916628</v>
      </c>
      <c r="T94" s="24">
        <f t="shared" si="36"/>
        <v>47.597355110589739</v>
      </c>
      <c r="U94" s="254">
        <f t="shared" si="37"/>
        <v>0.99179965588387275</v>
      </c>
      <c r="W94" s="24">
        <f t="shared" si="38"/>
        <v>41.390484067016807</v>
      </c>
      <c r="X94" s="24">
        <f t="shared" si="39"/>
        <v>8.2553203867301548</v>
      </c>
      <c r="Y94" s="24">
        <f t="shared" si="40"/>
        <v>1.4783596717087841</v>
      </c>
      <c r="Z94" s="24">
        <f t="shared" si="41"/>
        <v>51.124164125455749</v>
      </c>
      <c r="AA94" s="24">
        <f t="shared" si="42"/>
        <v>47.594444313466454</v>
      </c>
      <c r="AB94" s="254">
        <f t="shared" si="43"/>
        <v>0.99173900277450322</v>
      </c>
      <c r="AD94" s="24">
        <f t="shared" si="44"/>
        <v>41.390484067016807</v>
      </c>
      <c r="AE94" s="24">
        <f t="shared" si="45"/>
        <v>8.0949831640000216</v>
      </c>
      <c r="AF94" s="24">
        <f t="shared" si="46"/>
        <v>1.5993910128070339</v>
      </c>
      <c r="AG94" s="24">
        <f t="shared" si="47"/>
        <v>51.084858243823859</v>
      </c>
      <c r="AH94" s="24">
        <f t="shared" si="48"/>
        <v>47.599696248790686</v>
      </c>
      <c r="AI94" s="254">
        <f t="shared" si="49"/>
        <v>0.99184843884789842</v>
      </c>
    </row>
    <row r="95" spans="3:35" x14ac:dyDescent="0.2">
      <c r="C95" s="24"/>
      <c r="D95" s="24"/>
      <c r="E95" s="24"/>
      <c r="F95" s="24"/>
      <c r="H95" s="24"/>
      <c r="I95" s="24"/>
      <c r="J95" s="24"/>
      <c r="K95" s="24"/>
      <c r="L95" s="24"/>
      <c r="M95" s="23"/>
    </row>
    <row r="96" spans="3:35" x14ac:dyDescent="0.2">
      <c r="C96" s="24"/>
      <c r="D96" s="24"/>
      <c r="E96" s="24"/>
      <c r="F96" s="24" t="s">
        <v>411</v>
      </c>
      <c r="H96" s="24">
        <f>RECS_intensity_data!U181</f>
        <v>22.881985054191091</v>
      </c>
      <c r="I96" s="24">
        <f>RECS_intensity_data!V181</f>
        <v>33.293971245008407</v>
      </c>
      <c r="J96" s="24">
        <f>RECS_intensity_data!W181</f>
        <v>47.306884577797192</v>
      </c>
      <c r="K96" s="24"/>
      <c r="L96" s="24"/>
      <c r="M96" s="23"/>
      <c r="P96">
        <f>RECS_intensity_data!U169</f>
        <v>22.661008789377448</v>
      </c>
      <c r="Q96">
        <f>RECS_intensity_data!V169</f>
        <v>15.186769495732335</v>
      </c>
      <c r="R96">
        <f>RECS_intensity_data!W169</f>
        <v>19.048102634479022</v>
      </c>
      <c r="W96" s="23">
        <f>H96+P96</f>
        <v>45.542993843568539</v>
      </c>
      <c r="X96" s="23">
        <f>I96+Q96</f>
        <v>48.480740740740742</v>
      </c>
      <c r="Y96" s="23">
        <f>J96+R96</f>
        <v>66.354987212276214</v>
      </c>
      <c r="AD96">
        <f>$AK$33*H96+P96</f>
        <v>95.883360962788942</v>
      </c>
      <c r="AE96">
        <f>$AK$33*I96+Q96</f>
        <v>121.72747747975924</v>
      </c>
      <c r="AF96">
        <f>$AK$33*J96+R96</f>
        <v>170.43013328343005</v>
      </c>
    </row>
    <row r="97" spans="1:35" x14ac:dyDescent="0.2">
      <c r="C97" s="24"/>
      <c r="D97" s="24"/>
      <c r="E97" s="24"/>
      <c r="F97" s="24"/>
      <c r="H97" s="24">
        <f>1</f>
        <v>1</v>
      </c>
      <c r="I97" s="24">
        <f>I96/H96</f>
        <v>1.4550298484226238</v>
      </c>
      <c r="J97" s="24">
        <f>J96/I96</f>
        <v>1.4208844066593489</v>
      </c>
      <c r="K97" s="24"/>
      <c r="L97" s="24">
        <f>F99/K99</f>
        <v>0.93032868490500864</v>
      </c>
      <c r="M97" s="23"/>
      <c r="P97">
        <f>1</f>
        <v>1</v>
      </c>
      <c r="Q97">
        <f>Q96/P96</f>
        <v>0.67017181966105899</v>
      </c>
      <c r="R97">
        <f>R96/Q96</f>
        <v>1.2542563867734853</v>
      </c>
      <c r="T97">
        <f>F99/S99</f>
        <v>1.0288675914173555</v>
      </c>
      <c r="W97">
        <f>1</f>
        <v>1</v>
      </c>
      <c r="X97">
        <f>X96/W96</f>
        <v>1.0645049139119576</v>
      </c>
      <c r="Y97">
        <f>Y96/X96</f>
        <v>1.3686875695056133</v>
      </c>
      <c r="AA97">
        <f>F99/Z99</f>
        <v>0.96220024522335057</v>
      </c>
      <c r="AD97">
        <f>1</f>
        <v>1</v>
      </c>
      <c r="AE97">
        <f>AE96/AD96</f>
        <v>1.2695370318422616</v>
      </c>
      <c r="AF97">
        <f>AF96/AE96</f>
        <v>1.4000958272693118</v>
      </c>
      <c r="AH97">
        <f>F99/AG99</f>
        <v>0.95108535866760602</v>
      </c>
    </row>
    <row r="98" spans="1:35" x14ac:dyDescent="0.2">
      <c r="C98" s="24"/>
      <c r="D98" s="24"/>
      <c r="E98" s="24"/>
      <c r="F98" s="24"/>
      <c r="H98" s="24"/>
      <c r="I98" s="24"/>
      <c r="J98" s="24"/>
      <c r="K98" s="24"/>
      <c r="L98" s="24"/>
      <c r="M98" s="23"/>
    </row>
    <row r="99" spans="1:35" x14ac:dyDescent="0.2">
      <c r="A99" t="s">
        <v>22</v>
      </c>
      <c r="C99" s="24">
        <f>'Final Floorspace Estimates'!U131</f>
        <v>36.221721054991797</v>
      </c>
      <c r="D99" s="24">
        <f>'Final Floorspace Estimates'!V131</f>
        <v>5.2776579356864595</v>
      </c>
      <c r="E99" s="24">
        <f>'Final Floorspace Estimates'!W131</f>
        <v>2.0415063983640902</v>
      </c>
      <c r="F99" s="24">
        <f>'Final Floorspace Estimates'!X131</f>
        <v>43.540885389042344</v>
      </c>
      <c r="H99" s="24">
        <f>H$7*C99</f>
        <v>36.221721054991797</v>
      </c>
      <c r="I99" s="24">
        <f>I$97*D99</f>
        <v>7.6791498261883273</v>
      </c>
      <c r="J99" s="24">
        <f>J$97*E99</f>
        <v>2.9007446075308247</v>
      </c>
      <c r="K99" s="24">
        <f>SUM(H99:J99)</f>
        <v>46.801615488710951</v>
      </c>
      <c r="L99" s="24">
        <f>K99*L$97</f>
        <v>43.540885389042344</v>
      </c>
      <c r="M99" s="254">
        <f>L99/F99</f>
        <v>1</v>
      </c>
      <c r="P99" s="24">
        <f>P$7*C99</f>
        <v>36.221721054991797</v>
      </c>
      <c r="Q99" s="24">
        <f>Q$97*D99</f>
        <v>3.5369376223076228</v>
      </c>
      <c r="R99" s="24">
        <f>R$97*E99</f>
        <v>2.5605724387870952</v>
      </c>
      <c r="S99" s="24">
        <f>SUM(P99:R99)</f>
        <v>42.31923111608652</v>
      </c>
      <c r="T99" s="24">
        <f>S99*T$97</f>
        <v>43.540885389042344</v>
      </c>
      <c r="U99" s="254">
        <f>T99/F99</f>
        <v>1</v>
      </c>
      <c r="W99" s="24">
        <f>W$37*C99</f>
        <v>36.221721054991797</v>
      </c>
      <c r="X99" s="24">
        <f>X$127*D99</f>
        <v>5.6756613538315266</v>
      </c>
      <c r="Y99" s="24">
        <f>Y$127*E99</f>
        <v>3.3539939083126367</v>
      </c>
      <c r="Z99" s="24">
        <f>SUM(W99:Y99)</f>
        <v>45.251376317135964</v>
      </c>
      <c r="AA99" s="24">
        <f>Z99*AA$97</f>
        <v>43.540885389042344</v>
      </c>
      <c r="AB99" s="254">
        <f>AA99/F99</f>
        <v>1</v>
      </c>
      <c r="AD99" s="24">
        <f>AD$37*C99</f>
        <v>36.221721054991797</v>
      </c>
      <c r="AE99" s="24">
        <f>AE$97*D99</f>
        <v>6.7001821907501453</v>
      </c>
      <c r="AF99" s="24">
        <f>AF$97*E99</f>
        <v>2.858304589693164</v>
      </c>
      <c r="AG99" s="24">
        <f>SUM(AD99:AF99)</f>
        <v>45.780207835435107</v>
      </c>
      <c r="AH99" s="24">
        <f>AG99*AH$97</f>
        <v>43.540885389042344</v>
      </c>
      <c r="AI99" s="254">
        <f>AH99/F99</f>
        <v>1</v>
      </c>
    </row>
    <row r="100" spans="1:35" x14ac:dyDescent="0.2">
      <c r="C100" s="24">
        <f>'Final Floorspace Estimates'!U132</f>
        <v>37.158376195637715</v>
      </c>
      <c r="D100" s="24">
        <f>'Final Floorspace Estimates'!V132</f>
        <v>5.4415805847631677</v>
      </c>
      <c r="E100" s="24">
        <f>'Final Floorspace Estimates'!W132</f>
        <v>2.166751417158618</v>
      </c>
      <c r="F100" s="24">
        <f>'Final Floorspace Estimates'!X132</f>
        <v>44.766708197559495</v>
      </c>
      <c r="H100" s="24">
        <f t="shared" ref="H100:H124" si="50">H$7*C100</f>
        <v>37.158376195637715</v>
      </c>
      <c r="I100" s="24">
        <f t="shared" ref="I100:I124" si="51">I$97*D100</f>
        <v>7.9176621734274448</v>
      </c>
      <c r="J100" s="24">
        <f t="shared" ref="J100:J124" si="52">J$97*E100</f>
        <v>3.0787033017477263</v>
      </c>
      <c r="K100" s="24">
        <f t="shared" ref="K100:K124" si="53">SUM(H100:J100)</f>
        <v>48.154741670812882</v>
      </c>
      <c r="L100" s="24">
        <f t="shared" ref="L100:L124" si="54">K100*L$97</f>
        <v>44.79973749054777</v>
      </c>
      <c r="M100" s="254">
        <f t="shared" ref="M100:M124" si="55">L100/F100</f>
        <v>1.0007378092854742</v>
      </c>
      <c r="P100" s="24">
        <f t="shared" ref="P100:P124" si="56">P$7*C100</f>
        <v>37.158376195637715</v>
      </c>
      <c r="Q100" s="24">
        <f t="shared" ref="Q100:Q124" si="57">Q$97*D100</f>
        <v>3.6467939623230214</v>
      </c>
      <c r="R100" s="24">
        <f t="shared" ref="R100:R124" si="58">R$97*E100</f>
        <v>2.7176618035216968</v>
      </c>
      <c r="S100" s="24">
        <f t="shared" ref="S100:S124" si="59">SUM(P100:R100)</f>
        <v>43.522831961482439</v>
      </c>
      <c r="T100" s="24">
        <f t="shared" ref="T100:T124" si="60">S100*T$97</f>
        <v>44.779231291872733</v>
      </c>
      <c r="U100" s="254">
        <f t="shared" ref="U100:U124" si="61">T100/F100</f>
        <v>1.0002797412366791</v>
      </c>
      <c r="W100" s="24">
        <f t="shared" ref="W100:W124" si="62">W$37*C100</f>
        <v>37.158376195637715</v>
      </c>
      <c r="X100" s="24">
        <f t="shared" ref="X100:X124" si="63">X$127*D100</f>
        <v>5.8519458830147064</v>
      </c>
      <c r="Y100" s="24">
        <f t="shared" ref="Y100:Y124" si="64">Y$127*E100</f>
        <v>3.5597591365871897</v>
      </c>
      <c r="Z100" s="24">
        <f t="shared" ref="Z100:Z124" si="65">SUM(W100:Y100)</f>
        <v>46.570081215239611</v>
      </c>
      <c r="AA100" s="24">
        <f t="shared" ref="AA100:AA124" si="66">Z100*AA$97</f>
        <v>44.809743565374909</v>
      </c>
      <c r="AB100" s="254">
        <f t="shared" ref="AB100:AB124" si="67">AA100/F100</f>
        <v>1.0009613252693383</v>
      </c>
      <c r="AD100" s="24">
        <f t="shared" ref="AD100:AD124" si="68">AD$37*C100</f>
        <v>37.158376195637715</v>
      </c>
      <c r="AE100" s="24">
        <f t="shared" ref="AE100:AE124" si="69">AE$97*D100</f>
        <v>6.9082880641107103</v>
      </c>
      <c r="AF100" s="24">
        <f t="shared" ref="AF100:AF124" si="70">AF$97*E100</f>
        <v>3.0336596178936488</v>
      </c>
      <c r="AG100" s="24">
        <f t="shared" ref="AG100:AG124" si="71">SUM(AD100:AF100)</f>
        <v>47.100323877642069</v>
      </c>
      <c r="AH100" s="24">
        <f t="shared" ref="AH100:AH124" si="72">AG100*AH$97</f>
        <v>44.796428428527612</v>
      </c>
      <c r="AI100" s="254">
        <f t="shared" ref="AI100:AI124" si="73">AH100/F100</f>
        <v>1.0006638913640233</v>
      </c>
    </row>
    <row r="101" spans="1:35" x14ac:dyDescent="0.2">
      <c r="C101" s="24">
        <f>'Final Floorspace Estimates'!U133</f>
        <v>38.479466441302151</v>
      </c>
      <c r="D101" s="24">
        <f>'Final Floorspace Estimates'!V133</f>
        <v>5.5738409133801277</v>
      </c>
      <c r="E101" s="24">
        <f>'Final Floorspace Estimates'!W133</f>
        <v>2.2706782189030279</v>
      </c>
      <c r="F101" s="24">
        <f>'Final Floorspace Estimates'!X133</f>
        <v>46.323985573585304</v>
      </c>
      <c r="H101" s="24">
        <f t="shared" si="50"/>
        <v>38.479466441302151</v>
      </c>
      <c r="I101" s="24">
        <f t="shared" si="51"/>
        <v>8.1101048993273057</v>
      </c>
      <c r="J101" s="24">
        <f t="shared" si="52"/>
        <v>3.2263712737803361</v>
      </c>
      <c r="K101" s="24">
        <f t="shared" si="53"/>
        <v>49.815942614409792</v>
      </c>
      <c r="L101" s="24">
        <f t="shared" si="54"/>
        <v>46.345200379767242</v>
      </c>
      <c r="M101" s="254">
        <f t="shared" si="55"/>
        <v>1.0004579659094366</v>
      </c>
      <c r="P101" s="24">
        <f t="shared" si="56"/>
        <v>38.479466441302151</v>
      </c>
      <c r="Q101" s="24">
        <f t="shared" si="57"/>
        <v>3.7354311074212192</v>
      </c>
      <c r="R101" s="24">
        <f t="shared" si="58"/>
        <v>2.848012658366565</v>
      </c>
      <c r="S101" s="24">
        <f t="shared" si="59"/>
        <v>45.062910207089935</v>
      </c>
      <c r="T101" s="24">
        <f t="shared" si="60"/>
        <v>46.363767887025183</v>
      </c>
      <c r="U101" s="254">
        <f t="shared" si="61"/>
        <v>1.0008587843413579</v>
      </c>
      <c r="W101" s="24">
        <f t="shared" si="62"/>
        <v>38.479466441302151</v>
      </c>
      <c r="X101" s="24">
        <f t="shared" si="63"/>
        <v>5.9941803447634472</v>
      </c>
      <c r="Y101" s="24">
        <f t="shared" si="64"/>
        <v>3.7305006342579707</v>
      </c>
      <c r="Z101" s="24">
        <f t="shared" si="65"/>
        <v>48.204147420323572</v>
      </c>
      <c r="AA101" s="24">
        <f t="shared" si="66"/>
        <v>46.382042468617882</v>
      </c>
      <c r="AB101" s="254">
        <f t="shared" si="67"/>
        <v>1.0012532793608693</v>
      </c>
      <c r="AD101" s="24">
        <f t="shared" si="68"/>
        <v>38.479466441302151</v>
      </c>
      <c r="AE101" s="24">
        <f t="shared" si="69"/>
        <v>7.0761974491335682</v>
      </c>
      <c r="AF101" s="24">
        <f t="shared" si="70"/>
        <v>3.1791670993574423</v>
      </c>
      <c r="AG101" s="24">
        <f t="shared" si="71"/>
        <v>48.73483098979316</v>
      </c>
      <c r="AH101" s="24">
        <f t="shared" si="72"/>
        <v>46.350984211532591</v>
      </c>
      <c r="AI101" s="254">
        <f t="shared" si="73"/>
        <v>1.0005828220005897</v>
      </c>
    </row>
    <row r="102" spans="1:35" x14ac:dyDescent="0.2">
      <c r="C102" s="24">
        <f>'Final Floorspace Estimates'!U134</f>
        <v>39.486239553623967</v>
      </c>
      <c r="D102" s="24">
        <f>'Final Floorspace Estimates'!V134</f>
        <v>5.8010356741759779</v>
      </c>
      <c r="E102" s="24">
        <f>'Final Floorspace Estimates'!W134</f>
        <v>2.4274314098997491</v>
      </c>
      <c r="F102" s="24">
        <f>'Final Floorspace Estimates'!X134</f>
        <v>47.714706637699692</v>
      </c>
      <c r="H102" s="24">
        <f t="shared" si="50"/>
        <v>39.486239553623967</v>
      </c>
      <c r="I102" s="24">
        <f t="shared" si="51"/>
        <v>8.440680057690507</v>
      </c>
      <c r="J102" s="24">
        <f t="shared" si="52"/>
        <v>3.4490994385616718</v>
      </c>
      <c r="K102" s="24">
        <f t="shared" si="53"/>
        <v>51.376019049876149</v>
      </c>
      <c r="L102" s="24">
        <f t="shared" si="54"/>
        <v>47.796584238325948</v>
      </c>
      <c r="M102" s="254">
        <f t="shared" si="55"/>
        <v>1.0017159824799502</v>
      </c>
      <c r="P102" s="24">
        <f t="shared" si="56"/>
        <v>39.486239553623967</v>
      </c>
      <c r="Q102" s="24">
        <f t="shared" si="57"/>
        <v>3.8876906336812334</v>
      </c>
      <c r="R102" s="24">
        <f t="shared" si="58"/>
        <v>3.0446213493213263</v>
      </c>
      <c r="S102" s="24">
        <f t="shared" si="59"/>
        <v>46.418551536626524</v>
      </c>
      <c r="T102" s="24">
        <f t="shared" si="60"/>
        <v>47.75854331657132</v>
      </c>
      <c r="U102" s="254">
        <f t="shared" si="61"/>
        <v>1.000918724685965</v>
      </c>
      <c r="W102" s="24">
        <f t="shared" si="62"/>
        <v>39.486239553623967</v>
      </c>
      <c r="X102" s="24">
        <f t="shared" si="63"/>
        <v>6.2385085182365323</v>
      </c>
      <c r="Y102" s="24">
        <f t="shared" si="64"/>
        <v>3.9880306856616135</v>
      </c>
      <c r="Z102" s="24">
        <f t="shared" si="65"/>
        <v>49.712778757522116</v>
      </c>
      <c r="AA102" s="24">
        <f t="shared" si="66"/>
        <v>47.833647911221952</v>
      </c>
      <c r="AB102" s="254">
        <f t="shared" si="67"/>
        <v>1.0024927591911104</v>
      </c>
      <c r="AD102" s="24">
        <f t="shared" si="68"/>
        <v>39.486239553623967</v>
      </c>
      <c r="AE102" s="24">
        <f t="shared" si="69"/>
        <v>7.3646296114044443</v>
      </c>
      <c r="AF102" s="24">
        <f t="shared" si="70"/>
        <v>3.3986365879831011</v>
      </c>
      <c r="AG102" s="24">
        <f t="shared" si="71"/>
        <v>50.249505753011512</v>
      </c>
      <c r="AH102" s="24">
        <f t="shared" si="72"/>
        <v>47.791569201972884</v>
      </c>
      <c r="AI102" s="254">
        <f t="shared" si="73"/>
        <v>1.0016108778548469</v>
      </c>
    </row>
    <row r="103" spans="1:35" x14ac:dyDescent="0.2">
      <c r="C103" s="24">
        <f>'Final Floorspace Estimates'!U135</f>
        <v>40.471173114223618</v>
      </c>
      <c r="D103" s="24">
        <f>'Final Floorspace Estimates'!V135</f>
        <v>6.0117480862436441</v>
      </c>
      <c r="E103" s="24">
        <f>'Final Floorspace Estimates'!W135</f>
        <v>2.5847165339206555</v>
      </c>
      <c r="F103" s="24">
        <f>'Final Floorspace Estimates'!X135</f>
        <v>49.067637734387915</v>
      </c>
      <c r="H103" s="24">
        <f t="shared" si="50"/>
        <v>40.471173114223618</v>
      </c>
      <c r="I103" s="24">
        <f t="shared" si="51"/>
        <v>8.7472729066820882</v>
      </c>
      <c r="J103" s="24">
        <f t="shared" si="52"/>
        <v>3.6725834186824593</v>
      </c>
      <c r="K103" s="24">
        <f t="shared" si="53"/>
        <v>52.891029439588159</v>
      </c>
      <c r="L103" s="24">
        <f t="shared" si="54"/>
        <v>49.206041861804145</v>
      </c>
      <c r="M103" s="254">
        <f t="shared" si="55"/>
        <v>1.002820680468977</v>
      </c>
      <c r="P103" s="24">
        <f t="shared" si="56"/>
        <v>40.471173114223618</v>
      </c>
      <c r="Q103" s="24">
        <f t="shared" si="57"/>
        <v>4.0289041543017916</v>
      </c>
      <c r="R103" s="24">
        <f t="shared" si="58"/>
        <v>3.2418972206690078</v>
      </c>
      <c r="S103" s="24">
        <f t="shared" si="59"/>
        <v>47.741974489194419</v>
      </c>
      <c r="T103" s="24">
        <f t="shared" si="60"/>
        <v>49.12017030220629</v>
      </c>
      <c r="U103" s="254">
        <f t="shared" si="61"/>
        <v>1.0010706153840694</v>
      </c>
      <c r="W103" s="24">
        <f t="shared" si="62"/>
        <v>40.471173114223618</v>
      </c>
      <c r="X103" s="24">
        <f t="shared" si="63"/>
        <v>6.4651113614898668</v>
      </c>
      <c r="Y103" s="24">
        <f t="shared" si="64"/>
        <v>4.2464346506244679</v>
      </c>
      <c r="Z103" s="24">
        <f t="shared" si="65"/>
        <v>51.18271912633795</v>
      </c>
      <c r="AA103" s="24">
        <f t="shared" si="66"/>
        <v>49.248024894560253</v>
      </c>
      <c r="AB103" s="254">
        <f t="shared" si="67"/>
        <v>1.0036762959967382</v>
      </c>
      <c r="AD103" s="24">
        <f t="shared" si="68"/>
        <v>40.471173114223618</v>
      </c>
      <c r="AE103" s="24">
        <f t="shared" si="69"/>
        <v>7.6321368215931527</v>
      </c>
      <c r="AF103" s="24">
        <f t="shared" si="70"/>
        <v>3.6188508338163086</v>
      </c>
      <c r="AG103" s="24">
        <f t="shared" si="71"/>
        <v>51.722160769633078</v>
      </c>
      <c r="AH103" s="24">
        <f t="shared" si="72"/>
        <v>49.192189826650058</v>
      </c>
      <c r="AI103" s="254">
        <f t="shared" si="73"/>
        <v>1.0025383755569479</v>
      </c>
    </row>
    <row r="104" spans="1:35" x14ac:dyDescent="0.2">
      <c r="C104" s="24">
        <f>'Final Floorspace Estimates'!U136</f>
        <v>40.990262869058441</v>
      </c>
      <c r="D104" s="24">
        <f>'Final Floorspace Estimates'!V136</f>
        <v>6.0246933892774219</v>
      </c>
      <c r="E104" s="24">
        <f>'Final Floorspace Estimates'!W136</f>
        <v>2.6777871521398908</v>
      </c>
      <c r="F104" s="24">
        <f>'Final Floorspace Estimates'!X136</f>
        <v>49.692743410475757</v>
      </c>
      <c r="H104" s="24">
        <f t="shared" si="50"/>
        <v>40.990262869058441</v>
      </c>
      <c r="I104" s="24">
        <f t="shared" si="51"/>
        <v>8.7661087089931105</v>
      </c>
      <c r="J104" s="24">
        <f t="shared" si="52"/>
        <v>3.8048260088283166</v>
      </c>
      <c r="K104" s="24">
        <f t="shared" si="53"/>
        <v>53.561197586879864</v>
      </c>
      <c r="L104" s="24">
        <f t="shared" si="54"/>
        <v>49.829518512939266</v>
      </c>
      <c r="M104" s="254">
        <f t="shared" si="55"/>
        <v>1.0027524160083841</v>
      </c>
      <c r="P104" s="24">
        <f t="shared" si="56"/>
        <v>40.990262869058441</v>
      </c>
      <c r="Q104" s="24">
        <f t="shared" si="57"/>
        <v>4.037579731592003</v>
      </c>
      <c r="R104" s="24">
        <f t="shared" si="58"/>
        <v>3.3586316379914405</v>
      </c>
      <c r="S104" s="24">
        <f t="shared" si="59"/>
        <v>48.386474238641888</v>
      </c>
      <c r="T104" s="24">
        <f t="shared" si="60"/>
        <v>49.783275207089403</v>
      </c>
      <c r="U104" s="254">
        <f t="shared" si="61"/>
        <v>1.0018218313258704</v>
      </c>
      <c r="W104" s="24">
        <f t="shared" si="62"/>
        <v>40.990262869058441</v>
      </c>
      <c r="X104" s="24">
        <f t="shared" si="63"/>
        <v>6.4790329071902129</v>
      </c>
      <c r="Y104" s="24">
        <f t="shared" si="64"/>
        <v>4.3993405081815871</v>
      </c>
      <c r="Z104" s="24">
        <f t="shared" si="65"/>
        <v>51.868636284430245</v>
      </c>
      <c r="AA104" s="24">
        <f t="shared" si="66"/>
        <v>49.90801455227956</v>
      </c>
      <c r="AB104" s="254">
        <f t="shared" si="67"/>
        <v>1.0043320438162491</v>
      </c>
      <c r="AD104" s="24">
        <f t="shared" si="68"/>
        <v>40.990262869058441</v>
      </c>
      <c r="AE104" s="24">
        <f t="shared" si="69"/>
        <v>7.6485713631829535</v>
      </c>
      <c r="AF104" s="24">
        <f t="shared" si="70"/>
        <v>3.7491586180264349</v>
      </c>
      <c r="AG104" s="24">
        <f t="shared" si="71"/>
        <v>52.387992850267828</v>
      </c>
      <c r="AH104" s="24">
        <f t="shared" si="72"/>
        <v>49.825452969872956</v>
      </c>
      <c r="AI104" s="254">
        <f t="shared" si="73"/>
        <v>1.0026706023916003</v>
      </c>
    </row>
    <row r="105" spans="1:35" x14ac:dyDescent="0.2">
      <c r="C105" s="24">
        <f>'Final Floorspace Estimates'!U137</f>
        <v>41.398582172869133</v>
      </c>
      <c r="D105" s="24">
        <f>'Final Floorspace Estimates'!V137</f>
        <v>6.0014213389568534</v>
      </c>
      <c r="E105" s="24">
        <f>'Final Floorspace Estimates'!W137</f>
        <v>2.7358322401968436</v>
      </c>
      <c r="F105" s="24">
        <f>'Final Floorspace Estimates'!X137</f>
        <v>50.135835752022828</v>
      </c>
      <c r="H105" s="24">
        <f t="shared" si="50"/>
        <v>41.398582172869133</v>
      </c>
      <c r="I105" s="24">
        <f t="shared" si="51"/>
        <v>8.7322471811426912</v>
      </c>
      <c r="J105" s="24">
        <f t="shared" si="52"/>
        <v>3.8873013693316092</v>
      </c>
      <c r="K105" s="24">
        <f t="shared" si="53"/>
        <v>54.018130723343432</v>
      </c>
      <c r="L105" s="24">
        <f t="shared" si="54"/>
        <v>50.25461651687494</v>
      </c>
      <c r="M105" s="254">
        <f t="shared" si="55"/>
        <v>1.0023691789130555</v>
      </c>
      <c r="P105" s="24">
        <f t="shared" si="56"/>
        <v>41.398582172869133</v>
      </c>
      <c r="Q105" s="24">
        <f t="shared" si="57"/>
        <v>4.0219834592814232</v>
      </c>
      <c r="R105" s="24">
        <f t="shared" si="58"/>
        <v>3.4314350604077029</v>
      </c>
      <c r="S105" s="24">
        <f t="shared" si="59"/>
        <v>48.852000692558256</v>
      </c>
      <c r="T105" s="24">
        <f t="shared" si="60"/>
        <v>50.262240288471396</v>
      </c>
      <c r="U105" s="254">
        <f t="shared" si="61"/>
        <v>1.0025212412349878</v>
      </c>
      <c r="W105" s="24">
        <f t="shared" si="62"/>
        <v>41.398582172869133</v>
      </c>
      <c r="X105" s="24">
        <f t="shared" si="63"/>
        <v>6.4540058443834809</v>
      </c>
      <c r="Y105" s="24">
        <f t="shared" si="64"/>
        <v>4.4947028699682043</v>
      </c>
      <c r="Z105" s="24">
        <f t="shared" si="65"/>
        <v>52.347290887220822</v>
      </c>
      <c r="AA105" s="24">
        <f t="shared" si="66"/>
        <v>50.368576128461939</v>
      </c>
      <c r="AB105" s="254">
        <f t="shared" si="67"/>
        <v>1.0046421960050744</v>
      </c>
      <c r="AD105" s="24">
        <f t="shared" si="68"/>
        <v>41.398582172869133</v>
      </c>
      <c r="AE105" s="24">
        <f t="shared" si="69"/>
        <v>7.6190266334940953</v>
      </c>
      <c r="AF105" s="24">
        <f t="shared" si="70"/>
        <v>3.8304273036084542</v>
      </c>
      <c r="AG105" s="24">
        <f t="shared" si="71"/>
        <v>52.84803610997168</v>
      </c>
      <c r="AH105" s="24">
        <f t="shared" si="72"/>
        <v>50.262993378531007</v>
      </c>
      <c r="AI105" s="254">
        <f t="shared" si="73"/>
        <v>1.0025362622284211</v>
      </c>
    </row>
    <row r="106" spans="1:35" x14ac:dyDescent="0.2">
      <c r="C106" s="24">
        <f>'Final Floorspace Estimates'!U138</f>
        <v>42.794261131041154</v>
      </c>
      <c r="D106" s="24">
        <f>'Final Floorspace Estimates'!V138</f>
        <v>6.1470016911074543</v>
      </c>
      <c r="E106" s="24">
        <f>'Final Floorspace Estimates'!W138</f>
        <v>2.9303388178322232</v>
      </c>
      <c r="F106" s="24">
        <f>'Final Floorspace Estimates'!X138</f>
        <v>51.871601639980831</v>
      </c>
      <c r="H106" s="24">
        <f t="shared" si="50"/>
        <v>42.794261131041154</v>
      </c>
      <c r="I106" s="24">
        <f t="shared" si="51"/>
        <v>8.9440709388656909</v>
      </c>
      <c r="J106" s="24">
        <f t="shared" si="52"/>
        <v>4.163672732486396</v>
      </c>
      <c r="K106" s="24">
        <f t="shared" si="53"/>
        <v>55.902004802393243</v>
      </c>
      <c r="L106" s="24">
        <f t="shared" si="54"/>
        <v>52.007238611363981</v>
      </c>
      <c r="M106" s="254">
        <f t="shared" si="55"/>
        <v>1.002614859905899</v>
      </c>
      <c r="P106" s="24">
        <f t="shared" si="56"/>
        <v>42.794261131041154</v>
      </c>
      <c r="Q106" s="24">
        <f t="shared" si="57"/>
        <v>4.1195473087890893</v>
      </c>
      <c r="R106" s="24">
        <f t="shared" si="58"/>
        <v>3.6753961776763306</v>
      </c>
      <c r="S106" s="24">
        <f t="shared" si="59"/>
        <v>50.589204617506574</v>
      </c>
      <c r="T106" s="24">
        <f t="shared" si="60"/>
        <v>52.049593106533749</v>
      </c>
      <c r="U106" s="254">
        <f t="shared" si="61"/>
        <v>1.0034313855929933</v>
      </c>
      <c r="W106" s="24">
        <f t="shared" si="62"/>
        <v>42.794261131041154</v>
      </c>
      <c r="X106" s="24">
        <f t="shared" si="63"/>
        <v>6.6105648310869034</v>
      </c>
      <c r="Y106" s="24">
        <f t="shared" si="64"/>
        <v>4.8142580166180338</v>
      </c>
      <c r="Z106" s="24">
        <f t="shared" si="65"/>
        <v>54.219083978746092</v>
      </c>
      <c r="AA106" s="24">
        <f t="shared" si="66"/>
        <v>52.169615900134929</v>
      </c>
      <c r="AB106" s="254">
        <f t="shared" si="67"/>
        <v>1.0057452295809659</v>
      </c>
      <c r="AD106" s="24">
        <f t="shared" si="68"/>
        <v>42.794261131041154</v>
      </c>
      <c r="AE106" s="24">
        <f t="shared" si="69"/>
        <v>7.8038462816579202</v>
      </c>
      <c r="AF106" s="24">
        <f t="shared" si="70"/>
        <v>4.1027551513321834</v>
      </c>
      <c r="AG106" s="24">
        <f t="shared" si="71"/>
        <v>54.700862564031254</v>
      </c>
      <c r="AH106" s="24">
        <f t="shared" si="72"/>
        <v>52.025189491139088</v>
      </c>
      <c r="AI106" s="254">
        <f t="shared" si="73"/>
        <v>1.0029609236326313</v>
      </c>
    </row>
    <row r="107" spans="1:35" x14ac:dyDescent="0.2">
      <c r="C107" s="24">
        <f>'Final Floorspace Estimates'!U139</f>
        <v>44.268082241162226</v>
      </c>
      <c r="D107" s="24">
        <f>'Final Floorspace Estimates'!V139</f>
        <v>6.27643181162804</v>
      </c>
      <c r="E107" s="24">
        <f>'Final Floorspace Estimates'!W139</f>
        <v>3.1420903778986888</v>
      </c>
      <c r="F107" s="24">
        <f>'Final Floorspace Estimates'!X139</f>
        <v>53.686604430688952</v>
      </c>
      <c r="H107" s="24">
        <f t="shared" si="50"/>
        <v>44.268082241162226</v>
      </c>
      <c r="I107" s="24">
        <f t="shared" si="51"/>
        <v>9.1323956275080818</v>
      </c>
      <c r="J107" s="24">
        <f t="shared" si="52"/>
        <v>4.4645472222706282</v>
      </c>
      <c r="K107" s="24">
        <f t="shared" si="53"/>
        <v>57.865025090940932</v>
      </c>
      <c r="L107" s="24">
        <f t="shared" si="54"/>
        <v>53.833492694850406</v>
      </c>
      <c r="M107" s="254">
        <f t="shared" si="55"/>
        <v>1.002736031934206</v>
      </c>
      <c r="P107" s="24">
        <f t="shared" si="56"/>
        <v>44.268082241162226</v>
      </c>
      <c r="Q107" s="24">
        <f t="shared" si="57"/>
        <v>4.2062877281773208</v>
      </c>
      <c r="R107" s="24">
        <f t="shared" si="58"/>
        <v>3.9409869242989446</v>
      </c>
      <c r="S107" s="24">
        <f t="shared" si="59"/>
        <v>52.415356893638496</v>
      </c>
      <c r="T107" s="24">
        <f t="shared" si="60"/>
        <v>53.92846200043892</v>
      </c>
      <c r="U107" s="254">
        <f t="shared" si="61"/>
        <v>1.0045049891367634</v>
      </c>
      <c r="W107" s="24">
        <f t="shared" si="62"/>
        <v>44.268082241162226</v>
      </c>
      <c r="X107" s="24">
        <f t="shared" si="63"/>
        <v>6.7497556505777263</v>
      </c>
      <c r="Y107" s="24">
        <f t="shared" si="64"/>
        <v>5.1621449706377396</v>
      </c>
      <c r="Z107" s="24">
        <f t="shared" si="65"/>
        <v>56.179982862377692</v>
      </c>
      <c r="AA107" s="24">
        <f t="shared" si="66"/>
        <v>54.05639328682345</v>
      </c>
      <c r="AB107" s="254">
        <f t="shared" si="67"/>
        <v>1.0068879166424449</v>
      </c>
      <c r="AD107" s="24">
        <f t="shared" si="68"/>
        <v>44.268082241162226</v>
      </c>
      <c r="AE107" s="24">
        <f t="shared" si="69"/>
        <v>7.968162612694611</v>
      </c>
      <c r="AF107" s="24">
        <f t="shared" si="70"/>
        <v>4.3992276269990089</v>
      </c>
      <c r="AG107" s="24">
        <f t="shared" si="71"/>
        <v>56.635472480855846</v>
      </c>
      <c r="AH107" s="24">
        <f t="shared" si="72"/>
        <v>53.865168657764116</v>
      </c>
      <c r="AI107" s="254">
        <f t="shared" si="73"/>
        <v>1.00332604807044</v>
      </c>
    </row>
    <row r="108" spans="1:35" x14ac:dyDescent="0.2">
      <c r="C108" s="24">
        <f>'Final Floorspace Estimates'!U140</f>
        <v>45.368181924029166</v>
      </c>
      <c r="D108" s="24">
        <f>'Final Floorspace Estimates'!V140</f>
        <v>6.2907063212949659</v>
      </c>
      <c r="E108" s="24">
        <f>'Final Floorspace Estimates'!W140</f>
        <v>3.2392734860731385</v>
      </c>
      <c r="F108" s="24">
        <f>'Final Floorspace Estimates'!X140</f>
        <v>54.898161731397273</v>
      </c>
      <c r="H108" s="24">
        <f t="shared" si="50"/>
        <v>45.368181924029166</v>
      </c>
      <c r="I108" s="24">
        <f t="shared" si="51"/>
        <v>9.1531654651450562</v>
      </c>
      <c r="J108" s="24">
        <f t="shared" si="52"/>
        <v>4.6026331852663924</v>
      </c>
      <c r="K108" s="24">
        <f t="shared" si="53"/>
        <v>59.123980574440615</v>
      </c>
      <c r="L108" s="24">
        <f t="shared" si="54"/>
        <v>55.004735094168616</v>
      </c>
      <c r="M108" s="254">
        <f t="shared" si="55"/>
        <v>1.0019412920107011</v>
      </c>
      <c r="P108" s="24">
        <f t="shared" si="56"/>
        <v>45.368181924029166</v>
      </c>
      <c r="Q108" s="24">
        <f t="shared" si="57"/>
        <v>4.215854102295574</v>
      </c>
      <c r="R108" s="24">
        <f t="shared" si="58"/>
        <v>4.0628794584132466</v>
      </c>
      <c r="S108" s="24">
        <f t="shared" si="59"/>
        <v>53.646915484737988</v>
      </c>
      <c r="T108" s="24">
        <f t="shared" si="60"/>
        <v>55.195572721752804</v>
      </c>
      <c r="U108" s="254">
        <f t="shared" si="61"/>
        <v>1.0054175036280939</v>
      </c>
      <c r="W108" s="24">
        <f t="shared" si="62"/>
        <v>45.368181924029166</v>
      </c>
      <c r="X108" s="24">
        <f t="shared" si="63"/>
        <v>6.765106642219993</v>
      </c>
      <c r="Y108" s="24">
        <f t="shared" si="64"/>
        <v>5.3218072440791477</v>
      </c>
      <c r="Z108" s="24">
        <f t="shared" si="65"/>
        <v>57.455095810328302</v>
      </c>
      <c r="AA108" s="24">
        <f t="shared" si="66"/>
        <v>55.283307278028992</v>
      </c>
      <c r="AB108" s="254">
        <f t="shared" si="67"/>
        <v>1.0070156364891805</v>
      </c>
      <c r="AD108" s="24">
        <f t="shared" si="68"/>
        <v>45.368181924029166</v>
      </c>
      <c r="AE108" s="24">
        <f t="shared" si="69"/>
        <v>7.9862846313281635</v>
      </c>
      <c r="AF108" s="24">
        <f t="shared" si="70"/>
        <v>4.535293291235118</v>
      </c>
      <c r="AG108" s="24">
        <f t="shared" si="71"/>
        <v>57.889759846592447</v>
      </c>
      <c r="AH108" s="24">
        <f t="shared" si="72"/>
        <v>55.058103006877957</v>
      </c>
      <c r="AI108" s="254">
        <f t="shared" si="73"/>
        <v>1.0029134176889789</v>
      </c>
    </row>
    <row r="109" spans="1:35" x14ac:dyDescent="0.2">
      <c r="C109" s="24">
        <f>'Final Floorspace Estimates'!U141</f>
        <v>46.387801894483161</v>
      </c>
      <c r="D109" s="24">
        <f>'Final Floorspace Estimates'!V141</f>
        <v>6.333450170626068</v>
      </c>
      <c r="E109" s="24">
        <f>'Final Floorspace Estimates'!W141</f>
        <v>3.3502576921790541</v>
      </c>
      <c r="F109" s="24">
        <f>'Final Floorspace Estimates'!X141</f>
        <v>56.071509757288283</v>
      </c>
      <c r="H109" s="24">
        <f t="shared" si="50"/>
        <v>46.387801894483161</v>
      </c>
      <c r="I109" s="24">
        <f t="shared" si="51"/>
        <v>9.2153590417582887</v>
      </c>
      <c r="J109" s="24">
        <f t="shared" si="52"/>
        <v>4.7603289131077551</v>
      </c>
      <c r="K109" s="24">
        <f t="shared" si="53"/>
        <v>60.363489849349207</v>
      </c>
      <c r="L109" s="24">
        <f t="shared" si="54"/>
        <v>56.157886127821889</v>
      </c>
      <c r="M109" s="254">
        <f t="shared" si="55"/>
        <v>1.0015404680720654</v>
      </c>
      <c r="P109" s="24">
        <f t="shared" si="56"/>
        <v>46.387801894483161</v>
      </c>
      <c r="Q109" s="24">
        <f t="shared" si="57"/>
        <v>4.2444998255811166</v>
      </c>
      <c r="R109" s="24">
        <f t="shared" si="58"/>
        <v>4.2020821077525756</v>
      </c>
      <c r="S109" s="24">
        <f t="shared" si="59"/>
        <v>54.83438382781685</v>
      </c>
      <c r="T109" s="24">
        <f t="shared" si="60"/>
        <v>56.417320415780715</v>
      </c>
      <c r="U109" s="254">
        <f t="shared" si="61"/>
        <v>1.0061673149160655</v>
      </c>
      <c r="W109" s="24">
        <f t="shared" si="62"/>
        <v>46.387801894483161</v>
      </c>
      <c r="X109" s="24">
        <f t="shared" si="63"/>
        <v>6.8110739286032436</v>
      </c>
      <c r="Y109" s="24">
        <f t="shared" si="64"/>
        <v>5.5041433619068654</v>
      </c>
      <c r="Z109" s="24">
        <f t="shared" si="65"/>
        <v>58.703019184993266</v>
      </c>
      <c r="AA109" s="24">
        <f t="shared" si="66"/>
        <v>56.484059455151574</v>
      </c>
      <c r="AB109" s="254">
        <f t="shared" si="67"/>
        <v>1.0073575635763876</v>
      </c>
      <c r="AD109" s="24">
        <f t="shared" si="68"/>
        <v>46.387801894483161</v>
      </c>
      <c r="AE109" s="24">
        <f t="shared" si="69"/>
        <v>8.0405495309374846</v>
      </c>
      <c r="AF109" s="24">
        <f t="shared" si="70"/>
        <v>4.6906818150968084</v>
      </c>
      <c r="AG109" s="24">
        <f t="shared" si="71"/>
        <v>59.119033240517453</v>
      </c>
      <c r="AH109" s="24">
        <f t="shared" si="72"/>
        <v>56.227246933639663</v>
      </c>
      <c r="AI109" s="254">
        <f t="shared" si="73"/>
        <v>1.0027774742828488</v>
      </c>
    </row>
    <row r="110" spans="1:35" x14ac:dyDescent="0.2">
      <c r="C110" s="24">
        <f>'Final Floorspace Estimates'!U142</f>
        <v>47.166357394373534</v>
      </c>
      <c r="D110" s="24">
        <f>'Final Floorspace Estimates'!V142</f>
        <v>6.3984687560489393</v>
      </c>
      <c r="E110" s="24">
        <f>'Final Floorspace Estimates'!W142</f>
        <v>3.4935368390886494</v>
      </c>
      <c r="F110" s="24">
        <f>'Final Floorspace Estimates'!X142</f>
        <v>57.058362989511124</v>
      </c>
      <c r="H110" s="24">
        <f t="shared" si="50"/>
        <v>47.166357394373534</v>
      </c>
      <c r="I110" s="24">
        <f t="shared" si="51"/>
        <v>9.3099630242507825</v>
      </c>
      <c r="J110" s="24">
        <f t="shared" si="52"/>
        <v>4.9639120187510528</v>
      </c>
      <c r="K110" s="24">
        <f t="shared" si="53"/>
        <v>61.440232437375371</v>
      </c>
      <c r="L110" s="24">
        <f t="shared" si="54"/>
        <v>57.159610643721486</v>
      </c>
      <c r="M110" s="254">
        <f t="shared" si="55"/>
        <v>1.0017744577465177</v>
      </c>
      <c r="P110" s="24">
        <f t="shared" si="56"/>
        <v>47.166357394373534</v>
      </c>
      <c r="Q110" s="24">
        <f t="shared" si="57"/>
        <v>4.2880734492857497</v>
      </c>
      <c r="R110" s="24">
        <f t="shared" si="58"/>
        <v>4.3817908928553919</v>
      </c>
      <c r="S110" s="24">
        <f t="shared" si="59"/>
        <v>55.836221736514673</v>
      </c>
      <c r="T110" s="24">
        <f t="shared" si="60"/>
        <v>57.448078971893246</v>
      </c>
      <c r="U110" s="254">
        <f t="shared" si="61"/>
        <v>1.0068301290461796</v>
      </c>
      <c r="W110" s="24">
        <f t="shared" si="62"/>
        <v>47.166357394373534</v>
      </c>
      <c r="X110" s="24">
        <f t="shared" si="63"/>
        <v>6.8809957532198265</v>
      </c>
      <c r="Y110" s="24">
        <f t="shared" si="64"/>
        <v>5.739536886173112</v>
      </c>
      <c r="Z110" s="24">
        <f t="shared" si="65"/>
        <v>59.786890033766475</v>
      </c>
      <c r="AA110" s="24">
        <f t="shared" si="66"/>
        <v>57.5269602516316</v>
      </c>
      <c r="AB110" s="254">
        <f t="shared" si="67"/>
        <v>1.0082125956226016</v>
      </c>
      <c r="AD110" s="24">
        <f t="shared" si="68"/>
        <v>47.166357394373534</v>
      </c>
      <c r="AE110" s="24">
        <f t="shared" si="69"/>
        <v>8.1230930328898179</v>
      </c>
      <c r="AF110" s="24">
        <f t="shared" si="70"/>
        <v>4.8912863508196391</v>
      </c>
      <c r="AG110" s="24">
        <f t="shared" si="71"/>
        <v>60.180736778082995</v>
      </c>
      <c r="AH110" s="24">
        <f t="shared" si="72"/>
        <v>57.237017623463856</v>
      </c>
      <c r="AI110" s="254">
        <f t="shared" si="73"/>
        <v>1.003131085867037</v>
      </c>
    </row>
    <row r="111" spans="1:35" x14ac:dyDescent="0.2">
      <c r="C111" s="24">
        <f>'Final Floorspace Estimates'!U143</f>
        <v>47.935304509909521</v>
      </c>
      <c r="D111" s="24">
        <f>'Final Floorspace Estimates'!V143</f>
        <v>6.4684801754088532</v>
      </c>
      <c r="E111" s="24">
        <f>'Final Floorspace Estimates'!W143</f>
        <v>3.6400003957072218</v>
      </c>
      <c r="F111" s="24">
        <f>'Final Floorspace Estimates'!X143</f>
        <v>58.04378508102559</v>
      </c>
      <c r="H111" s="24">
        <f t="shared" si="50"/>
        <v>47.935304509909521</v>
      </c>
      <c r="I111" s="24">
        <f t="shared" si="51"/>
        <v>9.4118317291498919</v>
      </c>
      <c r="J111" s="24">
        <f t="shared" si="52"/>
        <v>5.1720198024942512</v>
      </c>
      <c r="K111" s="24">
        <f t="shared" si="53"/>
        <v>62.519156041553657</v>
      </c>
      <c r="L111" s="24">
        <f t="shared" si="54"/>
        <v>58.163364221509639</v>
      </c>
      <c r="M111" s="254">
        <f t="shared" si="55"/>
        <v>1.0020601540770837</v>
      </c>
      <c r="P111" s="24">
        <f t="shared" si="56"/>
        <v>47.935304509909521</v>
      </c>
      <c r="Q111" s="24">
        <f t="shared" si="57"/>
        <v>4.3349931295952375</v>
      </c>
      <c r="R111" s="24">
        <f t="shared" si="58"/>
        <v>4.5654937441737964</v>
      </c>
      <c r="S111" s="24">
        <f t="shared" si="59"/>
        <v>56.835791383678554</v>
      </c>
      <c r="T111" s="24">
        <f t="shared" si="60"/>
        <v>58.476503787224644</v>
      </c>
      <c r="U111" s="254">
        <f t="shared" si="61"/>
        <v>1.0074550394257542</v>
      </c>
      <c r="W111" s="24">
        <f t="shared" si="62"/>
        <v>47.935304509909521</v>
      </c>
      <c r="X111" s="24">
        <f t="shared" si="63"/>
        <v>6.9562869357917547</v>
      </c>
      <c r="Y111" s="24">
        <f t="shared" si="64"/>
        <v>5.9801620819021748</v>
      </c>
      <c r="Z111" s="24">
        <f t="shared" si="65"/>
        <v>60.871753527603445</v>
      </c>
      <c r="AA111" s="24">
        <f t="shared" si="66"/>
        <v>58.570816171435389</v>
      </c>
      <c r="AB111" s="254">
        <f t="shared" si="67"/>
        <v>1.0090798883924281</v>
      </c>
      <c r="AD111" s="24">
        <f t="shared" si="68"/>
        <v>47.935304509909521</v>
      </c>
      <c r="AE111" s="24">
        <f t="shared" si="69"/>
        <v>8.2119751224190676</v>
      </c>
      <c r="AF111" s="24">
        <f t="shared" si="70"/>
        <v>5.0963493652883249</v>
      </c>
      <c r="AG111" s="24">
        <f t="shared" si="71"/>
        <v>61.243628997616916</v>
      </c>
      <c r="AH111" s="24">
        <f t="shared" si="72"/>
        <v>58.247918851304284</v>
      </c>
      <c r="AI111" s="254">
        <f t="shared" si="73"/>
        <v>1.0035168928076235</v>
      </c>
    </row>
    <row r="112" spans="1:35" x14ac:dyDescent="0.2">
      <c r="C112" s="24">
        <f>'Final Floorspace Estimates'!U144</f>
        <v>49.036565202202851</v>
      </c>
      <c r="D112" s="24">
        <f>'Final Floorspace Estimates'!V144</f>
        <v>6.6120641188600704</v>
      </c>
      <c r="E112" s="24">
        <f>'Final Floorspace Estimates'!W144</f>
        <v>3.8136787957234684</v>
      </c>
      <c r="F112" s="24">
        <f>'Final Floorspace Estimates'!X144</f>
        <v>59.462308116786389</v>
      </c>
      <c r="H112" s="24">
        <f t="shared" si="50"/>
        <v>49.036565202202851</v>
      </c>
      <c r="I112" s="24">
        <f t="shared" si="51"/>
        <v>9.6207506526256381</v>
      </c>
      <c r="J112" s="24">
        <f t="shared" si="52"/>
        <v>5.4187967328508808</v>
      </c>
      <c r="K112" s="24">
        <f t="shared" si="53"/>
        <v>64.076112587679376</v>
      </c>
      <c r="L112" s="24">
        <f t="shared" si="54"/>
        <v>59.611845557521022</v>
      </c>
      <c r="M112" s="254">
        <f t="shared" si="55"/>
        <v>1.0025148273834399</v>
      </c>
      <c r="P112" s="24">
        <f t="shared" si="56"/>
        <v>49.036565202202851</v>
      </c>
      <c r="Q112" s="24">
        <f t="shared" si="57"/>
        <v>4.4312190422520503</v>
      </c>
      <c r="R112" s="24">
        <f t="shared" si="58"/>
        <v>4.7833309866387737</v>
      </c>
      <c r="S112" s="24">
        <f t="shared" si="59"/>
        <v>58.251115231093678</v>
      </c>
      <c r="T112" s="24">
        <f t="shared" si="60"/>
        <v>59.932684625190184</v>
      </c>
      <c r="U112" s="254">
        <f t="shared" si="61"/>
        <v>1.0079104986553828</v>
      </c>
      <c r="W112" s="24">
        <f t="shared" si="62"/>
        <v>49.036565202202851</v>
      </c>
      <c r="X112" s="24">
        <f t="shared" si="63"/>
        <v>7.1106989588534217</v>
      </c>
      <c r="Y112" s="24">
        <f t="shared" si="64"/>
        <v>6.2654985844606594</v>
      </c>
      <c r="Z112" s="24">
        <f t="shared" si="65"/>
        <v>62.412762745516929</v>
      </c>
      <c r="AA112" s="24">
        <f t="shared" si="66"/>
        <v>60.053575618803187</v>
      </c>
      <c r="AB112" s="254">
        <f t="shared" si="67"/>
        <v>1.0099435679633479</v>
      </c>
      <c r="AD112" s="24">
        <f t="shared" si="68"/>
        <v>49.036565202202851</v>
      </c>
      <c r="AE112" s="24">
        <f t="shared" si="69"/>
        <v>8.3942602558083319</v>
      </c>
      <c r="AF112" s="24">
        <f t="shared" si="70"/>
        <v>5.3395157684378818</v>
      </c>
      <c r="AG112" s="24">
        <f t="shared" si="71"/>
        <v>62.770341226449069</v>
      </c>
      <c r="AH112" s="24">
        <f t="shared" si="72"/>
        <v>59.699952499045331</v>
      </c>
      <c r="AI112" s="254">
        <f t="shared" si="73"/>
        <v>1.0039965549570022</v>
      </c>
    </row>
    <row r="113" spans="3:35" x14ac:dyDescent="0.2">
      <c r="C113" s="24">
        <f>'Final Floorspace Estimates'!U145</f>
        <v>50.243409693755531</v>
      </c>
      <c r="D113" s="24">
        <f>'Final Floorspace Estimates'!V145</f>
        <v>6.7678121128235968</v>
      </c>
      <c r="E113" s="24">
        <f>'Final Floorspace Estimates'!W145</f>
        <v>3.990733729242927</v>
      </c>
      <c r="F113" s="24">
        <f>'Final Floorspace Estimates'!X145</f>
        <v>61.001955535822056</v>
      </c>
      <c r="H113" s="24">
        <f t="shared" si="50"/>
        <v>50.243409693755531</v>
      </c>
      <c r="I113" s="24">
        <f t="shared" si="51"/>
        <v>9.8473686326745149</v>
      </c>
      <c r="J113" s="24">
        <f t="shared" si="52"/>
        <v>5.6703713270107867</v>
      </c>
      <c r="K113" s="24">
        <f t="shared" si="53"/>
        <v>65.761149653440839</v>
      </c>
      <c r="L113" s="24">
        <f t="shared" si="54"/>
        <v>61.17948387492708</v>
      </c>
      <c r="M113" s="254">
        <f t="shared" si="55"/>
        <v>1.0029102073457428</v>
      </c>
      <c r="P113" s="24">
        <f t="shared" si="56"/>
        <v>50.243409693755531</v>
      </c>
      <c r="Q113" s="24">
        <f t="shared" si="57"/>
        <v>4.5355969587751463</v>
      </c>
      <c r="R113" s="24">
        <f t="shared" si="58"/>
        <v>5.0054032678153098</v>
      </c>
      <c r="S113" s="24">
        <f t="shared" si="59"/>
        <v>59.784409920345986</v>
      </c>
      <c r="T113" s="24">
        <f t="shared" si="60"/>
        <v>61.510241839054231</v>
      </c>
      <c r="U113" s="254">
        <f t="shared" si="61"/>
        <v>1.0083322952316454</v>
      </c>
      <c r="W113" s="24">
        <f t="shared" si="62"/>
        <v>50.243409693755531</v>
      </c>
      <c r="X113" s="24">
        <f t="shared" si="63"/>
        <v>7.2781923585863462</v>
      </c>
      <c r="Y113" s="24">
        <f t="shared" si="64"/>
        <v>6.5563823989502064</v>
      </c>
      <c r="Z113" s="24">
        <f t="shared" si="65"/>
        <v>64.077984451292082</v>
      </c>
      <c r="AA113" s="24">
        <f t="shared" si="66"/>
        <v>61.655852352451284</v>
      </c>
      <c r="AB113" s="254">
        <f t="shared" si="67"/>
        <v>1.0107192763065642</v>
      </c>
      <c r="AD113" s="24">
        <f t="shared" si="68"/>
        <v>50.243409693755531</v>
      </c>
      <c r="AE113" s="24">
        <f t="shared" si="69"/>
        <v>8.5919881017801742</v>
      </c>
      <c r="AF113" s="24">
        <f t="shared" si="70"/>
        <v>5.5874096420559214</v>
      </c>
      <c r="AG113" s="24">
        <f t="shared" si="71"/>
        <v>64.422807437591629</v>
      </c>
      <c r="AH113" s="24">
        <f t="shared" si="72"/>
        <v>61.271588918155949</v>
      </c>
      <c r="AI113" s="254">
        <f t="shared" si="73"/>
        <v>1.0044200776838303</v>
      </c>
    </row>
    <row r="114" spans="3:35" x14ac:dyDescent="0.2">
      <c r="C114" s="24">
        <f>'Final Floorspace Estimates'!U146</f>
        <v>51.702216648506571</v>
      </c>
      <c r="D114" s="24">
        <f>'Final Floorspace Estimates'!V146</f>
        <v>6.886258360208843</v>
      </c>
      <c r="E114" s="24">
        <f>'Final Floorspace Estimates'!W146</f>
        <v>4.1570184421263638</v>
      </c>
      <c r="F114" s="24">
        <f>'Final Floorspace Estimates'!X146</f>
        <v>62.745493450841778</v>
      </c>
      <c r="H114" s="24">
        <f t="shared" si="50"/>
        <v>51.702216648506571</v>
      </c>
      <c r="I114" s="24">
        <f t="shared" si="51"/>
        <v>10.019711458053699</v>
      </c>
      <c r="J114" s="24">
        <f t="shared" si="52"/>
        <v>5.9066426826126897</v>
      </c>
      <c r="K114" s="24">
        <f t="shared" si="53"/>
        <v>67.628570789172954</v>
      </c>
      <c r="L114" s="24">
        <f t="shared" si="54"/>
        <v>62.916799324296555</v>
      </c>
      <c r="M114" s="254">
        <f t="shared" si="55"/>
        <v>1.0027301701530005</v>
      </c>
      <c r="P114" s="24">
        <f t="shared" si="56"/>
        <v>51.702216648506571</v>
      </c>
      <c r="Q114" s="24">
        <f t="shared" si="57"/>
        <v>4.6149762959173408</v>
      </c>
      <c r="R114" s="24">
        <f t="shared" si="58"/>
        <v>5.2139669309721555</v>
      </c>
      <c r="S114" s="24">
        <f t="shared" si="59"/>
        <v>61.531159875396064</v>
      </c>
      <c r="T114" s="24">
        <f t="shared" si="60"/>
        <v>63.307416258114976</v>
      </c>
      <c r="U114" s="254">
        <f t="shared" si="61"/>
        <v>1.0089555883039383</v>
      </c>
      <c r="W114" s="24">
        <f t="shared" si="62"/>
        <v>51.702216648506571</v>
      </c>
      <c r="X114" s="24">
        <f t="shared" si="63"/>
        <v>7.4055709793652937</v>
      </c>
      <c r="Y114" s="24">
        <f t="shared" si="64"/>
        <v>6.8295718018849589</v>
      </c>
      <c r="Z114" s="24">
        <f t="shared" si="65"/>
        <v>65.937359429756825</v>
      </c>
      <c r="AA114" s="24">
        <f t="shared" si="66"/>
        <v>63.444943412692226</v>
      </c>
      <c r="AB114" s="254">
        <f t="shared" si="67"/>
        <v>1.0111474135174097</v>
      </c>
      <c r="AD114" s="24">
        <f t="shared" si="68"/>
        <v>51.702216648506571</v>
      </c>
      <c r="AE114" s="24">
        <f t="shared" si="69"/>
        <v>8.742359999118495</v>
      </c>
      <c r="AF114" s="24">
        <f t="shared" si="70"/>
        <v>5.8202241747026973</v>
      </c>
      <c r="AG114" s="24">
        <f t="shared" si="71"/>
        <v>66.264800822327771</v>
      </c>
      <c r="AH114" s="24">
        <f t="shared" si="72"/>
        <v>63.023481857141086</v>
      </c>
      <c r="AI114" s="254">
        <f t="shared" si="73"/>
        <v>1.0044304123055006</v>
      </c>
    </row>
    <row r="115" spans="3:35" x14ac:dyDescent="0.2">
      <c r="C115" s="24">
        <f>'Final Floorspace Estimates'!U147</f>
        <v>53.214254586186044</v>
      </c>
      <c r="D115" s="24">
        <f>'Final Floorspace Estimates'!V147</f>
        <v>6.9999172239459071</v>
      </c>
      <c r="E115" s="24">
        <f>'Final Floorspace Estimates'!W147</f>
        <v>4.2995385878784731</v>
      </c>
      <c r="F115" s="24">
        <f>'Final Floorspace Estimates'!X147</f>
        <v>64.513710398010431</v>
      </c>
      <c r="H115" s="24">
        <f t="shared" si="50"/>
        <v>53.214254586186044</v>
      </c>
      <c r="I115" s="24">
        <f t="shared" si="51"/>
        <v>10.185088497328927</v>
      </c>
      <c r="J115" s="24">
        <f t="shared" si="52"/>
        <v>6.1091473353466794</v>
      </c>
      <c r="K115" s="24">
        <f t="shared" si="53"/>
        <v>69.508490418861655</v>
      </c>
      <c r="L115" s="24">
        <f t="shared" si="54"/>
        <v>64.665742481111963</v>
      </c>
      <c r="M115" s="254">
        <f t="shared" si="55"/>
        <v>1.002356585633714</v>
      </c>
      <c r="P115" s="24">
        <f t="shared" si="56"/>
        <v>53.214254586186044</v>
      </c>
      <c r="Q115" s="24">
        <f t="shared" si="57"/>
        <v>4.6911472634486175</v>
      </c>
      <c r="R115" s="24">
        <f t="shared" si="58"/>
        <v>5.3927237340256271</v>
      </c>
      <c r="S115" s="24">
        <f t="shared" si="59"/>
        <v>63.298125583660294</v>
      </c>
      <c r="T115" s="24">
        <f t="shared" si="60"/>
        <v>65.125390010493859</v>
      </c>
      <c r="U115" s="254">
        <f t="shared" si="61"/>
        <v>1.0094813894396979</v>
      </c>
      <c r="W115" s="24">
        <f t="shared" si="62"/>
        <v>53.214254586186044</v>
      </c>
      <c r="X115" s="24">
        <f t="shared" si="63"/>
        <v>7.5278011860770428</v>
      </c>
      <c r="Y115" s="24">
        <f t="shared" si="64"/>
        <v>7.0637183620169504</v>
      </c>
      <c r="Z115" s="24">
        <f t="shared" si="65"/>
        <v>67.805774134280043</v>
      </c>
      <c r="AA115" s="24">
        <f t="shared" si="66"/>
        <v>65.242732499563374</v>
      </c>
      <c r="AB115" s="254">
        <f t="shared" si="67"/>
        <v>1.011300266207839</v>
      </c>
      <c r="AD115" s="24">
        <f t="shared" si="68"/>
        <v>53.214254586186044</v>
      </c>
      <c r="AE115" s="24">
        <f t="shared" si="69"/>
        <v>8.8866541356298114</v>
      </c>
      <c r="AF115" s="24">
        <f t="shared" si="70"/>
        <v>6.0197660360720393</v>
      </c>
      <c r="AG115" s="24">
        <f t="shared" si="71"/>
        <v>68.120674757887897</v>
      </c>
      <c r="AH115" s="24">
        <f t="shared" si="72"/>
        <v>64.788576384785145</v>
      </c>
      <c r="AI115" s="254">
        <f t="shared" si="73"/>
        <v>1.0042605825192654</v>
      </c>
    </row>
    <row r="116" spans="3:35" x14ac:dyDescent="0.2">
      <c r="C116" s="24">
        <f>'Final Floorspace Estimates'!U148</f>
        <v>54.453831991836935</v>
      </c>
      <c r="D116" s="24">
        <f>'Final Floorspace Estimates'!V148</f>
        <v>7.2254023717338089</v>
      </c>
      <c r="E116" s="24">
        <f>'Final Floorspace Estimates'!W148</f>
        <v>4.2182405305489041</v>
      </c>
      <c r="F116" s="24">
        <f>'Final Floorspace Estimates'!X148</f>
        <v>65.897474894119654</v>
      </c>
      <c r="H116" s="24">
        <f t="shared" si="50"/>
        <v>54.453831991836935</v>
      </c>
      <c r="I116" s="24">
        <f t="shared" si="51"/>
        <v>10.513176117736311</v>
      </c>
      <c r="J116" s="24">
        <f t="shared" si="52"/>
        <v>5.9936321933953964</v>
      </c>
      <c r="K116" s="24">
        <f t="shared" si="53"/>
        <v>70.960640302968642</v>
      </c>
      <c r="L116" s="24">
        <f t="shared" si="54"/>
        <v>66.016719173078172</v>
      </c>
      <c r="M116" s="254">
        <f t="shared" si="55"/>
        <v>1.0018095424619853</v>
      </c>
      <c r="P116" s="24">
        <f t="shared" si="56"/>
        <v>54.453831991836935</v>
      </c>
      <c r="Q116" s="24">
        <f t="shared" si="57"/>
        <v>4.8422610552481782</v>
      </c>
      <c r="R116" s="24">
        <f t="shared" si="58"/>
        <v>5.2907551263877384</v>
      </c>
      <c r="S116" s="24">
        <f t="shared" si="59"/>
        <v>64.586848173472859</v>
      </c>
      <c r="T116" s="24">
        <f t="shared" si="60"/>
        <v>66.451314917479451</v>
      </c>
      <c r="U116" s="254">
        <f t="shared" si="61"/>
        <v>1.0084045712563292</v>
      </c>
      <c r="W116" s="24">
        <f t="shared" si="62"/>
        <v>54.453831991836935</v>
      </c>
      <c r="X116" s="24">
        <f t="shared" si="63"/>
        <v>7.7702908196906932</v>
      </c>
      <c r="Y116" s="24">
        <f t="shared" si="64"/>
        <v>6.9301536623130824</v>
      </c>
      <c r="Z116" s="24">
        <f t="shared" si="65"/>
        <v>69.15427647384071</v>
      </c>
      <c r="AA116" s="24">
        <f t="shared" si="66"/>
        <v>66.540261781372919</v>
      </c>
      <c r="AB116" s="254">
        <f t="shared" si="67"/>
        <v>1.0097543477695625</v>
      </c>
      <c r="AD116" s="24">
        <f t="shared" si="68"/>
        <v>54.453831991836935</v>
      </c>
      <c r="AE116" s="24">
        <f t="shared" si="69"/>
        <v>9.1729158808769782</v>
      </c>
      <c r="AF116" s="24">
        <f t="shared" si="70"/>
        <v>5.9059409652398083</v>
      </c>
      <c r="AG116" s="24">
        <f t="shared" si="71"/>
        <v>69.532688837953728</v>
      </c>
      <c r="AH116" s="24">
        <f t="shared" si="72"/>
        <v>66.131522302568271</v>
      </c>
      <c r="AI116" s="254">
        <f t="shared" si="73"/>
        <v>1.0035516900886516</v>
      </c>
    </row>
    <row r="117" spans="3:35" x14ac:dyDescent="0.2">
      <c r="C117" s="24">
        <f>'Final Floorspace Estimates'!U149</f>
        <v>55.74450130817695</v>
      </c>
      <c r="D117" s="24">
        <f>'Final Floorspace Estimates'!V149</f>
        <v>7.4425248456091628</v>
      </c>
      <c r="E117" s="24">
        <f>'Final Floorspace Estimates'!W149</f>
        <v>4.1246816424774693</v>
      </c>
      <c r="F117" s="24">
        <f>'Final Floorspace Estimates'!X149</f>
        <v>67.31170779626359</v>
      </c>
      <c r="H117" s="24">
        <f t="shared" si="50"/>
        <v>55.74450130817695</v>
      </c>
      <c r="I117" s="24">
        <f t="shared" si="51"/>
        <v>10.829095797988312</v>
      </c>
      <c r="J117" s="24">
        <f t="shared" si="52"/>
        <v>5.8606958282303072</v>
      </c>
      <c r="K117" s="24">
        <f t="shared" si="53"/>
        <v>72.434292934395572</v>
      </c>
      <c r="L117" s="24">
        <f t="shared" si="54"/>
        <v>67.387700487680391</v>
      </c>
      <c r="M117" s="254">
        <f t="shared" si="55"/>
        <v>1.0011289669197936</v>
      </c>
      <c r="P117" s="24">
        <f t="shared" si="56"/>
        <v>55.74450130817695</v>
      </c>
      <c r="Q117" s="24">
        <f t="shared" si="57"/>
        <v>4.9877704186545344</v>
      </c>
      <c r="R117" s="24">
        <f t="shared" si="58"/>
        <v>5.173408293484715</v>
      </c>
      <c r="S117" s="24">
        <f t="shared" si="59"/>
        <v>65.905680020316197</v>
      </c>
      <c r="T117" s="24">
        <f t="shared" si="60"/>
        <v>67.808218263225655</v>
      </c>
      <c r="U117" s="254">
        <f t="shared" si="61"/>
        <v>1.0073762868781295</v>
      </c>
      <c r="W117" s="24">
        <f t="shared" si="62"/>
        <v>55.74450130817695</v>
      </c>
      <c r="X117" s="24">
        <f t="shared" si="63"/>
        <v>8.0037871260143714</v>
      </c>
      <c r="Y117" s="24">
        <f t="shared" si="64"/>
        <v>6.7764456254871632</v>
      </c>
      <c r="Z117" s="24">
        <f t="shared" si="65"/>
        <v>70.52473405967848</v>
      </c>
      <c r="AA117" s="24">
        <f t="shared" si="66"/>
        <v>67.85891640653422</v>
      </c>
      <c r="AB117" s="254">
        <f t="shared" si="67"/>
        <v>1.0081294715018507</v>
      </c>
      <c r="AD117" s="24">
        <f t="shared" si="68"/>
        <v>55.74450130817695</v>
      </c>
      <c r="AE117" s="24">
        <f t="shared" si="69"/>
        <v>9.4485609019069425</v>
      </c>
      <c r="AF117" s="24">
        <f t="shared" si="70"/>
        <v>5.7749495564470363</v>
      </c>
      <c r="AG117" s="24">
        <f t="shared" si="71"/>
        <v>70.968011766530935</v>
      </c>
      <c r="AH117" s="24">
        <f t="shared" si="72"/>
        <v>67.496636924897956</v>
      </c>
      <c r="AI117" s="254">
        <f t="shared" si="73"/>
        <v>1.0027473545789998</v>
      </c>
    </row>
    <row r="118" spans="3:35" x14ac:dyDescent="0.2">
      <c r="C118" s="24">
        <f>'Final Floorspace Estimates'!U150</f>
        <v>57.628621530930531</v>
      </c>
      <c r="D118" s="24">
        <f>'Final Floorspace Estimates'!V150</f>
        <v>7.5554929832138571</v>
      </c>
      <c r="E118" s="24">
        <f>'Final Floorspace Estimates'!W150</f>
        <v>4.2384412448016198</v>
      </c>
      <c r="F118" s="24">
        <f>'Final Floorspace Estimates'!X150</f>
        <v>69.422555758946004</v>
      </c>
      <c r="H118" s="24">
        <f t="shared" si="50"/>
        <v>57.628621530930531</v>
      </c>
      <c r="I118" s="24">
        <f t="shared" si="51"/>
        <v>10.993467810123857</v>
      </c>
      <c r="J118" s="24">
        <f t="shared" si="52"/>
        <v>6.0223350732804617</v>
      </c>
      <c r="K118" s="24">
        <f t="shared" si="53"/>
        <v>74.64442441433485</v>
      </c>
      <c r="L118" s="24">
        <f t="shared" si="54"/>
        <v>69.443849200879455</v>
      </c>
      <c r="M118" s="254">
        <f t="shared" si="55"/>
        <v>1.0003067222417941</v>
      </c>
      <c r="P118" s="24">
        <f t="shared" si="56"/>
        <v>57.628621530930531</v>
      </c>
      <c r="Q118" s="24">
        <f t="shared" si="57"/>
        <v>5.0634784809967934</v>
      </c>
      <c r="R118" s="24">
        <f t="shared" si="58"/>
        <v>5.3160920012565924</v>
      </c>
      <c r="S118" s="24">
        <f t="shared" si="59"/>
        <v>68.008192013183915</v>
      </c>
      <c r="T118" s="24">
        <f t="shared" si="60"/>
        <v>69.971424713253569</v>
      </c>
      <c r="U118" s="254">
        <f t="shared" si="61"/>
        <v>1.0079062049546748</v>
      </c>
      <c r="W118" s="24">
        <f t="shared" si="62"/>
        <v>57.628621530930531</v>
      </c>
      <c r="X118" s="24">
        <f t="shared" si="63"/>
        <v>8.1252745169424259</v>
      </c>
      <c r="Y118" s="24">
        <f t="shared" si="64"/>
        <v>6.9633414459034073</v>
      </c>
      <c r="Z118" s="24">
        <f t="shared" si="65"/>
        <v>72.717237493776366</v>
      </c>
      <c r="AA118" s="24">
        <f t="shared" si="66"/>
        <v>69.968543748476236</v>
      </c>
      <c r="AB118" s="254">
        <f t="shared" si="67"/>
        <v>1.0078647059815264</v>
      </c>
      <c r="AD118" s="24">
        <f t="shared" si="68"/>
        <v>57.628621530930531</v>
      </c>
      <c r="AE118" s="24">
        <f t="shared" si="69"/>
        <v>9.5919781360143546</v>
      </c>
      <c r="AF118" s="24">
        <f t="shared" si="70"/>
        <v>5.9342239009728956</v>
      </c>
      <c r="AG118" s="24">
        <f t="shared" si="71"/>
        <v>73.154823567917774</v>
      </c>
      <c r="AH118" s="24">
        <f t="shared" si="72"/>
        <v>69.576481611358517</v>
      </c>
      <c r="AI118" s="254">
        <f t="shared" si="73"/>
        <v>1.0022172311395015</v>
      </c>
    </row>
    <row r="119" spans="3:35" x14ac:dyDescent="0.2">
      <c r="C119" s="24">
        <f>'Final Floorspace Estimates'!U151</f>
        <v>59.673983527606616</v>
      </c>
      <c r="D119" s="24">
        <f>'Final Floorspace Estimates'!V151</f>
        <v>7.6650590173445083</v>
      </c>
      <c r="E119" s="24">
        <f>'Final Floorspace Estimates'!W151</f>
        <v>4.3496907646326113</v>
      </c>
      <c r="F119" s="24">
        <f>'Final Floorspace Estimates'!X151</f>
        <v>71.688733309583739</v>
      </c>
      <c r="H119" s="24">
        <f t="shared" si="50"/>
        <v>59.673983527606616</v>
      </c>
      <c r="I119" s="24">
        <f t="shared" si="51"/>
        <v>11.152889660157246</v>
      </c>
      <c r="J119" s="24">
        <f t="shared" si="52"/>
        <v>6.1804077812566574</v>
      </c>
      <c r="K119" s="24">
        <f t="shared" si="53"/>
        <v>77.007280969020528</v>
      </c>
      <c r="L119" s="24">
        <f t="shared" si="54"/>
        <v>71.642082432019365</v>
      </c>
      <c r="M119" s="254">
        <f t="shared" si="55"/>
        <v>0.99934925789017759</v>
      </c>
      <c r="P119" s="24">
        <f t="shared" si="56"/>
        <v>59.673983527606616</v>
      </c>
      <c r="Q119" s="24">
        <f t="shared" si="57"/>
        <v>5.1369065494631778</v>
      </c>
      <c r="R119" s="24">
        <f t="shared" si="58"/>
        <v>5.4556274220300978</v>
      </c>
      <c r="S119" s="24">
        <f t="shared" si="59"/>
        <v>70.266517499099905</v>
      </c>
      <c r="T119" s="24">
        <f t="shared" si="60"/>
        <v>72.294942616584379</v>
      </c>
      <c r="U119" s="254">
        <f t="shared" si="61"/>
        <v>1.0084561308174154</v>
      </c>
      <c r="W119" s="24">
        <f t="shared" si="62"/>
        <v>59.673983527606616</v>
      </c>
      <c r="X119" s="24">
        <f t="shared" si="63"/>
        <v>8.2431032419537669</v>
      </c>
      <c r="Y119" s="24">
        <f t="shared" si="64"/>
        <v>7.146113448045968</v>
      </c>
      <c r="Z119" s="24">
        <f t="shared" si="65"/>
        <v>75.063200217606351</v>
      </c>
      <c r="AA119" s="24">
        <f t="shared" si="66"/>
        <v>72.225829656630296</v>
      </c>
      <c r="AB119" s="254">
        <f t="shared" si="67"/>
        <v>1.0074920607779068</v>
      </c>
      <c r="AD119" s="24">
        <f t="shared" si="68"/>
        <v>59.673983527606616</v>
      </c>
      <c r="AE119" s="24">
        <f t="shared" si="69"/>
        <v>9.7310762737753098</v>
      </c>
      <c r="AF119" s="24">
        <f t="shared" si="70"/>
        <v>6.0899838894739817</v>
      </c>
      <c r="AG119" s="24">
        <f t="shared" si="71"/>
        <v>75.495043690855908</v>
      </c>
      <c r="AH119" s="24">
        <f t="shared" si="72"/>
        <v>71.802230706344275</v>
      </c>
      <c r="AI119" s="254">
        <f t="shared" si="73"/>
        <v>1.0015831971290441</v>
      </c>
    </row>
    <row r="120" spans="3:35" x14ac:dyDescent="0.2">
      <c r="C120" s="24">
        <f>'Final Floorspace Estimates'!U152</f>
        <v>61.384657985512099</v>
      </c>
      <c r="D120" s="24">
        <f>'Final Floorspace Estimates'!V152</f>
        <v>7.797642358375823</v>
      </c>
      <c r="E120" s="24">
        <f>'Final Floorspace Estimates'!W152</f>
        <v>4.382508436627603</v>
      </c>
      <c r="F120" s="24">
        <f>'Final Floorspace Estimates'!X152</f>
        <v>73.56480878051552</v>
      </c>
      <c r="H120" s="24">
        <f t="shared" si="50"/>
        <v>61.384657985512099</v>
      </c>
      <c r="I120" s="24">
        <f t="shared" si="51"/>
        <v>11.345802378761405</v>
      </c>
      <c r="J120" s="24">
        <f t="shared" si="52"/>
        <v>6.2270378996572022</v>
      </c>
      <c r="K120" s="24">
        <f t="shared" si="53"/>
        <v>78.957498263930717</v>
      </c>
      <c r="L120" s="24">
        <f t="shared" si="54"/>
        <v>73.456425523272173</v>
      </c>
      <c r="M120" s="254">
        <f t="shared" si="55"/>
        <v>0.99852669694871754</v>
      </c>
      <c r="P120" s="24">
        <f t="shared" si="56"/>
        <v>61.384657985512099</v>
      </c>
      <c r="Q120" s="24">
        <f t="shared" si="57"/>
        <v>5.2257601683788764</v>
      </c>
      <c r="R120" s="24">
        <f t="shared" si="58"/>
        <v>5.4967891967288534</v>
      </c>
      <c r="S120" s="24">
        <f t="shared" si="59"/>
        <v>72.107207350619831</v>
      </c>
      <c r="T120" s="24">
        <f t="shared" si="60"/>
        <v>74.188768750664053</v>
      </c>
      <c r="U120" s="254">
        <f t="shared" si="61"/>
        <v>1.008481772473713</v>
      </c>
      <c r="W120" s="24">
        <f t="shared" si="62"/>
        <v>61.384657985512099</v>
      </c>
      <c r="X120" s="24">
        <f t="shared" si="63"/>
        <v>8.3856850754153598</v>
      </c>
      <c r="Y120" s="24">
        <f t="shared" si="64"/>
        <v>7.200029650338748</v>
      </c>
      <c r="Z120" s="24">
        <f t="shared" si="65"/>
        <v>76.970372711266208</v>
      </c>
      <c r="AA120" s="24">
        <f t="shared" si="66"/>
        <v>74.060911497713036</v>
      </c>
      <c r="AB120" s="254">
        <f t="shared" si="67"/>
        <v>1.0067437505163326</v>
      </c>
      <c r="AD120" s="24">
        <f t="shared" si="68"/>
        <v>61.384657985512099</v>
      </c>
      <c r="AE120" s="24">
        <f t="shared" si="69"/>
        <v>9.8993957350199349</v>
      </c>
      <c r="AF120" s="24">
        <f t="shared" si="70"/>
        <v>6.1359317750948623</v>
      </c>
      <c r="AG120" s="24">
        <f t="shared" si="71"/>
        <v>77.419985495626889</v>
      </c>
      <c r="AH120" s="24">
        <f t="shared" si="72"/>
        <v>73.633014673149162</v>
      </c>
      <c r="AI120" s="254">
        <f t="shared" si="73"/>
        <v>1.0009271538085165</v>
      </c>
    </row>
    <row r="121" spans="3:35" x14ac:dyDescent="0.2">
      <c r="C121" s="24">
        <f>'Final Floorspace Estimates'!U153</f>
        <v>62.70013986954671</v>
      </c>
      <c r="D121" s="24">
        <f>'Final Floorspace Estimates'!V153</f>
        <v>7.9132367617647743</v>
      </c>
      <c r="E121" s="24">
        <f>'Final Floorspace Estimates'!W153</f>
        <v>4.4109308365819988</v>
      </c>
      <c r="F121" s="24">
        <f>'Final Floorspace Estimates'!X153</f>
        <v>75.024307467893479</v>
      </c>
      <c r="H121" s="24">
        <f t="shared" si="50"/>
        <v>62.70013986954671</v>
      </c>
      <c r="I121" s="24">
        <f t="shared" si="51"/>
        <v>11.513995686002934</v>
      </c>
      <c r="J121" s="24">
        <f t="shared" si="52"/>
        <v>6.2674228445522386</v>
      </c>
      <c r="K121" s="24">
        <f t="shared" si="53"/>
        <v>80.481558400101889</v>
      </c>
      <c r="L121" s="24">
        <f t="shared" si="54"/>
        <v>74.874302385472447</v>
      </c>
      <c r="M121" s="254">
        <f t="shared" si="55"/>
        <v>0.99800058024547278</v>
      </c>
      <c r="P121" s="24">
        <f t="shared" si="56"/>
        <v>62.70013986954671</v>
      </c>
      <c r="Q121" s="24">
        <f t="shared" si="57"/>
        <v>5.3032282800406847</v>
      </c>
      <c r="R121" s="24">
        <f t="shared" si="58"/>
        <v>5.5324381733990844</v>
      </c>
      <c r="S121" s="24">
        <f t="shared" si="59"/>
        <v>73.535806322986488</v>
      </c>
      <c r="T121" s="24">
        <f t="shared" si="60"/>
        <v>75.658607934464257</v>
      </c>
      <c r="U121" s="254">
        <f t="shared" si="61"/>
        <v>1.0084545994222236</v>
      </c>
      <c r="W121" s="24">
        <f t="shared" si="62"/>
        <v>62.70013986954671</v>
      </c>
      <c r="X121" s="24">
        <f t="shared" si="63"/>
        <v>8.5099967864108059</v>
      </c>
      <c r="Y121" s="24">
        <f t="shared" si="64"/>
        <v>7.2467248536371844</v>
      </c>
      <c r="Z121" s="24">
        <f t="shared" si="65"/>
        <v>78.456861509594702</v>
      </c>
      <c r="AA121" s="24">
        <f t="shared" si="66"/>
        <v>75.491211383986482</v>
      </c>
      <c r="AB121" s="254">
        <f t="shared" si="67"/>
        <v>1.0062233685568216</v>
      </c>
      <c r="AD121" s="24">
        <f t="shared" si="68"/>
        <v>62.70013986954671</v>
      </c>
      <c r="AE121" s="24">
        <f t="shared" si="69"/>
        <v>10.046147110795921</v>
      </c>
      <c r="AF121" s="24">
        <f t="shared" si="70"/>
        <v>6.1757258586719912</v>
      </c>
      <c r="AG121" s="24">
        <f t="shared" si="71"/>
        <v>78.922012839014627</v>
      </c>
      <c r="AH121" s="24">
        <f t="shared" si="72"/>
        <v>75.061570887763637</v>
      </c>
      <c r="AI121" s="254">
        <f t="shared" si="73"/>
        <v>1.000496684622995</v>
      </c>
    </row>
    <row r="122" spans="3:35" x14ac:dyDescent="0.2">
      <c r="C122" s="24">
        <f>'Final Floorspace Estimates'!U154</f>
        <v>63.922258507763132</v>
      </c>
      <c r="D122" s="24">
        <f>'Final Floorspace Estimates'!V154</f>
        <v>7.9719514997802507</v>
      </c>
      <c r="E122" s="24">
        <f>'Final Floorspace Estimates'!W154</f>
        <v>4.3666369336940116</v>
      </c>
      <c r="F122" s="24">
        <f>'Final Floorspace Estimates'!X154</f>
        <v>76.260846941237389</v>
      </c>
      <c r="H122" s="24">
        <f t="shared" si="50"/>
        <v>63.922258507763132</v>
      </c>
      <c r="I122" s="24">
        <f t="shared" si="51"/>
        <v>11.599427382357767</v>
      </c>
      <c r="J122" s="24">
        <f t="shared" si="52"/>
        <v>6.2044863286286143</v>
      </c>
      <c r="K122" s="24">
        <f t="shared" si="53"/>
        <v>81.726172218749511</v>
      </c>
      <c r="L122" s="24">
        <f t="shared" si="54"/>
        <v>76.032202322589484</v>
      </c>
      <c r="M122" s="254">
        <f t="shared" si="55"/>
        <v>0.99700180855814402</v>
      </c>
      <c r="P122" s="24">
        <f t="shared" si="56"/>
        <v>63.922258507763132</v>
      </c>
      <c r="Q122" s="24">
        <f t="shared" si="57"/>
        <v>5.3425772428574385</v>
      </c>
      <c r="R122" s="24">
        <f t="shared" si="58"/>
        <v>5.4768822628067024</v>
      </c>
      <c r="S122" s="24">
        <f t="shared" si="59"/>
        <v>74.741718013427274</v>
      </c>
      <c r="T122" s="24">
        <f t="shared" si="60"/>
        <v>76.899331390870088</v>
      </c>
      <c r="U122" s="254">
        <f t="shared" si="61"/>
        <v>1.0083723755405534</v>
      </c>
      <c r="W122" s="24">
        <f t="shared" si="62"/>
        <v>63.922258507763132</v>
      </c>
      <c r="X122" s="24">
        <f t="shared" si="63"/>
        <v>8.5731393722918359</v>
      </c>
      <c r="Y122" s="24">
        <f t="shared" si="64"/>
        <v>7.1739543344848826</v>
      </c>
      <c r="Z122" s="24">
        <f t="shared" si="65"/>
        <v>79.669352214539856</v>
      </c>
      <c r="AA122" s="24">
        <f t="shared" si="66"/>
        <v>76.657870237615739</v>
      </c>
      <c r="AB122" s="254">
        <f t="shared" si="67"/>
        <v>1.0052061223065654</v>
      </c>
      <c r="AD122" s="24">
        <f t="shared" si="68"/>
        <v>63.922258507763132</v>
      </c>
      <c r="AE122" s="24">
        <f t="shared" si="69"/>
        <v>10.120687645021485</v>
      </c>
      <c r="AF122" s="24">
        <f t="shared" si="70"/>
        <v>6.1137101500650486</v>
      </c>
      <c r="AG122" s="24">
        <f t="shared" si="71"/>
        <v>80.156656302849669</v>
      </c>
      <c r="AH122" s="24">
        <f t="shared" si="72"/>
        <v>76.235822209391799</v>
      </c>
      <c r="AI122" s="254">
        <f t="shared" si="73"/>
        <v>0.99967185347594067</v>
      </c>
    </row>
    <row r="123" spans="3:35" x14ac:dyDescent="0.2">
      <c r="C123" s="24">
        <f>'Final Floorspace Estimates'!U155</f>
        <v>64.865426401174432</v>
      </c>
      <c r="D123" s="24">
        <f>'Final Floorspace Estimates'!V155</f>
        <v>8.0161912737956094</v>
      </c>
      <c r="E123" s="24">
        <f>'Final Floorspace Estimates'!W155</f>
        <v>4.3172743145881132</v>
      </c>
      <c r="F123" s="24">
        <f>'Final Floorspace Estimates'!X155</f>
        <v>77.198891989558163</v>
      </c>
      <c r="H123" s="24">
        <f t="shared" si="50"/>
        <v>64.865426401174432</v>
      </c>
      <c r="I123" s="24">
        <f t="shared" si="51"/>
        <v>11.663797574037586</v>
      </c>
      <c r="J123" s="24">
        <f t="shared" si="52"/>
        <v>6.1343477528691785</v>
      </c>
      <c r="K123" s="24">
        <f t="shared" si="53"/>
        <v>82.663571728081195</v>
      </c>
      <c r="L123" s="24">
        <f t="shared" si="54"/>
        <v>76.904291975336633</v>
      </c>
      <c r="M123" s="254">
        <f t="shared" si="55"/>
        <v>0.99618388286892279</v>
      </c>
      <c r="P123" s="24">
        <f t="shared" si="56"/>
        <v>64.865426401174432</v>
      </c>
      <c r="Q123" s="24">
        <f t="shared" si="57"/>
        <v>5.3722254927107063</v>
      </c>
      <c r="R123" s="24">
        <f t="shared" si="58"/>
        <v>5.4149688825252618</v>
      </c>
      <c r="S123" s="24">
        <f t="shared" si="59"/>
        <v>75.652620776410402</v>
      </c>
      <c r="T123" s="24">
        <f t="shared" si="60"/>
        <v>77.836529722635959</v>
      </c>
      <c r="U123" s="254">
        <f t="shared" si="61"/>
        <v>1.0082596746746577</v>
      </c>
      <c r="W123" s="24">
        <f t="shared" si="62"/>
        <v>64.865426401174432</v>
      </c>
      <c r="X123" s="24">
        <f t="shared" si="63"/>
        <v>8.6207153953575588</v>
      </c>
      <c r="Y123" s="24">
        <f t="shared" si="64"/>
        <v>7.0928564138943768</v>
      </c>
      <c r="Z123" s="24">
        <f t="shared" si="65"/>
        <v>80.578998210426377</v>
      </c>
      <c r="AA123" s="24">
        <f t="shared" si="66"/>
        <v>77.533131837924188</v>
      </c>
      <c r="AB123" s="254">
        <f t="shared" si="67"/>
        <v>1.0043295938549381</v>
      </c>
      <c r="AD123" s="24">
        <f t="shared" si="68"/>
        <v>64.865426401174432</v>
      </c>
      <c r="AE123" s="24">
        <f t="shared" si="69"/>
        <v>10.176851676414316</v>
      </c>
      <c r="AF123" s="24">
        <f t="shared" si="70"/>
        <v>6.0445977530317956</v>
      </c>
      <c r="AG123" s="24">
        <f t="shared" si="71"/>
        <v>81.086875830620542</v>
      </c>
      <c r="AH123" s="24">
        <f t="shared" si="72"/>
        <v>77.120540382601376</v>
      </c>
      <c r="AI123" s="254">
        <f t="shared" si="73"/>
        <v>0.99898506824466615</v>
      </c>
    </row>
    <row r="124" spans="3:35" x14ac:dyDescent="0.2">
      <c r="C124" s="24">
        <f>'Final Floorspace Estimates'!U156</f>
        <v>65.711665729331187</v>
      </c>
      <c r="D124" s="24">
        <f>'Final Floorspace Estimates'!V156</f>
        <v>8.1874765110750829</v>
      </c>
      <c r="E124" s="24">
        <f>'Final Floorspace Estimates'!W156</f>
        <v>4.419257410124346</v>
      </c>
      <c r="F124" s="24">
        <f>'Final Floorspace Estimates'!X156</f>
        <v>78.318399650530608</v>
      </c>
      <c r="H124" s="24">
        <f t="shared" si="50"/>
        <v>65.711665729331187</v>
      </c>
      <c r="I124" s="24">
        <f t="shared" si="51"/>
        <v>11.91302270687337</v>
      </c>
      <c r="J124" s="24">
        <f t="shared" si="52"/>
        <v>6.2792539430594623</v>
      </c>
      <c r="K124" s="24">
        <f t="shared" si="53"/>
        <v>83.903942379264024</v>
      </c>
      <c r="L124" s="24">
        <f t="shared" si="54"/>
        <v>78.058244372046317</v>
      </c>
      <c r="M124" s="254">
        <f t="shared" si="55"/>
        <v>0.99667823551496015</v>
      </c>
      <c r="P124" s="24">
        <f t="shared" si="56"/>
        <v>65.711665729331187</v>
      </c>
      <c r="Q124" s="24">
        <f t="shared" si="57"/>
        <v>5.4870160318593673</v>
      </c>
      <c r="R124" s="24">
        <f t="shared" si="58"/>
        <v>5.5428818314445127</v>
      </c>
      <c r="S124" s="24">
        <f t="shared" si="59"/>
        <v>76.741563592635075</v>
      </c>
      <c r="T124" s="24">
        <f t="shared" si="60"/>
        <v>78.956907695156275</v>
      </c>
      <c r="U124" s="254">
        <f t="shared" si="61"/>
        <v>1.0081527207843213</v>
      </c>
      <c r="W124" s="24">
        <f t="shared" si="62"/>
        <v>65.711665729331187</v>
      </c>
      <c r="X124" s="24">
        <f t="shared" si="63"/>
        <v>8.804917746770947</v>
      </c>
      <c r="Y124" s="24">
        <f t="shared" si="64"/>
        <v>7.2604045937352453</v>
      </c>
      <c r="Z124" s="24">
        <f t="shared" si="65"/>
        <v>81.776988069837387</v>
      </c>
      <c r="AA124" s="24">
        <f t="shared" si="66"/>
        <v>78.685837974424544</v>
      </c>
      <c r="AB124" s="254">
        <f t="shared" si="67"/>
        <v>1.0046915964260443</v>
      </c>
      <c r="AD124" s="24">
        <f t="shared" si="68"/>
        <v>65.711665729331187</v>
      </c>
      <c r="AE124" s="24">
        <f t="shared" si="69"/>
        <v>10.394304628148497</v>
      </c>
      <c r="AF124" s="24">
        <f t="shared" si="70"/>
        <v>6.1873838595440827</v>
      </c>
      <c r="AG124" s="24">
        <f t="shared" si="71"/>
        <v>82.293354217023776</v>
      </c>
      <c r="AH124" s="24">
        <f t="shared" si="72"/>
        <v>78.268004311458412</v>
      </c>
      <c r="AI124" s="254">
        <f t="shared" si="73"/>
        <v>0.99935653257348123</v>
      </c>
    </row>
    <row r="125" spans="3:35" x14ac:dyDescent="0.2">
      <c r="C125" s="24"/>
      <c r="D125" s="24"/>
      <c r="E125" s="24"/>
      <c r="F125" s="24"/>
      <c r="H125" s="24"/>
      <c r="I125" s="24"/>
      <c r="J125" s="24"/>
      <c r="K125" s="24"/>
      <c r="L125" s="24"/>
      <c r="M125" s="23"/>
    </row>
    <row r="126" spans="3:35" x14ac:dyDescent="0.2">
      <c r="C126" s="24"/>
      <c r="D126" s="24"/>
      <c r="E126" s="24"/>
      <c r="F126" s="24"/>
      <c r="H126" s="24">
        <f>RECS_intensity_data!AA181</f>
        <v>14.669143531463208</v>
      </c>
      <c r="I126" s="24">
        <f>RECS_intensity_data!AB181</f>
        <v>20.111865144417948</v>
      </c>
      <c r="J126" s="24">
        <f>RECS_intensity_data!AC181</f>
        <v>31.253497399838864</v>
      </c>
      <c r="K126" s="24"/>
      <c r="L126" s="24" t="s">
        <v>412</v>
      </c>
      <c r="M126" s="23"/>
      <c r="P126">
        <f>RECS_intensity_data!AA169</f>
        <v>26.798882446876078</v>
      </c>
      <c r="Q126">
        <f>RECS_intensity_data!AB169</f>
        <v>24.483384364553721</v>
      </c>
      <c r="R126">
        <f>RECS_intensity_data!AC169</f>
        <v>42.012104565763103</v>
      </c>
      <c r="W126" s="23">
        <f>H126+P126</f>
        <v>41.468025978339284</v>
      </c>
      <c r="X126" s="23">
        <f>I126+Q126</f>
        <v>44.595249508971669</v>
      </c>
      <c r="Y126" s="23">
        <f>J126+R126</f>
        <v>73.265601965601974</v>
      </c>
      <c r="AD126">
        <f>$AK$33*H126+P126</f>
        <v>73.74014174755834</v>
      </c>
      <c r="AE126">
        <f>$AK$33*I126+Q126</f>
        <v>88.84135282669115</v>
      </c>
      <c r="AF126">
        <f>$AK$33*J126+R126</f>
        <v>142.02329624524748</v>
      </c>
    </row>
    <row r="127" spans="3:35" x14ac:dyDescent="0.2">
      <c r="C127" s="24"/>
      <c r="D127" s="24"/>
      <c r="E127" s="24"/>
      <c r="F127" s="24"/>
      <c r="H127" s="24">
        <f>1</f>
        <v>1</v>
      </c>
      <c r="I127" s="24">
        <f>I126/H126</f>
        <v>1.3710319966043609</v>
      </c>
      <c r="J127" s="24">
        <f>J126/I126</f>
        <v>1.5539830431148887</v>
      </c>
      <c r="K127" s="24"/>
      <c r="L127" s="24">
        <f>F129/K129</f>
        <v>0.92592715154007221</v>
      </c>
      <c r="M127" s="23"/>
      <c r="P127">
        <f>1</f>
        <v>1</v>
      </c>
      <c r="Q127">
        <f>Q126/P126</f>
        <v>0.91359721484982026</v>
      </c>
      <c r="R127">
        <f>R126/Q126</f>
        <v>1.715943512555679</v>
      </c>
      <c r="T127">
        <f>F129/S129</f>
        <v>0.98660510658195366</v>
      </c>
      <c r="W127">
        <f>1</f>
        <v>1</v>
      </c>
      <c r="X127">
        <f>X126/W126</f>
        <v>1.0754128863588994</v>
      </c>
      <c r="Y127">
        <f>Y126/X126</f>
        <v>1.6429014922511511</v>
      </c>
      <c r="AA127">
        <f>F129/Z129</f>
        <v>0.96481055934204962</v>
      </c>
      <c r="AD127">
        <f>1</f>
        <v>1</v>
      </c>
      <c r="AE127">
        <f>AE126/AD126</f>
        <v>1.2047895585938826</v>
      </c>
      <c r="AF127">
        <f>AF126/AE126</f>
        <v>1.5986169922727533</v>
      </c>
      <c r="AH127">
        <f>F129/AG129</f>
        <v>0.94758249474592426</v>
      </c>
    </row>
    <row r="128" spans="3:35" x14ac:dyDescent="0.2">
      <c r="C128" s="24"/>
      <c r="D128" s="24"/>
      <c r="E128" s="24"/>
      <c r="F128" s="24"/>
      <c r="H128" s="24"/>
      <c r="I128" s="24"/>
      <c r="J128" s="24"/>
      <c r="K128" s="24"/>
      <c r="L128" s="24"/>
      <c r="M128" s="23"/>
    </row>
    <row r="129" spans="1:35" x14ac:dyDescent="0.2">
      <c r="A129" t="s">
        <v>410</v>
      </c>
      <c r="C129" s="24">
        <f>'Final Floorspace Estimates'!U171</f>
        <v>19.226841154636816</v>
      </c>
      <c r="D129" s="24">
        <f>'Final Floorspace Estimates'!V171</f>
        <v>3.7990175327264279</v>
      </c>
      <c r="E129" s="24">
        <f>'Final Floorspace Estimates'!W171</f>
        <v>0.91243224811205959</v>
      </c>
      <c r="F129" s="24">
        <f>'Final Floorspace Estimates'!X171</f>
        <v>23.938290935475301</v>
      </c>
      <c r="H129" s="24">
        <f>H$7*C129</f>
        <v>19.226841154636816</v>
      </c>
      <c r="I129" s="24">
        <f>I$127*D129</f>
        <v>5.2085745930288878</v>
      </c>
      <c r="J129" s="24">
        <f>J$127*E129</f>
        <v>1.4179042415573375</v>
      </c>
      <c r="K129" s="24">
        <f>SUM(H129:J129)</f>
        <v>25.853319989223042</v>
      </c>
      <c r="L129" s="24">
        <f>K129*L$127</f>
        <v>23.938290935475301</v>
      </c>
      <c r="M129" s="254">
        <f>L129/F129</f>
        <v>1</v>
      </c>
      <c r="P129" s="24">
        <f>P$7*C129</f>
        <v>19.226841154636816</v>
      </c>
      <c r="Q129" s="24">
        <f>Q$127*D129</f>
        <v>3.4707718370645004</v>
      </c>
      <c r="R129" s="24">
        <f>R$127*E129</f>
        <v>1.5656821967944823</v>
      </c>
      <c r="S129" s="24">
        <f>SUM(P129:R129)</f>
        <v>24.2632951884958</v>
      </c>
      <c r="T129" s="24">
        <f>S129*T$127</f>
        <v>23.938290935475301</v>
      </c>
      <c r="U129" s="254">
        <f>T129/F129</f>
        <v>1</v>
      </c>
      <c r="W129" s="24">
        <f>W$37*C129</f>
        <v>19.226841154636816</v>
      </c>
      <c r="X129" s="24">
        <f>X$127*D129</f>
        <v>4.0855124101973921</v>
      </c>
      <c r="Y129" s="24">
        <f>Y$127*E129</f>
        <v>1.4990363020013753</v>
      </c>
      <c r="Z129" s="24">
        <f>SUM(W129:Y129)</f>
        <v>24.811389866835583</v>
      </c>
      <c r="AA129" s="24">
        <f>Z129*AA$127</f>
        <v>23.938290935475301</v>
      </c>
      <c r="AB129" s="254">
        <f>AA129/F129</f>
        <v>1</v>
      </c>
      <c r="AD129" s="24">
        <f>AD$127*C129</f>
        <v>19.226841154636816</v>
      </c>
      <c r="AE129" s="24">
        <f>AE$127*D129</f>
        <v>4.5770166563438943</v>
      </c>
      <c r="AF129" s="24">
        <f>AF$127*E129</f>
        <v>1.4586296961295673</v>
      </c>
      <c r="AG129" s="24">
        <f>SUM(AD129:AF129)</f>
        <v>25.262487507110276</v>
      </c>
      <c r="AH129" s="24">
        <f>AG129*AH$127</f>
        <v>23.938290935475301</v>
      </c>
      <c r="AI129" s="254">
        <f>AH129/F129</f>
        <v>1</v>
      </c>
    </row>
    <row r="130" spans="1:35" x14ac:dyDescent="0.2">
      <c r="C130" s="24">
        <f>'Final Floorspace Estimates'!U172</f>
        <v>19.731328007902142</v>
      </c>
      <c r="D130" s="24">
        <f>'Final Floorspace Estimates'!V172</f>
        <v>3.9761450875646731</v>
      </c>
      <c r="E130" s="24">
        <f>'Final Floorspace Estimates'!W172</f>
        <v>0.95598063403301226</v>
      </c>
      <c r="F130" s="24">
        <f>'Final Floorspace Estimates'!X172</f>
        <v>24.663453729499828</v>
      </c>
      <c r="H130" s="24">
        <f t="shared" ref="H130:H154" si="74">H$7*C130</f>
        <v>19.731328007902142</v>
      </c>
      <c r="I130" s="24">
        <f t="shared" ref="I130:I154" si="75">I$127*D130</f>
        <v>5.4514221381924148</v>
      </c>
      <c r="J130" s="24">
        <f t="shared" ref="J130:J154" si="76">J$127*E130</f>
        <v>1.4855776948335211</v>
      </c>
      <c r="K130" s="24">
        <f t="shared" ref="K130:K154" si="77">SUM(H130:J130)</f>
        <v>26.668327840928075</v>
      </c>
      <c r="L130" s="24">
        <f t="shared" ref="L130:L154" si="78">K130*L$127</f>
        <v>24.692928834087336</v>
      </c>
      <c r="M130" s="254">
        <f t="shared" ref="M130:M154" si="79">L130/F130</f>
        <v>1.0011950923382744</v>
      </c>
      <c r="P130" s="24">
        <f t="shared" ref="P130:P154" si="80">P$7*C130</f>
        <v>19.731328007902142</v>
      </c>
      <c r="Q130" s="24">
        <f t="shared" ref="Q130:Q154" si="81">Q$127*D130</f>
        <v>3.6325950778378799</v>
      </c>
      <c r="R130" s="24">
        <f t="shared" ref="R130:R154" si="82">R$127*E130</f>
        <v>1.6404087670978122</v>
      </c>
      <c r="S130" s="24">
        <f t="shared" ref="S130:S154" si="83">SUM(P130:R130)</f>
        <v>25.004331852837836</v>
      </c>
      <c r="T130" s="24">
        <f t="shared" ref="T130:T154" si="84">S130*T$127</f>
        <v>24.669401492679611</v>
      </c>
      <c r="U130" s="254">
        <f t="shared" ref="U130:U154" si="85">T130/F130</f>
        <v>1.000241156946023</v>
      </c>
      <c r="W130" s="24">
        <f t="shared" ref="W130:W154" si="86">W$37*C130</f>
        <v>19.731328007902142</v>
      </c>
      <c r="X130" s="24">
        <f t="shared" ref="X130:X154" si="87">X$127*D130</f>
        <v>4.2759976651996841</v>
      </c>
      <c r="Y130" s="24">
        <f t="shared" ref="Y130:Y154" si="88">Y$127*E130</f>
        <v>1.5705820102160375</v>
      </c>
      <c r="Z130" s="24">
        <f t="shared" ref="Z130:Z154" si="89">SUM(W130:Y130)</f>
        <v>25.577907683317861</v>
      </c>
      <c r="AA130" s="24">
        <f t="shared" ref="AA130:AA154" si="90">Z130*AA$127</f>
        <v>24.677835418741214</v>
      </c>
      <c r="AB130" s="254">
        <f t="shared" ref="AB130:AB154" si="91">AA130/F130</f>
        <v>1.000583117409229</v>
      </c>
      <c r="AD130" s="24">
        <f t="shared" ref="AD130:AD154" si="92">AD$127*C130</f>
        <v>19.731328007902142</v>
      </c>
      <c r="AE130" s="24">
        <f t="shared" ref="AE130:AE154" si="93">AE$127*D130</f>
        <v>4.7904180849522771</v>
      </c>
      <c r="AF130" s="24">
        <f t="shared" ref="AF130:AF154" si="94">AF$127*E130</f>
        <v>1.5282468858488538</v>
      </c>
      <c r="AG130" s="24">
        <f t="shared" ref="AG130:AG154" si="95">SUM(AD130:AF130)</f>
        <v>26.049992978703276</v>
      </c>
      <c r="AH130" s="24">
        <f t="shared" ref="AH130:AH154" si="96">AG130*AH$127</f>
        <v>24.684517334873462</v>
      </c>
      <c r="AI130" s="254">
        <f t="shared" ref="AI130:AI154" si="97">AH130/F130</f>
        <v>1.0008540411900397</v>
      </c>
    </row>
    <row r="131" spans="1:35" x14ac:dyDescent="0.2">
      <c r="C131" s="24">
        <f>'Final Floorspace Estimates'!U173</f>
        <v>20.439712223156988</v>
      </c>
      <c r="D131" s="24">
        <f>'Final Floorspace Estimates'!V173</f>
        <v>4.1330424515954336</v>
      </c>
      <c r="E131" s="24">
        <f>'Final Floorspace Estimates'!W173</f>
        <v>0.98934670409629788</v>
      </c>
      <c r="F131" s="24">
        <f>'Final Floorspace Estimates'!X173</f>
        <v>25.56210137884872</v>
      </c>
      <c r="H131" s="24">
        <f t="shared" si="74"/>
        <v>20.439712223156988</v>
      </c>
      <c r="I131" s="24">
        <f t="shared" si="75"/>
        <v>5.6665334444614697</v>
      </c>
      <c r="J131" s="24">
        <f t="shared" si="76"/>
        <v>1.5374280019272502</v>
      </c>
      <c r="K131" s="24">
        <f t="shared" si="77"/>
        <v>27.643673669545709</v>
      </c>
      <c r="L131" s="24">
        <f t="shared" si="78"/>
        <v>25.596028018945756</v>
      </c>
      <c r="M131" s="254">
        <f t="shared" si="79"/>
        <v>1.0013272242212883</v>
      </c>
      <c r="P131" s="24">
        <f t="shared" si="80"/>
        <v>20.439712223156988</v>
      </c>
      <c r="Q131" s="24">
        <f t="shared" si="81"/>
        <v>3.775936072633661</v>
      </c>
      <c r="R131" s="24">
        <f t="shared" si="82"/>
        <v>1.6976630585623853</v>
      </c>
      <c r="S131" s="24">
        <f t="shared" si="83"/>
        <v>25.913311354353034</v>
      </c>
      <c r="T131" s="24">
        <f t="shared" si="84"/>
        <v>25.566205310652826</v>
      </c>
      <c r="U131" s="254">
        <f t="shared" si="85"/>
        <v>1.0001605475130266</v>
      </c>
      <c r="W131" s="24">
        <f t="shared" si="86"/>
        <v>20.439712223156988</v>
      </c>
      <c r="X131" s="24">
        <f t="shared" si="87"/>
        <v>4.4447271123141068</v>
      </c>
      <c r="Y131" s="24">
        <f t="shared" si="88"/>
        <v>1.6253991765135658</v>
      </c>
      <c r="Z131" s="24">
        <f t="shared" si="89"/>
        <v>26.509838511984658</v>
      </c>
      <c r="AA131" s="24">
        <f t="shared" si="90"/>
        <v>25.576972122815327</v>
      </c>
      <c r="AB131" s="254">
        <f t="shared" si="91"/>
        <v>1.0005817496670641</v>
      </c>
      <c r="AD131" s="24">
        <f t="shared" si="92"/>
        <v>20.439712223156988</v>
      </c>
      <c r="AE131" s="24">
        <f t="shared" si="93"/>
        <v>4.9794463909074409</v>
      </c>
      <c r="AF131" s="24">
        <f t="shared" si="94"/>
        <v>1.5815864524173855</v>
      </c>
      <c r="AG131" s="24">
        <f t="shared" si="95"/>
        <v>27.000745066481816</v>
      </c>
      <c r="AH131" s="24">
        <f t="shared" si="96"/>
        <v>25.585433370095547</v>
      </c>
      <c r="AI131" s="254">
        <f t="shared" si="97"/>
        <v>1.0009127571673795</v>
      </c>
    </row>
    <row r="132" spans="1:35" x14ac:dyDescent="0.2">
      <c r="C132" s="24">
        <f>'Final Floorspace Estimates'!U174</f>
        <v>20.831763827737952</v>
      </c>
      <c r="D132" s="24">
        <f>'Final Floorspace Estimates'!V174</f>
        <v>4.2913668970028436</v>
      </c>
      <c r="E132" s="24">
        <f>'Final Floorspace Estimates'!W174</f>
        <v>1.0035504343497272</v>
      </c>
      <c r="F132" s="24">
        <f>'Final Floorspace Estimates'!X174</f>
        <v>26.126681159090523</v>
      </c>
      <c r="H132" s="24">
        <f t="shared" si="74"/>
        <v>20.831763827737952</v>
      </c>
      <c r="I132" s="24">
        <f t="shared" si="75"/>
        <v>5.8836013249596695</v>
      </c>
      <c r="J132" s="24">
        <f t="shared" si="76"/>
        <v>1.5595003578900575</v>
      </c>
      <c r="K132" s="24">
        <f t="shared" si="77"/>
        <v>28.274865510587681</v>
      </c>
      <c r="L132" s="24">
        <f t="shared" si="78"/>
        <v>26.180465682397081</v>
      </c>
      <c r="M132" s="254">
        <f t="shared" si="79"/>
        <v>1.0020586052617648</v>
      </c>
      <c r="P132" s="24">
        <f t="shared" si="80"/>
        <v>20.831763827737952</v>
      </c>
      <c r="Q132" s="24">
        <f t="shared" si="81"/>
        <v>3.9205808450005133</v>
      </c>
      <c r="R132" s="24">
        <f t="shared" si="82"/>
        <v>1.7220358573448482</v>
      </c>
      <c r="S132" s="24">
        <f t="shared" si="83"/>
        <v>26.474380530083316</v>
      </c>
      <c r="T132" s="24">
        <f t="shared" si="84"/>
        <v>26.119759024574048</v>
      </c>
      <c r="U132" s="254">
        <f t="shared" si="85"/>
        <v>0.99973505496261372</v>
      </c>
      <c r="W132" s="24">
        <f t="shared" si="86"/>
        <v>20.831763827737952</v>
      </c>
      <c r="X132" s="24">
        <f t="shared" si="87"/>
        <v>4.6149912611308617</v>
      </c>
      <c r="Y132" s="24">
        <f t="shared" si="88"/>
        <v>1.6487345061424576</v>
      </c>
      <c r="Z132" s="24">
        <f t="shared" si="89"/>
        <v>27.095489595011269</v>
      </c>
      <c r="AA132" s="24">
        <f t="shared" si="90"/>
        <v>26.142014471809507</v>
      </c>
      <c r="AB132" s="254">
        <f t="shared" si="91"/>
        <v>1.0005868832947291</v>
      </c>
      <c r="AD132" s="24">
        <f t="shared" si="92"/>
        <v>20.831763827737952</v>
      </c>
      <c r="AE132" s="24">
        <f t="shared" si="93"/>
        <v>5.1701940296044553</v>
      </c>
      <c r="AF132" s="24">
        <f t="shared" si="94"/>
        <v>1.6042927769541762</v>
      </c>
      <c r="AG132" s="24">
        <f t="shared" si="95"/>
        <v>27.606250634296583</v>
      </c>
      <c r="AH132" s="24">
        <f t="shared" si="96"/>
        <v>26.15919984662801</v>
      </c>
      <c r="AI132" s="254">
        <f t="shared" si="97"/>
        <v>1.0012446543569569</v>
      </c>
    </row>
    <row r="133" spans="1:35" x14ac:dyDescent="0.2">
      <c r="C133" s="24">
        <f>'Final Floorspace Estimates'!U175</f>
        <v>21.206031530535935</v>
      </c>
      <c r="D133" s="24">
        <f>'Final Floorspace Estimates'!V175</f>
        <v>4.4368311332657093</v>
      </c>
      <c r="E133" s="24">
        <f>'Final Floorspace Estimates'!W175</f>
        <v>1.0130134238637174</v>
      </c>
      <c r="F133" s="24">
        <f>'Final Floorspace Estimates'!X175</f>
        <v>26.655876087665362</v>
      </c>
      <c r="H133" s="24">
        <f t="shared" si="74"/>
        <v>21.206031530535935</v>
      </c>
      <c r="I133" s="24">
        <f t="shared" si="75"/>
        <v>6.0830374472376745</v>
      </c>
      <c r="J133" s="24">
        <f t="shared" si="76"/>
        <v>1.5742056831319722</v>
      </c>
      <c r="K133" s="24">
        <f t="shared" si="77"/>
        <v>28.863274660905581</v>
      </c>
      <c r="L133" s="24">
        <f t="shared" si="78"/>
        <v>26.725289690891049</v>
      </c>
      <c r="M133" s="254">
        <f t="shared" si="79"/>
        <v>1.0026040638468381</v>
      </c>
      <c r="P133" s="24">
        <f t="shared" si="80"/>
        <v>21.206031530535935</v>
      </c>
      <c r="Q133" s="24">
        <f t="shared" si="81"/>
        <v>4.0534765661105236</v>
      </c>
      <c r="R133" s="24">
        <f t="shared" si="82"/>
        <v>1.7382738128107622</v>
      </c>
      <c r="S133" s="24">
        <f t="shared" si="83"/>
        <v>26.997781909457217</v>
      </c>
      <c r="T133" s="24">
        <f t="shared" si="84"/>
        <v>26.636149498256376</v>
      </c>
      <c r="U133" s="254">
        <f t="shared" si="85"/>
        <v>0.99925995343975527</v>
      </c>
      <c r="W133" s="24">
        <f t="shared" si="86"/>
        <v>21.206031530535935</v>
      </c>
      <c r="X133" s="24">
        <f t="shared" si="87"/>
        <v>4.7714253753123028</v>
      </c>
      <c r="Y133" s="24">
        <f t="shared" si="88"/>
        <v>1.6642812657361492</v>
      </c>
      <c r="Z133" s="24">
        <f t="shared" si="89"/>
        <v>27.641738171584386</v>
      </c>
      <c r="AA133" s="24">
        <f t="shared" si="90"/>
        <v>26.669040866512816</v>
      </c>
      <c r="AB133" s="254">
        <f t="shared" si="91"/>
        <v>1.0004938790533149</v>
      </c>
      <c r="AD133" s="24">
        <f t="shared" si="92"/>
        <v>21.206031530535935</v>
      </c>
      <c r="AE133" s="24">
        <f t="shared" si="93"/>
        <v>5.3454478226027895</v>
      </c>
      <c r="AF133" s="24">
        <f t="shared" si="94"/>
        <v>1.6194204727889396</v>
      </c>
      <c r="AG133" s="24">
        <f t="shared" si="95"/>
        <v>28.170899825927663</v>
      </c>
      <c r="AH133" s="24">
        <f t="shared" si="96"/>
        <v>26.694251536290057</v>
      </c>
      <c r="AI133" s="254">
        <f t="shared" si="97"/>
        <v>1.001439661877872</v>
      </c>
    </row>
    <row r="134" spans="1:35" x14ac:dyDescent="0.2">
      <c r="C134" s="24">
        <f>'Final Floorspace Estimates'!U176</f>
        <v>22.024632159607567</v>
      </c>
      <c r="D134" s="24">
        <f>'Final Floorspace Estimates'!V176</f>
        <v>4.4809619947815822</v>
      </c>
      <c r="E134" s="24">
        <f>'Final Floorspace Estimates'!W176</f>
        <v>1.1029842694488849</v>
      </c>
      <c r="F134" s="24">
        <f>'Final Floorspace Estimates'!X176</f>
        <v>27.608578423838036</v>
      </c>
      <c r="H134" s="24">
        <f t="shared" si="74"/>
        <v>22.024632159607567</v>
      </c>
      <c r="I134" s="24">
        <f t="shared" si="75"/>
        <v>6.1435422704136524</v>
      </c>
      <c r="J134" s="24">
        <f t="shared" si="76"/>
        <v>1.7140188515460306</v>
      </c>
      <c r="K134" s="24">
        <f t="shared" si="77"/>
        <v>29.882193281567247</v>
      </c>
      <c r="L134" s="24">
        <f t="shared" si="78"/>
        <v>27.668734106971446</v>
      </c>
      <c r="M134" s="254">
        <f t="shared" si="79"/>
        <v>1.0021788765147528</v>
      </c>
      <c r="P134" s="24">
        <f t="shared" si="80"/>
        <v>22.024632159607567</v>
      </c>
      <c r="Q134" s="24">
        <f t="shared" si="81"/>
        <v>4.0937943982803482</v>
      </c>
      <c r="R134" s="24">
        <f t="shared" si="82"/>
        <v>1.8926587016117791</v>
      </c>
      <c r="S134" s="24">
        <f t="shared" si="83"/>
        <v>28.011085259499694</v>
      </c>
      <c r="T134" s="24">
        <f t="shared" si="84"/>
        <v>27.635879757924886</v>
      </c>
      <c r="U134" s="254">
        <f t="shared" si="85"/>
        <v>1.0009888714177069</v>
      </c>
      <c r="W134" s="24">
        <f t="shared" si="86"/>
        <v>22.024632159607567</v>
      </c>
      <c r="X134" s="24">
        <f t="shared" si="87"/>
        <v>4.8188842724725927</v>
      </c>
      <c r="Y134" s="24">
        <f t="shared" si="88"/>
        <v>1.8120945022071189</v>
      </c>
      <c r="Z134" s="24">
        <f t="shared" si="89"/>
        <v>28.655610934287278</v>
      </c>
      <c r="AA134" s="24">
        <f t="shared" si="90"/>
        <v>27.647236013797862</v>
      </c>
      <c r="AB134" s="254">
        <f t="shared" si="91"/>
        <v>1.0014002021171233</v>
      </c>
      <c r="AD134" s="24">
        <f t="shared" si="92"/>
        <v>22.024632159607567</v>
      </c>
      <c r="AE134" s="24">
        <f t="shared" si="93"/>
        <v>5.3986162237688662</v>
      </c>
      <c r="AF134" s="24">
        <f t="shared" si="94"/>
        <v>1.7632493953505366</v>
      </c>
      <c r="AG134" s="24">
        <f t="shared" si="95"/>
        <v>29.18649777872697</v>
      </c>
      <c r="AH134" s="24">
        <f t="shared" si="96"/>
        <v>27.656614378062478</v>
      </c>
      <c r="AI134" s="254">
        <f t="shared" si="97"/>
        <v>1.0017398923438581</v>
      </c>
    </row>
    <row r="135" spans="1:35" x14ac:dyDescent="0.2">
      <c r="C135" s="24">
        <f>'Final Floorspace Estimates'!U177</f>
        <v>22.798853252676579</v>
      </c>
      <c r="D135" s="24">
        <f>'Final Floorspace Estimates'!V177</f>
        <v>4.4983185520639353</v>
      </c>
      <c r="E135" s="24">
        <f>'Final Floorspace Estimates'!W177</f>
        <v>1.1837278104067768</v>
      </c>
      <c r="F135" s="24">
        <f>'Final Floorspace Estimates'!X177</f>
        <v>28.48089961514729</v>
      </c>
      <c r="H135" s="24">
        <f t="shared" si="74"/>
        <v>22.798853252676579</v>
      </c>
      <c r="I135" s="24">
        <f t="shared" si="75"/>
        <v>6.1673386657986553</v>
      </c>
      <c r="J135" s="24">
        <f t="shared" si="76"/>
        <v>1.839492945035647</v>
      </c>
      <c r="K135" s="24">
        <f t="shared" si="77"/>
        <v>30.805684863510884</v>
      </c>
      <c r="L135" s="24">
        <f t="shared" si="78"/>
        <v>28.523820036911751</v>
      </c>
      <c r="M135" s="254">
        <f t="shared" si="79"/>
        <v>1.0015069896788524</v>
      </c>
      <c r="P135" s="24">
        <f t="shared" si="80"/>
        <v>22.798853252676579</v>
      </c>
      <c r="Q135" s="24">
        <f t="shared" si="81"/>
        <v>4.1096513006728879</v>
      </c>
      <c r="R135" s="24">
        <f t="shared" si="82"/>
        <v>2.0312100568992473</v>
      </c>
      <c r="S135" s="24">
        <f t="shared" si="83"/>
        <v>28.939714610248714</v>
      </c>
      <c r="T135" s="24">
        <f t="shared" si="84"/>
        <v>28.552070217495753</v>
      </c>
      <c r="U135" s="254">
        <f t="shared" si="85"/>
        <v>1.0024988888451618</v>
      </c>
      <c r="W135" s="24">
        <f t="shared" si="86"/>
        <v>22.798853252676579</v>
      </c>
      <c r="X135" s="24">
        <f t="shared" si="87"/>
        <v>4.8375497378368619</v>
      </c>
      <c r="Y135" s="24">
        <f t="shared" si="88"/>
        <v>1.9447481861364813</v>
      </c>
      <c r="Z135" s="24">
        <f t="shared" si="89"/>
        <v>29.581151176649925</v>
      </c>
      <c r="AA135" s="24">
        <f t="shared" si="90"/>
        <v>28.540207012725343</v>
      </c>
      <c r="AB135" s="254">
        <f t="shared" si="91"/>
        <v>1.0020823568910904</v>
      </c>
      <c r="AD135" s="24">
        <f t="shared" si="92"/>
        <v>22.798853252676579</v>
      </c>
      <c r="AE135" s="24">
        <f t="shared" si="93"/>
        <v>5.4195272227557814</v>
      </c>
      <c r="AF135" s="24">
        <f t="shared" si="94"/>
        <v>1.8923273919420935</v>
      </c>
      <c r="AG135" s="24">
        <f t="shared" si="95"/>
        <v>30.110707867374455</v>
      </c>
      <c r="AH135" s="24">
        <f t="shared" si="96"/>
        <v>28.532379679532415</v>
      </c>
      <c r="AI135" s="254">
        <f t="shared" si="97"/>
        <v>1.0018075294348407</v>
      </c>
    </row>
    <row r="136" spans="1:35" x14ac:dyDescent="0.2">
      <c r="C136" s="24">
        <f>'Final Floorspace Estimates'!U178</f>
        <v>23.45935033493825</v>
      </c>
      <c r="D136" s="24">
        <f>'Final Floorspace Estimates'!V178</f>
        <v>4.5485408190062993</v>
      </c>
      <c r="E136" s="24">
        <f>'Final Floorspace Estimates'!W178</f>
        <v>1.1586634677884926</v>
      </c>
      <c r="F136" s="24">
        <f>'Final Floorspace Estimates'!X178</f>
        <v>29.166554621733042</v>
      </c>
      <c r="H136" s="24">
        <f t="shared" si="74"/>
        <v>23.45935033493825</v>
      </c>
      <c r="I136" s="24">
        <f t="shared" si="75"/>
        <v>6.2361950007186415</v>
      </c>
      <c r="J136" s="24">
        <f t="shared" si="76"/>
        <v>1.8005433816200116</v>
      </c>
      <c r="K136" s="24">
        <f t="shared" si="77"/>
        <v>31.496088717276905</v>
      </c>
      <c r="L136" s="24">
        <f t="shared" si="78"/>
        <v>29.163083710641612</v>
      </c>
      <c r="M136" s="254">
        <f t="shared" si="79"/>
        <v>0.99988099687685283</v>
      </c>
      <c r="P136" s="24">
        <f t="shared" si="80"/>
        <v>23.45935033493825</v>
      </c>
      <c r="Q136" s="24">
        <f t="shared" si="81"/>
        <v>4.1555342238748754</v>
      </c>
      <c r="R136" s="24">
        <f t="shared" si="82"/>
        <v>1.9882010607869298</v>
      </c>
      <c r="S136" s="24">
        <f t="shared" si="83"/>
        <v>29.603085619600055</v>
      </c>
      <c r="T136" s="24">
        <f t="shared" si="84"/>
        <v>29.206555442880212</v>
      </c>
      <c r="U136" s="254">
        <f t="shared" si="85"/>
        <v>1.0013714619935727</v>
      </c>
      <c r="W136" s="24">
        <f t="shared" si="86"/>
        <v>23.45935033493825</v>
      </c>
      <c r="X136" s="24">
        <f t="shared" si="87"/>
        <v>4.8915594108888367</v>
      </c>
      <c r="Y136" s="24">
        <f t="shared" si="88"/>
        <v>1.903569940246608</v>
      </c>
      <c r="Z136" s="24">
        <f t="shared" si="89"/>
        <v>30.254479686073697</v>
      </c>
      <c r="AA136" s="24">
        <f t="shared" si="90"/>
        <v>29.189841468523444</v>
      </c>
      <c r="AB136" s="254">
        <f t="shared" si="91"/>
        <v>1.0007984092427924</v>
      </c>
      <c r="AD136" s="24">
        <f t="shared" si="92"/>
        <v>23.45935033493825</v>
      </c>
      <c r="AE136" s="24">
        <f t="shared" si="93"/>
        <v>5.4800344855768568</v>
      </c>
      <c r="AF136" s="24">
        <f t="shared" si="94"/>
        <v>1.8522591079323583</v>
      </c>
      <c r="AG136" s="24">
        <f t="shared" si="95"/>
        <v>30.791643928447467</v>
      </c>
      <c r="AH136" s="24">
        <f t="shared" si="96"/>
        <v>29.177622771046444</v>
      </c>
      <c r="AI136" s="254">
        <f t="shared" si="97"/>
        <v>1.0003794808628221</v>
      </c>
    </row>
    <row r="137" spans="1:35" x14ac:dyDescent="0.2">
      <c r="C137" s="24">
        <f>'Final Floorspace Estimates'!U179</f>
        <v>24.156466669308717</v>
      </c>
      <c r="D137" s="24">
        <f>'Final Floorspace Estimates'!V179</f>
        <v>4.5853872183996973</v>
      </c>
      <c r="E137" s="24">
        <f>'Final Floorspace Estimates'!W179</f>
        <v>1.1350730014597061</v>
      </c>
      <c r="F137" s="24">
        <f>'Final Floorspace Estimates'!X179</f>
        <v>29.876926889168121</v>
      </c>
      <c r="H137" s="24">
        <f t="shared" si="74"/>
        <v>24.156466669308717</v>
      </c>
      <c r="I137" s="24">
        <f t="shared" si="75"/>
        <v>6.2867125932466541</v>
      </c>
      <c r="J137" s="24">
        <f t="shared" si="76"/>
        <v>1.7638841969659047</v>
      </c>
      <c r="K137" s="24">
        <f t="shared" si="77"/>
        <v>32.207063459521279</v>
      </c>
      <c r="L137" s="24">
        <f t="shared" si="78"/>
        <v>29.821394528544882</v>
      </c>
      <c r="M137" s="254">
        <f t="shared" si="79"/>
        <v>0.99814129609684277</v>
      </c>
      <c r="P137" s="24">
        <f t="shared" si="80"/>
        <v>24.156466669308717</v>
      </c>
      <c r="Q137" s="24">
        <f t="shared" si="81"/>
        <v>4.1891969917379281</v>
      </c>
      <c r="R137" s="24">
        <f t="shared" si="82"/>
        <v>1.9477211531318854</v>
      </c>
      <c r="S137" s="24">
        <f t="shared" si="83"/>
        <v>30.29338481417853</v>
      </c>
      <c r="T137" s="24">
        <f t="shared" si="84"/>
        <v>29.887608153320745</v>
      </c>
      <c r="U137" s="254">
        <f t="shared" si="85"/>
        <v>1.0003575087957421</v>
      </c>
      <c r="W137" s="24">
        <f t="shared" si="86"/>
        <v>24.156466669308717</v>
      </c>
      <c r="X137" s="24">
        <f t="shared" si="87"/>
        <v>4.9311845036124238</v>
      </c>
      <c r="Y137" s="24">
        <f t="shared" si="88"/>
        <v>1.8648131279121443</v>
      </c>
      <c r="Z137" s="24">
        <f t="shared" si="89"/>
        <v>30.952464300833284</v>
      </c>
      <c r="AA137" s="24">
        <f t="shared" si="90"/>
        <v>29.863264395101783</v>
      </c>
      <c r="AB137" s="254">
        <f t="shared" si="91"/>
        <v>0.9995427075175094</v>
      </c>
      <c r="AD137" s="24">
        <f t="shared" si="92"/>
        <v>24.156466669308717</v>
      </c>
      <c r="AE137" s="24">
        <f t="shared" si="93"/>
        <v>5.5244266428378026</v>
      </c>
      <c r="AF137" s="24">
        <f t="shared" si="94"/>
        <v>1.8145469876035221</v>
      </c>
      <c r="AG137" s="24">
        <f t="shared" si="95"/>
        <v>31.49544029975004</v>
      </c>
      <c r="AH137" s="24">
        <f t="shared" si="96"/>
        <v>29.844527892358464</v>
      </c>
      <c r="AI137" s="254">
        <f t="shared" si="97"/>
        <v>0.99891558469417407</v>
      </c>
    </row>
    <row r="138" spans="1:35" x14ac:dyDescent="0.2">
      <c r="C138" s="24">
        <f>'Final Floorspace Estimates'!U180</f>
        <v>24.627580497010491</v>
      </c>
      <c r="D138" s="24">
        <f>'Final Floorspace Estimates'!V180</f>
        <v>4.7265669737724494</v>
      </c>
      <c r="E138" s="24">
        <f>'Final Floorspace Estimates'!W180</f>
        <v>1.1824345732075947</v>
      </c>
      <c r="F138" s="24">
        <f>'Final Floorspace Estimates'!X180</f>
        <v>30.536582043990535</v>
      </c>
      <c r="H138" s="24">
        <f t="shared" si="74"/>
        <v>24.627580497010491</v>
      </c>
      <c r="I138" s="24">
        <f t="shared" si="75"/>
        <v>6.4802745551354732</v>
      </c>
      <c r="J138" s="24">
        <f t="shared" si="76"/>
        <v>1.8374832763573927</v>
      </c>
      <c r="K138" s="24">
        <f t="shared" si="77"/>
        <v>32.945338328503354</v>
      </c>
      <c r="L138" s="24">
        <f t="shared" si="78"/>
        <v>30.504983275035073</v>
      </c>
      <c r="M138" s="254">
        <f t="shared" si="79"/>
        <v>0.99896521592004173</v>
      </c>
      <c r="P138" s="24">
        <f t="shared" si="80"/>
        <v>24.627580497010491</v>
      </c>
      <c r="Q138" s="24">
        <f t="shared" si="81"/>
        <v>4.3181784230396536</v>
      </c>
      <c r="R138" s="24">
        <f t="shared" si="82"/>
        <v>2.0289909349171151</v>
      </c>
      <c r="S138" s="24">
        <f t="shared" si="83"/>
        <v>30.974749854967261</v>
      </c>
      <c r="T138" s="24">
        <f t="shared" si="84"/>
        <v>30.559846382009329</v>
      </c>
      <c r="U138" s="254">
        <f t="shared" si="85"/>
        <v>1.0007618514077732</v>
      </c>
      <c r="W138" s="24">
        <f t="shared" si="86"/>
        <v>24.627580497010491</v>
      </c>
      <c r="X138" s="24">
        <f t="shared" si="87"/>
        <v>5.0830110318332782</v>
      </c>
      <c r="Y138" s="24">
        <f t="shared" si="88"/>
        <v>1.9426235248121104</v>
      </c>
      <c r="Z138" s="24">
        <f t="shared" si="89"/>
        <v>31.653215053655881</v>
      </c>
      <c r="AA138" s="24">
        <f t="shared" si="90"/>
        <v>30.539356120891917</v>
      </c>
      <c r="AB138" s="254">
        <f t="shared" si="91"/>
        <v>1.0000908443812535</v>
      </c>
      <c r="AD138" s="24">
        <f t="shared" si="92"/>
        <v>24.627580497010491</v>
      </c>
      <c r="AE138" s="24">
        <f t="shared" si="93"/>
        <v>5.6945185379957328</v>
      </c>
      <c r="AF138" s="24">
        <f t="shared" si="94"/>
        <v>1.8902600009804418</v>
      </c>
      <c r="AG138" s="24">
        <f t="shared" si="95"/>
        <v>32.212359035986665</v>
      </c>
      <c r="AH138" s="24">
        <f t="shared" si="96"/>
        <v>30.523867536971661</v>
      </c>
      <c r="AI138" s="254">
        <f t="shared" si="97"/>
        <v>0.99958363031590902</v>
      </c>
    </row>
    <row r="139" spans="1:35" x14ac:dyDescent="0.2">
      <c r="C139" s="24">
        <f>'Final Floorspace Estimates'!U181</f>
        <v>25.049319810050054</v>
      </c>
      <c r="D139" s="24">
        <f>'Final Floorspace Estimates'!V181</f>
        <v>4.8915736454298555</v>
      </c>
      <c r="E139" s="24">
        <f>'Final Floorspace Estimates'!W181</f>
        <v>1.2356905093873045</v>
      </c>
      <c r="F139" s="24">
        <f>'Final Floorspace Estimates'!X181</f>
        <v>31.176583964867213</v>
      </c>
      <c r="H139" s="24">
        <f t="shared" si="74"/>
        <v>25.049319810050054</v>
      </c>
      <c r="I139" s="24">
        <f t="shared" si="75"/>
        <v>6.7065039816309673</v>
      </c>
      <c r="J139" s="24">
        <f t="shared" si="76"/>
        <v>1.9202420981258703</v>
      </c>
      <c r="K139" s="24">
        <f t="shared" si="77"/>
        <v>33.676065889806893</v>
      </c>
      <c r="L139" s="24">
        <f t="shared" si="78"/>
        <v>31.181583764424683</v>
      </c>
      <c r="M139" s="254">
        <f t="shared" si="79"/>
        <v>1.0001603703459976</v>
      </c>
      <c r="P139" s="24">
        <f t="shared" si="80"/>
        <v>25.049319810050054</v>
      </c>
      <c r="Q139" s="24">
        <f t="shared" si="81"/>
        <v>4.4689280586974984</v>
      </c>
      <c r="R139" s="24">
        <f t="shared" si="82"/>
        <v>2.1203751131097675</v>
      </c>
      <c r="S139" s="24">
        <f t="shared" si="83"/>
        <v>31.638622981857317</v>
      </c>
      <c r="T139" s="24">
        <f t="shared" si="84"/>
        <v>31.214826999121588</v>
      </c>
      <c r="U139" s="254">
        <f t="shared" si="85"/>
        <v>1.0012266589019974</v>
      </c>
      <c r="W139" s="24">
        <f t="shared" si="86"/>
        <v>25.049319810050054</v>
      </c>
      <c r="X139" s="24">
        <f t="shared" si="87"/>
        <v>5.2604613328688448</v>
      </c>
      <c r="Y139" s="24">
        <f t="shared" si="88"/>
        <v>2.0301177818329879</v>
      </c>
      <c r="Z139" s="24">
        <f t="shared" si="89"/>
        <v>32.339898924751886</v>
      </c>
      <c r="AA139" s="24">
        <f t="shared" si="90"/>
        <v>31.201875970655216</v>
      </c>
      <c r="AB139" s="254">
        <f t="shared" si="91"/>
        <v>1.0008112500656423</v>
      </c>
      <c r="AD139" s="24">
        <f t="shared" si="92"/>
        <v>25.049319810050054</v>
      </c>
      <c r="AE139" s="24">
        <f t="shared" si="93"/>
        <v>5.8933168531069047</v>
      </c>
      <c r="AF139" s="24">
        <f t="shared" si="94"/>
        <v>1.9753958454967193</v>
      </c>
      <c r="AG139" s="24">
        <f t="shared" si="95"/>
        <v>32.918032508653681</v>
      </c>
      <c r="AH139" s="24">
        <f t="shared" si="96"/>
        <v>31.192551366677492</v>
      </c>
      <c r="AI139" s="254">
        <f t="shared" si="97"/>
        <v>1.0005121600823321</v>
      </c>
    </row>
    <row r="140" spans="1:35" x14ac:dyDescent="0.2">
      <c r="C140" s="24">
        <f>'Final Floorspace Estimates'!U182</f>
        <v>25.606477866824317</v>
      </c>
      <c r="D140" s="24">
        <f>'Final Floorspace Estimates'!V182</f>
        <v>5.0351627140280435</v>
      </c>
      <c r="E140" s="24">
        <f>'Final Floorspace Estimates'!W182</f>
        <v>1.2317198448467406</v>
      </c>
      <c r="F140" s="24">
        <f>'Final Floorspace Estimates'!X182</f>
        <v>31.873360425699101</v>
      </c>
      <c r="H140" s="24">
        <f t="shared" si="74"/>
        <v>25.606477866824317</v>
      </c>
      <c r="I140" s="24">
        <f t="shared" si="75"/>
        <v>6.903369189041701</v>
      </c>
      <c r="J140" s="24">
        <f t="shared" si="76"/>
        <v>1.9140717527599365</v>
      </c>
      <c r="K140" s="24">
        <f t="shared" si="77"/>
        <v>34.423918808625956</v>
      </c>
      <c r="L140" s="24">
        <f t="shared" si="78"/>
        <v>31.874041087317746</v>
      </c>
      <c r="M140" s="254">
        <f t="shared" si="79"/>
        <v>1.0000213551884569</v>
      </c>
      <c r="P140" s="24">
        <f t="shared" si="80"/>
        <v>25.606477866824317</v>
      </c>
      <c r="Q140" s="24">
        <f t="shared" si="81"/>
        <v>4.6001106318516829</v>
      </c>
      <c r="R140" s="24">
        <f t="shared" si="82"/>
        <v>2.1135616770508521</v>
      </c>
      <c r="S140" s="24">
        <f t="shared" si="83"/>
        <v>32.320150175726852</v>
      </c>
      <c r="T140" s="24">
        <f t="shared" si="84"/>
        <v>31.88722520886774</v>
      </c>
      <c r="U140" s="254">
        <f t="shared" si="85"/>
        <v>1.0004349959647638</v>
      </c>
      <c r="W140" s="24">
        <f t="shared" si="86"/>
        <v>25.606477866824317</v>
      </c>
      <c r="X140" s="24">
        <f t="shared" si="87"/>
        <v>5.414878867579608</v>
      </c>
      <c r="Y140" s="24">
        <f t="shared" si="88"/>
        <v>2.0235943711340663</v>
      </c>
      <c r="Z140" s="24">
        <f t="shared" si="89"/>
        <v>33.04495110553799</v>
      </c>
      <c r="AA140" s="24">
        <f t="shared" si="90"/>
        <v>31.882117759564789</v>
      </c>
      <c r="AB140" s="254">
        <f t="shared" si="91"/>
        <v>1.0002747540186765</v>
      </c>
      <c r="AD140" s="24">
        <f t="shared" si="92"/>
        <v>25.606477866824317</v>
      </c>
      <c r="AE140" s="24">
        <f t="shared" si="93"/>
        <v>6.0663114636822222</v>
      </c>
      <c r="AF140" s="24">
        <f t="shared" si="94"/>
        <v>1.9690482736915589</v>
      </c>
      <c r="AG140" s="24">
        <f t="shared" si="95"/>
        <v>33.641837604198095</v>
      </c>
      <c r="AH140" s="24">
        <f t="shared" si="96"/>
        <v>31.87841640482328</v>
      </c>
      <c r="AI140" s="254">
        <f t="shared" si="97"/>
        <v>1.0001586271123173</v>
      </c>
    </row>
    <row r="141" spans="1:35" x14ac:dyDescent="0.2">
      <c r="C141" s="24">
        <f>'Final Floorspace Estimates'!U183</f>
        <v>26.162775793559103</v>
      </c>
      <c r="D141" s="24">
        <f>'Final Floorspace Estimates'!V183</f>
        <v>5.184978029258354</v>
      </c>
      <c r="E141" s="24">
        <f>'Final Floorspace Estimates'!W183</f>
        <v>1.2264051121606963</v>
      </c>
      <c r="F141" s="24">
        <f>'Final Floorspace Estimates'!X183</f>
        <v>32.574158934978151</v>
      </c>
      <c r="H141" s="24">
        <f t="shared" si="74"/>
        <v>26.162775793559103</v>
      </c>
      <c r="I141" s="24">
        <f t="shared" si="75"/>
        <v>7.1087707798038258</v>
      </c>
      <c r="J141" s="24">
        <f t="shared" si="76"/>
        <v>1.9058127482871352</v>
      </c>
      <c r="K141" s="24">
        <f t="shared" si="77"/>
        <v>35.177359321650059</v>
      </c>
      <c r="L141" s="24">
        <f t="shared" si="78"/>
        <v>32.571672115397043</v>
      </c>
      <c r="M141" s="254">
        <f t="shared" si="79"/>
        <v>0.99992365667564675</v>
      </c>
      <c r="P141" s="24">
        <f t="shared" si="80"/>
        <v>26.162775793559103</v>
      </c>
      <c r="Q141" s="24">
        <f t="shared" si="81"/>
        <v>4.7369814865879425</v>
      </c>
      <c r="R141" s="24">
        <f t="shared" si="82"/>
        <v>2.1044418959772666</v>
      </c>
      <c r="S141" s="24">
        <f t="shared" si="83"/>
        <v>33.00419917612431</v>
      </c>
      <c r="T141" s="24">
        <f t="shared" si="84"/>
        <v>32.56211144581215</v>
      </c>
      <c r="U141" s="254">
        <f t="shared" si="85"/>
        <v>0.99963015194989224</v>
      </c>
      <c r="W141" s="24">
        <f t="shared" si="86"/>
        <v>26.162775793559103</v>
      </c>
      <c r="X141" s="24">
        <f t="shared" si="87"/>
        <v>5.5759921881522043</v>
      </c>
      <c r="Y141" s="24">
        <f t="shared" si="88"/>
        <v>2.0148627888732484</v>
      </c>
      <c r="Z141" s="24">
        <f t="shared" si="89"/>
        <v>33.75363077058455</v>
      </c>
      <c r="AA141" s="24">
        <f t="shared" si="90"/>
        <v>32.565859383592695</v>
      </c>
      <c r="AB141" s="254">
        <f t="shared" si="91"/>
        <v>0.99974521057007115</v>
      </c>
      <c r="AD141" s="24">
        <f t="shared" si="92"/>
        <v>26.162775793559103</v>
      </c>
      <c r="AE141" s="24">
        <f t="shared" si="93"/>
        <v>6.2468073911891517</v>
      </c>
      <c r="AF141" s="24">
        <f t="shared" si="94"/>
        <v>1.960552051710261</v>
      </c>
      <c r="AG141" s="24">
        <f t="shared" si="95"/>
        <v>34.370135236458516</v>
      </c>
      <c r="AH141" s="24">
        <f t="shared" si="96"/>
        <v>32.568538492118158</v>
      </c>
      <c r="AI141" s="254">
        <f t="shared" si="97"/>
        <v>0.99982745700752518</v>
      </c>
    </row>
    <row r="142" spans="1:35" x14ac:dyDescent="0.2">
      <c r="C142" s="24">
        <f>'Final Floorspace Estimates'!U184</f>
        <v>27.056724122054003</v>
      </c>
      <c r="D142" s="24">
        <f>'Final Floorspace Estimates'!V184</f>
        <v>5.1576054699663709</v>
      </c>
      <c r="E142" s="24">
        <f>'Final Floorspace Estimates'!W184</f>
        <v>1.2977026373630476</v>
      </c>
      <c r="F142" s="24">
        <f>'Final Floorspace Estimates'!X184</f>
        <v>33.512032229383422</v>
      </c>
      <c r="H142" s="24">
        <f t="shared" si="74"/>
        <v>27.056724122054003</v>
      </c>
      <c r="I142" s="24">
        <f t="shared" si="75"/>
        <v>7.0712421251855666</v>
      </c>
      <c r="J142" s="24">
        <f t="shared" si="76"/>
        <v>2.0166078934676457</v>
      </c>
      <c r="K142" s="24">
        <f t="shared" si="77"/>
        <v>36.144574140707213</v>
      </c>
      <c r="L142" s="24">
        <f t="shared" si="78"/>
        <v>33.467242577733984</v>
      </c>
      <c r="M142" s="254">
        <f t="shared" si="79"/>
        <v>0.99866347551402246</v>
      </c>
      <c r="P142" s="24">
        <f t="shared" si="80"/>
        <v>27.056724122054003</v>
      </c>
      <c r="Q142" s="24">
        <f t="shared" si="81"/>
        <v>4.7119739926554747</v>
      </c>
      <c r="R142" s="24">
        <f t="shared" si="82"/>
        <v>2.2267844218095165</v>
      </c>
      <c r="S142" s="24">
        <f t="shared" si="83"/>
        <v>33.995482536518999</v>
      </c>
      <c r="T142" s="24">
        <f t="shared" si="84"/>
        <v>33.540116671247269</v>
      </c>
      <c r="U142" s="254">
        <f t="shared" si="85"/>
        <v>1.0008380405482906</v>
      </c>
      <c r="W142" s="24">
        <f t="shared" si="86"/>
        <v>27.056724122054003</v>
      </c>
      <c r="X142" s="24">
        <f t="shared" si="87"/>
        <v>5.5465553851569833</v>
      </c>
      <c r="Y142" s="24">
        <f t="shared" si="88"/>
        <v>2.1319975994220055</v>
      </c>
      <c r="Z142" s="24">
        <f t="shared" si="89"/>
        <v>34.735277106632992</v>
      </c>
      <c r="AA142" s="24">
        <f t="shared" si="90"/>
        <v>33.512962134151671</v>
      </c>
      <c r="AB142" s="254">
        <f t="shared" si="91"/>
        <v>1.0000277483848752</v>
      </c>
      <c r="AD142" s="24">
        <f t="shared" si="92"/>
        <v>27.056724122054003</v>
      </c>
      <c r="AE142" s="24">
        <f t="shared" si="93"/>
        <v>6.2138292175621785</v>
      </c>
      <c r="AF142" s="24">
        <f t="shared" si="94"/>
        <v>2.0745294870057345</v>
      </c>
      <c r="AG142" s="24">
        <f t="shared" si="95"/>
        <v>35.345082826621919</v>
      </c>
      <c r="AH142" s="24">
        <f t="shared" si="96"/>
        <v>33.492381761851725</v>
      </c>
      <c r="AI142" s="254">
        <f t="shared" si="97"/>
        <v>0.99941362948694978</v>
      </c>
    </row>
    <row r="143" spans="1:35" x14ac:dyDescent="0.2">
      <c r="C143" s="24">
        <f>'Final Floorspace Estimates'!U185</f>
        <v>28.023639380532863</v>
      </c>
      <c r="D143" s="24">
        <f>'Final Floorspace Estimates'!V185</f>
        <v>5.1396553091520545</v>
      </c>
      <c r="E143" s="24">
        <f>'Final Floorspace Estimates'!W185</f>
        <v>1.3712610172170572</v>
      </c>
      <c r="F143" s="24">
        <f>'Final Floorspace Estimates'!X185</f>
        <v>34.534555706901976</v>
      </c>
      <c r="H143" s="24">
        <f t="shared" si="74"/>
        <v>28.023639380532863</v>
      </c>
      <c r="I143" s="24">
        <f t="shared" si="75"/>
        <v>7.046631880364945</v>
      </c>
      <c r="J143" s="24">
        <f t="shared" si="76"/>
        <v>2.1309163684397801</v>
      </c>
      <c r="K143" s="24">
        <f t="shared" si="77"/>
        <v>37.201187629337589</v>
      </c>
      <c r="L143" s="24">
        <f t="shared" si="78"/>
        <v>34.445589695540328</v>
      </c>
      <c r="M143" s="254">
        <f t="shared" si="79"/>
        <v>0.99742385533734057</v>
      </c>
      <c r="P143" s="24">
        <f t="shared" si="80"/>
        <v>28.023639380532863</v>
      </c>
      <c r="Q143" s="24">
        <f t="shared" si="81"/>
        <v>4.6955747757294093</v>
      </c>
      <c r="R143" s="24">
        <f t="shared" si="82"/>
        <v>2.3530064465141107</v>
      </c>
      <c r="S143" s="24">
        <f t="shared" si="83"/>
        <v>35.072220602776383</v>
      </c>
      <c r="T143" s="24">
        <f t="shared" si="84"/>
        <v>34.602431945867984</v>
      </c>
      <c r="U143" s="254">
        <f t="shared" si="85"/>
        <v>1.0019654585842099</v>
      </c>
      <c r="W143" s="24">
        <f t="shared" si="86"/>
        <v>28.023639380532863</v>
      </c>
      <c r="X143" s="24">
        <f t="shared" si="87"/>
        <v>5.5272515509050528</v>
      </c>
      <c r="Y143" s="24">
        <f t="shared" si="88"/>
        <v>2.2528467714517348</v>
      </c>
      <c r="Z143" s="24">
        <f t="shared" si="89"/>
        <v>35.803737702889656</v>
      </c>
      <c r="AA143" s="24">
        <f t="shared" si="90"/>
        <v>34.543824199661003</v>
      </c>
      <c r="AB143" s="254">
        <f t="shared" si="91"/>
        <v>1.0002683831475259</v>
      </c>
      <c r="AD143" s="24">
        <f t="shared" si="92"/>
        <v>28.023639380532863</v>
      </c>
      <c r="AE143" s="24">
        <f t="shared" si="93"/>
        <v>6.1922030512380086</v>
      </c>
      <c r="AF143" s="24">
        <f t="shared" si="94"/>
        <v>2.192121162964408</v>
      </c>
      <c r="AG143" s="24">
        <f t="shared" si="95"/>
        <v>36.407963594735278</v>
      </c>
      <c r="AH143" s="24">
        <f t="shared" si="96"/>
        <v>34.499548971718042</v>
      </c>
      <c r="AI143" s="254">
        <f t="shared" si="97"/>
        <v>0.99898632733309101</v>
      </c>
    </row>
    <row r="144" spans="1:35" x14ac:dyDescent="0.2">
      <c r="C144" s="24">
        <f>'Final Floorspace Estimates'!U186</f>
        <v>28.834341489167841</v>
      </c>
      <c r="D144" s="24">
        <f>'Final Floorspace Estimates'!V186</f>
        <v>5.2545890948782077</v>
      </c>
      <c r="E144" s="24">
        <f>'Final Floorspace Estimates'!W186</f>
        <v>1.3860892998463876</v>
      </c>
      <c r="F144" s="24">
        <f>'Final Floorspace Estimates'!X186</f>
        <v>35.475019883892436</v>
      </c>
      <c r="H144" s="24">
        <f t="shared" si="74"/>
        <v>28.834341489167841</v>
      </c>
      <c r="I144" s="24">
        <f t="shared" si="75"/>
        <v>7.204209778086371</v>
      </c>
      <c r="J144" s="24">
        <f t="shared" si="76"/>
        <v>2.1539592682042747</v>
      </c>
      <c r="K144" s="24">
        <f t="shared" si="77"/>
        <v>38.192510535458489</v>
      </c>
      <c r="L144" s="24">
        <f t="shared" si="78"/>
        <v>35.363482490261276</v>
      </c>
      <c r="M144" s="254">
        <f t="shared" si="79"/>
        <v>0.99685588918635659</v>
      </c>
      <c r="P144" s="24">
        <f t="shared" si="80"/>
        <v>28.834341489167841</v>
      </c>
      <c r="Q144" s="24">
        <f t="shared" si="81"/>
        <v>4.8005779622609683</v>
      </c>
      <c r="R144" s="24">
        <f t="shared" si="82"/>
        <v>2.3784509418942523</v>
      </c>
      <c r="S144" s="24">
        <f t="shared" si="83"/>
        <v>36.013370393323058</v>
      </c>
      <c r="T144" s="24">
        <f t="shared" si="84"/>
        <v>35.530975135279867</v>
      </c>
      <c r="U144" s="254">
        <f t="shared" si="85"/>
        <v>1.0015773141655895</v>
      </c>
      <c r="W144" s="24">
        <f t="shared" si="86"/>
        <v>28.834341489167841</v>
      </c>
      <c r="X144" s="24">
        <f t="shared" si="87"/>
        <v>5.6508528251529704</v>
      </c>
      <c r="Y144" s="24">
        <f t="shared" si="88"/>
        <v>2.2772081791109833</v>
      </c>
      <c r="Z144" s="24">
        <f t="shared" si="89"/>
        <v>36.762402493431793</v>
      </c>
      <c r="AA144" s="24">
        <f t="shared" si="90"/>
        <v>35.468754112445488</v>
      </c>
      <c r="AB144" s="254">
        <f t="shared" si="91"/>
        <v>0.99982337511106534</v>
      </c>
      <c r="AD144" s="24">
        <f t="shared" si="92"/>
        <v>28.834341489167841</v>
      </c>
      <c r="AE144" s="24">
        <f t="shared" si="93"/>
        <v>6.3306740762105447</v>
      </c>
      <c r="AF144" s="24">
        <f t="shared" si="94"/>
        <v>2.2158259075418787</v>
      </c>
      <c r="AG144" s="24">
        <f t="shared" si="95"/>
        <v>37.38084147292026</v>
      </c>
      <c r="AH144" s="24">
        <f t="shared" si="96"/>
        <v>35.421431018611692</v>
      </c>
      <c r="AI144" s="254">
        <f t="shared" si="97"/>
        <v>0.99848939153646321</v>
      </c>
    </row>
    <row r="145" spans="3:35" x14ac:dyDescent="0.2">
      <c r="C145" s="24">
        <f>'Final Floorspace Estimates'!U187</f>
        <v>29.674674706741058</v>
      </c>
      <c r="D145" s="24">
        <f>'Final Floorspace Estimates'!V187</f>
        <v>5.3662908860924938</v>
      </c>
      <c r="E145" s="24">
        <f>'Final Floorspace Estimates'!W187</f>
        <v>1.3905405706580203</v>
      </c>
      <c r="F145" s="24">
        <f>'Final Floorspace Estimates'!X187</f>
        <v>36.431506163491569</v>
      </c>
      <c r="H145" s="24">
        <f t="shared" si="74"/>
        <v>29.674674706741058</v>
      </c>
      <c r="I145" s="24">
        <f t="shared" si="75"/>
        <v>7.3573565079191772</v>
      </c>
      <c r="J145" s="24">
        <f t="shared" si="76"/>
        <v>2.1608764675658643</v>
      </c>
      <c r="K145" s="24">
        <f t="shared" si="77"/>
        <v>39.1929076822261</v>
      </c>
      <c r="L145" s="24">
        <f t="shared" si="78"/>
        <v>36.289777370776626</v>
      </c>
      <c r="M145" s="254">
        <f t="shared" si="79"/>
        <v>0.9961097190964624</v>
      </c>
      <c r="P145" s="24">
        <f t="shared" si="80"/>
        <v>29.674674706741058</v>
      </c>
      <c r="Q145" s="24">
        <f t="shared" si="81"/>
        <v>4.9026284076080762</v>
      </c>
      <c r="R145" s="24">
        <f t="shared" si="82"/>
        <v>2.3860890711661016</v>
      </c>
      <c r="S145" s="24">
        <f t="shared" si="83"/>
        <v>36.963392185515239</v>
      </c>
      <c r="T145" s="24">
        <f t="shared" si="84"/>
        <v>36.468271486820818</v>
      </c>
      <c r="U145" s="254">
        <f t="shared" si="85"/>
        <v>1.0010091628702986</v>
      </c>
      <c r="W145" s="24">
        <f t="shared" si="86"/>
        <v>29.674674706741058</v>
      </c>
      <c r="X145" s="24">
        <f t="shared" si="87"/>
        <v>5.7709783708541851</v>
      </c>
      <c r="Y145" s="24">
        <f t="shared" si="88"/>
        <v>2.2845211785698289</v>
      </c>
      <c r="Z145" s="24">
        <f t="shared" si="89"/>
        <v>37.730174256165071</v>
      </c>
      <c r="AA145" s="24">
        <f t="shared" si="90"/>
        <v>36.402470528163626</v>
      </c>
      <c r="AB145" s="254">
        <f t="shared" si="91"/>
        <v>0.99920300755072711</v>
      </c>
      <c r="AD145" s="24">
        <f t="shared" si="92"/>
        <v>29.674674706741058</v>
      </c>
      <c r="AE145" s="24">
        <f t="shared" si="93"/>
        <v>6.4652512279417511</v>
      </c>
      <c r="AF145" s="24">
        <f t="shared" si="94"/>
        <v>2.2229417846985626</v>
      </c>
      <c r="AG145" s="24">
        <f t="shared" si="95"/>
        <v>38.36286771938137</v>
      </c>
      <c r="AH145" s="24">
        <f t="shared" si="96"/>
        <v>36.351981899139282</v>
      </c>
      <c r="AI145" s="254">
        <f t="shared" si="97"/>
        <v>0.99781715683135885</v>
      </c>
    </row>
    <row r="146" spans="3:35" x14ac:dyDescent="0.2">
      <c r="C146" s="24">
        <f>'Final Floorspace Estimates'!U188</f>
        <v>30.38937714846066</v>
      </c>
      <c r="D146" s="24">
        <f>'Final Floorspace Estimates'!V188</f>
        <v>5.4786754754108173</v>
      </c>
      <c r="E146" s="24">
        <f>'Final Floorspace Estimates'!W188</f>
        <v>1.3782738928466765</v>
      </c>
      <c r="F146" s="24">
        <f>'Final Floorspace Estimates'!X188</f>
        <v>37.246326516718156</v>
      </c>
      <c r="H146" s="24">
        <f t="shared" si="74"/>
        <v>30.38937714846066</v>
      </c>
      <c r="I146" s="24">
        <f t="shared" si="75"/>
        <v>7.5114393757998394</v>
      </c>
      <c r="J146" s="24">
        <f t="shared" si="76"/>
        <v>2.1418142582516824</v>
      </c>
      <c r="K146" s="24">
        <f t="shared" si="77"/>
        <v>40.042630782512184</v>
      </c>
      <c r="L146" s="24">
        <f t="shared" si="78"/>
        <v>37.076559060622323</v>
      </c>
      <c r="M146" s="254">
        <f t="shared" si="79"/>
        <v>0.99544203490726446</v>
      </c>
      <c r="P146" s="24">
        <f t="shared" si="80"/>
        <v>30.38937714846066</v>
      </c>
      <c r="Q146" s="24">
        <f t="shared" si="81"/>
        <v>5.005302655401338</v>
      </c>
      <c r="R146" s="24">
        <f t="shared" si="82"/>
        <v>2.3650401449551155</v>
      </c>
      <c r="S146" s="24">
        <f t="shared" si="83"/>
        <v>37.759719948817114</v>
      </c>
      <c r="T146" s="24">
        <f t="shared" si="84"/>
        <v>37.253932524607428</v>
      </c>
      <c r="U146" s="254">
        <f t="shared" si="85"/>
        <v>1.0002042082696627</v>
      </c>
      <c r="W146" s="24">
        <f t="shared" si="86"/>
        <v>30.38937714846066</v>
      </c>
      <c r="X146" s="24">
        <f t="shared" si="87"/>
        <v>5.8918382064352626</v>
      </c>
      <c r="Y146" s="24">
        <f t="shared" si="88"/>
        <v>2.2643682352886079</v>
      </c>
      <c r="Z146" s="24">
        <f t="shared" si="89"/>
        <v>38.545583590184528</v>
      </c>
      <c r="AA146" s="24">
        <f t="shared" si="90"/>
        <v>37.189186063811661</v>
      </c>
      <c r="AB146" s="254">
        <f t="shared" si="91"/>
        <v>0.99846587681926569</v>
      </c>
      <c r="AD146" s="24">
        <f t="shared" si="92"/>
        <v>30.38937714846066</v>
      </c>
      <c r="AE146" s="24">
        <f t="shared" si="93"/>
        <v>6.6006510076993283</v>
      </c>
      <c r="AF146" s="24">
        <f t="shared" si="94"/>
        <v>2.203332065110613</v>
      </c>
      <c r="AG146" s="24">
        <f t="shared" si="95"/>
        <v>39.193360221270602</v>
      </c>
      <c r="AH146" s="24">
        <f t="shared" si="96"/>
        <v>37.138942055947268</v>
      </c>
      <c r="AI146" s="254">
        <f t="shared" si="97"/>
        <v>0.9971169113624484</v>
      </c>
    </row>
    <row r="147" spans="3:35" x14ac:dyDescent="0.2">
      <c r="C147" s="24">
        <f>'Final Floorspace Estimates'!U189</f>
        <v>31.133566933202719</v>
      </c>
      <c r="D147" s="24">
        <f>'Final Floorspace Estimates'!V189</f>
        <v>5.5823501632560921</v>
      </c>
      <c r="E147" s="24">
        <f>'Final Floorspace Estimates'!W189</f>
        <v>1.3612950375810768</v>
      </c>
      <c r="F147" s="24">
        <f>'Final Floorspace Estimates'!X189</f>
        <v>38.07721213403989</v>
      </c>
      <c r="H147" s="24">
        <f t="shared" si="74"/>
        <v>31.133566933202719</v>
      </c>
      <c r="I147" s="24">
        <f t="shared" si="75"/>
        <v>7.6535806900736798</v>
      </c>
      <c r="J147" s="24">
        <f t="shared" si="76"/>
        <v>2.1154294050774385</v>
      </c>
      <c r="K147" s="24">
        <f t="shared" si="77"/>
        <v>40.902577028353832</v>
      </c>
      <c r="L147" s="24">
        <f t="shared" si="78"/>
        <v>37.872806638512053</v>
      </c>
      <c r="M147" s="254">
        <f t="shared" si="79"/>
        <v>0.99463181561695524</v>
      </c>
      <c r="P147" s="24">
        <f t="shared" si="80"/>
        <v>31.133566933202719</v>
      </c>
      <c r="Q147" s="24">
        <f t="shared" si="81"/>
        <v>5.1000195614672048</v>
      </c>
      <c r="R147" s="24">
        <f t="shared" si="82"/>
        <v>2.3359053884114882</v>
      </c>
      <c r="S147" s="24">
        <f t="shared" si="83"/>
        <v>38.569491883081412</v>
      </c>
      <c r="T147" s="24">
        <f t="shared" si="84"/>
        <v>38.052857650119336</v>
      </c>
      <c r="U147" s="254">
        <f t="shared" si="85"/>
        <v>0.99936039214649375</v>
      </c>
      <c r="W147" s="24">
        <f t="shared" si="86"/>
        <v>31.133566933202719</v>
      </c>
      <c r="X147" s="24">
        <f t="shared" si="87"/>
        <v>6.0033313017333079</v>
      </c>
      <c r="Y147" s="24">
        <f t="shared" si="88"/>
        <v>2.2364736486360379</v>
      </c>
      <c r="Z147" s="24">
        <f t="shared" si="89"/>
        <v>39.373371883572062</v>
      </c>
      <c r="AA147" s="24">
        <f t="shared" si="90"/>
        <v>37.987844950171691</v>
      </c>
      <c r="AB147" s="254">
        <f t="shared" si="91"/>
        <v>0.99765300086693309</v>
      </c>
      <c r="AD147" s="24">
        <f t="shared" si="92"/>
        <v>31.133566933202719</v>
      </c>
      <c r="AE147" s="24">
        <f t="shared" si="93"/>
        <v>6.7255571891057953</v>
      </c>
      <c r="AF147" s="24">
        <f t="shared" si="94"/>
        <v>2.1761893785736857</v>
      </c>
      <c r="AG147" s="24">
        <f t="shared" si="95"/>
        <v>40.035313500882204</v>
      </c>
      <c r="AH147" s="24">
        <f t="shared" si="96"/>
        <v>37.936762245101143</v>
      </c>
      <c r="AI147" s="254">
        <f t="shared" si="97"/>
        <v>0.99631144505946667</v>
      </c>
    </row>
    <row r="148" spans="3:35" x14ac:dyDescent="0.2">
      <c r="C148" s="24">
        <f>'Final Floorspace Estimates'!U190</f>
        <v>32.062664890191151</v>
      </c>
      <c r="D148" s="24">
        <f>'Final Floorspace Estimates'!V190</f>
        <v>5.6282043637040786</v>
      </c>
      <c r="E148" s="24">
        <f>'Final Floorspace Estimates'!W190</f>
        <v>1.3510945758062567</v>
      </c>
      <c r="F148" s="24">
        <f>'Final Floorspace Estimates'!X190</f>
        <v>39.041963829701487</v>
      </c>
      <c r="H148" s="24">
        <f t="shared" si="74"/>
        <v>32.062664890191151</v>
      </c>
      <c r="I148" s="24">
        <f t="shared" si="75"/>
        <v>7.7164482660665801</v>
      </c>
      <c r="J148" s="24">
        <f t="shared" si="76"/>
        <v>2.0995780604474263</v>
      </c>
      <c r="K148" s="24">
        <f t="shared" si="77"/>
        <v>41.878691216705157</v>
      </c>
      <c r="L148" s="24">
        <f t="shared" si="78"/>
        <v>38.776617268510044</v>
      </c>
      <c r="M148" s="254">
        <f t="shared" si="79"/>
        <v>0.99320355496591139</v>
      </c>
      <c r="P148" s="24">
        <f t="shared" si="80"/>
        <v>32.062664890191151</v>
      </c>
      <c r="Q148" s="24">
        <f t="shared" si="81"/>
        <v>5.1419118312856513</v>
      </c>
      <c r="R148" s="24">
        <f t="shared" si="82"/>
        <v>2.3184019722039131</v>
      </c>
      <c r="S148" s="24">
        <f t="shared" si="83"/>
        <v>39.52297869368072</v>
      </c>
      <c r="T148" s="24">
        <f t="shared" si="84"/>
        <v>38.993572606515151</v>
      </c>
      <c r="U148" s="254">
        <f t="shared" si="85"/>
        <v>0.99876053306648671</v>
      </c>
      <c r="W148" s="24">
        <f t="shared" si="86"/>
        <v>32.062664890191151</v>
      </c>
      <c r="X148" s="24">
        <f t="shared" si="87"/>
        <v>6.0526434997887559</v>
      </c>
      <c r="Y148" s="24">
        <f t="shared" si="88"/>
        <v>2.2197152947645353</v>
      </c>
      <c r="Z148" s="24">
        <f t="shared" si="89"/>
        <v>40.335023684744442</v>
      </c>
      <c r="AA148" s="24">
        <f t="shared" si="90"/>
        <v>38.915656762353102</v>
      </c>
      <c r="AB148" s="254">
        <f t="shared" si="91"/>
        <v>0.99676483826737483</v>
      </c>
      <c r="AD148" s="24">
        <f t="shared" si="92"/>
        <v>32.062664890191151</v>
      </c>
      <c r="AE148" s="24">
        <f t="shared" si="93"/>
        <v>6.7808018510232007</v>
      </c>
      <c r="AF148" s="24">
        <f t="shared" si="94"/>
        <v>2.1598827470514297</v>
      </c>
      <c r="AG148" s="24">
        <f t="shared" si="95"/>
        <v>41.003349488265776</v>
      </c>
      <c r="AH148" s="24">
        <f t="shared" si="96"/>
        <v>38.854056201029898</v>
      </c>
      <c r="AI148" s="254">
        <f t="shared" si="97"/>
        <v>0.99518703440505119</v>
      </c>
    </row>
    <row r="149" spans="3:35" x14ac:dyDescent="0.2">
      <c r="C149" s="24">
        <f>'Final Floorspace Estimates'!U191</f>
        <v>33.074769194787962</v>
      </c>
      <c r="D149" s="24">
        <f>'Final Floorspace Estimates'!V191</f>
        <v>5.6708064013437971</v>
      </c>
      <c r="E149" s="24">
        <f>'Final Floorspace Estimates'!W191</f>
        <v>1.3373773547048287</v>
      </c>
      <c r="F149" s="24">
        <f>'Final Floorspace Estimates'!X191</f>
        <v>40.082952950836585</v>
      </c>
      <c r="H149" s="24">
        <f t="shared" si="74"/>
        <v>33.074769194787962</v>
      </c>
      <c r="I149" s="24">
        <f t="shared" si="75"/>
        <v>7.7748570227911769</v>
      </c>
      <c r="J149" s="24">
        <f t="shared" si="76"/>
        <v>2.0782617314571494</v>
      </c>
      <c r="K149" s="24">
        <f t="shared" si="77"/>
        <v>42.927887949036283</v>
      </c>
      <c r="L149" s="24">
        <f t="shared" si="78"/>
        <v>39.748097010282557</v>
      </c>
      <c r="M149" s="254">
        <f t="shared" si="79"/>
        <v>0.99164592636264237</v>
      </c>
      <c r="P149" s="24">
        <f t="shared" si="80"/>
        <v>33.074769194787962</v>
      </c>
      <c r="Q149" s="24">
        <f t="shared" si="81"/>
        <v>5.1808329342202253</v>
      </c>
      <c r="R149" s="24">
        <f t="shared" si="82"/>
        <v>2.2948639956446257</v>
      </c>
      <c r="S149" s="24">
        <f t="shared" si="83"/>
        <v>40.550466124652814</v>
      </c>
      <c r="T149" s="24">
        <f t="shared" si="84"/>
        <v>40.00729695286099</v>
      </c>
      <c r="U149" s="254">
        <f t="shared" si="85"/>
        <v>0.99811251436319104</v>
      </c>
      <c r="W149" s="24">
        <f t="shared" si="86"/>
        <v>33.074769194787962</v>
      </c>
      <c r="X149" s="24">
        <f t="shared" si="87"/>
        <v>6.0984582800516565</v>
      </c>
      <c r="Y149" s="24">
        <f t="shared" si="88"/>
        <v>2.19717925174746</v>
      </c>
      <c r="Z149" s="24">
        <f t="shared" si="89"/>
        <v>41.370406726587078</v>
      </c>
      <c r="AA149" s="24">
        <f t="shared" si="90"/>
        <v>39.914605254086574</v>
      </c>
      <c r="AB149" s="254">
        <f t="shared" si="91"/>
        <v>0.99580001760457881</v>
      </c>
      <c r="AD149" s="24">
        <f t="shared" si="92"/>
        <v>33.074769194787962</v>
      </c>
      <c r="AE149" s="24">
        <f t="shared" si="93"/>
        <v>6.8321283411463574</v>
      </c>
      <c r="AF149" s="24">
        <f t="shared" si="94"/>
        <v>2.1379541643119242</v>
      </c>
      <c r="AG149" s="24">
        <f t="shared" si="95"/>
        <v>42.044851700246241</v>
      </c>
      <c r="AH149" s="24">
        <f t="shared" si="96"/>
        <v>39.840965465341746</v>
      </c>
      <c r="AI149" s="254">
        <f t="shared" si="97"/>
        <v>0.99396283288330456</v>
      </c>
    </row>
    <row r="150" spans="3:35" x14ac:dyDescent="0.2">
      <c r="C150" s="24">
        <f>'Final Floorspace Estimates'!U192</f>
        <v>33.963199896066889</v>
      </c>
      <c r="D150" s="24">
        <f>'Final Floorspace Estimates'!V192</f>
        <v>5.7755943310552658</v>
      </c>
      <c r="E150" s="24">
        <f>'Final Floorspace Estimates'!W192</f>
        <v>1.3452626161013677</v>
      </c>
      <c r="F150" s="24">
        <f>'Final Floorspace Estimates'!X192</f>
        <v>41.084056843223522</v>
      </c>
      <c r="H150" s="24">
        <f t="shared" si="74"/>
        <v>33.963199896066889</v>
      </c>
      <c r="I150" s="24">
        <f t="shared" si="75"/>
        <v>7.9185246272835297</v>
      </c>
      <c r="J150" s="24">
        <f t="shared" si="76"/>
        <v>2.0905152939578997</v>
      </c>
      <c r="K150" s="24">
        <f t="shared" si="77"/>
        <v>43.972239817308321</v>
      </c>
      <c r="L150" s="24">
        <f t="shared" si="78"/>
        <v>40.715090760877239</v>
      </c>
      <c r="M150" s="254">
        <f t="shared" si="79"/>
        <v>0.99101923931820424</v>
      </c>
      <c r="P150" s="24">
        <f t="shared" si="80"/>
        <v>33.963199896066889</v>
      </c>
      <c r="Q150" s="24">
        <f t="shared" si="81"/>
        <v>5.2765668949545015</v>
      </c>
      <c r="R150" s="24">
        <f t="shared" si="82"/>
        <v>2.3083946587828228</v>
      </c>
      <c r="S150" s="24">
        <f t="shared" si="83"/>
        <v>41.548161449804212</v>
      </c>
      <c r="T150" s="24">
        <f t="shared" si="84"/>
        <v>40.991628255468306</v>
      </c>
      <c r="U150" s="254">
        <f t="shared" si="85"/>
        <v>0.99775025655066341</v>
      </c>
      <c r="W150" s="24">
        <f t="shared" si="86"/>
        <v>33.963199896066889</v>
      </c>
      <c r="X150" s="24">
        <f t="shared" si="87"/>
        <v>6.2111485699982403</v>
      </c>
      <c r="Y150" s="24">
        <f t="shared" si="88"/>
        <v>2.2101339594626244</v>
      </c>
      <c r="Z150" s="24">
        <f t="shared" si="89"/>
        <v>42.38448242552775</v>
      </c>
      <c r="AA150" s="24">
        <f t="shared" si="90"/>
        <v>40.892996196396702</v>
      </c>
      <c r="AB150" s="254">
        <f t="shared" si="91"/>
        <v>0.99534951848703968</v>
      </c>
      <c r="AD150" s="24">
        <f t="shared" si="92"/>
        <v>33.963199896066889</v>
      </c>
      <c r="AE150" s="24">
        <f t="shared" si="93"/>
        <v>6.9583757447294046</v>
      </c>
      <c r="AF150" s="24">
        <f t="shared" si="94"/>
        <v>2.1505596771689439</v>
      </c>
      <c r="AG150" s="24">
        <f t="shared" si="95"/>
        <v>43.072135317965234</v>
      </c>
      <c r="AH150" s="24">
        <f t="shared" si="96"/>
        <v>40.814401438631528</v>
      </c>
      <c r="AI150" s="254">
        <f t="shared" si="97"/>
        <v>0.99343649519274602</v>
      </c>
    </row>
    <row r="151" spans="3:35" x14ac:dyDescent="0.2">
      <c r="C151" s="24">
        <f>'Final Floorspace Estimates'!U193</f>
        <v>34.630868461108129</v>
      </c>
      <c r="D151" s="24">
        <f>'Final Floorspace Estimates'!V193</f>
        <v>5.8678118875136684</v>
      </c>
      <c r="E151" s="24">
        <f>'Final Floorspace Estimates'!W193</f>
        <v>1.3517930314444369</v>
      </c>
      <c r="F151" s="24">
        <f>'Final Floorspace Estimates'!X193</f>
        <v>41.850473380066234</v>
      </c>
      <c r="H151" s="24">
        <f t="shared" si="74"/>
        <v>34.630868461108129</v>
      </c>
      <c r="I151" s="24">
        <f t="shared" si="75"/>
        <v>8.0449578478366686</v>
      </c>
      <c r="J151" s="24">
        <f t="shared" si="76"/>
        <v>2.1006634486655265</v>
      </c>
      <c r="K151" s="24">
        <f t="shared" si="77"/>
        <v>44.776489757610328</v>
      </c>
      <c r="L151" s="24">
        <f t="shared" si="78"/>
        <v>41.459767617227349</v>
      </c>
      <c r="M151" s="254">
        <f t="shared" si="79"/>
        <v>0.99066424507816964</v>
      </c>
      <c r="P151" s="24">
        <f t="shared" si="80"/>
        <v>34.630868461108129</v>
      </c>
      <c r="Q151" s="24">
        <f t="shared" si="81"/>
        <v>5.3608165976951545</v>
      </c>
      <c r="R151" s="24">
        <f t="shared" si="82"/>
        <v>2.3196004826250562</v>
      </c>
      <c r="S151" s="24">
        <f t="shared" si="83"/>
        <v>42.31128554142834</v>
      </c>
      <c r="T151" s="24">
        <f t="shared" si="84"/>
        <v>41.744530381220386</v>
      </c>
      <c r="U151" s="254">
        <f t="shared" si="85"/>
        <v>0.99746853523295365</v>
      </c>
      <c r="W151" s="24">
        <f t="shared" si="86"/>
        <v>34.630868461108129</v>
      </c>
      <c r="X151" s="24">
        <f t="shared" si="87"/>
        <v>6.3103205185621363</v>
      </c>
      <c r="Y151" s="24">
        <f t="shared" si="88"/>
        <v>2.2208627885747725</v>
      </c>
      <c r="Z151" s="24">
        <f t="shared" si="89"/>
        <v>43.162051768245036</v>
      </c>
      <c r="AA151" s="24">
        <f t="shared" si="90"/>
        <v>41.643203308870994</v>
      </c>
      <c r="AB151" s="254">
        <f t="shared" si="91"/>
        <v>0.99504736614773959</v>
      </c>
      <c r="AD151" s="24">
        <f t="shared" si="92"/>
        <v>34.630868461108129</v>
      </c>
      <c r="AE151" s="24">
        <f t="shared" si="93"/>
        <v>7.0694784938695294</v>
      </c>
      <c r="AF151" s="24">
        <f t="shared" si="94"/>
        <v>2.160999310102973</v>
      </c>
      <c r="AG151" s="24">
        <f t="shared" si="95"/>
        <v>43.861346265080634</v>
      </c>
      <c r="AH151" s="24">
        <f t="shared" si="96"/>
        <v>41.562243916779934</v>
      </c>
      <c r="AI151" s="254">
        <f t="shared" si="97"/>
        <v>0.99311287447889218</v>
      </c>
    </row>
    <row r="152" spans="3:35" x14ac:dyDescent="0.2">
      <c r="C152" s="24">
        <f>'Final Floorspace Estimates'!U194</f>
        <v>34.959072957315875</v>
      </c>
      <c r="D152" s="24">
        <f>'Final Floorspace Estimates'!V194</f>
        <v>5.854076985204764</v>
      </c>
      <c r="E152" s="24">
        <f>'Final Floorspace Estimates'!W194</f>
        <v>1.4159661065407221</v>
      </c>
      <c r="F152" s="24">
        <f>'Final Floorspace Estimates'!X194</f>
        <v>42.229116049061361</v>
      </c>
      <c r="H152" s="24">
        <f t="shared" si="74"/>
        <v>34.959072957315875</v>
      </c>
      <c r="I152" s="24">
        <f t="shared" si="75"/>
        <v>8.026126857300925</v>
      </c>
      <c r="J152" s="24">
        <f t="shared" si="76"/>
        <v>2.2003873191896921</v>
      </c>
      <c r="K152" s="24">
        <f t="shared" si="77"/>
        <v>45.185587133806493</v>
      </c>
      <c r="L152" s="24">
        <f t="shared" si="78"/>
        <v>41.838561985471181</v>
      </c>
      <c r="M152" s="254">
        <f t="shared" si="79"/>
        <v>0.99075154537602828</v>
      </c>
      <c r="P152" s="24">
        <f t="shared" si="80"/>
        <v>34.959072957315875</v>
      </c>
      <c r="Q152" s="24">
        <f t="shared" si="81"/>
        <v>5.3482684291995053</v>
      </c>
      <c r="R152" s="24">
        <f t="shared" si="82"/>
        <v>2.4297178545172753</v>
      </c>
      <c r="S152" s="24">
        <f t="shared" si="83"/>
        <v>42.737059241032661</v>
      </c>
      <c r="T152" s="24">
        <f t="shared" si="84"/>
        <v>42.164600887498295</v>
      </c>
      <c r="U152" s="254">
        <f t="shared" si="85"/>
        <v>0.99847225877311496</v>
      </c>
      <c r="W152" s="24">
        <f t="shared" si="86"/>
        <v>34.959072957315875</v>
      </c>
      <c r="X152" s="24">
        <f t="shared" si="87"/>
        <v>6.2955498276262594</v>
      </c>
      <c r="Y152" s="24">
        <f t="shared" si="88"/>
        <v>2.3262928294128047</v>
      </c>
      <c r="Z152" s="24">
        <f t="shared" si="89"/>
        <v>43.580915614354943</v>
      </c>
      <c r="AA152" s="24">
        <f t="shared" si="90"/>
        <v>42.047327570524459</v>
      </c>
      <c r="AB152" s="254">
        <f t="shared" si="91"/>
        <v>0.99569518627087283</v>
      </c>
      <c r="AD152" s="24">
        <f t="shared" si="92"/>
        <v>34.959072957315875</v>
      </c>
      <c r="AE152" s="24">
        <f t="shared" si="93"/>
        <v>7.0529308269794546</v>
      </c>
      <c r="AF152" s="24">
        <f t="shared" si="94"/>
        <v>2.2635874783982901</v>
      </c>
      <c r="AG152" s="24">
        <f t="shared" si="95"/>
        <v>44.275591262693624</v>
      </c>
      <c r="AH152" s="24">
        <f t="shared" si="96"/>
        <v>41.954775225054071</v>
      </c>
      <c r="AI152" s="254">
        <f t="shared" si="97"/>
        <v>0.99350351488085697</v>
      </c>
    </row>
    <row r="153" spans="3:35" x14ac:dyDescent="0.2">
      <c r="C153" s="24">
        <f>'Final Floorspace Estimates'!U195</f>
        <v>35.125790186895202</v>
      </c>
      <c r="D153" s="24">
        <f>'Final Floorspace Estimates'!V195</f>
        <v>5.8296805905755784</v>
      </c>
      <c r="E153" s="24">
        <f>'Final Floorspace Estimates'!W195</f>
        <v>1.4777756168172336</v>
      </c>
      <c r="F153" s="24">
        <f>'Final Floorspace Estimates'!X195</f>
        <v>42.433246394288012</v>
      </c>
      <c r="H153" s="24">
        <f t="shared" si="74"/>
        <v>35.125790186895202</v>
      </c>
      <c r="I153" s="24">
        <f t="shared" si="75"/>
        <v>7.9926786196625255</v>
      </c>
      <c r="J153" s="24">
        <f t="shared" si="76"/>
        <v>2.2964382500626264</v>
      </c>
      <c r="K153" s="24">
        <f t="shared" si="77"/>
        <v>45.414907056620358</v>
      </c>
      <c r="L153" s="24">
        <f t="shared" si="78"/>
        <v>42.05089552839361</v>
      </c>
      <c r="M153" s="254">
        <f t="shared" si="79"/>
        <v>0.99098935626226625</v>
      </c>
      <c r="P153" s="24">
        <f t="shared" si="80"/>
        <v>35.125790186895202</v>
      </c>
      <c r="Q153" s="24">
        <f t="shared" si="81"/>
        <v>5.3259799510139034</v>
      </c>
      <c r="R153" s="24">
        <f t="shared" si="82"/>
        <v>2.5357794826904989</v>
      </c>
      <c r="S153" s="24">
        <f t="shared" si="83"/>
        <v>42.987549620599609</v>
      </c>
      <c r="T153" s="24">
        <f t="shared" si="84"/>
        <v>42.4117359751287</v>
      </c>
      <c r="U153" s="254">
        <f t="shared" si="85"/>
        <v>0.99949307627892903</v>
      </c>
      <c r="W153" s="24">
        <f t="shared" si="86"/>
        <v>35.125790186895202</v>
      </c>
      <c r="X153" s="24">
        <f t="shared" si="87"/>
        <v>6.2693136304613359</v>
      </c>
      <c r="Y153" s="24">
        <f t="shared" si="88"/>
        <v>2.4278397660813984</v>
      </c>
      <c r="Z153" s="24">
        <f t="shared" si="89"/>
        <v>43.822943583437933</v>
      </c>
      <c r="AA153" s="24">
        <f t="shared" si="90"/>
        <v>42.280838710751837</v>
      </c>
      <c r="AB153" s="254">
        <f t="shared" si="91"/>
        <v>0.99640829546436283</v>
      </c>
      <c r="AD153" s="24">
        <f t="shared" si="92"/>
        <v>35.125790186895202</v>
      </c>
      <c r="AE153" s="24">
        <f t="shared" si="93"/>
        <v>7.0235383054628757</v>
      </c>
      <c r="AF153" s="24">
        <f t="shared" si="94"/>
        <v>2.3623972118103786</v>
      </c>
      <c r="AG153" s="24">
        <f t="shared" si="95"/>
        <v>44.511725704168455</v>
      </c>
      <c r="AH153" s="24">
        <f t="shared" si="96"/>
        <v>42.178532088202225</v>
      </c>
      <c r="AI153" s="254">
        <f t="shared" si="97"/>
        <v>0.99399729392092717</v>
      </c>
    </row>
    <row r="154" spans="3:35" x14ac:dyDescent="0.2">
      <c r="C154" s="24">
        <f>'Final Floorspace Estimates'!U196</f>
        <v>35.857619157947887</v>
      </c>
      <c r="D154" s="24">
        <f>'Final Floorspace Estimates'!V196</f>
        <v>5.9619313435843706</v>
      </c>
      <c r="E154" s="24">
        <f>'Final Floorspace Estimates'!W196</f>
        <v>1.5126837836209375</v>
      </c>
      <c r="F154" s="24">
        <f>'Final Floorspace Estimates'!X196</f>
        <v>43.332234285153191</v>
      </c>
      <c r="H154" s="24">
        <f t="shared" si="74"/>
        <v>35.857619157947887</v>
      </c>
      <c r="I154" s="24">
        <f t="shared" si="75"/>
        <v>8.1739986336125998</v>
      </c>
      <c r="J154" s="24">
        <f t="shared" si="76"/>
        <v>2.350684949341808</v>
      </c>
      <c r="K154" s="24">
        <f t="shared" si="77"/>
        <v>46.38230274090229</v>
      </c>
      <c r="L154" s="24">
        <f t="shared" si="78"/>
        <v>42.946633458752942</v>
      </c>
      <c r="M154" s="254">
        <f t="shared" si="79"/>
        <v>0.99110129369598721</v>
      </c>
      <c r="P154" s="24">
        <f t="shared" si="80"/>
        <v>35.857619157947887</v>
      </c>
      <c r="Q154" s="24">
        <f t="shared" si="81"/>
        <v>5.4468038706245281</v>
      </c>
      <c r="R154" s="24">
        <f t="shared" si="82"/>
        <v>2.5956799250525262</v>
      </c>
      <c r="S154" s="24">
        <f t="shared" si="83"/>
        <v>43.900102953624945</v>
      </c>
      <c r="T154" s="24">
        <f t="shared" si="84"/>
        <v>43.312065753519875</v>
      </c>
      <c r="U154" s="254">
        <f t="shared" si="85"/>
        <v>0.99953456054214529</v>
      </c>
      <c r="W154" s="24">
        <f t="shared" si="86"/>
        <v>35.857619157947887</v>
      </c>
      <c r="X154" s="24">
        <f t="shared" si="87"/>
        <v>6.4115377944776597</v>
      </c>
      <c r="Y154" s="24">
        <f t="shared" si="88"/>
        <v>2.4851904454149554</v>
      </c>
      <c r="Z154" s="24">
        <f t="shared" si="89"/>
        <v>44.754347397840505</v>
      </c>
      <c r="AA154" s="24">
        <f t="shared" si="90"/>
        <v>43.179466945898902</v>
      </c>
      <c r="AB154" s="254">
        <f t="shared" si="91"/>
        <v>0.99647451044760382</v>
      </c>
      <c r="AD154" s="24">
        <f t="shared" si="92"/>
        <v>35.857619157947887</v>
      </c>
      <c r="AE154" s="24">
        <f t="shared" si="93"/>
        <v>7.182872631804047</v>
      </c>
      <c r="AF154" s="24">
        <f t="shared" si="94"/>
        <v>2.4182020004318714</v>
      </c>
      <c r="AG154" s="24">
        <f t="shared" si="95"/>
        <v>45.458693790183801</v>
      </c>
      <c r="AH154" s="24">
        <f t="shared" si="96"/>
        <v>43.075862469593424</v>
      </c>
      <c r="AI154" s="254">
        <f t="shared" si="97"/>
        <v>0.99408357727707553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L198"/>
  <sheetViews>
    <sheetView workbookViewId="0">
      <selection activeCell="K21" sqref="K21"/>
    </sheetView>
  </sheetViews>
  <sheetFormatPr defaultRowHeight="12.75" x14ac:dyDescent="0.2"/>
  <cols>
    <col min="1" max="1" width="17.5703125" style="32" customWidth="1"/>
    <col min="2" max="2" width="23.28515625" style="32" customWidth="1"/>
    <col min="3" max="4" width="22.28515625" style="32" customWidth="1"/>
    <col min="5" max="5" width="16.42578125" style="32" customWidth="1"/>
    <col min="6" max="6" width="14.85546875" style="32" customWidth="1"/>
    <col min="7" max="7" width="14.5703125" style="32" customWidth="1"/>
    <col min="8" max="8" width="7.28515625" style="32" customWidth="1"/>
    <col min="9" max="9" width="24.28515625" style="32" customWidth="1"/>
    <col min="10" max="11" width="22.5703125" style="32" customWidth="1"/>
    <col min="12" max="12" width="16.140625" style="32" customWidth="1"/>
    <col min="13" max="14" width="13.7109375" style="32" customWidth="1"/>
    <col min="15" max="15" width="22.85546875" style="32" customWidth="1"/>
    <col min="16" max="17" width="22.28515625" style="32" customWidth="1"/>
    <col min="18" max="18" width="15.5703125" style="32" customWidth="1"/>
    <col min="19" max="20" width="13.7109375" style="32" customWidth="1"/>
    <col min="21" max="21" width="23.140625" style="32" customWidth="1"/>
    <col min="22" max="23" width="23.42578125" style="32" customWidth="1"/>
    <col min="24" max="24" width="16.140625" style="32" customWidth="1"/>
    <col min="25" max="25" width="14" style="32" customWidth="1"/>
    <col min="26" max="26" width="15.28515625" style="32" customWidth="1"/>
    <col min="27" max="29" width="22.7109375" style="32" customWidth="1"/>
    <col min="30" max="30" width="15.7109375" style="32" customWidth="1"/>
    <col min="31" max="31" width="13.7109375" style="32" customWidth="1"/>
    <col min="32" max="32" width="10.42578125" style="32" customWidth="1"/>
    <col min="33" max="256" width="9.140625" style="32"/>
    <col min="257" max="257" width="17.5703125" style="32" customWidth="1"/>
    <col min="258" max="258" width="23.28515625" style="32" customWidth="1"/>
    <col min="259" max="260" width="22.28515625" style="32" customWidth="1"/>
    <col min="261" max="261" width="16.42578125" style="32" customWidth="1"/>
    <col min="262" max="262" width="14.85546875" style="32" customWidth="1"/>
    <col min="263" max="263" width="14.5703125" style="32" customWidth="1"/>
    <col min="264" max="264" width="7.28515625" style="32" customWidth="1"/>
    <col min="265" max="265" width="24.28515625" style="32" customWidth="1"/>
    <col min="266" max="267" width="22.5703125" style="32" customWidth="1"/>
    <col min="268" max="268" width="16.140625" style="32" customWidth="1"/>
    <col min="269" max="270" width="13.7109375" style="32" customWidth="1"/>
    <col min="271" max="271" width="22.85546875" style="32" customWidth="1"/>
    <col min="272" max="273" width="22.28515625" style="32" customWidth="1"/>
    <col min="274" max="274" width="15.5703125" style="32" customWidth="1"/>
    <col min="275" max="276" width="13.7109375" style="32" customWidth="1"/>
    <col min="277" max="277" width="23.140625" style="32" customWidth="1"/>
    <col min="278" max="279" width="23.42578125" style="32" customWidth="1"/>
    <col min="280" max="280" width="16.140625" style="32" customWidth="1"/>
    <col min="281" max="281" width="14" style="32" customWidth="1"/>
    <col min="282" max="282" width="15.28515625" style="32" customWidth="1"/>
    <col min="283" max="285" width="22.7109375" style="32" customWidth="1"/>
    <col min="286" max="286" width="15.7109375" style="32" customWidth="1"/>
    <col min="287" max="287" width="13.7109375" style="32" customWidth="1"/>
    <col min="288" max="288" width="10.42578125" style="32" customWidth="1"/>
    <col min="289" max="512" width="9.140625" style="32"/>
    <col min="513" max="513" width="17.5703125" style="32" customWidth="1"/>
    <col min="514" max="514" width="23.28515625" style="32" customWidth="1"/>
    <col min="515" max="516" width="22.28515625" style="32" customWidth="1"/>
    <col min="517" max="517" width="16.42578125" style="32" customWidth="1"/>
    <col min="518" max="518" width="14.85546875" style="32" customWidth="1"/>
    <col min="519" max="519" width="14.5703125" style="32" customWidth="1"/>
    <col min="520" max="520" width="7.28515625" style="32" customWidth="1"/>
    <col min="521" max="521" width="24.28515625" style="32" customWidth="1"/>
    <col min="522" max="523" width="22.5703125" style="32" customWidth="1"/>
    <col min="524" max="524" width="16.140625" style="32" customWidth="1"/>
    <col min="525" max="526" width="13.7109375" style="32" customWidth="1"/>
    <col min="527" max="527" width="22.85546875" style="32" customWidth="1"/>
    <col min="528" max="529" width="22.28515625" style="32" customWidth="1"/>
    <col min="530" max="530" width="15.5703125" style="32" customWidth="1"/>
    <col min="531" max="532" width="13.7109375" style="32" customWidth="1"/>
    <col min="533" max="533" width="23.140625" style="32" customWidth="1"/>
    <col min="534" max="535" width="23.42578125" style="32" customWidth="1"/>
    <col min="536" max="536" width="16.140625" style="32" customWidth="1"/>
    <col min="537" max="537" width="14" style="32" customWidth="1"/>
    <col min="538" max="538" width="15.28515625" style="32" customWidth="1"/>
    <col min="539" max="541" width="22.7109375" style="32" customWidth="1"/>
    <col min="542" max="542" width="15.7109375" style="32" customWidth="1"/>
    <col min="543" max="543" width="13.7109375" style="32" customWidth="1"/>
    <col min="544" max="544" width="10.42578125" style="32" customWidth="1"/>
    <col min="545" max="768" width="9.140625" style="32"/>
    <col min="769" max="769" width="17.5703125" style="32" customWidth="1"/>
    <col min="770" max="770" width="23.28515625" style="32" customWidth="1"/>
    <col min="771" max="772" width="22.28515625" style="32" customWidth="1"/>
    <col min="773" max="773" width="16.42578125" style="32" customWidth="1"/>
    <col min="774" max="774" width="14.85546875" style="32" customWidth="1"/>
    <col min="775" max="775" width="14.5703125" style="32" customWidth="1"/>
    <col min="776" max="776" width="7.28515625" style="32" customWidth="1"/>
    <col min="777" max="777" width="24.28515625" style="32" customWidth="1"/>
    <col min="778" max="779" width="22.5703125" style="32" customWidth="1"/>
    <col min="780" max="780" width="16.140625" style="32" customWidth="1"/>
    <col min="781" max="782" width="13.7109375" style="32" customWidth="1"/>
    <col min="783" max="783" width="22.85546875" style="32" customWidth="1"/>
    <col min="784" max="785" width="22.28515625" style="32" customWidth="1"/>
    <col min="786" max="786" width="15.5703125" style="32" customWidth="1"/>
    <col min="787" max="788" width="13.7109375" style="32" customWidth="1"/>
    <col min="789" max="789" width="23.140625" style="32" customWidth="1"/>
    <col min="790" max="791" width="23.42578125" style="32" customWidth="1"/>
    <col min="792" max="792" width="16.140625" style="32" customWidth="1"/>
    <col min="793" max="793" width="14" style="32" customWidth="1"/>
    <col min="794" max="794" width="15.28515625" style="32" customWidth="1"/>
    <col min="795" max="797" width="22.7109375" style="32" customWidth="1"/>
    <col min="798" max="798" width="15.7109375" style="32" customWidth="1"/>
    <col min="799" max="799" width="13.7109375" style="32" customWidth="1"/>
    <col min="800" max="800" width="10.42578125" style="32" customWidth="1"/>
    <col min="801" max="1024" width="9.140625" style="32"/>
    <col min="1025" max="1025" width="17.5703125" style="32" customWidth="1"/>
    <col min="1026" max="1026" width="23.28515625" style="32" customWidth="1"/>
    <col min="1027" max="1028" width="22.28515625" style="32" customWidth="1"/>
    <col min="1029" max="1029" width="16.42578125" style="32" customWidth="1"/>
    <col min="1030" max="1030" width="14.85546875" style="32" customWidth="1"/>
    <col min="1031" max="1031" width="14.5703125" style="32" customWidth="1"/>
    <col min="1032" max="1032" width="7.28515625" style="32" customWidth="1"/>
    <col min="1033" max="1033" width="24.28515625" style="32" customWidth="1"/>
    <col min="1034" max="1035" width="22.5703125" style="32" customWidth="1"/>
    <col min="1036" max="1036" width="16.140625" style="32" customWidth="1"/>
    <col min="1037" max="1038" width="13.7109375" style="32" customWidth="1"/>
    <col min="1039" max="1039" width="22.85546875" style="32" customWidth="1"/>
    <col min="1040" max="1041" width="22.28515625" style="32" customWidth="1"/>
    <col min="1042" max="1042" width="15.5703125" style="32" customWidth="1"/>
    <col min="1043" max="1044" width="13.7109375" style="32" customWidth="1"/>
    <col min="1045" max="1045" width="23.140625" style="32" customWidth="1"/>
    <col min="1046" max="1047" width="23.42578125" style="32" customWidth="1"/>
    <col min="1048" max="1048" width="16.140625" style="32" customWidth="1"/>
    <col min="1049" max="1049" width="14" style="32" customWidth="1"/>
    <col min="1050" max="1050" width="15.28515625" style="32" customWidth="1"/>
    <col min="1051" max="1053" width="22.7109375" style="32" customWidth="1"/>
    <col min="1054" max="1054" width="15.7109375" style="32" customWidth="1"/>
    <col min="1055" max="1055" width="13.7109375" style="32" customWidth="1"/>
    <col min="1056" max="1056" width="10.42578125" style="32" customWidth="1"/>
    <col min="1057" max="1280" width="9.140625" style="32"/>
    <col min="1281" max="1281" width="17.5703125" style="32" customWidth="1"/>
    <col min="1282" max="1282" width="23.28515625" style="32" customWidth="1"/>
    <col min="1283" max="1284" width="22.28515625" style="32" customWidth="1"/>
    <col min="1285" max="1285" width="16.42578125" style="32" customWidth="1"/>
    <col min="1286" max="1286" width="14.85546875" style="32" customWidth="1"/>
    <col min="1287" max="1287" width="14.5703125" style="32" customWidth="1"/>
    <col min="1288" max="1288" width="7.28515625" style="32" customWidth="1"/>
    <col min="1289" max="1289" width="24.28515625" style="32" customWidth="1"/>
    <col min="1290" max="1291" width="22.5703125" style="32" customWidth="1"/>
    <col min="1292" max="1292" width="16.140625" style="32" customWidth="1"/>
    <col min="1293" max="1294" width="13.7109375" style="32" customWidth="1"/>
    <col min="1295" max="1295" width="22.85546875" style="32" customWidth="1"/>
    <col min="1296" max="1297" width="22.28515625" style="32" customWidth="1"/>
    <col min="1298" max="1298" width="15.5703125" style="32" customWidth="1"/>
    <col min="1299" max="1300" width="13.7109375" style="32" customWidth="1"/>
    <col min="1301" max="1301" width="23.140625" style="32" customWidth="1"/>
    <col min="1302" max="1303" width="23.42578125" style="32" customWidth="1"/>
    <col min="1304" max="1304" width="16.140625" style="32" customWidth="1"/>
    <col min="1305" max="1305" width="14" style="32" customWidth="1"/>
    <col min="1306" max="1306" width="15.28515625" style="32" customWidth="1"/>
    <col min="1307" max="1309" width="22.7109375" style="32" customWidth="1"/>
    <col min="1310" max="1310" width="15.7109375" style="32" customWidth="1"/>
    <col min="1311" max="1311" width="13.7109375" style="32" customWidth="1"/>
    <col min="1312" max="1312" width="10.42578125" style="32" customWidth="1"/>
    <col min="1313" max="1536" width="9.140625" style="32"/>
    <col min="1537" max="1537" width="17.5703125" style="32" customWidth="1"/>
    <col min="1538" max="1538" width="23.28515625" style="32" customWidth="1"/>
    <col min="1539" max="1540" width="22.28515625" style="32" customWidth="1"/>
    <col min="1541" max="1541" width="16.42578125" style="32" customWidth="1"/>
    <col min="1542" max="1542" width="14.85546875" style="32" customWidth="1"/>
    <col min="1543" max="1543" width="14.5703125" style="32" customWidth="1"/>
    <col min="1544" max="1544" width="7.28515625" style="32" customWidth="1"/>
    <col min="1545" max="1545" width="24.28515625" style="32" customWidth="1"/>
    <col min="1546" max="1547" width="22.5703125" style="32" customWidth="1"/>
    <col min="1548" max="1548" width="16.140625" style="32" customWidth="1"/>
    <col min="1549" max="1550" width="13.7109375" style="32" customWidth="1"/>
    <col min="1551" max="1551" width="22.85546875" style="32" customWidth="1"/>
    <col min="1552" max="1553" width="22.28515625" style="32" customWidth="1"/>
    <col min="1554" max="1554" width="15.5703125" style="32" customWidth="1"/>
    <col min="1555" max="1556" width="13.7109375" style="32" customWidth="1"/>
    <col min="1557" max="1557" width="23.140625" style="32" customWidth="1"/>
    <col min="1558" max="1559" width="23.42578125" style="32" customWidth="1"/>
    <col min="1560" max="1560" width="16.140625" style="32" customWidth="1"/>
    <col min="1561" max="1561" width="14" style="32" customWidth="1"/>
    <col min="1562" max="1562" width="15.28515625" style="32" customWidth="1"/>
    <col min="1563" max="1565" width="22.7109375" style="32" customWidth="1"/>
    <col min="1566" max="1566" width="15.7109375" style="32" customWidth="1"/>
    <col min="1567" max="1567" width="13.7109375" style="32" customWidth="1"/>
    <col min="1568" max="1568" width="10.42578125" style="32" customWidth="1"/>
    <col min="1569" max="1792" width="9.140625" style="32"/>
    <col min="1793" max="1793" width="17.5703125" style="32" customWidth="1"/>
    <col min="1794" max="1794" width="23.28515625" style="32" customWidth="1"/>
    <col min="1795" max="1796" width="22.28515625" style="32" customWidth="1"/>
    <col min="1797" max="1797" width="16.42578125" style="32" customWidth="1"/>
    <col min="1798" max="1798" width="14.85546875" style="32" customWidth="1"/>
    <col min="1799" max="1799" width="14.5703125" style="32" customWidth="1"/>
    <col min="1800" max="1800" width="7.28515625" style="32" customWidth="1"/>
    <col min="1801" max="1801" width="24.28515625" style="32" customWidth="1"/>
    <col min="1802" max="1803" width="22.5703125" style="32" customWidth="1"/>
    <col min="1804" max="1804" width="16.140625" style="32" customWidth="1"/>
    <col min="1805" max="1806" width="13.7109375" style="32" customWidth="1"/>
    <col min="1807" max="1807" width="22.85546875" style="32" customWidth="1"/>
    <col min="1808" max="1809" width="22.28515625" style="32" customWidth="1"/>
    <col min="1810" max="1810" width="15.5703125" style="32" customWidth="1"/>
    <col min="1811" max="1812" width="13.7109375" style="32" customWidth="1"/>
    <col min="1813" max="1813" width="23.140625" style="32" customWidth="1"/>
    <col min="1814" max="1815" width="23.42578125" style="32" customWidth="1"/>
    <col min="1816" max="1816" width="16.140625" style="32" customWidth="1"/>
    <col min="1817" max="1817" width="14" style="32" customWidth="1"/>
    <col min="1818" max="1818" width="15.28515625" style="32" customWidth="1"/>
    <col min="1819" max="1821" width="22.7109375" style="32" customWidth="1"/>
    <col min="1822" max="1822" width="15.7109375" style="32" customWidth="1"/>
    <col min="1823" max="1823" width="13.7109375" style="32" customWidth="1"/>
    <col min="1824" max="1824" width="10.42578125" style="32" customWidth="1"/>
    <col min="1825" max="2048" width="9.140625" style="32"/>
    <col min="2049" max="2049" width="17.5703125" style="32" customWidth="1"/>
    <col min="2050" max="2050" width="23.28515625" style="32" customWidth="1"/>
    <col min="2051" max="2052" width="22.28515625" style="32" customWidth="1"/>
    <col min="2053" max="2053" width="16.42578125" style="32" customWidth="1"/>
    <col min="2054" max="2054" width="14.85546875" style="32" customWidth="1"/>
    <col min="2055" max="2055" width="14.5703125" style="32" customWidth="1"/>
    <col min="2056" max="2056" width="7.28515625" style="32" customWidth="1"/>
    <col min="2057" max="2057" width="24.28515625" style="32" customWidth="1"/>
    <col min="2058" max="2059" width="22.5703125" style="32" customWidth="1"/>
    <col min="2060" max="2060" width="16.140625" style="32" customWidth="1"/>
    <col min="2061" max="2062" width="13.7109375" style="32" customWidth="1"/>
    <col min="2063" max="2063" width="22.85546875" style="32" customWidth="1"/>
    <col min="2064" max="2065" width="22.28515625" style="32" customWidth="1"/>
    <col min="2066" max="2066" width="15.5703125" style="32" customWidth="1"/>
    <col min="2067" max="2068" width="13.7109375" style="32" customWidth="1"/>
    <col min="2069" max="2069" width="23.140625" style="32" customWidth="1"/>
    <col min="2070" max="2071" width="23.42578125" style="32" customWidth="1"/>
    <col min="2072" max="2072" width="16.140625" style="32" customWidth="1"/>
    <col min="2073" max="2073" width="14" style="32" customWidth="1"/>
    <col min="2074" max="2074" width="15.28515625" style="32" customWidth="1"/>
    <col min="2075" max="2077" width="22.7109375" style="32" customWidth="1"/>
    <col min="2078" max="2078" width="15.7109375" style="32" customWidth="1"/>
    <col min="2079" max="2079" width="13.7109375" style="32" customWidth="1"/>
    <col min="2080" max="2080" width="10.42578125" style="32" customWidth="1"/>
    <col min="2081" max="2304" width="9.140625" style="32"/>
    <col min="2305" max="2305" width="17.5703125" style="32" customWidth="1"/>
    <col min="2306" max="2306" width="23.28515625" style="32" customWidth="1"/>
    <col min="2307" max="2308" width="22.28515625" style="32" customWidth="1"/>
    <col min="2309" max="2309" width="16.42578125" style="32" customWidth="1"/>
    <col min="2310" max="2310" width="14.85546875" style="32" customWidth="1"/>
    <col min="2311" max="2311" width="14.5703125" style="32" customWidth="1"/>
    <col min="2312" max="2312" width="7.28515625" style="32" customWidth="1"/>
    <col min="2313" max="2313" width="24.28515625" style="32" customWidth="1"/>
    <col min="2314" max="2315" width="22.5703125" style="32" customWidth="1"/>
    <col min="2316" max="2316" width="16.140625" style="32" customWidth="1"/>
    <col min="2317" max="2318" width="13.7109375" style="32" customWidth="1"/>
    <col min="2319" max="2319" width="22.85546875" style="32" customWidth="1"/>
    <col min="2320" max="2321" width="22.28515625" style="32" customWidth="1"/>
    <col min="2322" max="2322" width="15.5703125" style="32" customWidth="1"/>
    <col min="2323" max="2324" width="13.7109375" style="32" customWidth="1"/>
    <col min="2325" max="2325" width="23.140625" style="32" customWidth="1"/>
    <col min="2326" max="2327" width="23.42578125" style="32" customWidth="1"/>
    <col min="2328" max="2328" width="16.140625" style="32" customWidth="1"/>
    <col min="2329" max="2329" width="14" style="32" customWidth="1"/>
    <col min="2330" max="2330" width="15.28515625" style="32" customWidth="1"/>
    <col min="2331" max="2333" width="22.7109375" style="32" customWidth="1"/>
    <col min="2334" max="2334" width="15.7109375" style="32" customWidth="1"/>
    <col min="2335" max="2335" width="13.7109375" style="32" customWidth="1"/>
    <col min="2336" max="2336" width="10.42578125" style="32" customWidth="1"/>
    <col min="2337" max="2560" width="9.140625" style="32"/>
    <col min="2561" max="2561" width="17.5703125" style="32" customWidth="1"/>
    <col min="2562" max="2562" width="23.28515625" style="32" customWidth="1"/>
    <col min="2563" max="2564" width="22.28515625" style="32" customWidth="1"/>
    <col min="2565" max="2565" width="16.42578125" style="32" customWidth="1"/>
    <col min="2566" max="2566" width="14.85546875" style="32" customWidth="1"/>
    <col min="2567" max="2567" width="14.5703125" style="32" customWidth="1"/>
    <col min="2568" max="2568" width="7.28515625" style="32" customWidth="1"/>
    <col min="2569" max="2569" width="24.28515625" style="32" customWidth="1"/>
    <col min="2570" max="2571" width="22.5703125" style="32" customWidth="1"/>
    <col min="2572" max="2572" width="16.140625" style="32" customWidth="1"/>
    <col min="2573" max="2574" width="13.7109375" style="32" customWidth="1"/>
    <col min="2575" max="2575" width="22.85546875" style="32" customWidth="1"/>
    <col min="2576" max="2577" width="22.28515625" style="32" customWidth="1"/>
    <col min="2578" max="2578" width="15.5703125" style="32" customWidth="1"/>
    <col min="2579" max="2580" width="13.7109375" style="32" customWidth="1"/>
    <col min="2581" max="2581" width="23.140625" style="32" customWidth="1"/>
    <col min="2582" max="2583" width="23.42578125" style="32" customWidth="1"/>
    <col min="2584" max="2584" width="16.140625" style="32" customWidth="1"/>
    <col min="2585" max="2585" width="14" style="32" customWidth="1"/>
    <col min="2586" max="2586" width="15.28515625" style="32" customWidth="1"/>
    <col min="2587" max="2589" width="22.7109375" style="32" customWidth="1"/>
    <col min="2590" max="2590" width="15.7109375" style="32" customWidth="1"/>
    <col min="2591" max="2591" width="13.7109375" style="32" customWidth="1"/>
    <col min="2592" max="2592" width="10.42578125" style="32" customWidth="1"/>
    <col min="2593" max="2816" width="9.140625" style="32"/>
    <col min="2817" max="2817" width="17.5703125" style="32" customWidth="1"/>
    <col min="2818" max="2818" width="23.28515625" style="32" customWidth="1"/>
    <col min="2819" max="2820" width="22.28515625" style="32" customWidth="1"/>
    <col min="2821" max="2821" width="16.42578125" style="32" customWidth="1"/>
    <col min="2822" max="2822" width="14.85546875" style="32" customWidth="1"/>
    <col min="2823" max="2823" width="14.5703125" style="32" customWidth="1"/>
    <col min="2824" max="2824" width="7.28515625" style="32" customWidth="1"/>
    <col min="2825" max="2825" width="24.28515625" style="32" customWidth="1"/>
    <col min="2826" max="2827" width="22.5703125" style="32" customWidth="1"/>
    <col min="2828" max="2828" width="16.140625" style="32" customWidth="1"/>
    <col min="2829" max="2830" width="13.7109375" style="32" customWidth="1"/>
    <col min="2831" max="2831" width="22.85546875" style="32" customWidth="1"/>
    <col min="2832" max="2833" width="22.28515625" style="32" customWidth="1"/>
    <col min="2834" max="2834" width="15.5703125" style="32" customWidth="1"/>
    <col min="2835" max="2836" width="13.7109375" style="32" customWidth="1"/>
    <col min="2837" max="2837" width="23.140625" style="32" customWidth="1"/>
    <col min="2838" max="2839" width="23.42578125" style="32" customWidth="1"/>
    <col min="2840" max="2840" width="16.140625" style="32" customWidth="1"/>
    <col min="2841" max="2841" width="14" style="32" customWidth="1"/>
    <col min="2842" max="2842" width="15.28515625" style="32" customWidth="1"/>
    <col min="2843" max="2845" width="22.7109375" style="32" customWidth="1"/>
    <col min="2846" max="2846" width="15.7109375" style="32" customWidth="1"/>
    <col min="2847" max="2847" width="13.7109375" style="32" customWidth="1"/>
    <col min="2848" max="2848" width="10.42578125" style="32" customWidth="1"/>
    <col min="2849" max="3072" width="9.140625" style="32"/>
    <col min="3073" max="3073" width="17.5703125" style="32" customWidth="1"/>
    <col min="3074" max="3074" width="23.28515625" style="32" customWidth="1"/>
    <col min="3075" max="3076" width="22.28515625" style="32" customWidth="1"/>
    <col min="3077" max="3077" width="16.42578125" style="32" customWidth="1"/>
    <col min="3078" max="3078" width="14.85546875" style="32" customWidth="1"/>
    <col min="3079" max="3079" width="14.5703125" style="32" customWidth="1"/>
    <col min="3080" max="3080" width="7.28515625" style="32" customWidth="1"/>
    <col min="3081" max="3081" width="24.28515625" style="32" customWidth="1"/>
    <col min="3082" max="3083" width="22.5703125" style="32" customWidth="1"/>
    <col min="3084" max="3084" width="16.140625" style="32" customWidth="1"/>
    <col min="3085" max="3086" width="13.7109375" style="32" customWidth="1"/>
    <col min="3087" max="3087" width="22.85546875" style="32" customWidth="1"/>
    <col min="3088" max="3089" width="22.28515625" style="32" customWidth="1"/>
    <col min="3090" max="3090" width="15.5703125" style="32" customWidth="1"/>
    <col min="3091" max="3092" width="13.7109375" style="32" customWidth="1"/>
    <col min="3093" max="3093" width="23.140625" style="32" customWidth="1"/>
    <col min="3094" max="3095" width="23.42578125" style="32" customWidth="1"/>
    <col min="3096" max="3096" width="16.140625" style="32" customWidth="1"/>
    <col min="3097" max="3097" width="14" style="32" customWidth="1"/>
    <col min="3098" max="3098" width="15.28515625" style="32" customWidth="1"/>
    <col min="3099" max="3101" width="22.7109375" style="32" customWidth="1"/>
    <col min="3102" max="3102" width="15.7109375" style="32" customWidth="1"/>
    <col min="3103" max="3103" width="13.7109375" style="32" customWidth="1"/>
    <col min="3104" max="3104" width="10.42578125" style="32" customWidth="1"/>
    <col min="3105" max="3328" width="9.140625" style="32"/>
    <col min="3329" max="3329" width="17.5703125" style="32" customWidth="1"/>
    <col min="3330" max="3330" width="23.28515625" style="32" customWidth="1"/>
    <col min="3331" max="3332" width="22.28515625" style="32" customWidth="1"/>
    <col min="3333" max="3333" width="16.42578125" style="32" customWidth="1"/>
    <col min="3334" max="3334" width="14.85546875" style="32" customWidth="1"/>
    <col min="3335" max="3335" width="14.5703125" style="32" customWidth="1"/>
    <col min="3336" max="3336" width="7.28515625" style="32" customWidth="1"/>
    <col min="3337" max="3337" width="24.28515625" style="32" customWidth="1"/>
    <col min="3338" max="3339" width="22.5703125" style="32" customWidth="1"/>
    <col min="3340" max="3340" width="16.140625" style="32" customWidth="1"/>
    <col min="3341" max="3342" width="13.7109375" style="32" customWidth="1"/>
    <col min="3343" max="3343" width="22.85546875" style="32" customWidth="1"/>
    <col min="3344" max="3345" width="22.28515625" style="32" customWidth="1"/>
    <col min="3346" max="3346" width="15.5703125" style="32" customWidth="1"/>
    <col min="3347" max="3348" width="13.7109375" style="32" customWidth="1"/>
    <col min="3349" max="3349" width="23.140625" style="32" customWidth="1"/>
    <col min="3350" max="3351" width="23.42578125" style="32" customWidth="1"/>
    <col min="3352" max="3352" width="16.140625" style="32" customWidth="1"/>
    <col min="3353" max="3353" width="14" style="32" customWidth="1"/>
    <col min="3354" max="3354" width="15.28515625" style="32" customWidth="1"/>
    <col min="3355" max="3357" width="22.7109375" style="32" customWidth="1"/>
    <col min="3358" max="3358" width="15.7109375" style="32" customWidth="1"/>
    <col min="3359" max="3359" width="13.7109375" style="32" customWidth="1"/>
    <col min="3360" max="3360" width="10.42578125" style="32" customWidth="1"/>
    <col min="3361" max="3584" width="9.140625" style="32"/>
    <col min="3585" max="3585" width="17.5703125" style="32" customWidth="1"/>
    <col min="3586" max="3586" width="23.28515625" style="32" customWidth="1"/>
    <col min="3587" max="3588" width="22.28515625" style="32" customWidth="1"/>
    <col min="3589" max="3589" width="16.42578125" style="32" customWidth="1"/>
    <col min="3590" max="3590" width="14.85546875" style="32" customWidth="1"/>
    <col min="3591" max="3591" width="14.5703125" style="32" customWidth="1"/>
    <col min="3592" max="3592" width="7.28515625" style="32" customWidth="1"/>
    <col min="3593" max="3593" width="24.28515625" style="32" customWidth="1"/>
    <col min="3594" max="3595" width="22.5703125" style="32" customWidth="1"/>
    <col min="3596" max="3596" width="16.140625" style="32" customWidth="1"/>
    <col min="3597" max="3598" width="13.7109375" style="32" customWidth="1"/>
    <col min="3599" max="3599" width="22.85546875" style="32" customWidth="1"/>
    <col min="3600" max="3601" width="22.28515625" style="32" customWidth="1"/>
    <col min="3602" max="3602" width="15.5703125" style="32" customWidth="1"/>
    <col min="3603" max="3604" width="13.7109375" style="32" customWidth="1"/>
    <col min="3605" max="3605" width="23.140625" style="32" customWidth="1"/>
    <col min="3606" max="3607" width="23.42578125" style="32" customWidth="1"/>
    <col min="3608" max="3608" width="16.140625" style="32" customWidth="1"/>
    <col min="3609" max="3609" width="14" style="32" customWidth="1"/>
    <col min="3610" max="3610" width="15.28515625" style="32" customWidth="1"/>
    <col min="3611" max="3613" width="22.7109375" style="32" customWidth="1"/>
    <col min="3614" max="3614" width="15.7109375" style="32" customWidth="1"/>
    <col min="3615" max="3615" width="13.7109375" style="32" customWidth="1"/>
    <col min="3616" max="3616" width="10.42578125" style="32" customWidth="1"/>
    <col min="3617" max="3840" width="9.140625" style="32"/>
    <col min="3841" max="3841" width="17.5703125" style="32" customWidth="1"/>
    <col min="3842" max="3842" width="23.28515625" style="32" customWidth="1"/>
    <col min="3843" max="3844" width="22.28515625" style="32" customWidth="1"/>
    <col min="3845" max="3845" width="16.42578125" style="32" customWidth="1"/>
    <col min="3846" max="3846" width="14.85546875" style="32" customWidth="1"/>
    <col min="3847" max="3847" width="14.5703125" style="32" customWidth="1"/>
    <col min="3848" max="3848" width="7.28515625" style="32" customWidth="1"/>
    <col min="3849" max="3849" width="24.28515625" style="32" customWidth="1"/>
    <col min="3850" max="3851" width="22.5703125" style="32" customWidth="1"/>
    <col min="3852" max="3852" width="16.140625" style="32" customWidth="1"/>
    <col min="3853" max="3854" width="13.7109375" style="32" customWidth="1"/>
    <col min="3855" max="3855" width="22.85546875" style="32" customWidth="1"/>
    <col min="3856" max="3857" width="22.28515625" style="32" customWidth="1"/>
    <col min="3858" max="3858" width="15.5703125" style="32" customWidth="1"/>
    <col min="3859" max="3860" width="13.7109375" style="32" customWidth="1"/>
    <col min="3861" max="3861" width="23.140625" style="32" customWidth="1"/>
    <col min="3862" max="3863" width="23.42578125" style="32" customWidth="1"/>
    <col min="3864" max="3864" width="16.140625" style="32" customWidth="1"/>
    <col min="3865" max="3865" width="14" style="32" customWidth="1"/>
    <col min="3866" max="3866" width="15.28515625" style="32" customWidth="1"/>
    <col min="3867" max="3869" width="22.7109375" style="32" customWidth="1"/>
    <col min="3870" max="3870" width="15.7109375" style="32" customWidth="1"/>
    <col min="3871" max="3871" width="13.7109375" style="32" customWidth="1"/>
    <col min="3872" max="3872" width="10.42578125" style="32" customWidth="1"/>
    <col min="3873" max="4096" width="9.140625" style="32"/>
    <col min="4097" max="4097" width="17.5703125" style="32" customWidth="1"/>
    <col min="4098" max="4098" width="23.28515625" style="32" customWidth="1"/>
    <col min="4099" max="4100" width="22.28515625" style="32" customWidth="1"/>
    <col min="4101" max="4101" width="16.42578125" style="32" customWidth="1"/>
    <col min="4102" max="4102" width="14.85546875" style="32" customWidth="1"/>
    <col min="4103" max="4103" width="14.5703125" style="32" customWidth="1"/>
    <col min="4104" max="4104" width="7.28515625" style="32" customWidth="1"/>
    <col min="4105" max="4105" width="24.28515625" style="32" customWidth="1"/>
    <col min="4106" max="4107" width="22.5703125" style="32" customWidth="1"/>
    <col min="4108" max="4108" width="16.140625" style="32" customWidth="1"/>
    <col min="4109" max="4110" width="13.7109375" style="32" customWidth="1"/>
    <col min="4111" max="4111" width="22.85546875" style="32" customWidth="1"/>
    <col min="4112" max="4113" width="22.28515625" style="32" customWidth="1"/>
    <col min="4114" max="4114" width="15.5703125" style="32" customWidth="1"/>
    <col min="4115" max="4116" width="13.7109375" style="32" customWidth="1"/>
    <col min="4117" max="4117" width="23.140625" style="32" customWidth="1"/>
    <col min="4118" max="4119" width="23.42578125" style="32" customWidth="1"/>
    <col min="4120" max="4120" width="16.140625" style="32" customWidth="1"/>
    <col min="4121" max="4121" width="14" style="32" customWidth="1"/>
    <col min="4122" max="4122" width="15.28515625" style="32" customWidth="1"/>
    <col min="4123" max="4125" width="22.7109375" style="32" customWidth="1"/>
    <col min="4126" max="4126" width="15.7109375" style="32" customWidth="1"/>
    <col min="4127" max="4127" width="13.7109375" style="32" customWidth="1"/>
    <col min="4128" max="4128" width="10.42578125" style="32" customWidth="1"/>
    <col min="4129" max="4352" width="9.140625" style="32"/>
    <col min="4353" max="4353" width="17.5703125" style="32" customWidth="1"/>
    <col min="4354" max="4354" width="23.28515625" style="32" customWidth="1"/>
    <col min="4355" max="4356" width="22.28515625" style="32" customWidth="1"/>
    <col min="4357" max="4357" width="16.42578125" style="32" customWidth="1"/>
    <col min="4358" max="4358" width="14.85546875" style="32" customWidth="1"/>
    <col min="4359" max="4359" width="14.5703125" style="32" customWidth="1"/>
    <col min="4360" max="4360" width="7.28515625" style="32" customWidth="1"/>
    <col min="4361" max="4361" width="24.28515625" style="32" customWidth="1"/>
    <col min="4362" max="4363" width="22.5703125" style="32" customWidth="1"/>
    <col min="4364" max="4364" width="16.140625" style="32" customWidth="1"/>
    <col min="4365" max="4366" width="13.7109375" style="32" customWidth="1"/>
    <col min="4367" max="4367" width="22.85546875" style="32" customWidth="1"/>
    <col min="4368" max="4369" width="22.28515625" style="32" customWidth="1"/>
    <col min="4370" max="4370" width="15.5703125" style="32" customWidth="1"/>
    <col min="4371" max="4372" width="13.7109375" style="32" customWidth="1"/>
    <col min="4373" max="4373" width="23.140625" style="32" customWidth="1"/>
    <col min="4374" max="4375" width="23.42578125" style="32" customWidth="1"/>
    <col min="4376" max="4376" width="16.140625" style="32" customWidth="1"/>
    <col min="4377" max="4377" width="14" style="32" customWidth="1"/>
    <col min="4378" max="4378" width="15.28515625" style="32" customWidth="1"/>
    <col min="4379" max="4381" width="22.7109375" style="32" customWidth="1"/>
    <col min="4382" max="4382" width="15.7109375" style="32" customWidth="1"/>
    <col min="4383" max="4383" width="13.7109375" style="32" customWidth="1"/>
    <col min="4384" max="4384" width="10.42578125" style="32" customWidth="1"/>
    <col min="4385" max="4608" width="9.140625" style="32"/>
    <col min="4609" max="4609" width="17.5703125" style="32" customWidth="1"/>
    <col min="4610" max="4610" width="23.28515625" style="32" customWidth="1"/>
    <col min="4611" max="4612" width="22.28515625" style="32" customWidth="1"/>
    <col min="4613" max="4613" width="16.42578125" style="32" customWidth="1"/>
    <col min="4614" max="4614" width="14.85546875" style="32" customWidth="1"/>
    <col min="4615" max="4615" width="14.5703125" style="32" customWidth="1"/>
    <col min="4616" max="4616" width="7.28515625" style="32" customWidth="1"/>
    <col min="4617" max="4617" width="24.28515625" style="32" customWidth="1"/>
    <col min="4618" max="4619" width="22.5703125" style="32" customWidth="1"/>
    <col min="4620" max="4620" width="16.140625" style="32" customWidth="1"/>
    <col min="4621" max="4622" width="13.7109375" style="32" customWidth="1"/>
    <col min="4623" max="4623" width="22.85546875" style="32" customWidth="1"/>
    <col min="4624" max="4625" width="22.28515625" style="32" customWidth="1"/>
    <col min="4626" max="4626" width="15.5703125" style="32" customWidth="1"/>
    <col min="4627" max="4628" width="13.7109375" style="32" customWidth="1"/>
    <col min="4629" max="4629" width="23.140625" style="32" customWidth="1"/>
    <col min="4630" max="4631" width="23.42578125" style="32" customWidth="1"/>
    <col min="4632" max="4632" width="16.140625" style="32" customWidth="1"/>
    <col min="4633" max="4633" width="14" style="32" customWidth="1"/>
    <col min="4634" max="4634" width="15.28515625" style="32" customWidth="1"/>
    <col min="4635" max="4637" width="22.7109375" style="32" customWidth="1"/>
    <col min="4638" max="4638" width="15.7109375" style="32" customWidth="1"/>
    <col min="4639" max="4639" width="13.7109375" style="32" customWidth="1"/>
    <col min="4640" max="4640" width="10.42578125" style="32" customWidth="1"/>
    <col min="4641" max="4864" width="9.140625" style="32"/>
    <col min="4865" max="4865" width="17.5703125" style="32" customWidth="1"/>
    <col min="4866" max="4866" width="23.28515625" style="32" customWidth="1"/>
    <col min="4867" max="4868" width="22.28515625" style="32" customWidth="1"/>
    <col min="4869" max="4869" width="16.42578125" style="32" customWidth="1"/>
    <col min="4870" max="4870" width="14.85546875" style="32" customWidth="1"/>
    <col min="4871" max="4871" width="14.5703125" style="32" customWidth="1"/>
    <col min="4872" max="4872" width="7.28515625" style="32" customWidth="1"/>
    <col min="4873" max="4873" width="24.28515625" style="32" customWidth="1"/>
    <col min="4874" max="4875" width="22.5703125" style="32" customWidth="1"/>
    <col min="4876" max="4876" width="16.140625" style="32" customWidth="1"/>
    <col min="4877" max="4878" width="13.7109375" style="32" customWidth="1"/>
    <col min="4879" max="4879" width="22.85546875" style="32" customWidth="1"/>
    <col min="4880" max="4881" width="22.28515625" style="32" customWidth="1"/>
    <col min="4882" max="4882" width="15.5703125" style="32" customWidth="1"/>
    <col min="4883" max="4884" width="13.7109375" style="32" customWidth="1"/>
    <col min="4885" max="4885" width="23.140625" style="32" customWidth="1"/>
    <col min="4886" max="4887" width="23.42578125" style="32" customWidth="1"/>
    <col min="4888" max="4888" width="16.140625" style="32" customWidth="1"/>
    <col min="4889" max="4889" width="14" style="32" customWidth="1"/>
    <col min="4890" max="4890" width="15.28515625" style="32" customWidth="1"/>
    <col min="4891" max="4893" width="22.7109375" style="32" customWidth="1"/>
    <col min="4894" max="4894" width="15.7109375" style="32" customWidth="1"/>
    <col min="4895" max="4895" width="13.7109375" style="32" customWidth="1"/>
    <col min="4896" max="4896" width="10.42578125" style="32" customWidth="1"/>
    <col min="4897" max="5120" width="9.140625" style="32"/>
    <col min="5121" max="5121" width="17.5703125" style="32" customWidth="1"/>
    <col min="5122" max="5122" width="23.28515625" style="32" customWidth="1"/>
    <col min="5123" max="5124" width="22.28515625" style="32" customWidth="1"/>
    <col min="5125" max="5125" width="16.42578125" style="32" customWidth="1"/>
    <col min="5126" max="5126" width="14.85546875" style="32" customWidth="1"/>
    <col min="5127" max="5127" width="14.5703125" style="32" customWidth="1"/>
    <col min="5128" max="5128" width="7.28515625" style="32" customWidth="1"/>
    <col min="5129" max="5129" width="24.28515625" style="32" customWidth="1"/>
    <col min="5130" max="5131" width="22.5703125" style="32" customWidth="1"/>
    <col min="5132" max="5132" width="16.140625" style="32" customWidth="1"/>
    <col min="5133" max="5134" width="13.7109375" style="32" customWidth="1"/>
    <col min="5135" max="5135" width="22.85546875" style="32" customWidth="1"/>
    <col min="5136" max="5137" width="22.28515625" style="32" customWidth="1"/>
    <col min="5138" max="5138" width="15.5703125" style="32" customWidth="1"/>
    <col min="5139" max="5140" width="13.7109375" style="32" customWidth="1"/>
    <col min="5141" max="5141" width="23.140625" style="32" customWidth="1"/>
    <col min="5142" max="5143" width="23.42578125" style="32" customWidth="1"/>
    <col min="5144" max="5144" width="16.140625" style="32" customWidth="1"/>
    <col min="5145" max="5145" width="14" style="32" customWidth="1"/>
    <col min="5146" max="5146" width="15.28515625" style="32" customWidth="1"/>
    <col min="5147" max="5149" width="22.7109375" style="32" customWidth="1"/>
    <col min="5150" max="5150" width="15.7109375" style="32" customWidth="1"/>
    <col min="5151" max="5151" width="13.7109375" style="32" customWidth="1"/>
    <col min="5152" max="5152" width="10.42578125" style="32" customWidth="1"/>
    <col min="5153" max="5376" width="9.140625" style="32"/>
    <col min="5377" max="5377" width="17.5703125" style="32" customWidth="1"/>
    <col min="5378" max="5378" width="23.28515625" style="32" customWidth="1"/>
    <col min="5379" max="5380" width="22.28515625" style="32" customWidth="1"/>
    <col min="5381" max="5381" width="16.42578125" style="32" customWidth="1"/>
    <col min="5382" max="5382" width="14.85546875" style="32" customWidth="1"/>
    <col min="5383" max="5383" width="14.5703125" style="32" customWidth="1"/>
    <col min="5384" max="5384" width="7.28515625" style="32" customWidth="1"/>
    <col min="5385" max="5385" width="24.28515625" style="32" customWidth="1"/>
    <col min="5386" max="5387" width="22.5703125" style="32" customWidth="1"/>
    <col min="5388" max="5388" width="16.140625" style="32" customWidth="1"/>
    <col min="5389" max="5390" width="13.7109375" style="32" customWidth="1"/>
    <col min="5391" max="5391" width="22.85546875" style="32" customWidth="1"/>
    <col min="5392" max="5393" width="22.28515625" style="32" customWidth="1"/>
    <col min="5394" max="5394" width="15.5703125" style="32" customWidth="1"/>
    <col min="5395" max="5396" width="13.7109375" style="32" customWidth="1"/>
    <col min="5397" max="5397" width="23.140625" style="32" customWidth="1"/>
    <col min="5398" max="5399" width="23.42578125" style="32" customWidth="1"/>
    <col min="5400" max="5400" width="16.140625" style="32" customWidth="1"/>
    <col min="5401" max="5401" width="14" style="32" customWidth="1"/>
    <col min="5402" max="5402" width="15.28515625" style="32" customWidth="1"/>
    <col min="5403" max="5405" width="22.7109375" style="32" customWidth="1"/>
    <col min="5406" max="5406" width="15.7109375" style="32" customWidth="1"/>
    <col min="5407" max="5407" width="13.7109375" style="32" customWidth="1"/>
    <col min="5408" max="5408" width="10.42578125" style="32" customWidth="1"/>
    <col min="5409" max="5632" width="9.140625" style="32"/>
    <col min="5633" max="5633" width="17.5703125" style="32" customWidth="1"/>
    <col min="5634" max="5634" width="23.28515625" style="32" customWidth="1"/>
    <col min="5635" max="5636" width="22.28515625" style="32" customWidth="1"/>
    <col min="5637" max="5637" width="16.42578125" style="32" customWidth="1"/>
    <col min="5638" max="5638" width="14.85546875" style="32" customWidth="1"/>
    <col min="5639" max="5639" width="14.5703125" style="32" customWidth="1"/>
    <col min="5640" max="5640" width="7.28515625" style="32" customWidth="1"/>
    <col min="5641" max="5641" width="24.28515625" style="32" customWidth="1"/>
    <col min="5642" max="5643" width="22.5703125" style="32" customWidth="1"/>
    <col min="5644" max="5644" width="16.140625" style="32" customWidth="1"/>
    <col min="5645" max="5646" width="13.7109375" style="32" customWidth="1"/>
    <col min="5647" max="5647" width="22.85546875" style="32" customWidth="1"/>
    <col min="5648" max="5649" width="22.28515625" style="32" customWidth="1"/>
    <col min="5650" max="5650" width="15.5703125" style="32" customWidth="1"/>
    <col min="5651" max="5652" width="13.7109375" style="32" customWidth="1"/>
    <col min="5653" max="5653" width="23.140625" style="32" customWidth="1"/>
    <col min="5654" max="5655" width="23.42578125" style="32" customWidth="1"/>
    <col min="5656" max="5656" width="16.140625" style="32" customWidth="1"/>
    <col min="5657" max="5657" width="14" style="32" customWidth="1"/>
    <col min="5658" max="5658" width="15.28515625" style="32" customWidth="1"/>
    <col min="5659" max="5661" width="22.7109375" style="32" customWidth="1"/>
    <col min="5662" max="5662" width="15.7109375" style="32" customWidth="1"/>
    <col min="5663" max="5663" width="13.7109375" style="32" customWidth="1"/>
    <col min="5664" max="5664" width="10.42578125" style="32" customWidth="1"/>
    <col min="5665" max="5888" width="9.140625" style="32"/>
    <col min="5889" max="5889" width="17.5703125" style="32" customWidth="1"/>
    <col min="5890" max="5890" width="23.28515625" style="32" customWidth="1"/>
    <col min="5891" max="5892" width="22.28515625" style="32" customWidth="1"/>
    <col min="5893" max="5893" width="16.42578125" style="32" customWidth="1"/>
    <col min="5894" max="5894" width="14.85546875" style="32" customWidth="1"/>
    <col min="5895" max="5895" width="14.5703125" style="32" customWidth="1"/>
    <col min="5896" max="5896" width="7.28515625" style="32" customWidth="1"/>
    <col min="5897" max="5897" width="24.28515625" style="32" customWidth="1"/>
    <col min="5898" max="5899" width="22.5703125" style="32" customWidth="1"/>
    <col min="5900" max="5900" width="16.140625" style="32" customWidth="1"/>
    <col min="5901" max="5902" width="13.7109375" style="32" customWidth="1"/>
    <col min="5903" max="5903" width="22.85546875" style="32" customWidth="1"/>
    <col min="5904" max="5905" width="22.28515625" style="32" customWidth="1"/>
    <col min="5906" max="5906" width="15.5703125" style="32" customWidth="1"/>
    <col min="5907" max="5908" width="13.7109375" style="32" customWidth="1"/>
    <col min="5909" max="5909" width="23.140625" style="32" customWidth="1"/>
    <col min="5910" max="5911" width="23.42578125" style="32" customWidth="1"/>
    <col min="5912" max="5912" width="16.140625" style="32" customWidth="1"/>
    <col min="5913" max="5913" width="14" style="32" customWidth="1"/>
    <col min="5914" max="5914" width="15.28515625" style="32" customWidth="1"/>
    <col min="5915" max="5917" width="22.7109375" style="32" customWidth="1"/>
    <col min="5918" max="5918" width="15.7109375" style="32" customWidth="1"/>
    <col min="5919" max="5919" width="13.7109375" style="32" customWidth="1"/>
    <col min="5920" max="5920" width="10.42578125" style="32" customWidth="1"/>
    <col min="5921" max="6144" width="9.140625" style="32"/>
    <col min="6145" max="6145" width="17.5703125" style="32" customWidth="1"/>
    <col min="6146" max="6146" width="23.28515625" style="32" customWidth="1"/>
    <col min="6147" max="6148" width="22.28515625" style="32" customWidth="1"/>
    <col min="6149" max="6149" width="16.42578125" style="32" customWidth="1"/>
    <col min="6150" max="6150" width="14.85546875" style="32" customWidth="1"/>
    <col min="6151" max="6151" width="14.5703125" style="32" customWidth="1"/>
    <col min="6152" max="6152" width="7.28515625" style="32" customWidth="1"/>
    <col min="6153" max="6153" width="24.28515625" style="32" customWidth="1"/>
    <col min="6154" max="6155" width="22.5703125" style="32" customWidth="1"/>
    <col min="6156" max="6156" width="16.140625" style="32" customWidth="1"/>
    <col min="6157" max="6158" width="13.7109375" style="32" customWidth="1"/>
    <col min="6159" max="6159" width="22.85546875" style="32" customWidth="1"/>
    <col min="6160" max="6161" width="22.28515625" style="32" customWidth="1"/>
    <col min="6162" max="6162" width="15.5703125" style="32" customWidth="1"/>
    <col min="6163" max="6164" width="13.7109375" style="32" customWidth="1"/>
    <col min="6165" max="6165" width="23.140625" style="32" customWidth="1"/>
    <col min="6166" max="6167" width="23.42578125" style="32" customWidth="1"/>
    <col min="6168" max="6168" width="16.140625" style="32" customWidth="1"/>
    <col min="6169" max="6169" width="14" style="32" customWidth="1"/>
    <col min="6170" max="6170" width="15.28515625" style="32" customWidth="1"/>
    <col min="6171" max="6173" width="22.7109375" style="32" customWidth="1"/>
    <col min="6174" max="6174" width="15.7109375" style="32" customWidth="1"/>
    <col min="6175" max="6175" width="13.7109375" style="32" customWidth="1"/>
    <col min="6176" max="6176" width="10.42578125" style="32" customWidth="1"/>
    <col min="6177" max="6400" width="9.140625" style="32"/>
    <col min="6401" max="6401" width="17.5703125" style="32" customWidth="1"/>
    <col min="6402" max="6402" width="23.28515625" style="32" customWidth="1"/>
    <col min="6403" max="6404" width="22.28515625" style="32" customWidth="1"/>
    <col min="6405" max="6405" width="16.42578125" style="32" customWidth="1"/>
    <col min="6406" max="6406" width="14.85546875" style="32" customWidth="1"/>
    <col min="6407" max="6407" width="14.5703125" style="32" customWidth="1"/>
    <col min="6408" max="6408" width="7.28515625" style="32" customWidth="1"/>
    <col min="6409" max="6409" width="24.28515625" style="32" customWidth="1"/>
    <col min="6410" max="6411" width="22.5703125" style="32" customWidth="1"/>
    <col min="6412" max="6412" width="16.140625" style="32" customWidth="1"/>
    <col min="6413" max="6414" width="13.7109375" style="32" customWidth="1"/>
    <col min="6415" max="6415" width="22.85546875" style="32" customWidth="1"/>
    <col min="6416" max="6417" width="22.28515625" style="32" customWidth="1"/>
    <col min="6418" max="6418" width="15.5703125" style="32" customWidth="1"/>
    <col min="6419" max="6420" width="13.7109375" style="32" customWidth="1"/>
    <col min="6421" max="6421" width="23.140625" style="32" customWidth="1"/>
    <col min="6422" max="6423" width="23.42578125" style="32" customWidth="1"/>
    <col min="6424" max="6424" width="16.140625" style="32" customWidth="1"/>
    <col min="6425" max="6425" width="14" style="32" customWidth="1"/>
    <col min="6426" max="6426" width="15.28515625" style="32" customWidth="1"/>
    <col min="6427" max="6429" width="22.7109375" style="32" customWidth="1"/>
    <col min="6430" max="6430" width="15.7109375" style="32" customWidth="1"/>
    <col min="6431" max="6431" width="13.7109375" style="32" customWidth="1"/>
    <col min="6432" max="6432" width="10.42578125" style="32" customWidth="1"/>
    <col min="6433" max="6656" width="9.140625" style="32"/>
    <col min="6657" max="6657" width="17.5703125" style="32" customWidth="1"/>
    <col min="6658" max="6658" width="23.28515625" style="32" customWidth="1"/>
    <col min="6659" max="6660" width="22.28515625" style="32" customWidth="1"/>
    <col min="6661" max="6661" width="16.42578125" style="32" customWidth="1"/>
    <col min="6662" max="6662" width="14.85546875" style="32" customWidth="1"/>
    <col min="6663" max="6663" width="14.5703125" style="32" customWidth="1"/>
    <col min="6664" max="6664" width="7.28515625" style="32" customWidth="1"/>
    <col min="6665" max="6665" width="24.28515625" style="32" customWidth="1"/>
    <col min="6666" max="6667" width="22.5703125" style="32" customWidth="1"/>
    <col min="6668" max="6668" width="16.140625" style="32" customWidth="1"/>
    <col min="6669" max="6670" width="13.7109375" style="32" customWidth="1"/>
    <col min="6671" max="6671" width="22.85546875" style="32" customWidth="1"/>
    <col min="6672" max="6673" width="22.28515625" style="32" customWidth="1"/>
    <col min="6674" max="6674" width="15.5703125" style="32" customWidth="1"/>
    <col min="6675" max="6676" width="13.7109375" style="32" customWidth="1"/>
    <col min="6677" max="6677" width="23.140625" style="32" customWidth="1"/>
    <col min="6678" max="6679" width="23.42578125" style="32" customWidth="1"/>
    <col min="6680" max="6680" width="16.140625" style="32" customWidth="1"/>
    <col min="6681" max="6681" width="14" style="32" customWidth="1"/>
    <col min="6682" max="6682" width="15.28515625" style="32" customWidth="1"/>
    <col min="6683" max="6685" width="22.7109375" style="32" customWidth="1"/>
    <col min="6686" max="6686" width="15.7109375" style="32" customWidth="1"/>
    <col min="6687" max="6687" width="13.7109375" style="32" customWidth="1"/>
    <col min="6688" max="6688" width="10.42578125" style="32" customWidth="1"/>
    <col min="6689" max="6912" width="9.140625" style="32"/>
    <col min="6913" max="6913" width="17.5703125" style="32" customWidth="1"/>
    <col min="6914" max="6914" width="23.28515625" style="32" customWidth="1"/>
    <col min="6915" max="6916" width="22.28515625" style="32" customWidth="1"/>
    <col min="6917" max="6917" width="16.42578125" style="32" customWidth="1"/>
    <col min="6918" max="6918" width="14.85546875" style="32" customWidth="1"/>
    <col min="6919" max="6919" width="14.5703125" style="32" customWidth="1"/>
    <col min="6920" max="6920" width="7.28515625" style="32" customWidth="1"/>
    <col min="6921" max="6921" width="24.28515625" style="32" customWidth="1"/>
    <col min="6922" max="6923" width="22.5703125" style="32" customWidth="1"/>
    <col min="6924" max="6924" width="16.140625" style="32" customWidth="1"/>
    <col min="6925" max="6926" width="13.7109375" style="32" customWidth="1"/>
    <col min="6927" max="6927" width="22.85546875" style="32" customWidth="1"/>
    <col min="6928" max="6929" width="22.28515625" style="32" customWidth="1"/>
    <col min="6930" max="6930" width="15.5703125" style="32" customWidth="1"/>
    <col min="6931" max="6932" width="13.7109375" style="32" customWidth="1"/>
    <col min="6933" max="6933" width="23.140625" style="32" customWidth="1"/>
    <col min="6934" max="6935" width="23.42578125" style="32" customWidth="1"/>
    <col min="6936" max="6936" width="16.140625" style="32" customWidth="1"/>
    <col min="6937" max="6937" width="14" style="32" customWidth="1"/>
    <col min="6938" max="6938" width="15.28515625" style="32" customWidth="1"/>
    <col min="6939" max="6941" width="22.7109375" style="32" customWidth="1"/>
    <col min="6942" max="6942" width="15.7109375" style="32" customWidth="1"/>
    <col min="6943" max="6943" width="13.7109375" style="32" customWidth="1"/>
    <col min="6944" max="6944" width="10.42578125" style="32" customWidth="1"/>
    <col min="6945" max="7168" width="9.140625" style="32"/>
    <col min="7169" max="7169" width="17.5703125" style="32" customWidth="1"/>
    <col min="7170" max="7170" width="23.28515625" style="32" customWidth="1"/>
    <col min="7171" max="7172" width="22.28515625" style="32" customWidth="1"/>
    <col min="7173" max="7173" width="16.42578125" style="32" customWidth="1"/>
    <col min="7174" max="7174" width="14.85546875" style="32" customWidth="1"/>
    <col min="7175" max="7175" width="14.5703125" style="32" customWidth="1"/>
    <col min="7176" max="7176" width="7.28515625" style="32" customWidth="1"/>
    <col min="7177" max="7177" width="24.28515625" style="32" customWidth="1"/>
    <col min="7178" max="7179" width="22.5703125" style="32" customWidth="1"/>
    <col min="7180" max="7180" width="16.140625" style="32" customWidth="1"/>
    <col min="7181" max="7182" width="13.7109375" style="32" customWidth="1"/>
    <col min="7183" max="7183" width="22.85546875" style="32" customWidth="1"/>
    <col min="7184" max="7185" width="22.28515625" style="32" customWidth="1"/>
    <col min="7186" max="7186" width="15.5703125" style="32" customWidth="1"/>
    <col min="7187" max="7188" width="13.7109375" style="32" customWidth="1"/>
    <col min="7189" max="7189" width="23.140625" style="32" customWidth="1"/>
    <col min="7190" max="7191" width="23.42578125" style="32" customWidth="1"/>
    <col min="7192" max="7192" width="16.140625" style="32" customWidth="1"/>
    <col min="7193" max="7193" width="14" style="32" customWidth="1"/>
    <col min="7194" max="7194" width="15.28515625" style="32" customWidth="1"/>
    <col min="7195" max="7197" width="22.7109375" style="32" customWidth="1"/>
    <col min="7198" max="7198" width="15.7109375" style="32" customWidth="1"/>
    <col min="7199" max="7199" width="13.7109375" style="32" customWidth="1"/>
    <col min="7200" max="7200" width="10.42578125" style="32" customWidth="1"/>
    <col min="7201" max="7424" width="9.140625" style="32"/>
    <col min="7425" max="7425" width="17.5703125" style="32" customWidth="1"/>
    <col min="7426" max="7426" width="23.28515625" style="32" customWidth="1"/>
    <col min="7427" max="7428" width="22.28515625" style="32" customWidth="1"/>
    <col min="7429" max="7429" width="16.42578125" style="32" customWidth="1"/>
    <col min="7430" max="7430" width="14.85546875" style="32" customWidth="1"/>
    <col min="7431" max="7431" width="14.5703125" style="32" customWidth="1"/>
    <col min="7432" max="7432" width="7.28515625" style="32" customWidth="1"/>
    <col min="7433" max="7433" width="24.28515625" style="32" customWidth="1"/>
    <col min="7434" max="7435" width="22.5703125" style="32" customWidth="1"/>
    <col min="7436" max="7436" width="16.140625" style="32" customWidth="1"/>
    <col min="7437" max="7438" width="13.7109375" style="32" customWidth="1"/>
    <col min="7439" max="7439" width="22.85546875" style="32" customWidth="1"/>
    <col min="7440" max="7441" width="22.28515625" style="32" customWidth="1"/>
    <col min="7442" max="7442" width="15.5703125" style="32" customWidth="1"/>
    <col min="7443" max="7444" width="13.7109375" style="32" customWidth="1"/>
    <col min="7445" max="7445" width="23.140625" style="32" customWidth="1"/>
    <col min="7446" max="7447" width="23.42578125" style="32" customWidth="1"/>
    <col min="7448" max="7448" width="16.140625" style="32" customWidth="1"/>
    <col min="7449" max="7449" width="14" style="32" customWidth="1"/>
    <col min="7450" max="7450" width="15.28515625" style="32" customWidth="1"/>
    <col min="7451" max="7453" width="22.7109375" style="32" customWidth="1"/>
    <col min="7454" max="7454" width="15.7109375" style="32" customWidth="1"/>
    <col min="7455" max="7455" width="13.7109375" style="32" customWidth="1"/>
    <col min="7456" max="7456" width="10.42578125" style="32" customWidth="1"/>
    <col min="7457" max="7680" width="9.140625" style="32"/>
    <col min="7681" max="7681" width="17.5703125" style="32" customWidth="1"/>
    <col min="7682" max="7682" width="23.28515625" style="32" customWidth="1"/>
    <col min="7683" max="7684" width="22.28515625" style="32" customWidth="1"/>
    <col min="7685" max="7685" width="16.42578125" style="32" customWidth="1"/>
    <col min="7686" max="7686" width="14.85546875" style="32" customWidth="1"/>
    <col min="7687" max="7687" width="14.5703125" style="32" customWidth="1"/>
    <col min="7688" max="7688" width="7.28515625" style="32" customWidth="1"/>
    <col min="7689" max="7689" width="24.28515625" style="32" customWidth="1"/>
    <col min="7690" max="7691" width="22.5703125" style="32" customWidth="1"/>
    <col min="7692" max="7692" width="16.140625" style="32" customWidth="1"/>
    <col min="7693" max="7694" width="13.7109375" style="32" customWidth="1"/>
    <col min="7695" max="7695" width="22.85546875" style="32" customWidth="1"/>
    <col min="7696" max="7697" width="22.28515625" style="32" customWidth="1"/>
    <col min="7698" max="7698" width="15.5703125" style="32" customWidth="1"/>
    <col min="7699" max="7700" width="13.7109375" style="32" customWidth="1"/>
    <col min="7701" max="7701" width="23.140625" style="32" customWidth="1"/>
    <col min="7702" max="7703" width="23.42578125" style="32" customWidth="1"/>
    <col min="7704" max="7704" width="16.140625" style="32" customWidth="1"/>
    <col min="7705" max="7705" width="14" style="32" customWidth="1"/>
    <col min="7706" max="7706" width="15.28515625" style="32" customWidth="1"/>
    <col min="7707" max="7709" width="22.7109375" style="32" customWidth="1"/>
    <col min="7710" max="7710" width="15.7109375" style="32" customWidth="1"/>
    <col min="7711" max="7711" width="13.7109375" style="32" customWidth="1"/>
    <col min="7712" max="7712" width="10.42578125" style="32" customWidth="1"/>
    <col min="7713" max="7936" width="9.140625" style="32"/>
    <col min="7937" max="7937" width="17.5703125" style="32" customWidth="1"/>
    <col min="7938" max="7938" width="23.28515625" style="32" customWidth="1"/>
    <col min="7939" max="7940" width="22.28515625" style="32" customWidth="1"/>
    <col min="7941" max="7941" width="16.42578125" style="32" customWidth="1"/>
    <col min="7942" max="7942" width="14.85546875" style="32" customWidth="1"/>
    <col min="7943" max="7943" width="14.5703125" style="32" customWidth="1"/>
    <col min="7944" max="7944" width="7.28515625" style="32" customWidth="1"/>
    <col min="7945" max="7945" width="24.28515625" style="32" customWidth="1"/>
    <col min="7946" max="7947" width="22.5703125" style="32" customWidth="1"/>
    <col min="7948" max="7948" width="16.140625" style="32" customWidth="1"/>
    <col min="7949" max="7950" width="13.7109375" style="32" customWidth="1"/>
    <col min="7951" max="7951" width="22.85546875" style="32" customWidth="1"/>
    <col min="7952" max="7953" width="22.28515625" style="32" customWidth="1"/>
    <col min="7954" max="7954" width="15.5703125" style="32" customWidth="1"/>
    <col min="7955" max="7956" width="13.7109375" style="32" customWidth="1"/>
    <col min="7957" max="7957" width="23.140625" style="32" customWidth="1"/>
    <col min="7958" max="7959" width="23.42578125" style="32" customWidth="1"/>
    <col min="7960" max="7960" width="16.140625" style="32" customWidth="1"/>
    <col min="7961" max="7961" width="14" style="32" customWidth="1"/>
    <col min="7962" max="7962" width="15.28515625" style="32" customWidth="1"/>
    <col min="7963" max="7965" width="22.7109375" style="32" customWidth="1"/>
    <col min="7966" max="7966" width="15.7109375" style="32" customWidth="1"/>
    <col min="7967" max="7967" width="13.7109375" style="32" customWidth="1"/>
    <col min="7968" max="7968" width="10.42578125" style="32" customWidth="1"/>
    <col min="7969" max="8192" width="9.140625" style="32"/>
    <col min="8193" max="8193" width="17.5703125" style="32" customWidth="1"/>
    <col min="8194" max="8194" width="23.28515625" style="32" customWidth="1"/>
    <col min="8195" max="8196" width="22.28515625" style="32" customWidth="1"/>
    <col min="8197" max="8197" width="16.42578125" style="32" customWidth="1"/>
    <col min="8198" max="8198" width="14.85546875" style="32" customWidth="1"/>
    <col min="8199" max="8199" width="14.5703125" style="32" customWidth="1"/>
    <col min="8200" max="8200" width="7.28515625" style="32" customWidth="1"/>
    <col min="8201" max="8201" width="24.28515625" style="32" customWidth="1"/>
    <col min="8202" max="8203" width="22.5703125" style="32" customWidth="1"/>
    <col min="8204" max="8204" width="16.140625" style="32" customWidth="1"/>
    <col min="8205" max="8206" width="13.7109375" style="32" customWidth="1"/>
    <col min="8207" max="8207" width="22.85546875" style="32" customWidth="1"/>
    <col min="8208" max="8209" width="22.28515625" style="32" customWidth="1"/>
    <col min="8210" max="8210" width="15.5703125" style="32" customWidth="1"/>
    <col min="8211" max="8212" width="13.7109375" style="32" customWidth="1"/>
    <col min="8213" max="8213" width="23.140625" style="32" customWidth="1"/>
    <col min="8214" max="8215" width="23.42578125" style="32" customWidth="1"/>
    <col min="8216" max="8216" width="16.140625" style="32" customWidth="1"/>
    <col min="8217" max="8217" width="14" style="32" customWidth="1"/>
    <col min="8218" max="8218" width="15.28515625" style="32" customWidth="1"/>
    <col min="8219" max="8221" width="22.7109375" style="32" customWidth="1"/>
    <col min="8222" max="8222" width="15.7109375" style="32" customWidth="1"/>
    <col min="8223" max="8223" width="13.7109375" style="32" customWidth="1"/>
    <col min="8224" max="8224" width="10.42578125" style="32" customWidth="1"/>
    <col min="8225" max="8448" width="9.140625" style="32"/>
    <col min="8449" max="8449" width="17.5703125" style="32" customWidth="1"/>
    <col min="8450" max="8450" width="23.28515625" style="32" customWidth="1"/>
    <col min="8451" max="8452" width="22.28515625" style="32" customWidth="1"/>
    <col min="8453" max="8453" width="16.42578125" style="32" customWidth="1"/>
    <col min="8454" max="8454" width="14.85546875" style="32" customWidth="1"/>
    <col min="8455" max="8455" width="14.5703125" style="32" customWidth="1"/>
    <col min="8456" max="8456" width="7.28515625" style="32" customWidth="1"/>
    <col min="8457" max="8457" width="24.28515625" style="32" customWidth="1"/>
    <col min="8458" max="8459" width="22.5703125" style="32" customWidth="1"/>
    <col min="8460" max="8460" width="16.140625" style="32" customWidth="1"/>
    <col min="8461" max="8462" width="13.7109375" style="32" customWidth="1"/>
    <col min="8463" max="8463" width="22.85546875" style="32" customWidth="1"/>
    <col min="8464" max="8465" width="22.28515625" style="32" customWidth="1"/>
    <col min="8466" max="8466" width="15.5703125" style="32" customWidth="1"/>
    <col min="8467" max="8468" width="13.7109375" style="32" customWidth="1"/>
    <col min="8469" max="8469" width="23.140625" style="32" customWidth="1"/>
    <col min="8470" max="8471" width="23.42578125" style="32" customWidth="1"/>
    <col min="8472" max="8472" width="16.140625" style="32" customWidth="1"/>
    <col min="8473" max="8473" width="14" style="32" customWidth="1"/>
    <col min="8474" max="8474" width="15.28515625" style="32" customWidth="1"/>
    <col min="8475" max="8477" width="22.7109375" style="32" customWidth="1"/>
    <col min="8478" max="8478" width="15.7109375" style="32" customWidth="1"/>
    <col min="8479" max="8479" width="13.7109375" style="32" customWidth="1"/>
    <col min="8480" max="8480" width="10.42578125" style="32" customWidth="1"/>
    <col min="8481" max="8704" width="9.140625" style="32"/>
    <col min="8705" max="8705" width="17.5703125" style="32" customWidth="1"/>
    <col min="8706" max="8706" width="23.28515625" style="32" customWidth="1"/>
    <col min="8707" max="8708" width="22.28515625" style="32" customWidth="1"/>
    <col min="8709" max="8709" width="16.42578125" style="32" customWidth="1"/>
    <col min="8710" max="8710" width="14.85546875" style="32" customWidth="1"/>
    <col min="8711" max="8711" width="14.5703125" style="32" customWidth="1"/>
    <col min="8712" max="8712" width="7.28515625" style="32" customWidth="1"/>
    <col min="8713" max="8713" width="24.28515625" style="32" customWidth="1"/>
    <col min="8714" max="8715" width="22.5703125" style="32" customWidth="1"/>
    <col min="8716" max="8716" width="16.140625" style="32" customWidth="1"/>
    <col min="8717" max="8718" width="13.7109375" style="32" customWidth="1"/>
    <col min="8719" max="8719" width="22.85546875" style="32" customWidth="1"/>
    <col min="8720" max="8721" width="22.28515625" style="32" customWidth="1"/>
    <col min="8722" max="8722" width="15.5703125" style="32" customWidth="1"/>
    <col min="8723" max="8724" width="13.7109375" style="32" customWidth="1"/>
    <col min="8725" max="8725" width="23.140625" style="32" customWidth="1"/>
    <col min="8726" max="8727" width="23.42578125" style="32" customWidth="1"/>
    <col min="8728" max="8728" width="16.140625" style="32" customWidth="1"/>
    <col min="8729" max="8729" width="14" style="32" customWidth="1"/>
    <col min="8730" max="8730" width="15.28515625" style="32" customWidth="1"/>
    <col min="8731" max="8733" width="22.7109375" style="32" customWidth="1"/>
    <col min="8734" max="8734" width="15.7109375" style="32" customWidth="1"/>
    <col min="8735" max="8735" width="13.7109375" style="32" customWidth="1"/>
    <col min="8736" max="8736" width="10.42578125" style="32" customWidth="1"/>
    <col min="8737" max="8960" width="9.140625" style="32"/>
    <col min="8961" max="8961" width="17.5703125" style="32" customWidth="1"/>
    <col min="8962" max="8962" width="23.28515625" style="32" customWidth="1"/>
    <col min="8963" max="8964" width="22.28515625" style="32" customWidth="1"/>
    <col min="8965" max="8965" width="16.42578125" style="32" customWidth="1"/>
    <col min="8966" max="8966" width="14.85546875" style="32" customWidth="1"/>
    <col min="8967" max="8967" width="14.5703125" style="32" customWidth="1"/>
    <col min="8968" max="8968" width="7.28515625" style="32" customWidth="1"/>
    <col min="8969" max="8969" width="24.28515625" style="32" customWidth="1"/>
    <col min="8970" max="8971" width="22.5703125" style="32" customWidth="1"/>
    <col min="8972" max="8972" width="16.140625" style="32" customWidth="1"/>
    <col min="8973" max="8974" width="13.7109375" style="32" customWidth="1"/>
    <col min="8975" max="8975" width="22.85546875" style="32" customWidth="1"/>
    <col min="8976" max="8977" width="22.28515625" style="32" customWidth="1"/>
    <col min="8978" max="8978" width="15.5703125" style="32" customWidth="1"/>
    <col min="8979" max="8980" width="13.7109375" style="32" customWidth="1"/>
    <col min="8981" max="8981" width="23.140625" style="32" customWidth="1"/>
    <col min="8982" max="8983" width="23.42578125" style="32" customWidth="1"/>
    <col min="8984" max="8984" width="16.140625" style="32" customWidth="1"/>
    <col min="8985" max="8985" width="14" style="32" customWidth="1"/>
    <col min="8986" max="8986" width="15.28515625" style="32" customWidth="1"/>
    <col min="8987" max="8989" width="22.7109375" style="32" customWidth="1"/>
    <col min="8990" max="8990" width="15.7109375" style="32" customWidth="1"/>
    <col min="8991" max="8991" width="13.7109375" style="32" customWidth="1"/>
    <col min="8992" max="8992" width="10.42578125" style="32" customWidth="1"/>
    <col min="8993" max="9216" width="9.140625" style="32"/>
    <col min="9217" max="9217" width="17.5703125" style="32" customWidth="1"/>
    <col min="9218" max="9218" width="23.28515625" style="32" customWidth="1"/>
    <col min="9219" max="9220" width="22.28515625" style="32" customWidth="1"/>
    <col min="9221" max="9221" width="16.42578125" style="32" customWidth="1"/>
    <col min="9222" max="9222" width="14.85546875" style="32" customWidth="1"/>
    <col min="9223" max="9223" width="14.5703125" style="32" customWidth="1"/>
    <col min="9224" max="9224" width="7.28515625" style="32" customWidth="1"/>
    <col min="9225" max="9225" width="24.28515625" style="32" customWidth="1"/>
    <col min="9226" max="9227" width="22.5703125" style="32" customWidth="1"/>
    <col min="9228" max="9228" width="16.140625" style="32" customWidth="1"/>
    <col min="9229" max="9230" width="13.7109375" style="32" customWidth="1"/>
    <col min="9231" max="9231" width="22.85546875" style="32" customWidth="1"/>
    <col min="9232" max="9233" width="22.28515625" style="32" customWidth="1"/>
    <col min="9234" max="9234" width="15.5703125" style="32" customWidth="1"/>
    <col min="9235" max="9236" width="13.7109375" style="32" customWidth="1"/>
    <col min="9237" max="9237" width="23.140625" style="32" customWidth="1"/>
    <col min="9238" max="9239" width="23.42578125" style="32" customWidth="1"/>
    <col min="9240" max="9240" width="16.140625" style="32" customWidth="1"/>
    <col min="9241" max="9241" width="14" style="32" customWidth="1"/>
    <col min="9242" max="9242" width="15.28515625" style="32" customWidth="1"/>
    <col min="9243" max="9245" width="22.7109375" style="32" customWidth="1"/>
    <col min="9246" max="9246" width="15.7109375" style="32" customWidth="1"/>
    <col min="9247" max="9247" width="13.7109375" style="32" customWidth="1"/>
    <col min="9248" max="9248" width="10.42578125" style="32" customWidth="1"/>
    <col min="9249" max="9472" width="9.140625" style="32"/>
    <col min="9473" max="9473" width="17.5703125" style="32" customWidth="1"/>
    <col min="9474" max="9474" width="23.28515625" style="32" customWidth="1"/>
    <col min="9475" max="9476" width="22.28515625" style="32" customWidth="1"/>
    <col min="9477" max="9477" width="16.42578125" style="32" customWidth="1"/>
    <col min="9478" max="9478" width="14.85546875" style="32" customWidth="1"/>
    <col min="9479" max="9479" width="14.5703125" style="32" customWidth="1"/>
    <col min="9480" max="9480" width="7.28515625" style="32" customWidth="1"/>
    <col min="9481" max="9481" width="24.28515625" style="32" customWidth="1"/>
    <col min="9482" max="9483" width="22.5703125" style="32" customWidth="1"/>
    <col min="9484" max="9484" width="16.140625" style="32" customWidth="1"/>
    <col min="9485" max="9486" width="13.7109375" style="32" customWidth="1"/>
    <col min="9487" max="9487" width="22.85546875" style="32" customWidth="1"/>
    <col min="9488" max="9489" width="22.28515625" style="32" customWidth="1"/>
    <col min="9490" max="9490" width="15.5703125" style="32" customWidth="1"/>
    <col min="9491" max="9492" width="13.7109375" style="32" customWidth="1"/>
    <col min="9493" max="9493" width="23.140625" style="32" customWidth="1"/>
    <col min="9494" max="9495" width="23.42578125" style="32" customWidth="1"/>
    <col min="9496" max="9496" width="16.140625" style="32" customWidth="1"/>
    <col min="9497" max="9497" width="14" style="32" customWidth="1"/>
    <col min="9498" max="9498" width="15.28515625" style="32" customWidth="1"/>
    <col min="9499" max="9501" width="22.7109375" style="32" customWidth="1"/>
    <col min="9502" max="9502" width="15.7109375" style="32" customWidth="1"/>
    <col min="9503" max="9503" width="13.7109375" style="32" customWidth="1"/>
    <col min="9504" max="9504" width="10.42578125" style="32" customWidth="1"/>
    <col min="9505" max="9728" width="9.140625" style="32"/>
    <col min="9729" max="9729" width="17.5703125" style="32" customWidth="1"/>
    <col min="9730" max="9730" width="23.28515625" style="32" customWidth="1"/>
    <col min="9731" max="9732" width="22.28515625" style="32" customWidth="1"/>
    <col min="9733" max="9733" width="16.42578125" style="32" customWidth="1"/>
    <col min="9734" max="9734" width="14.85546875" style="32" customWidth="1"/>
    <col min="9735" max="9735" width="14.5703125" style="32" customWidth="1"/>
    <col min="9736" max="9736" width="7.28515625" style="32" customWidth="1"/>
    <col min="9737" max="9737" width="24.28515625" style="32" customWidth="1"/>
    <col min="9738" max="9739" width="22.5703125" style="32" customWidth="1"/>
    <col min="9740" max="9740" width="16.140625" style="32" customWidth="1"/>
    <col min="9741" max="9742" width="13.7109375" style="32" customWidth="1"/>
    <col min="9743" max="9743" width="22.85546875" style="32" customWidth="1"/>
    <col min="9744" max="9745" width="22.28515625" style="32" customWidth="1"/>
    <col min="9746" max="9746" width="15.5703125" style="32" customWidth="1"/>
    <col min="9747" max="9748" width="13.7109375" style="32" customWidth="1"/>
    <col min="9749" max="9749" width="23.140625" style="32" customWidth="1"/>
    <col min="9750" max="9751" width="23.42578125" style="32" customWidth="1"/>
    <col min="9752" max="9752" width="16.140625" style="32" customWidth="1"/>
    <col min="9753" max="9753" width="14" style="32" customWidth="1"/>
    <col min="9754" max="9754" width="15.28515625" style="32" customWidth="1"/>
    <col min="9755" max="9757" width="22.7109375" style="32" customWidth="1"/>
    <col min="9758" max="9758" width="15.7109375" style="32" customWidth="1"/>
    <col min="9759" max="9759" width="13.7109375" style="32" customWidth="1"/>
    <col min="9760" max="9760" width="10.42578125" style="32" customWidth="1"/>
    <col min="9761" max="9984" width="9.140625" style="32"/>
    <col min="9985" max="9985" width="17.5703125" style="32" customWidth="1"/>
    <col min="9986" max="9986" width="23.28515625" style="32" customWidth="1"/>
    <col min="9987" max="9988" width="22.28515625" style="32" customWidth="1"/>
    <col min="9989" max="9989" width="16.42578125" style="32" customWidth="1"/>
    <col min="9990" max="9990" width="14.85546875" style="32" customWidth="1"/>
    <col min="9991" max="9991" width="14.5703125" style="32" customWidth="1"/>
    <col min="9992" max="9992" width="7.28515625" style="32" customWidth="1"/>
    <col min="9993" max="9993" width="24.28515625" style="32" customWidth="1"/>
    <col min="9994" max="9995" width="22.5703125" style="32" customWidth="1"/>
    <col min="9996" max="9996" width="16.140625" style="32" customWidth="1"/>
    <col min="9997" max="9998" width="13.7109375" style="32" customWidth="1"/>
    <col min="9999" max="9999" width="22.85546875" style="32" customWidth="1"/>
    <col min="10000" max="10001" width="22.28515625" style="32" customWidth="1"/>
    <col min="10002" max="10002" width="15.5703125" style="32" customWidth="1"/>
    <col min="10003" max="10004" width="13.7109375" style="32" customWidth="1"/>
    <col min="10005" max="10005" width="23.140625" style="32" customWidth="1"/>
    <col min="10006" max="10007" width="23.42578125" style="32" customWidth="1"/>
    <col min="10008" max="10008" width="16.140625" style="32" customWidth="1"/>
    <col min="10009" max="10009" width="14" style="32" customWidth="1"/>
    <col min="10010" max="10010" width="15.28515625" style="32" customWidth="1"/>
    <col min="10011" max="10013" width="22.7109375" style="32" customWidth="1"/>
    <col min="10014" max="10014" width="15.7109375" style="32" customWidth="1"/>
    <col min="10015" max="10015" width="13.7109375" style="32" customWidth="1"/>
    <col min="10016" max="10016" width="10.42578125" style="32" customWidth="1"/>
    <col min="10017" max="10240" width="9.140625" style="32"/>
    <col min="10241" max="10241" width="17.5703125" style="32" customWidth="1"/>
    <col min="10242" max="10242" width="23.28515625" style="32" customWidth="1"/>
    <col min="10243" max="10244" width="22.28515625" style="32" customWidth="1"/>
    <col min="10245" max="10245" width="16.42578125" style="32" customWidth="1"/>
    <col min="10246" max="10246" width="14.85546875" style="32" customWidth="1"/>
    <col min="10247" max="10247" width="14.5703125" style="32" customWidth="1"/>
    <col min="10248" max="10248" width="7.28515625" style="32" customWidth="1"/>
    <col min="10249" max="10249" width="24.28515625" style="32" customWidth="1"/>
    <col min="10250" max="10251" width="22.5703125" style="32" customWidth="1"/>
    <col min="10252" max="10252" width="16.140625" style="32" customWidth="1"/>
    <col min="10253" max="10254" width="13.7109375" style="32" customWidth="1"/>
    <col min="10255" max="10255" width="22.85546875" style="32" customWidth="1"/>
    <col min="10256" max="10257" width="22.28515625" style="32" customWidth="1"/>
    <col min="10258" max="10258" width="15.5703125" style="32" customWidth="1"/>
    <col min="10259" max="10260" width="13.7109375" style="32" customWidth="1"/>
    <col min="10261" max="10261" width="23.140625" style="32" customWidth="1"/>
    <col min="10262" max="10263" width="23.42578125" style="32" customWidth="1"/>
    <col min="10264" max="10264" width="16.140625" style="32" customWidth="1"/>
    <col min="10265" max="10265" width="14" style="32" customWidth="1"/>
    <col min="10266" max="10266" width="15.28515625" style="32" customWidth="1"/>
    <col min="10267" max="10269" width="22.7109375" style="32" customWidth="1"/>
    <col min="10270" max="10270" width="15.7109375" style="32" customWidth="1"/>
    <col min="10271" max="10271" width="13.7109375" style="32" customWidth="1"/>
    <col min="10272" max="10272" width="10.42578125" style="32" customWidth="1"/>
    <col min="10273" max="10496" width="9.140625" style="32"/>
    <col min="10497" max="10497" width="17.5703125" style="32" customWidth="1"/>
    <col min="10498" max="10498" width="23.28515625" style="32" customWidth="1"/>
    <col min="10499" max="10500" width="22.28515625" style="32" customWidth="1"/>
    <col min="10501" max="10501" width="16.42578125" style="32" customWidth="1"/>
    <col min="10502" max="10502" width="14.85546875" style="32" customWidth="1"/>
    <col min="10503" max="10503" width="14.5703125" style="32" customWidth="1"/>
    <col min="10504" max="10504" width="7.28515625" style="32" customWidth="1"/>
    <col min="10505" max="10505" width="24.28515625" style="32" customWidth="1"/>
    <col min="10506" max="10507" width="22.5703125" style="32" customWidth="1"/>
    <col min="10508" max="10508" width="16.140625" style="32" customWidth="1"/>
    <col min="10509" max="10510" width="13.7109375" style="32" customWidth="1"/>
    <col min="10511" max="10511" width="22.85546875" style="32" customWidth="1"/>
    <col min="10512" max="10513" width="22.28515625" style="32" customWidth="1"/>
    <col min="10514" max="10514" width="15.5703125" style="32" customWidth="1"/>
    <col min="10515" max="10516" width="13.7109375" style="32" customWidth="1"/>
    <col min="10517" max="10517" width="23.140625" style="32" customWidth="1"/>
    <col min="10518" max="10519" width="23.42578125" style="32" customWidth="1"/>
    <col min="10520" max="10520" width="16.140625" style="32" customWidth="1"/>
    <col min="10521" max="10521" width="14" style="32" customWidth="1"/>
    <col min="10522" max="10522" width="15.28515625" style="32" customWidth="1"/>
    <col min="10523" max="10525" width="22.7109375" style="32" customWidth="1"/>
    <col min="10526" max="10526" width="15.7109375" style="32" customWidth="1"/>
    <col min="10527" max="10527" width="13.7109375" style="32" customWidth="1"/>
    <col min="10528" max="10528" width="10.42578125" style="32" customWidth="1"/>
    <col min="10529" max="10752" width="9.140625" style="32"/>
    <col min="10753" max="10753" width="17.5703125" style="32" customWidth="1"/>
    <col min="10754" max="10754" width="23.28515625" style="32" customWidth="1"/>
    <col min="10755" max="10756" width="22.28515625" style="32" customWidth="1"/>
    <col min="10757" max="10757" width="16.42578125" style="32" customWidth="1"/>
    <col min="10758" max="10758" width="14.85546875" style="32" customWidth="1"/>
    <col min="10759" max="10759" width="14.5703125" style="32" customWidth="1"/>
    <col min="10760" max="10760" width="7.28515625" style="32" customWidth="1"/>
    <col min="10761" max="10761" width="24.28515625" style="32" customWidth="1"/>
    <col min="10762" max="10763" width="22.5703125" style="32" customWidth="1"/>
    <col min="10764" max="10764" width="16.140625" style="32" customWidth="1"/>
    <col min="10765" max="10766" width="13.7109375" style="32" customWidth="1"/>
    <col min="10767" max="10767" width="22.85546875" style="32" customWidth="1"/>
    <col min="10768" max="10769" width="22.28515625" style="32" customWidth="1"/>
    <col min="10770" max="10770" width="15.5703125" style="32" customWidth="1"/>
    <col min="10771" max="10772" width="13.7109375" style="32" customWidth="1"/>
    <col min="10773" max="10773" width="23.140625" style="32" customWidth="1"/>
    <col min="10774" max="10775" width="23.42578125" style="32" customWidth="1"/>
    <col min="10776" max="10776" width="16.140625" style="32" customWidth="1"/>
    <col min="10777" max="10777" width="14" style="32" customWidth="1"/>
    <col min="10778" max="10778" width="15.28515625" style="32" customWidth="1"/>
    <col min="10779" max="10781" width="22.7109375" style="32" customWidth="1"/>
    <col min="10782" max="10782" width="15.7109375" style="32" customWidth="1"/>
    <col min="10783" max="10783" width="13.7109375" style="32" customWidth="1"/>
    <col min="10784" max="10784" width="10.42578125" style="32" customWidth="1"/>
    <col min="10785" max="11008" width="9.140625" style="32"/>
    <col min="11009" max="11009" width="17.5703125" style="32" customWidth="1"/>
    <col min="11010" max="11010" width="23.28515625" style="32" customWidth="1"/>
    <col min="11011" max="11012" width="22.28515625" style="32" customWidth="1"/>
    <col min="11013" max="11013" width="16.42578125" style="32" customWidth="1"/>
    <col min="11014" max="11014" width="14.85546875" style="32" customWidth="1"/>
    <col min="11015" max="11015" width="14.5703125" style="32" customWidth="1"/>
    <col min="11016" max="11016" width="7.28515625" style="32" customWidth="1"/>
    <col min="11017" max="11017" width="24.28515625" style="32" customWidth="1"/>
    <col min="11018" max="11019" width="22.5703125" style="32" customWidth="1"/>
    <col min="11020" max="11020" width="16.140625" style="32" customWidth="1"/>
    <col min="11021" max="11022" width="13.7109375" style="32" customWidth="1"/>
    <col min="11023" max="11023" width="22.85546875" style="32" customWidth="1"/>
    <col min="11024" max="11025" width="22.28515625" style="32" customWidth="1"/>
    <col min="11026" max="11026" width="15.5703125" style="32" customWidth="1"/>
    <col min="11027" max="11028" width="13.7109375" style="32" customWidth="1"/>
    <col min="11029" max="11029" width="23.140625" style="32" customWidth="1"/>
    <col min="11030" max="11031" width="23.42578125" style="32" customWidth="1"/>
    <col min="11032" max="11032" width="16.140625" style="32" customWidth="1"/>
    <col min="11033" max="11033" width="14" style="32" customWidth="1"/>
    <col min="11034" max="11034" width="15.28515625" style="32" customWidth="1"/>
    <col min="11035" max="11037" width="22.7109375" style="32" customWidth="1"/>
    <col min="11038" max="11038" width="15.7109375" style="32" customWidth="1"/>
    <col min="11039" max="11039" width="13.7109375" style="32" customWidth="1"/>
    <col min="11040" max="11040" width="10.42578125" style="32" customWidth="1"/>
    <col min="11041" max="11264" width="9.140625" style="32"/>
    <col min="11265" max="11265" width="17.5703125" style="32" customWidth="1"/>
    <col min="11266" max="11266" width="23.28515625" style="32" customWidth="1"/>
    <col min="11267" max="11268" width="22.28515625" style="32" customWidth="1"/>
    <col min="11269" max="11269" width="16.42578125" style="32" customWidth="1"/>
    <col min="11270" max="11270" width="14.85546875" style="32" customWidth="1"/>
    <col min="11271" max="11271" width="14.5703125" style="32" customWidth="1"/>
    <col min="11272" max="11272" width="7.28515625" style="32" customWidth="1"/>
    <col min="11273" max="11273" width="24.28515625" style="32" customWidth="1"/>
    <col min="11274" max="11275" width="22.5703125" style="32" customWidth="1"/>
    <col min="11276" max="11276" width="16.140625" style="32" customWidth="1"/>
    <col min="11277" max="11278" width="13.7109375" style="32" customWidth="1"/>
    <col min="11279" max="11279" width="22.85546875" style="32" customWidth="1"/>
    <col min="11280" max="11281" width="22.28515625" style="32" customWidth="1"/>
    <col min="11282" max="11282" width="15.5703125" style="32" customWidth="1"/>
    <col min="11283" max="11284" width="13.7109375" style="32" customWidth="1"/>
    <col min="11285" max="11285" width="23.140625" style="32" customWidth="1"/>
    <col min="11286" max="11287" width="23.42578125" style="32" customWidth="1"/>
    <col min="11288" max="11288" width="16.140625" style="32" customWidth="1"/>
    <col min="11289" max="11289" width="14" style="32" customWidth="1"/>
    <col min="11290" max="11290" width="15.28515625" style="32" customWidth="1"/>
    <col min="11291" max="11293" width="22.7109375" style="32" customWidth="1"/>
    <col min="11294" max="11294" width="15.7109375" style="32" customWidth="1"/>
    <col min="11295" max="11295" width="13.7109375" style="32" customWidth="1"/>
    <col min="11296" max="11296" width="10.42578125" style="32" customWidth="1"/>
    <col min="11297" max="11520" width="9.140625" style="32"/>
    <col min="11521" max="11521" width="17.5703125" style="32" customWidth="1"/>
    <col min="11522" max="11522" width="23.28515625" style="32" customWidth="1"/>
    <col min="11523" max="11524" width="22.28515625" style="32" customWidth="1"/>
    <col min="11525" max="11525" width="16.42578125" style="32" customWidth="1"/>
    <col min="11526" max="11526" width="14.85546875" style="32" customWidth="1"/>
    <col min="11527" max="11527" width="14.5703125" style="32" customWidth="1"/>
    <col min="11528" max="11528" width="7.28515625" style="32" customWidth="1"/>
    <col min="11529" max="11529" width="24.28515625" style="32" customWidth="1"/>
    <col min="11530" max="11531" width="22.5703125" style="32" customWidth="1"/>
    <col min="11532" max="11532" width="16.140625" style="32" customWidth="1"/>
    <col min="11533" max="11534" width="13.7109375" style="32" customWidth="1"/>
    <col min="11535" max="11535" width="22.85546875" style="32" customWidth="1"/>
    <col min="11536" max="11537" width="22.28515625" style="32" customWidth="1"/>
    <col min="11538" max="11538" width="15.5703125" style="32" customWidth="1"/>
    <col min="11539" max="11540" width="13.7109375" style="32" customWidth="1"/>
    <col min="11541" max="11541" width="23.140625" style="32" customWidth="1"/>
    <col min="11542" max="11543" width="23.42578125" style="32" customWidth="1"/>
    <col min="11544" max="11544" width="16.140625" style="32" customWidth="1"/>
    <col min="11545" max="11545" width="14" style="32" customWidth="1"/>
    <col min="11546" max="11546" width="15.28515625" style="32" customWidth="1"/>
    <col min="11547" max="11549" width="22.7109375" style="32" customWidth="1"/>
    <col min="11550" max="11550" width="15.7109375" style="32" customWidth="1"/>
    <col min="11551" max="11551" width="13.7109375" style="32" customWidth="1"/>
    <col min="11552" max="11552" width="10.42578125" style="32" customWidth="1"/>
    <col min="11553" max="11776" width="9.140625" style="32"/>
    <col min="11777" max="11777" width="17.5703125" style="32" customWidth="1"/>
    <col min="11778" max="11778" width="23.28515625" style="32" customWidth="1"/>
    <col min="11779" max="11780" width="22.28515625" style="32" customWidth="1"/>
    <col min="11781" max="11781" width="16.42578125" style="32" customWidth="1"/>
    <col min="11782" max="11782" width="14.85546875" style="32" customWidth="1"/>
    <col min="11783" max="11783" width="14.5703125" style="32" customWidth="1"/>
    <col min="11784" max="11784" width="7.28515625" style="32" customWidth="1"/>
    <col min="11785" max="11785" width="24.28515625" style="32" customWidth="1"/>
    <col min="11786" max="11787" width="22.5703125" style="32" customWidth="1"/>
    <col min="11788" max="11788" width="16.140625" style="32" customWidth="1"/>
    <col min="11789" max="11790" width="13.7109375" style="32" customWidth="1"/>
    <col min="11791" max="11791" width="22.85546875" style="32" customWidth="1"/>
    <col min="11792" max="11793" width="22.28515625" style="32" customWidth="1"/>
    <col min="11794" max="11794" width="15.5703125" style="32" customWidth="1"/>
    <col min="11795" max="11796" width="13.7109375" style="32" customWidth="1"/>
    <col min="11797" max="11797" width="23.140625" style="32" customWidth="1"/>
    <col min="11798" max="11799" width="23.42578125" style="32" customWidth="1"/>
    <col min="11800" max="11800" width="16.140625" style="32" customWidth="1"/>
    <col min="11801" max="11801" width="14" style="32" customWidth="1"/>
    <col min="11802" max="11802" width="15.28515625" style="32" customWidth="1"/>
    <col min="11803" max="11805" width="22.7109375" style="32" customWidth="1"/>
    <col min="11806" max="11806" width="15.7109375" style="32" customWidth="1"/>
    <col min="11807" max="11807" width="13.7109375" style="32" customWidth="1"/>
    <col min="11808" max="11808" width="10.42578125" style="32" customWidth="1"/>
    <col min="11809" max="12032" width="9.140625" style="32"/>
    <col min="12033" max="12033" width="17.5703125" style="32" customWidth="1"/>
    <col min="12034" max="12034" width="23.28515625" style="32" customWidth="1"/>
    <col min="12035" max="12036" width="22.28515625" style="32" customWidth="1"/>
    <col min="12037" max="12037" width="16.42578125" style="32" customWidth="1"/>
    <col min="12038" max="12038" width="14.85546875" style="32" customWidth="1"/>
    <col min="12039" max="12039" width="14.5703125" style="32" customWidth="1"/>
    <col min="12040" max="12040" width="7.28515625" style="32" customWidth="1"/>
    <col min="12041" max="12041" width="24.28515625" style="32" customWidth="1"/>
    <col min="12042" max="12043" width="22.5703125" style="32" customWidth="1"/>
    <col min="12044" max="12044" width="16.140625" style="32" customWidth="1"/>
    <col min="12045" max="12046" width="13.7109375" style="32" customWidth="1"/>
    <col min="12047" max="12047" width="22.85546875" style="32" customWidth="1"/>
    <col min="12048" max="12049" width="22.28515625" style="32" customWidth="1"/>
    <col min="12050" max="12050" width="15.5703125" style="32" customWidth="1"/>
    <col min="12051" max="12052" width="13.7109375" style="32" customWidth="1"/>
    <col min="12053" max="12053" width="23.140625" style="32" customWidth="1"/>
    <col min="12054" max="12055" width="23.42578125" style="32" customWidth="1"/>
    <col min="12056" max="12056" width="16.140625" style="32" customWidth="1"/>
    <col min="12057" max="12057" width="14" style="32" customWidth="1"/>
    <col min="12058" max="12058" width="15.28515625" style="32" customWidth="1"/>
    <col min="12059" max="12061" width="22.7109375" style="32" customWidth="1"/>
    <col min="12062" max="12062" width="15.7109375" style="32" customWidth="1"/>
    <col min="12063" max="12063" width="13.7109375" style="32" customWidth="1"/>
    <col min="12064" max="12064" width="10.42578125" style="32" customWidth="1"/>
    <col min="12065" max="12288" width="9.140625" style="32"/>
    <col min="12289" max="12289" width="17.5703125" style="32" customWidth="1"/>
    <col min="12290" max="12290" width="23.28515625" style="32" customWidth="1"/>
    <col min="12291" max="12292" width="22.28515625" style="32" customWidth="1"/>
    <col min="12293" max="12293" width="16.42578125" style="32" customWidth="1"/>
    <col min="12294" max="12294" width="14.85546875" style="32" customWidth="1"/>
    <col min="12295" max="12295" width="14.5703125" style="32" customWidth="1"/>
    <col min="12296" max="12296" width="7.28515625" style="32" customWidth="1"/>
    <col min="12297" max="12297" width="24.28515625" style="32" customWidth="1"/>
    <col min="12298" max="12299" width="22.5703125" style="32" customWidth="1"/>
    <col min="12300" max="12300" width="16.140625" style="32" customWidth="1"/>
    <col min="12301" max="12302" width="13.7109375" style="32" customWidth="1"/>
    <col min="12303" max="12303" width="22.85546875" style="32" customWidth="1"/>
    <col min="12304" max="12305" width="22.28515625" style="32" customWidth="1"/>
    <col min="12306" max="12306" width="15.5703125" style="32" customWidth="1"/>
    <col min="12307" max="12308" width="13.7109375" style="32" customWidth="1"/>
    <col min="12309" max="12309" width="23.140625" style="32" customWidth="1"/>
    <col min="12310" max="12311" width="23.42578125" style="32" customWidth="1"/>
    <col min="12312" max="12312" width="16.140625" style="32" customWidth="1"/>
    <col min="12313" max="12313" width="14" style="32" customWidth="1"/>
    <col min="12314" max="12314" width="15.28515625" style="32" customWidth="1"/>
    <col min="12315" max="12317" width="22.7109375" style="32" customWidth="1"/>
    <col min="12318" max="12318" width="15.7109375" style="32" customWidth="1"/>
    <col min="12319" max="12319" width="13.7109375" style="32" customWidth="1"/>
    <col min="12320" max="12320" width="10.42578125" style="32" customWidth="1"/>
    <col min="12321" max="12544" width="9.140625" style="32"/>
    <col min="12545" max="12545" width="17.5703125" style="32" customWidth="1"/>
    <col min="12546" max="12546" width="23.28515625" style="32" customWidth="1"/>
    <col min="12547" max="12548" width="22.28515625" style="32" customWidth="1"/>
    <col min="12549" max="12549" width="16.42578125" style="32" customWidth="1"/>
    <col min="12550" max="12550" width="14.85546875" style="32" customWidth="1"/>
    <col min="12551" max="12551" width="14.5703125" style="32" customWidth="1"/>
    <col min="12552" max="12552" width="7.28515625" style="32" customWidth="1"/>
    <col min="12553" max="12553" width="24.28515625" style="32" customWidth="1"/>
    <col min="12554" max="12555" width="22.5703125" style="32" customWidth="1"/>
    <col min="12556" max="12556" width="16.140625" style="32" customWidth="1"/>
    <col min="12557" max="12558" width="13.7109375" style="32" customWidth="1"/>
    <col min="12559" max="12559" width="22.85546875" style="32" customWidth="1"/>
    <col min="12560" max="12561" width="22.28515625" style="32" customWidth="1"/>
    <col min="12562" max="12562" width="15.5703125" style="32" customWidth="1"/>
    <col min="12563" max="12564" width="13.7109375" style="32" customWidth="1"/>
    <col min="12565" max="12565" width="23.140625" style="32" customWidth="1"/>
    <col min="12566" max="12567" width="23.42578125" style="32" customWidth="1"/>
    <col min="12568" max="12568" width="16.140625" style="32" customWidth="1"/>
    <col min="12569" max="12569" width="14" style="32" customWidth="1"/>
    <col min="12570" max="12570" width="15.28515625" style="32" customWidth="1"/>
    <col min="12571" max="12573" width="22.7109375" style="32" customWidth="1"/>
    <col min="12574" max="12574" width="15.7109375" style="32" customWidth="1"/>
    <col min="12575" max="12575" width="13.7109375" style="32" customWidth="1"/>
    <col min="12576" max="12576" width="10.42578125" style="32" customWidth="1"/>
    <col min="12577" max="12800" width="9.140625" style="32"/>
    <col min="12801" max="12801" width="17.5703125" style="32" customWidth="1"/>
    <col min="12802" max="12802" width="23.28515625" style="32" customWidth="1"/>
    <col min="12803" max="12804" width="22.28515625" style="32" customWidth="1"/>
    <col min="12805" max="12805" width="16.42578125" style="32" customWidth="1"/>
    <col min="12806" max="12806" width="14.85546875" style="32" customWidth="1"/>
    <col min="12807" max="12807" width="14.5703125" style="32" customWidth="1"/>
    <col min="12808" max="12808" width="7.28515625" style="32" customWidth="1"/>
    <col min="12809" max="12809" width="24.28515625" style="32" customWidth="1"/>
    <col min="12810" max="12811" width="22.5703125" style="32" customWidth="1"/>
    <col min="12812" max="12812" width="16.140625" style="32" customWidth="1"/>
    <col min="12813" max="12814" width="13.7109375" style="32" customWidth="1"/>
    <col min="12815" max="12815" width="22.85546875" style="32" customWidth="1"/>
    <col min="12816" max="12817" width="22.28515625" style="32" customWidth="1"/>
    <col min="12818" max="12818" width="15.5703125" style="32" customWidth="1"/>
    <col min="12819" max="12820" width="13.7109375" style="32" customWidth="1"/>
    <col min="12821" max="12821" width="23.140625" style="32" customWidth="1"/>
    <col min="12822" max="12823" width="23.42578125" style="32" customWidth="1"/>
    <col min="12824" max="12824" width="16.140625" style="32" customWidth="1"/>
    <col min="12825" max="12825" width="14" style="32" customWidth="1"/>
    <col min="12826" max="12826" width="15.28515625" style="32" customWidth="1"/>
    <col min="12827" max="12829" width="22.7109375" style="32" customWidth="1"/>
    <col min="12830" max="12830" width="15.7109375" style="32" customWidth="1"/>
    <col min="12831" max="12831" width="13.7109375" style="32" customWidth="1"/>
    <col min="12832" max="12832" width="10.42578125" style="32" customWidth="1"/>
    <col min="12833" max="13056" width="9.140625" style="32"/>
    <col min="13057" max="13057" width="17.5703125" style="32" customWidth="1"/>
    <col min="13058" max="13058" width="23.28515625" style="32" customWidth="1"/>
    <col min="13059" max="13060" width="22.28515625" style="32" customWidth="1"/>
    <col min="13061" max="13061" width="16.42578125" style="32" customWidth="1"/>
    <col min="13062" max="13062" width="14.85546875" style="32" customWidth="1"/>
    <col min="13063" max="13063" width="14.5703125" style="32" customWidth="1"/>
    <col min="13064" max="13064" width="7.28515625" style="32" customWidth="1"/>
    <col min="13065" max="13065" width="24.28515625" style="32" customWidth="1"/>
    <col min="13066" max="13067" width="22.5703125" style="32" customWidth="1"/>
    <col min="13068" max="13068" width="16.140625" style="32" customWidth="1"/>
    <col min="13069" max="13070" width="13.7109375" style="32" customWidth="1"/>
    <col min="13071" max="13071" width="22.85546875" style="32" customWidth="1"/>
    <col min="13072" max="13073" width="22.28515625" style="32" customWidth="1"/>
    <col min="13074" max="13074" width="15.5703125" style="32" customWidth="1"/>
    <col min="13075" max="13076" width="13.7109375" style="32" customWidth="1"/>
    <col min="13077" max="13077" width="23.140625" style="32" customWidth="1"/>
    <col min="13078" max="13079" width="23.42578125" style="32" customWidth="1"/>
    <col min="13080" max="13080" width="16.140625" style="32" customWidth="1"/>
    <col min="13081" max="13081" width="14" style="32" customWidth="1"/>
    <col min="13082" max="13082" width="15.28515625" style="32" customWidth="1"/>
    <col min="13083" max="13085" width="22.7109375" style="32" customWidth="1"/>
    <col min="13086" max="13086" width="15.7109375" style="32" customWidth="1"/>
    <col min="13087" max="13087" width="13.7109375" style="32" customWidth="1"/>
    <col min="13088" max="13088" width="10.42578125" style="32" customWidth="1"/>
    <col min="13089" max="13312" width="9.140625" style="32"/>
    <col min="13313" max="13313" width="17.5703125" style="32" customWidth="1"/>
    <col min="13314" max="13314" width="23.28515625" style="32" customWidth="1"/>
    <col min="13315" max="13316" width="22.28515625" style="32" customWidth="1"/>
    <col min="13317" max="13317" width="16.42578125" style="32" customWidth="1"/>
    <col min="13318" max="13318" width="14.85546875" style="32" customWidth="1"/>
    <col min="13319" max="13319" width="14.5703125" style="32" customWidth="1"/>
    <col min="13320" max="13320" width="7.28515625" style="32" customWidth="1"/>
    <col min="13321" max="13321" width="24.28515625" style="32" customWidth="1"/>
    <col min="13322" max="13323" width="22.5703125" style="32" customWidth="1"/>
    <col min="13324" max="13324" width="16.140625" style="32" customWidth="1"/>
    <col min="13325" max="13326" width="13.7109375" style="32" customWidth="1"/>
    <col min="13327" max="13327" width="22.85546875" style="32" customWidth="1"/>
    <col min="13328" max="13329" width="22.28515625" style="32" customWidth="1"/>
    <col min="13330" max="13330" width="15.5703125" style="32" customWidth="1"/>
    <col min="13331" max="13332" width="13.7109375" style="32" customWidth="1"/>
    <col min="13333" max="13333" width="23.140625" style="32" customWidth="1"/>
    <col min="13334" max="13335" width="23.42578125" style="32" customWidth="1"/>
    <col min="13336" max="13336" width="16.140625" style="32" customWidth="1"/>
    <col min="13337" max="13337" width="14" style="32" customWidth="1"/>
    <col min="13338" max="13338" width="15.28515625" style="32" customWidth="1"/>
    <col min="13339" max="13341" width="22.7109375" style="32" customWidth="1"/>
    <col min="13342" max="13342" width="15.7109375" style="32" customWidth="1"/>
    <col min="13343" max="13343" width="13.7109375" style="32" customWidth="1"/>
    <col min="13344" max="13344" width="10.42578125" style="32" customWidth="1"/>
    <col min="13345" max="13568" width="9.140625" style="32"/>
    <col min="13569" max="13569" width="17.5703125" style="32" customWidth="1"/>
    <col min="13570" max="13570" width="23.28515625" style="32" customWidth="1"/>
    <col min="13571" max="13572" width="22.28515625" style="32" customWidth="1"/>
    <col min="13573" max="13573" width="16.42578125" style="32" customWidth="1"/>
    <col min="13574" max="13574" width="14.85546875" style="32" customWidth="1"/>
    <col min="13575" max="13575" width="14.5703125" style="32" customWidth="1"/>
    <col min="13576" max="13576" width="7.28515625" style="32" customWidth="1"/>
    <col min="13577" max="13577" width="24.28515625" style="32" customWidth="1"/>
    <col min="13578" max="13579" width="22.5703125" style="32" customWidth="1"/>
    <col min="13580" max="13580" width="16.140625" style="32" customWidth="1"/>
    <col min="13581" max="13582" width="13.7109375" style="32" customWidth="1"/>
    <col min="13583" max="13583" width="22.85546875" style="32" customWidth="1"/>
    <col min="13584" max="13585" width="22.28515625" style="32" customWidth="1"/>
    <col min="13586" max="13586" width="15.5703125" style="32" customWidth="1"/>
    <col min="13587" max="13588" width="13.7109375" style="32" customWidth="1"/>
    <col min="13589" max="13589" width="23.140625" style="32" customWidth="1"/>
    <col min="13590" max="13591" width="23.42578125" style="32" customWidth="1"/>
    <col min="13592" max="13592" width="16.140625" style="32" customWidth="1"/>
    <col min="13593" max="13593" width="14" style="32" customWidth="1"/>
    <col min="13594" max="13594" width="15.28515625" style="32" customWidth="1"/>
    <col min="13595" max="13597" width="22.7109375" style="32" customWidth="1"/>
    <col min="13598" max="13598" width="15.7109375" style="32" customWidth="1"/>
    <col min="13599" max="13599" width="13.7109375" style="32" customWidth="1"/>
    <col min="13600" max="13600" width="10.42578125" style="32" customWidth="1"/>
    <col min="13601" max="13824" width="9.140625" style="32"/>
    <col min="13825" max="13825" width="17.5703125" style="32" customWidth="1"/>
    <col min="13826" max="13826" width="23.28515625" style="32" customWidth="1"/>
    <col min="13827" max="13828" width="22.28515625" style="32" customWidth="1"/>
    <col min="13829" max="13829" width="16.42578125" style="32" customWidth="1"/>
    <col min="13830" max="13830" width="14.85546875" style="32" customWidth="1"/>
    <col min="13831" max="13831" width="14.5703125" style="32" customWidth="1"/>
    <col min="13832" max="13832" width="7.28515625" style="32" customWidth="1"/>
    <col min="13833" max="13833" width="24.28515625" style="32" customWidth="1"/>
    <col min="13834" max="13835" width="22.5703125" style="32" customWidth="1"/>
    <col min="13836" max="13836" width="16.140625" style="32" customWidth="1"/>
    <col min="13837" max="13838" width="13.7109375" style="32" customWidth="1"/>
    <col min="13839" max="13839" width="22.85546875" style="32" customWidth="1"/>
    <col min="13840" max="13841" width="22.28515625" style="32" customWidth="1"/>
    <col min="13842" max="13842" width="15.5703125" style="32" customWidth="1"/>
    <col min="13843" max="13844" width="13.7109375" style="32" customWidth="1"/>
    <col min="13845" max="13845" width="23.140625" style="32" customWidth="1"/>
    <col min="13846" max="13847" width="23.42578125" style="32" customWidth="1"/>
    <col min="13848" max="13848" width="16.140625" style="32" customWidth="1"/>
    <col min="13849" max="13849" width="14" style="32" customWidth="1"/>
    <col min="13850" max="13850" width="15.28515625" style="32" customWidth="1"/>
    <col min="13851" max="13853" width="22.7109375" style="32" customWidth="1"/>
    <col min="13854" max="13854" width="15.7109375" style="32" customWidth="1"/>
    <col min="13855" max="13855" width="13.7109375" style="32" customWidth="1"/>
    <col min="13856" max="13856" width="10.42578125" style="32" customWidth="1"/>
    <col min="13857" max="14080" width="9.140625" style="32"/>
    <col min="14081" max="14081" width="17.5703125" style="32" customWidth="1"/>
    <col min="14082" max="14082" width="23.28515625" style="32" customWidth="1"/>
    <col min="14083" max="14084" width="22.28515625" style="32" customWidth="1"/>
    <col min="14085" max="14085" width="16.42578125" style="32" customWidth="1"/>
    <col min="14086" max="14086" width="14.85546875" style="32" customWidth="1"/>
    <col min="14087" max="14087" width="14.5703125" style="32" customWidth="1"/>
    <col min="14088" max="14088" width="7.28515625" style="32" customWidth="1"/>
    <col min="14089" max="14089" width="24.28515625" style="32" customWidth="1"/>
    <col min="14090" max="14091" width="22.5703125" style="32" customWidth="1"/>
    <col min="14092" max="14092" width="16.140625" style="32" customWidth="1"/>
    <col min="14093" max="14094" width="13.7109375" style="32" customWidth="1"/>
    <col min="14095" max="14095" width="22.85546875" style="32" customWidth="1"/>
    <col min="14096" max="14097" width="22.28515625" style="32" customWidth="1"/>
    <col min="14098" max="14098" width="15.5703125" style="32" customWidth="1"/>
    <col min="14099" max="14100" width="13.7109375" style="32" customWidth="1"/>
    <col min="14101" max="14101" width="23.140625" style="32" customWidth="1"/>
    <col min="14102" max="14103" width="23.42578125" style="32" customWidth="1"/>
    <col min="14104" max="14104" width="16.140625" style="32" customWidth="1"/>
    <col min="14105" max="14105" width="14" style="32" customWidth="1"/>
    <col min="14106" max="14106" width="15.28515625" style="32" customWidth="1"/>
    <col min="14107" max="14109" width="22.7109375" style="32" customWidth="1"/>
    <col min="14110" max="14110" width="15.7109375" style="32" customWidth="1"/>
    <col min="14111" max="14111" width="13.7109375" style="32" customWidth="1"/>
    <col min="14112" max="14112" width="10.42578125" style="32" customWidth="1"/>
    <col min="14113" max="14336" width="9.140625" style="32"/>
    <col min="14337" max="14337" width="17.5703125" style="32" customWidth="1"/>
    <col min="14338" max="14338" width="23.28515625" style="32" customWidth="1"/>
    <col min="14339" max="14340" width="22.28515625" style="32" customWidth="1"/>
    <col min="14341" max="14341" width="16.42578125" style="32" customWidth="1"/>
    <col min="14342" max="14342" width="14.85546875" style="32" customWidth="1"/>
    <col min="14343" max="14343" width="14.5703125" style="32" customWidth="1"/>
    <col min="14344" max="14344" width="7.28515625" style="32" customWidth="1"/>
    <col min="14345" max="14345" width="24.28515625" style="32" customWidth="1"/>
    <col min="14346" max="14347" width="22.5703125" style="32" customWidth="1"/>
    <col min="14348" max="14348" width="16.140625" style="32" customWidth="1"/>
    <col min="14349" max="14350" width="13.7109375" style="32" customWidth="1"/>
    <col min="14351" max="14351" width="22.85546875" style="32" customWidth="1"/>
    <col min="14352" max="14353" width="22.28515625" style="32" customWidth="1"/>
    <col min="14354" max="14354" width="15.5703125" style="32" customWidth="1"/>
    <col min="14355" max="14356" width="13.7109375" style="32" customWidth="1"/>
    <col min="14357" max="14357" width="23.140625" style="32" customWidth="1"/>
    <col min="14358" max="14359" width="23.42578125" style="32" customWidth="1"/>
    <col min="14360" max="14360" width="16.140625" style="32" customWidth="1"/>
    <col min="14361" max="14361" width="14" style="32" customWidth="1"/>
    <col min="14362" max="14362" width="15.28515625" style="32" customWidth="1"/>
    <col min="14363" max="14365" width="22.7109375" style="32" customWidth="1"/>
    <col min="14366" max="14366" width="15.7109375" style="32" customWidth="1"/>
    <col min="14367" max="14367" width="13.7109375" style="32" customWidth="1"/>
    <col min="14368" max="14368" width="10.42578125" style="32" customWidth="1"/>
    <col min="14369" max="14592" width="9.140625" style="32"/>
    <col min="14593" max="14593" width="17.5703125" style="32" customWidth="1"/>
    <col min="14594" max="14594" width="23.28515625" style="32" customWidth="1"/>
    <col min="14595" max="14596" width="22.28515625" style="32" customWidth="1"/>
    <col min="14597" max="14597" width="16.42578125" style="32" customWidth="1"/>
    <col min="14598" max="14598" width="14.85546875" style="32" customWidth="1"/>
    <col min="14599" max="14599" width="14.5703125" style="32" customWidth="1"/>
    <col min="14600" max="14600" width="7.28515625" style="32" customWidth="1"/>
    <col min="14601" max="14601" width="24.28515625" style="32" customWidth="1"/>
    <col min="14602" max="14603" width="22.5703125" style="32" customWidth="1"/>
    <col min="14604" max="14604" width="16.140625" style="32" customWidth="1"/>
    <col min="14605" max="14606" width="13.7109375" style="32" customWidth="1"/>
    <col min="14607" max="14607" width="22.85546875" style="32" customWidth="1"/>
    <col min="14608" max="14609" width="22.28515625" style="32" customWidth="1"/>
    <col min="14610" max="14610" width="15.5703125" style="32" customWidth="1"/>
    <col min="14611" max="14612" width="13.7109375" style="32" customWidth="1"/>
    <col min="14613" max="14613" width="23.140625" style="32" customWidth="1"/>
    <col min="14614" max="14615" width="23.42578125" style="32" customWidth="1"/>
    <col min="14616" max="14616" width="16.140625" style="32" customWidth="1"/>
    <col min="14617" max="14617" width="14" style="32" customWidth="1"/>
    <col min="14618" max="14618" width="15.28515625" style="32" customWidth="1"/>
    <col min="14619" max="14621" width="22.7109375" style="32" customWidth="1"/>
    <col min="14622" max="14622" width="15.7109375" style="32" customWidth="1"/>
    <col min="14623" max="14623" width="13.7109375" style="32" customWidth="1"/>
    <col min="14624" max="14624" width="10.42578125" style="32" customWidth="1"/>
    <col min="14625" max="14848" width="9.140625" style="32"/>
    <col min="14849" max="14849" width="17.5703125" style="32" customWidth="1"/>
    <col min="14850" max="14850" width="23.28515625" style="32" customWidth="1"/>
    <col min="14851" max="14852" width="22.28515625" style="32" customWidth="1"/>
    <col min="14853" max="14853" width="16.42578125" style="32" customWidth="1"/>
    <col min="14854" max="14854" width="14.85546875" style="32" customWidth="1"/>
    <col min="14855" max="14855" width="14.5703125" style="32" customWidth="1"/>
    <col min="14856" max="14856" width="7.28515625" style="32" customWidth="1"/>
    <col min="14857" max="14857" width="24.28515625" style="32" customWidth="1"/>
    <col min="14858" max="14859" width="22.5703125" style="32" customWidth="1"/>
    <col min="14860" max="14860" width="16.140625" style="32" customWidth="1"/>
    <col min="14861" max="14862" width="13.7109375" style="32" customWidth="1"/>
    <col min="14863" max="14863" width="22.85546875" style="32" customWidth="1"/>
    <col min="14864" max="14865" width="22.28515625" style="32" customWidth="1"/>
    <col min="14866" max="14866" width="15.5703125" style="32" customWidth="1"/>
    <col min="14867" max="14868" width="13.7109375" style="32" customWidth="1"/>
    <col min="14869" max="14869" width="23.140625" style="32" customWidth="1"/>
    <col min="14870" max="14871" width="23.42578125" style="32" customWidth="1"/>
    <col min="14872" max="14872" width="16.140625" style="32" customWidth="1"/>
    <col min="14873" max="14873" width="14" style="32" customWidth="1"/>
    <col min="14874" max="14874" width="15.28515625" style="32" customWidth="1"/>
    <col min="14875" max="14877" width="22.7109375" style="32" customWidth="1"/>
    <col min="14878" max="14878" width="15.7109375" style="32" customWidth="1"/>
    <col min="14879" max="14879" width="13.7109375" style="32" customWidth="1"/>
    <col min="14880" max="14880" width="10.42578125" style="32" customWidth="1"/>
    <col min="14881" max="15104" width="9.140625" style="32"/>
    <col min="15105" max="15105" width="17.5703125" style="32" customWidth="1"/>
    <col min="15106" max="15106" width="23.28515625" style="32" customWidth="1"/>
    <col min="15107" max="15108" width="22.28515625" style="32" customWidth="1"/>
    <col min="15109" max="15109" width="16.42578125" style="32" customWidth="1"/>
    <col min="15110" max="15110" width="14.85546875" style="32" customWidth="1"/>
    <col min="15111" max="15111" width="14.5703125" style="32" customWidth="1"/>
    <col min="15112" max="15112" width="7.28515625" style="32" customWidth="1"/>
    <col min="15113" max="15113" width="24.28515625" style="32" customWidth="1"/>
    <col min="15114" max="15115" width="22.5703125" style="32" customWidth="1"/>
    <col min="15116" max="15116" width="16.140625" style="32" customWidth="1"/>
    <col min="15117" max="15118" width="13.7109375" style="32" customWidth="1"/>
    <col min="15119" max="15119" width="22.85546875" style="32" customWidth="1"/>
    <col min="15120" max="15121" width="22.28515625" style="32" customWidth="1"/>
    <col min="15122" max="15122" width="15.5703125" style="32" customWidth="1"/>
    <col min="15123" max="15124" width="13.7109375" style="32" customWidth="1"/>
    <col min="15125" max="15125" width="23.140625" style="32" customWidth="1"/>
    <col min="15126" max="15127" width="23.42578125" style="32" customWidth="1"/>
    <col min="15128" max="15128" width="16.140625" style="32" customWidth="1"/>
    <col min="15129" max="15129" width="14" style="32" customWidth="1"/>
    <col min="15130" max="15130" width="15.28515625" style="32" customWidth="1"/>
    <col min="15131" max="15133" width="22.7109375" style="32" customWidth="1"/>
    <col min="15134" max="15134" width="15.7109375" style="32" customWidth="1"/>
    <col min="15135" max="15135" width="13.7109375" style="32" customWidth="1"/>
    <col min="15136" max="15136" width="10.42578125" style="32" customWidth="1"/>
    <col min="15137" max="15360" width="9.140625" style="32"/>
    <col min="15361" max="15361" width="17.5703125" style="32" customWidth="1"/>
    <col min="15362" max="15362" width="23.28515625" style="32" customWidth="1"/>
    <col min="15363" max="15364" width="22.28515625" style="32" customWidth="1"/>
    <col min="15365" max="15365" width="16.42578125" style="32" customWidth="1"/>
    <col min="15366" max="15366" width="14.85546875" style="32" customWidth="1"/>
    <col min="15367" max="15367" width="14.5703125" style="32" customWidth="1"/>
    <col min="15368" max="15368" width="7.28515625" style="32" customWidth="1"/>
    <col min="15369" max="15369" width="24.28515625" style="32" customWidth="1"/>
    <col min="15370" max="15371" width="22.5703125" style="32" customWidth="1"/>
    <col min="15372" max="15372" width="16.140625" style="32" customWidth="1"/>
    <col min="15373" max="15374" width="13.7109375" style="32" customWidth="1"/>
    <col min="15375" max="15375" width="22.85546875" style="32" customWidth="1"/>
    <col min="15376" max="15377" width="22.28515625" style="32" customWidth="1"/>
    <col min="15378" max="15378" width="15.5703125" style="32" customWidth="1"/>
    <col min="15379" max="15380" width="13.7109375" style="32" customWidth="1"/>
    <col min="15381" max="15381" width="23.140625" style="32" customWidth="1"/>
    <col min="15382" max="15383" width="23.42578125" style="32" customWidth="1"/>
    <col min="15384" max="15384" width="16.140625" style="32" customWidth="1"/>
    <col min="15385" max="15385" width="14" style="32" customWidth="1"/>
    <col min="15386" max="15386" width="15.28515625" style="32" customWidth="1"/>
    <col min="15387" max="15389" width="22.7109375" style="32" customWidth="1"/>
    <col min="15390" max="15390" width="15.7109375" style="32" customWidth="1"/>
    <col min="15391" max="15391" width="13.7109375" style="32" customWidth="1"/>
    <col min="15392" max="15392" width="10.42578125" style="32" customWidth="1"/>
    <col min="15393" max="15616" width="9.140625" style="32"/>
    <col min="15617" max="15617" width="17.5703125" style="32" customWidth="1"/>
    <col min="15618" max="15618" width="23.28515625" style="32" customWidth="1"/>
    <col min="15619" max="15620" width="22.28515625" style="32" customWidth="1"/>
    <col min="15621" max="15621" width="16.42578125" style="32" customWidth="1"/>
    <col min="15622" max="15622" width="14.85546875" style="32" customWidth="1"/>
    <col min="15623" max="15623" width="14.5703125" style="32" customWidth="1"/>
    <col min="15624" max="15624" width="7.28515625" style="32" customWidth="1"/>
    <col min="15625" max="15625" width="24.28515625" style="32" customWidth="1"/>
    <col min="15626" max="15627" width="22.5703125" style="32" customWidth="1"/>
    <col min="15628" max="15628" width="16.140625" style="32" customWidth="1"/>
    <col min="15629" max="15630" width="13.7109375" style="32" customWidth="1"/>
    <col min="15631" max="15631" width="22.85546875" style="32" customWidth="1"/>
    <col min="15632" max="15633" width="22.28515625" style="32" customWidth="1"/>
    <col min="15634" max="15634" width="15.5703125" style="32" customWidth="1"/>
    <col min="15635" max="15636" width="13.7109375" style="32" customWidth="1"/>
    <col min="15637" max="15637" width="23.140625" style="32" customWidth="1"/>
    <col min="15638" max="15639" width="23.42578125" style="32" customWidth="1"/>
    <col min="15640" max="15640" width="16.140625" style="32" customWidth="1"/>
    <col min="15641" max="15641" width="14" style="32" customWidth="1"/>
    <col min="15642" max="15642" width="15.28515625" style="32" customWidth="1"/>
    <col min="15643" max="15645" width="22.7109375" style="32" customWidth="1"/>
    <col min="15646" max="15646" width="15.7109375" style="32" customWidth="1"/>
    <col min="15647" max="15647" width="13.7109375" style="32" customWidth="1"/>
    <col min="15648" max="15648" width="10.42578125" style="32" customWidth="1"/>
    <col min="15649" max="15872" width="9.140625" style="32"/>
    <col min="15873" max="15873" width="17.5703125" style="32" customWidth="1"/>
    <col min="15874" max="15874" width="23.28515625" style="32" customWidth="1"/>
    <col min="15875" max="15876" width="22.28515625" style="32" customWidth="1"/>
    <col min="15877" max="15877" width="16.42578125" style="32" customWidth="1"/>
    <col min="15878" max="15878" width="14.85546875" style="32" customWidth="1"/>
    <col min="15879" max="15879" width="14.5703125" style="32" customWidth="1"/>
    <col min="15880" max="15880" width="7.28515625" style="32" customWidth="1"/>
    <col min="15881" max="15881" width="24.28515625" style="32" customWidth="1"/>
    <col min="15882" max="15883" width="22.5703125" style="32" customWidth="1"/>
    <col min="15884" max="15884" width="16.140625" style="32" customWidth="1"/>
    <col min="15885" max="15886" width="13.7109375" style="32" customWidth="1"/>
    <col min="15887" max="15887" width="22.85546875" style="32" customWidth="1"/>
    <col min="15888" max="15889" width="22.28515625" style="32" customWidth="1"/>
    <col min="15890" max="15890" width="15.5703125" style="32" customWidth="1"/>
    <col min="15891" max="15892" width="13.7109375" style="32" customWidth="1"/>
    <col min="15893" max="15893" width="23.140625" style="32" customWidth="1"/>
    <col min="15894" max="15895" width="23.42578125" style="32" customWidth="1"/>
    <col min="15896" max="15896" width="16.140625" style="32" customWidth="1"/>
    <col min="15897" max="15897" width="14" style="32" customWidth="1"/>
    <col min="15898" max="15898" width="15.28515625" style="32" customWidth="1"/>
    <col min="15899" max="15901" width="22.7109375" style="32" customWidth="1"/>
    <col min="15902" max="15902" width="15.7109375" style="32" customWidth="1"/>
    <col min="15903" max="15903" width="13.7109375" style="32" customWidth="1"/>
    <col min="15904" max="15904" width="10.42578125" style="32" customWidth="1"/>
    <col min="15905" max="16128" width="9.140625" style="32"/>
    <col min="16129" max="16129" width="17.5703125" style="32" customWidth="1"/>
    <col min="16130" max="16130" width="23.28515625" style="32" customWidth="1"/>
    <col min="16131" max="16132" width="22.28515625" style="32" customWidth="1"/>
    <col min="16133" max="16133" width="16.42578125" style="32" customWidth="1"/>
    <col min="16134" max="16134" width="14.85546875" style="32" customWidth="1"/>
    <col min="16135" max="16135" width="14.5703125" style="32" customWidth="1"/>
    <col min="16136" max="16136" width="7.28515625" style="32" customWidth="1"/>
    <col min="16137" max="16137" width="24.28515625" style="32" customWidth="1"/>
    <col min="16138" max="16139" width="22.5703125" style="32" customWidth="1"/>
    <col min="16140" max="16140" width="16.140625" style="32" customWidth="1"/>
    <col min="16141" max="16142" width="13.7109375" style="32" customWidth="1"/>
    <col min="16143" max="16143" width="22.85546875" style="32" customWidth="1"/>
    <col min="16144" max="16145" width="22.28515625" style="32" customWidth="1"/>
    <col min="16146" max="16146" width="15.5703125" style="32" customWidth="1"/>
    <col min="16147" max="16148" width="13.7109375" style="32" customWidth="1"/>
    <col min="16149" max="16149" width="23.140625" style="32" customWidth="1"/>
    <col min="16150" max="16151" width="23.42578125" style="32" customWidth="1"/>
    <col min="16152" max="16152" width="16.140625" style="32" customWidth="1"/>
    <col min="16153" max="16153" width="14" style="32" customWidth="1"/>
    <col min="16154" max="16154" width="15.28515625" style="32" customWidth="1"/>
    <col min="16155" max="16157" width="22.7109375" style="32" customWidth="1"/>
    <col min="16158" max="16158" width="15.7109375" style="32" customWidth="1"/>
    <col min="16159" max="16159" width="13.7109375" style="32" customWidth="1"/>
    <col min="16160" max="16160" width="10.42578125" style="32" customWidth="1"/>
    <col min="16161" max="16384" width="9.140625" style="32"/>
  </cols>
  <sheetData>
    <row r="1" spans="1:33" x14ac:dyDescent="0.2">
      <c r="A1" s="217" t="s">
        <v>377</v>
      </c>
    </row>
    <row r="2" spans="1:33" x14ac:dyDescent="0.2">
      <c r="A2" s="32" t="s">
        <v>378</v>
      </c>
    </row>
    <row r="4" spans="1:33" x14ac:dyDescent="0.2">
      <c r="A4" s="218" t="s">
        <v>379</v>
      </c>
      <c r="B4" s="218"/>
      <c r="C4" s="218"/>
      <c r="D4" s="218"/>
      <c r="E4" s="218"/>
      <c r="F4" s="218"/>
      <c r="G4" s="218"/>
      <c r="H4" s="218"/>
      <c r="I4" s="218" t="str">
        <f>A4</f>
        <v>Number of Housing Units (Millions)</v>
      </c>
      <c r="J4" s="218"/>
      <c r="K4" s="218"/>
      <c r="L4" s="218"/>
      <c r="M4" s="218"/>
      <c r="N4" s="218"/>
      <c r="O4" s="218" t="str">
        <f>A4</f>
        <v>Number of Housing Units (Millions)</v>
      </c>
      <c r="P4" s="218"/>
      <c r="Q4" s="218"/>
      <c r="R4" s="218"/>
      <c r="S4" s="218"/>
      <c r="T4" s="218"/>
      <c r="U4" s="218" t="str">
        <f>A4</f>
        <v>Number of Housing Units (Millions)</v>
      </c>
      <c r="V4" s="218"/>
      <c r="W4" s="218"/>
      <c r="X4" s="218"/>
      <c r="Y4" s="218"/>
      <c r="Z4" s="218"/>
      <c r="AA4" s="218" t="str">
        <f>A4</f>
        <v>Number of Housing Units (Millions)</v>
      </c>
      <c r="AB4" s="218"/>
      <c r="AC4" s="218"/>
      <c r="AD4" s="218"/>
      <c r="AE4" s="218"/>
    </row>
    <row r="6" spans="1:33" ht="13.5" thickBot="1" x14ac:dyDescent="0.25">
      <c r="A6" s="219"/>
      <c r="B6" s="439" t="s">
        <v>38</v>
      </c>
      <c r="C6" s="439"/>
      <c r="D6" s="439"/>
      <c r="E6" s="439"/>
      <c r="F6" s="439"/>
      <c r="G6" s="220"/>
      <c r="H6" s="221"/>
      <c r="I6" s="440" t="s">
        <v>20</v>
      </c>
      <c r="J6" s="440"/>
      <c r="K6" s="440"/>
      <c r="L6" s="440"/>
      <c r="M6" s="440"/>
      <c r="N6" s="222"/>
      <c r="O6" s="441" t="s">
        <v>21</v>
      </c>
      <c r="P6" s="441"/>
      <c r="Q6" s="441"/>
      <c r="R6" s="441"/>
      <c r="S6" s="441"/>
      <c r="T6" s="223"/>
      <c r="U6" s="444" t="s">
        <v>22</v>
      </c>
      <c r="V6" s="442"/>
      <c r="W6" s="442"/>
      <c r="X6" s="442"/>
      <c r="Y6" s="445"/>
      <c r="Z6" s="224"/>
      <c r="AA6" s="446" t="s">
        <v>23</v>
      </c>
      <c r="AB6" s="443"/>
      <c r="AC6" s="443"/>
      <c r="AD6" s="443"/>
      <c r="AE6" s="447"/>
      <c r="AF6" s="32" t="s">
        <v>380</v>
      </c>
      <c r="AG6" s="32" t="s">
        <v>381</v>
      </c>
    </row>
    <row r="7" spans="1:33" x14ac:dyDescent="0.2">
      <c r="B7" s="225" t="s">
        <v>382</v>
      </c>
      <c r="C7" s="225" t="s">
        <v>383</v>
      </c>
      <c r="D7" s="225" t="s">
        <v>384</v>
      </c>
      <c r="E7" s="225" t="s">
        <v>385</v>
      </c>
      <c r="F7" s="225" t="s">
        <v>386</v>
      </c>
      <c r="G7" s="225"/>
      <c r="H7" s="225"/>
      <c r="I7" s="226" t="s">
        <v>382</v>
      </c>
      <c r="J7" s="225" t="s">
        <v>383</v>
      </c>
      <c r="K7" s="225" t="s">
        <v>384</v>
      </c>
      <c r="L7" s="225" t="s">
        <v>385</v>
      </c>
      <c r="M7" s="227" t="s">
        <v>386</v>
      </c>
      <c r="N7" s="225" t="s">
        <v>91</v>
      </c>
      <c r="O7" s="226" t="s">
        <v>382</v>
      </c>
      <c r="P7" s="225" t="s">
        <v>383</v>
      </c>
      <c r="Q7" s="225" t="s">
        <v>384</v>
      </c>
      <c r="R7" s="225" t="s">
        <v>385</v>
      </c>
      <c r="S7" s="227" t="s">
        <v>386</v>
      </c>
      <c r="T7" s="225" t="s">
        <v>91</v>
      </c>
      <c r="U7" s="225" t="s">
        <v>382</v>
      </c>
      <c r="V7" s="225" t="s">
        <v>383</v>
      </c>
      <c r="W7" s="225" t="s">
        <v>384</v>
      </c>
      <c r="X7" s="225" t="s">
        <v>385</v>
      </c>
      <c r="Y7" s="228" t="s">
        <v>386</v>
      </c>
      <c r="Z7" s="225" t="s">
        <v>91</v>
      </c>
      <c r="AA7" s="225" t="s">
        <v>382</v>
      </c>
      <c r="AB7" s="225" t="s">
        <v>383</v>
      </c>
      <c r="AC7" s="225" t="s">
        <v>384</v>
      </c>
      <c r="AD7" s="225" t="s">
        <v>385</v>
      </c>
      <c r="AE7" s="227" t="s">
        <v>386</v>
      </c>
      <c r="AF7" s="229" t="s">
        <v>387</v>
      </c>
    </row>
    <row r="8" spans="1:33" x14ac:dyDescent="0.2">
      <c r="A8" s="230">
        <v>1978</v>
      </c>
      <c r="B8" s="231">
        <v>48.5</v>
      </c>
      <c r="C8" s="231">
        <v>3.1</v>
      </c>
      <c r="D8" s="231">
        <v>4.8</v>
      </c>
      <c r="E8" s="231">
        <v>11</v>
      </c>
      <c r="F8" s="231">
        <v>9.1999999999999993</v>
      </c>
      <c r="G8" s="231">
        <f t="shared" ref="G8:G18" si="0">SUM(B8:F8)</f>
        <v>76.600000000000009</v>
      </c>
      <c r="H8" s="231"/>
      <c r="I8" s="232">
        <v>7.9</v>
      </c>
      <c r="J8" s="231">
        <v>1.6</v>
      </c>
      <c r="K8" s="231">
        <v>0.4</v>
      </c>
      <c r="L8" s="231">
        <v>4.4000000000000004</v>
      </c>
      <c r="M8" s="233">
        <v>3.1</v>
      </c>
      <c r="N8" s="234"/>
      <c r="O8" s="232">
        <v>15.5</v>
      </c>
      <c r="P8" s="234">
        <v>0.6</v>
      </c>
      <c r="Q8" s="234">
        <v>0.9</v>
      </c>
      <c r="R8" s="234">
        <v>2.9</v>
      </c>
      <c r="S8" s="233">
        <v>0.8</v>
      </c>
      <c r="T8" s="234"/>
      <c r="U8" s="231">
        <v>16.899999999999999</v>
      </c>
      <c r="V8" s="231">
        <v>0.5</v>
      </c>
      <c r="W8" s="231">
        <v>2.8</v>
      </c>
      <c r="X8" s="231">
        <v>2</v>
      </c>
      <c r="Y8" s="233">
        <v>2.2999999999999998</v>
      </c>
      <c r="Z8" s="234"/>
      <c r="AA8" s="234">
        <v>8.1999999999999993</v>
      </c>
      <c r="AB8" s="234">
        <v>0.4</v>
      </c>
      <c r="AC8" s="234">
        <v>0.7</v>
      </c>
      <c r="AD8" s="234">
        <v>1.7</v>
      </c>
      <c r="AE8" s="233">
        <v>3</v>
      </c>
      <c r="AF8" s="235">
        <f t="shared" ref="AF8:AF18" si="1">SUM(I8:AE8)</f>
        <v>76.600000000000009</v>
      </c>
      <c r="AG8" s="235">
        <f>G8</f>
        <v>76.600000000000009</v>
      </c>
    </row>
    <row r="9" spans="1:33" x14ac:dyDescent="0.2">
      <c r="A9" s="230">
        <v>1979</v>
      </c>
      <c r="B9" s="231">
        <v>50.1</v>
      </c>
      <c r="C9" s="231">
        <v>3.3</v>
      </c>
      <c r="D9" s="231">
        <v>4.0999999999999996</v>
      </c>
      <c r="E9" s="231">
        <v>9.4</v>
      </c>
      <c r="F9" s="231">
        <v>10.6</v>
      </c>
      <c r="G9" s="231">
        <f t="shared" si="0"/>
        <v>77.5</v>
      </c>
      <c r="H9" s="231"/>
      <c r="I9" s="232">
        <v>8</v>
      </c>
      <c r="J9" s="231">
        <v>1.1000000000000001</v>
      </c>
      <c r="K9" s="231">
        <v>0.2</v>
      </c>
      <c r="L9" s="231">
        <v>3.5</v>
      </c>
      <c r="M9" s="233">
        <v>4.4000000000000004</v>
      </c>
      <c r="N9" s="234"/>
      <c r="O9" s="232">
        <v>15.6</v>
      </c>
      <c r="P9" s="234">
        <v>0.7</v>
      </c>
      <c r="Q9" s="234">
        <v>0.7</v>
      </c>
      <c r="R9" s="234">
        <v>2.7</v>
      </c>
      <c r="S9" s="233">
        <v>1</v>
      </c>
      <c r="T9" s="234"/>
      <c r="U9" s="231">
        <v>18</v>
      </c>
      <c r="V9" s="231">
        <v>0.9</v>
      </c>
      <c r="W9" s="231">
        <v>2.2000000000000002</v>
      </c>
      <c r="X9" s="231">
        <v>1.6</v>
      </c>
      <c r="Y9" s="233">
        <v>2.2000000000000002</v>
      </c>
      <c r="Z9" s="234"/>
      <c r="AA9" s="234">
        <v>8.6</v>
      </c>
      <c r="AB9" s="234">
        <v>0.5</v>
      </c>
      <c r="AC9" s="234">
        <v>0.9</v>
      </c>
      <c r="AD9" s="234">
        <v>1.6</v>
      </c>
      <c r="AE9" s="233">
        <v>3</v>
      </c>
      <c r="AF9" s="235">
        <f t="shared" si="1"/>
        <v>77.400000000000006</v>
      </c>
      <c r="AG9" s="235">
        <f t="shared" ref="AG9:AG18" si="2">G9</f>
        <v>77.5</v>
      </c>
    </row>
    <row r="10" spans="1:33" x14ac:dyDescent="0.2">
      <c r="A10" s="230">
        <v>1980</v>
      </c>
      <c r="B10" s="231">
        <v>53</v>
      </c>
      <c r="C10" s="231">
        <v>3.3</v>
      </c>
      <c r="D10" s="231">
        <v>4.5999999999999996</v>
      </c>
      <c r="E10" s="231">
        <v>9.9</v>
      </c>
      <c r="F10" s="231">
        <v>10.8</v>
      </c>
      <c r="G10" s="231">
        <f t="shared" si="0"/>
        <v>81.599999999999994</v>
      </c>
      <c r="H10" s="231"/>
      <c r="I10" s="232">
        <v>8.8000000000000007</v>
      </c>
      <c r="J10" s="231">
        <v>1.6</v>
      </c>
      <c r="K10" s="231">
        <v>0.5</v>
      </c>
      <c r="L10" s="231">
        <v>3.3</v>
      </c>
      <c r="M10" s="233">
        <v>3.5</v>
      </c>
      <c r="N10" s="234"/>
      <c r="O10" s="232">
        <v>15.2</v>
      </c>
      <c r="P10" s="234">
        <v>0.3</v>
      </c>
      <c r="Q10" s="234">
        <v>0.6</v>
      </c>
      <c r="R10" s="234">
        <v>2.9</v>
      </c>
      <c r="S10" s="233">
        <v>2.1</v>
      </c>
      <c r="T10" s="234"/>
      <c r="U10" s="231">
        <v>19.100000000000001</v>
      </c>
      <c r="V10" s="231">
        <v>0.6</v>
      </c>
      <c r="W10" s="231">
        <v>2.4</v>
      </c>
      <c r="X10" s="231">
        <v>2</v>
      </c>
      <c r="Y10" s="233">
        <v>2.8</v>
      </c>
      <c r="Z10" s="234"/>
      <c r="AA10" s="234">
        <v>9.9</v>
      </c>
      <c r="AB10" s="234">
        <v>0.9</v>
      </c>
      <c r="AC10" s="234">
        <v>1.1000000000000001</v>
      </c>
      <c r="AD10" s="234">
        <v>1.7</v>
      </c>
      <c r="AE10" s="233">
        <v>2.2999999999999998</v>
      </c>
      <c r="AF10" s="235">
        <f t="shared" si="1"/>
        <v>81.600000000000009</v>
      </c>
      <c r="AG10" s="235">
        <f t="shared" si="2"/>
        <v>81.599999999999994</v>
      </c>
    </row>
    <row r="11" spans="1:33" x14ac:dyDescent="0.2">
      <c r="A11" s="230">
        <v>1981</v>
      </c>
      <c r="B11" s="231">
        <v>54.6</v>
      </c>
      <c r="C11" s="231">
        <v>3</v>
      </c>
      <c r="D11" s="231">
        <v>4.2</v>
      </c>
      <c r="E11" s="231">
        <v>9.3000000000000007</v>
      </c>
      <c r="F11" s="231">
        <v>12</v>
      </c>
      <c r="G11" s="231">
        <f t="shared" si="0"/>
        <v>83.100000000000009</v>
      </c>
      <c r="H11" s="231"/>
      <c r="I11" s="232">
        <v>8.8000000000000007</v>
      </c>
      <c r="J11" s="231">
        <v>1.3</v>
      </c>
      <c r="K11" s="231">
        <v>0.4</v>
      </c>
      <c r="L11" s="231">
        <v>3.6</v>
      </c>
      <c r="M11" s="233">
        <v>3.8</v>
      </c>
      <c r="N11" s="234"/>
      <c r="O11" s="232">
        <v>15.2</v>
      </c>
      <c r="P11" s="234">
        <v>0.3</v>
      </c>
      <c r="Q11" s="234">
        <v>0.8</v>
      </c>
      <c r="R11" s="234">
        <v>2.4</v>
      </c>
      <c r="S11" s="233">
        <v>2.5</v>
      </c>
      <c r="T11" s="234"/>
      <c r="U11" s="231">
        <v>19.899999999999999</v>
      </c>
      <c r="V11" s="231">
        <v>0.7</v>
      </c>
      <c r="W11" s="231">
        <v>2.1</v>
      </c>
      <c r="X11" s="231">
        <v>1.8</v>
      </c>
      <c r="Y11" s="233">
        <v>3.2</v>
      </c>
      <c r="Z11" s="234"/>
      <c r="AA11" s="234">
        <v>10.7</v>
      </c>
      <c r="AB11" s="234">
        <v>0.7</v>
      </c>
      <c r="AC11" s="234">
        <v>0.8</v>
      </c>
      <c r="AD11" s="234">
        <v>1.5</v>
      </c>
      <c r="AE11" s="233">
        <v>2.5</v>
      </c>
      <c r="AF11" s="235">
        <f t="shared" si="1"/>
        <v>83</v>
      </c>
      <c r="AG11" s="235">
        <f t="shared" si="2"/>
        <v>83.100000000000009</v>
      </c>
    </row>
    <row r="12" spans="1:33" x14ac:dyDescent="0.2">
      <c r="A12" s="230">
        <v>1982</v>
      </c>
      <c r="B12" s="231">
        <v>53.8</v>
      </c>
      <c r="C12" s="231">
        <v>3.9</v>
      </c>
      <c r="D12" s="231">
        <v>3.7</v>
      </c>
      <c r="E12" s="231">
        <v>10.1</v>
      </c>
      <c r="F12" s="231">
        <v>12.2</v>
      </c>
      <c r="G12" s="231">
        <f t="shared" si="0"/>
        <v>83.7</v>
      </c>
      <c r="H12" s="231"/>
      <c r="I12" s="232">
        <v>8.6999999999999993</v>
      </c>
      <c r="J12" s="231">
        <v>1.9</v>
      </c>
      <c r="K12" s="231">
        <v>0.4</v>
      </c>
      <c r="L12" s="231">
        <v>3.5</v>
      </c>
      <c r="M12" s="233">
        <v>3.5</v>
      </c>
      <c r="N12" s="234"/>
      <c r="O12" s="232">
        <v>14.4</v>
      </c>
      <c r="P12" s="234">
        <v>0.6</v>
      </c>
      <c r="Q12" s="234">
        <v>0.7</v>
      </c>
      <c r="R12" s="234">
        <v>2.5</v>
      </c>
      <c r="S12" s="233">
        <v>3.1</v>
      </c>
      <c r="T12" s="234"/>
      <c r="U12" s="231">
        <v>20.5</v>
      </c>
      <c r="V12" s="231">
        <v>0.4</v>
      </c>
      <c r="W12" s="231">
        <v>1.8</v>
      </c>
      <c r="X12" s="231">
        <v>2.4</v>
      </c>
      <c r="Y12" s="233">
        <v>3</v>
      </c>
      <c r="Z12" s="234"/>
      <c r="AA12" s="234">
        <v>10.199999999999999</v>
      </c>
      <c r="AB12" s="234">
        <v>0.9</v>
      </c>
      <c r="AC12" s="234">
        <v>0.9</v>
      </c>
      <c r="AD12" s="234">
        <v>1.7</v>
      </c>
      <c r="AE12" s="233">
        <v>2.7</v>
      </c>
      <c r="AF12" s="235">
        <f t="shared" si="1"/>
        <v>83.800000000000026</v>
      </c>
      <c r="AG12" s="235">
        <f t="shared" si="2"/>
        <v>83.7</v>
      </c>
    </row>
    <row r="13" spans="1:33" x14ac:dyDescent="0.2">
      <c r="A13" s="230">
        <v>1984</v>
      </c>
      <c r="B13" s="231">
        <v>53.5</v>
      </c>
      <c r="C13" s="231">
        <v>4.0999999999999996</v>
      </c>
      <c r="D13" s="231">
        <v>5.0999999999999996</v>
      </c>
      <c r="E13" s="231">
        <v>10</v>
      </c>
      <c r="F13" s="231">
        <v>13.6</v>
      </c>
      <c r="G13" s="231">
        <f t="shared" si="0"/>
        <v>86.3</v>
      </c>
      <c r="H13" s="231"/>
      <c r="I13" s="232">
        <v>9.1</v>
      </c>
      <c r="J13" s="231">
        <v>1.8</v>
      </c>
      <c r="K13" s="231">
        <v>0.7</v>
      </c>
      <c r="L13" s="231">
        <v>3.2</v>
      </c>
      <c r="M13" s="233">
        <v>3.6</v>
      </c>
      <c r="N13" s="234"/>
      <c r="O13" s="232">
        <v>13.7</v>
      </c>
      <c r="P13" s="234">
        <v>0.9</v>
      </c>
      <c r="Q13" s="234">
        <v>1.1000000000000001</v>
      </c>
      <c r="R13" s="234">
        <v>2.8</v>
      </c>
      <c r="S13" s="233">
        <v>3.1</v>
      </c>
      <c r="T13" s="234"/>
      <c r="U13" s="231">
        <v>20.7</v>
      </c>
      <c r="V13" s="231">
        <v>1.1000000000000001</v>
      </c>
      <c r="W13" s="231">
        <v>2.2999999999999998</v>
      </c>
      <c r="X13" s="231">
        <v>1.7</v>
      </c>
      <c r="Y13" s="233">
        <v>3.5</v>
      </c>
      <c r="Z13" s="234"/>
      <c r="AA13" s="234">
        <v>10</v>
      </c>
      <c r="AB13" s="234">
        <v>0.3</v>
      </c>
      <c r="AC13" s="234">
        <v>1</v>
      </c>
      <c r="AD13" s="234">
        <v>2.2999999999999998</v>
      </c>
      <c r="AE13" s="233">
        <v>3.4</v>
      </c>
      <c r="AF13" s="235">
        <f t="shared" si="1"/>
        <v>86.300000000000011</v>
      </c>
      <c r="AG13" s="235">
        <f t="shared" si="2"/>
        <v>86.3</v>
      </c>
    </row>
    <row r="14" spans="1:33" x14ac:dyDescent="0.2">
      <c r="A14" s="230">
        <v>1987</v>
      </c>
      <c r="B14" s="231">
        <v>55.2</v>
      </c>
      <c r="C14" s="231">
        <v>5.3</v>
      </c>
      <c r="D14" s="231">
        <v>5.0999999999999996</v>
      </c>
      <c r="E14" s="231">
        <v>10.1</v>
      </c>
      <c r="F14" s="231">
        <v>14.9</v>
      </c>
      <c r="G14" s="231">
        <f t="shared" si="0"/>
        <v>90.6</v>
      </c>
      <c r="H14" s="231"/>
      <c r="I14" s="232">
        <v>9.1</v>
      </c>
      <c r="J14" s="231">
        <v>2</v>
      </c>
      <c r="K14" s="231">
        <v>0.7</v>
      </c>
      <c r="L14" s="231">
        <v>3.2</v>
      </c>
      <c r="M14" s="233">
        <v>4.0999999999999996</v>
      </c>
      <c r="N14" s="234"/>
      <c r="O14" s="232">
        <v>14.7</v>
      </c>
      <c r="P14" s="234">
        <v>0.9</v>
      </c>
      <c r="Q14" s="234">
        <v>1.2</v>
      </c>
      <c r="R14" s="234">
        <v>2.6</v>
      </c>
      <c r="S14" s="233">
        <v>2.8</v>
      </c>
      <c r="T14" s="234"/>
      <c r="U14" s="231">
        <v>20.8</v>
      </c>
      <c r="V14" s="231">
        <v>1.5</v>
      </c>
      <c r="W14" s="231">
        <v>2.2000000000000002</v>
      </c>
      <c r="X14" s="231">
        <v>2.2000000000000002</v>
      </c>
      <c r="Y14" s="233">
        <v>4.2</v>
      </c>
      <c r="Z14" s="234"/>
      <c r="AA14" s="234">
        <v>10.5</v>
      </c>
      <c r="AB14" s="234">
        <v>0.9</v>
      </c>
      <c r="AC14" s="234">
        <v>1</v>
      </c>
      <c r="AD14" s="234">
        <v>2</v>
      </c>
      <c r="AE14" s="233">
        <v>3.8</v>
      </c>
      <c r="AF14" s="235">
        <f t="shared" si="1"/>
        <v>90.4</v>
      </c>
      <c r="AG14" s="235">
        <f t="shared" si="2"/>
        <v>90.6</v>
      </c>
    </row>
    <row r="15" spans="1:33" x14ac:dyDescent="0.2">
      <c r="A15" s="230">
        <v>1990</v>
      </c>
      <c r="B15" s="231">
        <v>58.4</v>
      </c>
      <c r="C15" s="231">
        <v>6</v>
      </c>
      <c r="D15" s="231">
        <v>5.2</v>
      </c>
      <c r="E15" s="231">
        <v>10</v>
      </c>
      <c r="F15" s="231">
        <v>14.4</v>
      </c>
      <c r="G15" s="231">
        <f t="shared" si="0"/>
        <v>94.000000000000014</v>
      </c>
      <c r="H15" s="231"/>
      <c r="I15" s="232">
        <v>9.8000000000000007</v>
      </c>
      <c r="J15" s="231">
        <v>2.1</v>
      </c>
      <c r="K15" s="231">
        <v>0.5</v>
      </c>
      <c r="L15" s="231">
        <v>3.5</v>
      </c>
      <c r="M15" s="233">
        <v>3.3</v>
      </c>
      <c r="N15" s="234"/>
      <c r="O15" s="232">
        <v>15.3</v>
      </c>
      <c r="P15" s="234">
        <v>0.7</v>
      </c>
      <c r="Q15" s="234">
        <v>1.6</v>
      </c>
      <c r="R15" s="234">
        <v>2.5</v>
      </c>
      <c r="S15" s="233">
        <v>3</v>
      </c>
      <c r="T15" s="234"/>
      <c r="U15" s="231">
        <v>21.8</v>
      </c>
      <c r="V15" s="231">
        <v>1.9</v>
      </c>
      <c r="W15" s="231">
        <v>1.9</v>
      </c>
      <c r="X15" s="231">
        <v>2.4</v>
      </c>
      <c r="Y15" s="233">
        <v>4.3</v>
      </c>
      <c r="Z15" s="234"/>
      <c r="AA15" s="234">
        <v>11.5</v>
      </c>
      <c r="AB15" s="234">
        <v>1.2</v>
      </c>
      <c r="AC15" s="234">
        <v>1.2</v>
      </c>
      <c r="AD15" s="234">
        <v>1.7</v>
      </c>
      <c r="AE15" s="233">
        <v>3.8</v>
      </c>
      <c r="AF15" s="235">
        <f t="shared" si="1"/>
        <v>94.000000000000028</v>
      </c>
      <c r="AG15" s="235">
        <f t="shared" si="2"/>
        <v>94.000000000000014</v>
      </c>
    </row>
    <row r="16" spans="1:33" x14ac:dyDescent="0.2">
      <c r="A16" s="230">
        <v>1993</v>
      </c>
      <c r="B16" s="231">
        <v>59.5</v>
      </c>
      <c r="C16" s="231">
        <v>7.3</v>
      </c>
      <c r="D16" s="231">
        <v>5.6</v>
      </c>
      <c r="E16" s="231">
        <v>8</v>
      </c>
      <c r="F16" s="231">
        <v>16.2</v>
      </c>
      <c r="G16" s="231">
        <f t="shared" si="0"/>
        <v>96.6</v>
      </c>
      <c r="H16" s="231"/>
      <c r="I16" s="232">
        <v>9.5</v>
      </c>
      <c r="J16" s="231">
        <v>2.4</v>
      </c>
      <c r="K16" s="231">
        <v>0.5</v>
      </c>
      <c r="L16" s="231">
        <v>2.9</v>
      </c>
      <c r="M16" s="233">
        <v>4.0999999999999996</v>
      </c>
      <c r="N16" s="234"/>
      <c r="O16" s="232">
        <v>15.6</v>
      </c>
      <c r="P16" s="234">
        <v>0.9</v>
      </c>
      <c r="Q16" s="234">
        <v>1.4</v>
      </c>
      <c r="R16" s="234">
        <v>1.8</v>
      </c>
      <c r="S16" s="233">
        <v>3.5</v>
      </c>
      <c r="T16" s="234"/>
      <c r="U16" s="231">
        <v>22.3</v>
      </c>
      <c r="V16" s="231">
        <v>2.5</v>
      </c>
      <c r="W16" s="231">
        <v>2.6</v>
      </c>
      <c r="X16" s="231">
        <v>1.7</v>
      </c>
      <c r="Y16" s="233">
        <v>4.4000000000000004</v>
      </c>
      <c r="Z16" s="234"/>
      <c r="AA16" s="234">
        <v>12</v>
      </c>
      <c r="AB16" s="234">
        <v>1.5</v>
      </c>
      <c r="AC16" s="234">
        <v>1</v>
      </c>
      <c r="AD16" s="234">
        <v>1.6</v>
      </c>
      <c r="AE16" s="233">
        <v>4.3</v>
      </c>
      <c r="AF16" s="235">
        <f t="shared" si="1"/>
        <v>96.499999999999986</v>
      </c>
      <c r="AG16" s="235">
        <f t="shared" si="2"/>
        <v>96.6</v>
      </c>
    </row>
    <row r="17" spans="1:33" x14ac:dyDescent="0.2">
      <c r="A17" s="230">
        <v>1997</v>
      </c>
      <c r="B17" s="231">
        <v>63.8</v>
      </c>
      <c r="C17" s="231">
        <v>9.9</v>
      </c>
      <c r="D17" s="231">
        <v>6.3</v>
      </c>
      <c r="E17" s="231">
        <v>5.6</v>
      </c>
      <c r="F17" s="231">
        <v>15.8</v>
      </c>
      <c r="G17" s="231">
        <f t="shared" si="0"/>
        <v>101.39999999999999</v>
      </c>
      <c r="H17" s="231"/>
      <c r="I17" s="232">
        <v>10.7</v>
      </c>
      <c r="J17" s="231">
        <v>3.1</v>
      </c>
      <c r="K17" s="231">
        <v>0.5</v>
      </c>
      <c r="L17" s="231">
        <v>1.7</v>
      </c>
      <c r="M17" s="233">
        <v>3.8</v>
      </c>
      <c r="N17" s="234"/>
      <c r="O17" s="232">
        <v>16.600000000000001</v>
      </c>
      <c r="P17" s="234">
        <v>1.8</v>
      </c>
      <c r="Q17" s="234">
        <v>1.1000000000000001</v>
      </c>
      <c r="R17" s="234">
        <v>1.7</v>
      </c>
      <c r="S17" s="233">
        <v>2.8</v>
      </c>
      <c r="T17" s="234"/>
      <c r="U17" s="231">
        <v>23.9</v>
      </c>
      <c r="V17" s="231">
        <v>2.7</v>
      </c>
      <c r="W17" s="231">
        <v>3</v>
      </c>
      <c r="X17" s="231">
        <v>1.4</v>
      </c>
      <c r="Y17" s="233">
        <v>4.8</v>
      </c>
      <c r="Z17" s="234"/>
      <c r="AA17" s="234">
        <v>12.6</v>
      </c>
      <c r="AB17" s="234">
        <v>2.2999999999999998</v>
      </c>
      <c r="AC17" s="234">
        <v>1.7</v>
      </c>
      <c r="AD17" s="234">
        <v>0.8</v>
      </c>
      <c r="AE17" s="233">
        <v>4.4000000000000004</v>
      </c>
      <c r="AF17" s="235">
        <f t="shared" si="1"/>
        <v>101.39999999999999</v>
      </c>
      <c r="AG17" s="235">
        <f t="shared" si="2"/>
        <v>101.39999999999999</v>
      </c>
    </row>
    <row r="18" spans="1:33" x14ac:dyDescent="0.2">
      <c r="A18" s="230">
        <v>2001</v>
      </c>
      <c r="B18" s="231">
        <v>63.1</v>
      </c>
      <c r="C18" s="231">
        <v>10.6</v>
      </c>
      <c r="D18" s="231">
        <v>6.8</v>
      </c>
      <c r="E18" s="231">
        <v>9.5</v>
      </c>
      <c r="F18" s="231">
        <v>17</v>
      </c>
      <c r="G18" s="231">
        <f t="shared" si="0"/>
        <v>107</v>
      </c>
      <c r="H18" s="231"/>
      <c r="I18" s="231">
        <v>9.1999999999999993</v>
      </c>
      <c r="J18" s="231">
        <v>2.8</v>
      </c>
      <c r="K18" s="231">
        <v>0.7</v>
      </c>
      <c r="L18" s="231">
        <v>3.1</v>
      </c>
      <c r="M18" s="236">
        <v>4.5</v>
      </c>
      <c r="N18" s="234"/>
      <c r="O18" s="231">
        <v>15.5</v>
      </c>
      <c r="P18" s="231">
        <v>2.8</v>
      </c>
      <c r="Q18" s="234">
        <v>1.2</v>
      </c>
      <c r="R18" s="234">
        <v>2.2000000000000002</v>
      </c>
      <c r="S18" s="234">
        <v>2.8</v>
      </c>
      <c r="T18" s="234"/>
      <c r="U18" s="231">
        <v>25.5</v>
      </c>
      <c r="V18" s="231">
        <v>3.1</v>
      </c>
      <c r="W18" s="231">
        <v>3.3</v>
      </c>
      <c r="X18" s="237">
        <v>2.6</v>
      </c>
      <c r="Y18" s="234">
        <v>4.5</v>
      </c>
      <c r="Z18" s="234"/>
      <c r="AA18" s="231">
        <v>13</v>
      </c>
      <c r="AB18" s="231">
        <v>1.8</v>
      </c>
      <c r="AC18" s="234">
        <v>1.7</v>
      </c>
      <c r="AD18" s="234">
        <v>1.6</v>
      </c>
      <c r="AE18" s="234">
        <v>5.3</v>
      </c>
      <c r="AF18" s="235">
        <f t="shared" si="1"/>
        <v>107.19999999999997</v>
      </c>
      <c r="AG18" s="235">
        <f t="shared" si="2"/>
        <v>107</v>
      </c>
    </row>
    <row r="19" spans="1:33" x14ac:dyDescent="0.2">
      <c r="A19" s="230"/>
      <c r="B19" s="231"/>
      <c r="C19" s="231"/>
      <c r="D19" s="231"/>
      <c r="E19" s="231"/>
      <c r="F19" s="231"/>
      <c r="G19" s="231"/>
      <c r="H19" s="231"/>
      <c r="I19" s="231"/>
      <c r="J19" s="231"/>
      <c r="K19" s="231"/>
      <c r="L19" s="231"/>
      <c r="M19" s="236"/>
      <c r="N19" s="234"/>
      <c r="O19" s="231"/>
      <c r="P19" s="231"/>
      <c r="Q19" s="234"/>
      <c r="R19" s="234"/>
      <c r="S19" s="234"/>
      <c r="T19" s="234"/>
      <c r="U19" s="231"/>
      <c r="V19" s="231"/>
      <c r="W19" s="231"/>
      <c r="X19" s="237"/>
      <c r="Y19" s="234"/>
      <c r="Z19" s="234"/>
      <c r="AA19" s="231"/>
      <c r="AB19" s="231"/>
      <c r="AC19" s="234"/>
      <c r="AD19" s="234"/>
      <c r="AE19" s="234"/>
      <c r="AF19" s="235"/>
      <c r="AG19" s="235"/>
    </row>
    <row r="20" spans="1:33" x14ac:dyDescent="0.2">
      <c r="B20" s="32">
        <f>B17/(B17+C17)</f>
        <v>0.86567164179104472</v>
      </c>
      <c r="I20" s="32">
        <f>I17/(I17+J17)</f>
        <v>0.77536231884057971</v>
      </c>
      <c r="O20" s="32">
        <f>O17/(O17+P17)</f>
        <v>0.90217391304347827</v>
      </c>
    </row>
    <row r="21" spans="1:33" x14ac:dyDescent="0.2">
      <c r="B21" s="217" t="s">
        <v>388</v>
      </c>
    </row>
    <row r="23" spans="1:33" x14ac:dyDescent="0.2">
      <c r="A23" s="217" t="s">
        <v>389</v>
      </c>
    </row>
    <row r="25" spans="1:33" ht="13.5" thickBot="1" x14ac:dyDescent="0.25">
      <c r="A25" s="219"/>
      <c r="B25" s="439" t="s">
        <v>38</v>
      </c>
      <c r="C25" s="439"/>
      <c r="D25" s="439"/>
      <c r="E25" s="439"/>
      <c r="F25" s="439"/>
      <c r="G25" s="220"/>
      <c r="H25" s="219"/>
      <c r="I25" s="440" t="s">
        <v>20</v>
      </c>
      <c r="J25" s="440"/>
      <c r="K25" s="440"/>
      <c r="L25" s="440"/>
      <c r="M25" s="440"/>
      <c r="N25" s="222"/>
      <c r="O25" s="441" t="s">
        <v>21</v>
      </c>
      <c r="P25" s="441"/>
      <c r="Q25" s="441"/>
      <c r="R25" s="441"/>
      <c r="S25" s="441"/>
      <c r="T25" s="238"/>
      <c r="U25" s="444" t="s">
        <v>22</v>
      </c>
      <c r="V25" s="442"/>
      <c r="W25" s="442"/>
      <c r="X25" s="442"/>
      <c r="Y25" s="445"/>
      <c r="Z25" s="224"/>
      <c r="AA25" s="446" t="s">
        <v>23</v>
      </c>
      <c r="AB25" s="443"/>
      <c r="AC25" s="443"/>
      <c r="AD25" s="443"/>
      <c r="AE25" s="447"/>
    </row>
    <row r="26" spans="1:33" x14ac:dyDescent="0.2">
      <c r="B26" s="225" t="s">
        <v>382</v>
      </c>
      <c r="C26" s="225" t="s">
        <v>383</v>
      </c>
      <c r="D26" s="225" t="s">
        <v>384</v>
      </c>
      <c r="E26" s="225" t="s">
        <v>385</v>
      </c>
      <c r="F26" s="225" t="s">
        <v>386</v>
      </c>
      <c r="G26" s="239"/>
      <c r="H26" s="239"/>
      <c r="I26" s="239" t="s">
        <v>382</v>
      </c>
      <c r="J26" s="239" t="s">
        <v>383</v>
      </c>
      <c r="K26" s="239" t="s">
        <v>384</v>
      </c>
      <c r="L26" s="239" t="s">
        <v>385</v>
      </c>
      <c r="M26" s="239" t="s">
        <v>386</v>
      </c>
      <c r="N26" s="239"/>
      <c r="O26" s="239" t="s">
        <v>382</v>
      </c>
      <c r="P26" s="239" t="s">
        <v>383</v>
      </c>
      <c r="Q26" s="239" t="s">
        <v>384</v>
      </c>
      <c r="R26" s="239" t="s">
        <v>385</v>
      </c>
      <c r="S26" s="239" t="s">
        <v>386</v>
      </c>
      <c r="T26" s="239"/>
      <c r="U26" s="239" t="s">
        <v>382</v>
      </c>
      <c r="V26" s="239" t="s">
        <v>383</v>
      </c>
      <c r="W26" s="239" t="s">
        <v>384</v>
      </c>
      <c r="X26" s="239" t="s">
        <v>385</v>
      </c>
      <c r="Y26" s="239" t="s">
        <v>386</v>
      </c>
      <c r="Z26" s="239"/>
      <c r="AA26" s="239" t="s">
        <v>382</v>
      </c>
      <c r="AB26" s="239" t="s">
        <v>383</v>
      </c>
      <c r="AC26" s="239" t="s">
        <v>384</v>
      </c>
      <c r="AD26" s="239" t="s">
        <v>385</v>
      </c>
      <c r="AE26" s="239" t="s">
        <v>386</v>
      </c>
    </row>
    <row r="27" spans="1:33" ht="14.25" x14ac:dyDescent="0.2">
      <c r="A27" s="230" t="s">
        <v>390</v>
      </c>
      <c r="B27" s="231">
        <f t="shared" ref="B27:F28" si="3">B8*B48*0.001</f>
        <v>103.35075471698113</v>
      </c>
      <c r="C27" s="231">
        <f t="shared" si="3"/>
        <v>5.702121212121213</v>
      </c>
      <c r="D27" s="231">
        <f t="shared" si="3"/>
        <v>3.9652173913043476</v>
      </c>
      <c r="E27" s="231">
        <f t="shared" si="3"/>
        <v>11.988888888888885</v>
      </c>
      <c r="F27" s="231">
        <f t="shared" si="3"/>
        <v>7.5729629629629631</v>
      </c>
      <c r="G27" s="231">
        <f t="shared" ref="G27:G37" si="4">SUM(B27:F27)</f>
        <v>132.57994517225853</v>
      </c>
      <c r="H27" s="231"/>
      <c r="I27" s="231">
        <f t="shared" ref="I27:AE28" si="5">I8*I48*0.001</f>
        <v>21.680113636363636</v>
      </c>
      <c r="J27" s="231">
        <f t="shared" si="5"/>
        <v>3.2099999999999995</v>
      </c>
      <c r="K27" s="231">
        <f t="shared" si="5"/>
        <v>0.36799999999999999</v>
      </c>
      <c r="L27" s="231">
        <f t="shared" si="5"/>
        <v>5.6000000000000023</v>
      </c>
      <c r="M27" s="231">
        <f t="shared" si="5"/>
        <v>2.4977142857142858</v>
      </c>
      <c r="N27" s="231"/>
      <c r="O27" s="231">
        <f t="shared" si="5"/>
        <v>35.497039473684211</v>
      </c>
      <c r="P27" s="231">
        <f t="shared" si="5"/>
        <v>0.82000000000000006</v>
      </c>
      <c r="Q27" s="231">
        <f t="shared" si="5"/>
        <v>0.75</v>
      </c>
      <c r="R27" s="231">
        <f t="shared" si="5"/>
        <v>3.3099999999999996</v>
      </c>
      <c r="S27" s="231">
        <f t="shared" si="5"/>
        <v>0.67428571428571438</v>
      </c>
      <c r="T27" s="231"/>
      <c r="U27" s="231">
        <f t="shared" si="5"/>
        <v>30.968586387434549</v>
      </c>
      <c r="V27" s="231">
        <f t="shared" si="5"/>
        <v>0.93333333333333346</v>
      </c>
      <c r="W27" s="231">
        <f t="shared" si="5"/>
        <v>2.2633333333333336</v>
      </c>
      <c r="X27" s="231">
        <f t="shared" si="5"/>
        <v>1.82</v>
      </c>
      <c r="Y27" s="231">
        <f t="shared" si="5"/>
        <v>1.8975000000000002</v>
      </c>
      <c r="Z27" s="231"/>
      <c r="AA27" s="231">
        <f t="shared" si="5"/>
        <v>15.71252525252525</v>
      </c>
      <c r="AB27" s="231">
        <f t="shared" si="5"/>
        <v>0.5955555555555555</v>
      </c>
      <c r="AC27" s="231">
        <f t="shared" si="5"/>
        <v>0.57909090909090899</v>
      </c>
      <c r="AD27" s="231">
        <f t="shared" si="5"/>
        <v>1.4499999999999997</v>
      </c>
      <c r="AE27" s="231">
        <f t="shared" si="5"/>
        <v>2.6086956521739135</v>
      </c>
    </row>
    <row r="28" spans="1:33" ht="14.25" x14ac:dyDescent="0.2">
      <c r="A28" s="230" t="s">
        <v>391</v>
      </c>
      <c r="B28" s="231">
        <f t="shared" si="3"/>
        <v>106.7602641509434</v>
      </c>
      <c r="C28" s="231">
        <f t="shared" si="3"/>
        <v>6.07</v>
      </c>
      <c r="D28" s="231">
        <f t="shared" si="3"/>
        <v>3.3869565217391302</v>
      </c>
      <c r="E28" s="231">
        <f t="shared" si="3"/>
        <v>10.245050505050504</v>
      </c>
      <c r="F28" s="231">
        <f t="shared" si="3"/>
        <v>8.7253703703703707</v>
      </c>
      <c r="G28" s="231">
        <f t="shared" si="4"/>
        <v>135.18764154810341</v>
      </c>
      <c r="H28" s="231"/>
      <c r="I28" s="231">
        <f t="shared" si="5"/>
        <v>21.954545454545453</v>
      </c>
      <c r="J28" s="231">
        <f t="shared" si="5"/>
        <v>2.2068749999999997</v>
      </c>
      <c r="K28" s="231">
        <f t="shared" si="5"/>
        <v>0.184</v>
      </c>
      <c r="L28" s="231">
        <f t="shared" si="5"/>
        <v>4.4545454545454559</v>
      </c>
      <c r="M28" s="231">
        <f t="shared" si="5"/>
        <v>3.5451428571428574</v>
      </c>
      <c r="N28" s="231"/>
      <c r="O28" s="231">
        <f t="shared" si="5"/>
        <v>35.726052631578952</v>
      </c>
      <c r="P28" s="231">
        <f t="shared" si="5"/>
        <v>0.95666666666666667</v>
      </c>
      <c r="Q28" s="231">
        <f t="shared" si="5"/>
        <v>0.58333333333333337</v>
      </c>
      <c r="R28" s="231">
        <f t="shared" si="5"/>
        <v>3.0817241379310345</v>
      </c>
      <c r="S28" s="231">
        <f t="shared" si="5"/>
        <v>0.84285714285714286</v>
      </c>
      <c r="T28" s="231"/>
      <c r="U28" s="231">
        <f t="shared" si="5"/>
        <v>32.984293193717271</v>
      </c>
      <c r="V28" s="231">
        <f t="shared" si="5"/>
        <v>1.6800000000000002</v>
      </c>
      <c r="W28" s="231">
        <f t="shared" si="5"/>
        <v>1.7783333333333335</v>
      </c>
      <c r="X28" s="231">
        <f t="shared" si="5"/>
        <v>1.456</v>
      </c>
      <c r="Y28" s="231">
        <f t="shared" si="5"/>
        <v>1.8150000000000004</v>
      </c>
      <c r="Z28" s="231"/>
      <c r="AA28" s="231">
        <f t="shared" si="5"/>
        <v>16.478989898989898</v>
      </c>
      <c r="AB28" s="231">
        <f t="shared" si="5"/>
        <v>0.74444444444444446</v>
      </c>
      <c r="AC28" s="231">
        <f t="shared" si="5"/>
        <v>0.74454545454545451</v>
      </c>
      <c r="AD28" s="231">
        <f t="shared" si="5"/>
        <v>1.3647058823529412</v>
      </c>
      <c r="AE28" s="231">
        <f t="shared" si="5"/>
        <v>2.6086956521739135</v>
      </c>
    </row>
    <row r="29" spans="1:33" x14ac:dyDescent="0.2">
      <c r="A29" s="230">
        <v>1980</v>
      </c>
      <c r="B29" s="231">
        <v>112.94</v>
      </c>
      <c r="C29" s="231">
        <v>6.07</v>
      </c>
      <c r="D29" s="231">
        <v>3.8</v>
      </c>
      <c r="E29" s="231">
        <v>10.79</v>
      </c>
      <c r="F29" s="231">
        <v>8.89</v>
      </c>
      <c r="G29" s="231">
        <f t="shared" si="4"/>
        <v>142.49</v>
      </c>
      <c r="H29" s="231"/>
      <c r="I29" s="231">
        <v>24.15</v>
      </c>
      <c r="J29" s="231">
        <v>3.21</v>
      </c>
      <c r="K29" s="231">
        <v>0.46</v>
      </c>
      <c r="L29" s="231">
        <v>4.2</v>
      </c>
      <c r="M29" s="231">
        <v>2.82</v>
      </c>
      <c r="N29" s="231"/>
      <c r="O29" s="231">
        <v>34.81</v>
      </c>
      <c r="P29" s="231">
        <v>0.41</v>
      </c>
      <c r="Q29" s="231">
        <v>0.5</v>
      </c>
      <c r="R29" s="231">
        <v>3.31</v>
      </c>
      <c r="S29" s="231">
        <v>1.77</v>
      </c>
      <c r="T29" s="231"/>
      <c r="U29" s="231">
        <v>35</v>
      </c>
      <c r="V29" s="231">
        <v>1.1200000000000001</v>
      </c>
      <c r="W29" s="231">
        <v>1.94</v>
      </c>
      <c r="X29" s="231">
        <v>1.82</v>
      </c>
      <c r="Y29" s="231">
        <v>2.31</v>
      </c>
      <c r="Z29" s="231"/>
      <c r="AA29" s="231">
        <v>18.97</v>
      </c>
      <c r="AB29" s="231">
        <v>1.34</v>
      </c>
      <c r="AC29" s="231">
        <v>0.91</v>
      </c>
      <c r="AD29" s="231">
        <v>1.45</v>
      </c>
      <c r="AE29" s="231">
        <v>2</v>
      </c>
    </row>
    <row r="30" spans="1:33" x14ac:dyDescent="0.2">
      <c r="A30" s="230">
        <v>1981</v>
      </c>
      <c r="B30" s="231">
        <v>114.21</v>
      </c>
      <c r="C30" s="231">
        <v>5.85</v>
      </c>
      <c r="D30" s="231">
        <v>3.7</v>
      </c>
      <c r="E30" s="231">
        <v>10.51</v>
      </c>
      <c r="F30" s="231">
        <v>9.94</v>
      </c>
      <c r="G30" s="231">
        <f t="shared" si="4"/>
        <v>144.20999999999998</v>
      </c>
      <c r="H30" s="231"/>
      <c r="I30" s="231">
        <v>24.54</v>
      </c>
      <c r="J30" s="231">
        <v>2.85</v>
      </c>
      <c r="K30" s="231">
        <v>0.41</v>
      </c>
      <c r="L30" s="231">
        <v>4.2699999999999996</v>
      </c>
      <c r="M30" s="231">
        <v>3.01</v>
      </c>
      <c r="N30" s="231"/>
      <c r="O30" s="231">
        <v>35.07</v>
      </c>
      <c r="P30" s="231">
        <v>0.57999999999999996</v>
      </c>
      <c r="Q30" s="231">
        <v>0.73</v>
      </c>
      <c r="R30" s="231">
        <v>3.16</v>
      </c>
      <c r="S30" s="231">
        <v>1.93</v>
      </c>
      <c r="T30" s="231"/>
      <c r="U30" s="231">
        <v>35.11</v>
      </c>
      <c r="V30" s="231">
        <v>1.1200000000000001</v>
      </c>
      <c r="W30" s="231">
        <v>1.74</v>
      </c>
      <c r="X30" s="231">
        <v>1.59</v>
      </c>
      <c r="Y30" s="231">
        <v>3.02</v>
      </c>
      <c r="Z30" s="231"/>
      <c r="AA30" s="231">
        <v>19.489999999999998</v>
      </c>
      <c r="AB30" s="231">
        <v>1.29</v>
      </c>
      <c r="AC30" s="231">
        <v>0.81</v>
      </c>
      <c r="AD30" s="231">
        <v>1.48</v>
      </c>
      <c r="AE30" s="231">
        <v>1.99</v>
      </c>
    </row>
    <row r="31" spans="1:33" x14ac:dyDescent="0.2">
      <c r="A31" s="230">
        <v>1982</v>
      </c>
      <c r="B31" s="231">
        <v>110.84</v>
      </c>
      <c r="C31" s="231">
        <v>6.92</v>
      </c>
      <c r="D31" s="231">
        <v>3.22</v>
      </c>
      <c r="E31" s="231">
        <v>11.54</v>
      </c>
      <c r="F31" s="231">
        <v>9.73</v>
      </c>
      <c r="G31" s="231">
        <f t="shared" si="4"/>
        <v>142.25</v>
      </c>
      <c r="H31" s="231"/>
      <c r="I31" s="231">
        <v>23.22</v>
      </c>
      <c r="J31" s="231">
        <v>3.77</v>
      </c>
      <c r="K31" s="231">
        <v>0.28999999999999998</v>
      </c>
      <c r="L31" s="231">
        <v>4.5199999999999996</v>
      </c>
      <c r="M31" s="231">
        <v>2.5499999999999998</v>
      </c>
      <c r="N31" s="231"/>
      <c r="O31" s="231">
        <v>32.630000000000003</v>
      </c>
      <c r="P31" s="231">
        <v>1.07</v>
      </c>
      <c r="Q31" s="231">
        <v>0.61</v>
      </c>
      <c r="R31" s="231">
        <v>3.26</v>
      </c>
      <c r="S31" s="231">
        <v>2.36</v>
      </c>
      <c r="T31" s="231"/>
      <c r="U31" s="231">
        <v>37.11</v>
      </c>
      <c r="V31" s="231">
        <v>0.69</v>
      </c>
      <c r="W31" s="231">
        <v>1.45</v>
      </c>
      <c r="X31" s="231">
        <v>2.21</v>
      </c>
      <c r="Y31" s="231">
        <v>2.23</v>
      </c>
      <c r="Z31" s="231"/>
      <c r="AA31" s="231">
        <v>17.89</v>
      </c>
      <c r="AB31" s="231">
        <v>1.38</v>
      </c>
      <c r="AC31" s="231">
        <v>0.88</v>
      </c>
      <c r="AD31" s="231">
        <v>1.56</v>
      </c>
      <c r="AE31" s="231">
        <v>2.59</v>
      </c>
    </row>
    <row r="32" spans="1:33" x14ac:dyDescent="0.2">
      <c r="A32" s="230">
        <v>1984</v>
      </c>
      <c r="B32" s="231">
        <v>109.69</v>
      </c>
      <c r="C32" s="231">
        <v>7.67</v>
      </c>
      <c r="D32" s="231">
        <v>4.3</v>
      </c>
      <c r="E32" s="231">
        <v>11.61</v>
      </c>
      <c r="F32" s="231">
        <v>11.09</v>
      </c>
      <c r="G32" s="231">
        <f t="shared" si="4"/>
        <v>144.35999999999999</v>
      </c>
      <c r="H32" s="231"/>
      <c r="I32" s="231">
        <v>24.08</v>
      </c>
      <c r="J32" s="231">
        <v>3.57</v>
      </c>
      <c r="K32" s="231">
        <v>0.55000000000000004</v>
      </c>
      <c r="L32" s="231">
        <v>4.1900000000000004</v>
      </c>
      <c r="M32" s="231">
        <v>2.63</v>
      </c>
      <c r="N32" s="231"/>
      <c r="O32" s="231">
        <v>30.27</v>
      </c>
      <c r="P32" s="231">
        <v>1.78</v>
      </c>
      <c r="Q32" s="231">
        <v>0.99</v>
      </c>
      <c r="R32" s="231">
        <v>3.65</v>
      </c>
      <c r="S32" s="231">
        <v>2.4500000000000002</v>
      </c>
      <c r="T32" s="231"/>
      <c r="U32" s="231">
        <v>36.64</v>
      </c>
      <c r="V32" s="231">
        <v>1.81</v>
      </c>
      <c r="W32" s="231">
        <v>1.81</v>
      </c>
      <c r="X32" s="231">
        <v>1.53</v>
      </c>
      <c r="Y32" s="231">
        <v>2.73</v>
      </c>
      <c r="Z32" s="231"/>
      <c r="AA32" s="231">
        <v>18.690000000000001</v>
      </c>
      <c r="AB32" s="231">
        <v>0.52</v>
      </c>
      <c r="AC32" s="231">
        <v>0.95</v>
      </c>
      <c r="AD32" s="231">
        <v>2.2400000000000002</v>
      </c>
      <c r="AE32" s="231">
        <v>3.28</v>
      </c>
    </row>
    <row r="33" spans="1:32" x14ac:dyDescent="0.2">
      <c r="A33" s="230">
        <v>1987</v>
      </c>
      <c r="B33" s="231">
        <v>118.69</v>
      </c>
      <c r="C33" s="231">
        <v>10.18</v>
      </c>
      <c r="D33" s="231">
        <v>4.41</v>
      </c>
      <c r="E33" s="231">
        <v>11.62</v>
      </c>
      <c r="F33" s="231">
        <v>11.92</v>
      </c>
      <c r="G33" s="231">
        <f t="shared" si="4"/>
        <v>156.82</v>
      </c>
      <c r="H33" s="231"/>
      <c r="I33" s="231">
        <v>25.12</v>
      </c>
      <c r="J33" s="231">
        <v>3.83</v>
      </c>
      <c r="K33" s="231">
        <v>0.52</v>
      </c>
      <c r="L33" s="231">
        <v>4.25</v>
      </c>
      <c r="M33" s="231">
        <v>3.1</v>
      </c>
      <c r="N33" s="231"/>
      <c r="O33" s="231">
        <v>35.450000000000003</v>
      </c>
      <c r="P33" s="231">
        <v>2.5099999999999998</v>
      </c>
      <c r="Q33" s="231">
        <v>1.02</v>
      </c>
      <c r="R33" s="231">
        <v>3.16</v>
      </c>
      <c r="S33" s="231">
        <v>2.13</v>
      </c>
      <c r="T33" s="231"/>
      <c r="U33" s="231">
        <v>37.47</v>
      </c>
      <c r="V33" s="231">
        <v>2.37</v>
      </c>
      <c r="W33" s="231">
        <v>1.83</v>
      </c>
      <c r="X33" s="231">
        <v>2.1</v>
      </c>
      <c r="Y33" s="231">
        <v>3.37</v>
      </c>
      <c r="Z33" s="231"/>
      <c r="AA33" s="231">
        <v>20.65</v>
      </c>
      <c r="AB33" s="231">
        <v>1.47</v>
      </c>
      <c r="AC33" s="231">
        <v>1.04</v>
      </c>
      <c r="AD33" s="231">
        <v>2.12</v>
      </c>
      <c r="AE33" s="231">
        <v>3.32</v>
      </c>
    </row>
    <row r="34" spans="1:32" x14ac:dyDescent="0.2">
      <c r="A34" s="230">
        <v>1990</v>
      </c>
      <c r="B34" s="231">
        <v>130.86000000000001</v>
      </c>
      <c r="C34" s="231">
        <v>10.01</v>
      </c>
      <c r="D34" s="231">
        <v>4.9000000000000004</v>
      </c>
      <c r="E34" s="231">
        <v>11.78</v>
      </c>
      <c r="F34" s="231">
        <v>11.68</v>
      </c>
      <c r="G34" s="231">
        <f t="shared" si="4"/>
        <v>169.23000000000002</v>
      </c>
      <c r="H34" s="231"/>
      <c r="I34" s="231">
        <v>28.03</v>
      </c>
      <c r="J34" s="231">
        <v>4.3</v>
      </c>
      <c r="K34" s="231">
        <v>0.49</v>
      </c>
      <c r="L34" s="231">
        <v>4.45</v>
      </c>
      <c r="M34" s="231">
        <v>3.09</v>
      </c>
      <c r="N34" s="231"/>
      <c r="O34" s="231">
        <v>38.369999999999997</v>
      </c>
      <c r="P34" s="231">
        <v>1.29</v>
      </c>
      <c r="Q34" s="231">
        <v>1.54</v>
      </c>
      <c r="R34" s="231">
        <v>3.32</v>
      </c>
      <c r="S34" s="231">
        <v>2.41</v>
      </c>
      <c r="T34" s="231"/>
      <c r="U34" s="231">
        <v>42.48</v>
      </c>
      <c r="V34" s="231">
        <v>2.59</v>
      </c>
      <c r="W34" s="231">
        <v>1.68</v>
      </c>
      <c r="X34" s="231">
        <v>2.34</v>
      </c>
      <c r="Y34" s="231">
        <v>3.35</v>
      </c>
      <c r="Z34" s="231"/>
      <c r="AA34" s="231">
        <v>21.97</v>
      </c>
      <c r="AB34" s="231">
        <v>1.83</v>
      </c>
      <c r="AC34" s="231">
        <v>1.19</v>
      </c>
      <c r="AD34" s="231">
        <v>1.67</v>
      </c>
      <c r="AE34" s="231">
        <v>2.84</v>
      </c>
    </row>
    <row r="35" spans="1:32" x14ac:dyDescent="0.2">
      <c r="A35" s="230">
        <v>1993</v>
      </c>
      <c r="B35" s="231">
        <v>139.06</v>
      </c>
      <c r="C35" s="231">
        <v>13.14</v>
      </c>
      <c r="D35" s="231">
        <v>5.44</v>
      </c>
      <c r="E35" s="231">
        <v>9.61</v>
      </c>
      <c r="F35" s="231">
        <v>13.97</v>
      </c>
      <c r="G35" s="231">
        <f t="shared" si="4"/>
        <v>181.22</v>
      </c>
      <c r="H35" s="231"/>
      <c r="I35" s="231">
        <v>27.52</v>
      </c>
      <c r="J35" s="231">
        <v>4.3600000000000003</v>
      </c>
      <c r="K35" s="231">
        <v>0.5</v>
      </c>
      <c r="L35" s="231">
        <v>4.29</v>
      </c>
      <c r="M35" s="231">
        <v>3.38</v>
      </c>
      <c r="N35" s="231"/>
      <c r="O35" s="231">
        <v>41.87</v>
      </c>
      <c r="P35" s="231">
        <v>2.02</v>
      </c>
      <c r="Q35" s="231">
        <v>1.39</v>
      </c>
      <c r="R35" s="231">
        <v>2.2599999999999998</v>
      </c>
      <c r="S35" s="231">
        <v>3.03</v>
      </c>
      <c r="T35" s="231"/>
      <c r="U35" s="231">
        <v>44.87</v>
      </c>
      <c r="V35" s="231">
        <v>4.37</v>
      </c>
      <c r="W35" s="231">
        <v>2.5499999999999998</v>
      </c>
      <c r="X35" s="231">
        <v>1.56</v>
      </c>
      <c r="Y35" s="231">
        <v>3.79</v>
      </c>
      <c r="Z35" s="231"/>
      <c r="AA35" s="231">
        <v>24.81</v>
      </c>
      <c r="AB35" s="231">
        <v>2.39</v>
      </c>
      <c r="AC35" s="231">
        <v>0.99</v>
      </c>
      <c r="AD35" s="231">
        <v>1.49</v>
      </c>
      <c r="AE35" s="231">
        <v>3.78</v>
      </c>
    </row>
    <row r="36" spans="1:32" ht="14.25" x14ac:dyDescent="0.2">
      <c r="A36" s="230" t="s">
        <v>392</v>
      </c>
      <c r="B36" s="231">
        <f>B17*B57*0.001</f>
        <v>155.99338329182703</v>
      </c>
      <c r="C36" s="231">
        <f>C17*C57*0.001</f>
        <v>20.649905660377357</v>
      </c>
      <c r="D36" s="231">
        <f>D17*D57*0.001</f>
        <v>6.4091911764705882</v>
      </c>
      <c r="E36" s="231">
        <f>E17*E57*0.001</f>
        <v>7.2599210526315776</v>
      </c>
      <c r="F36" s="231">
        <f>F17*F57*0.001</f>
        <v>13.508942628903414</v>
      </c>
      <c r="G36" s="231">
        <f t="shared" si="4"/>
        <v>203.82134381020995</v>
      </c>
      <c r="H36" s="231"/>
      <c r="I36" s="231">
        <f>I17*I57*0.001</f>
        <v>31.984246567505718</v>
      </c>
      <c r="J36" s="231">
        <f>J17*J57*0.001</f>
        <v>6.5247619047619052</v>
      </c>
      <c r="K36" s="231">
        <f>K17*K57*0.001</f>
        <v>0.49285714285714288</v>
      </c>
      <c r="L36" s="231">
        <f>L17*L57*0.001</f>
        <v>2.8285428253615135</v>
      </c>
      <c r="M36" s="231">
        <f>M17*M57*0.001</f>
        <v>3.1834525745257456</v>
      </c>
      <c r="N36" s="231"/>
      <c r="O36" s="231">
        <f>O17*O57*0.001</f>
        <v>45.324212985938793</v>
      </c>
      <c r="P36" s="231">
        <f>P17*P57*0.001</f>
        <v>4.6782142857142857</v>
      </c>
      <c r="Q36" s="231">
        <f>Q17*Q57*0.001</f>
        <v>1.1189880952380955</v>
      </c>
      <c r="R36" s="231">
        <f>R17*R57*0.001</f>
        <v>2.3306313131313128</v>
      </c>
      <c r="S36" s="231">
        <f>S17*S57*0.001</f>
        <v>2.3919999999999995</v>
      </c>
      <c r="T36" s="231"/>
      <c r="U36" s="231">
        <f>U17*U57*0.001</f>
        <v>52.106097863360588</v>
      </c>
      <c r="V36" s="231">
        <f>V17*V57*0.001</f>
        <v>5.2165741935483867</v>
      </c>
      <c r="W36" s="231">
        <f>W17*W57*0.001</f>
        <v>3.0393356643356646</v>
      </c>
      <c r="X36" s="231">
        <v>1.34</v>
      </c>
      <c r="Y36" s="231">
        <f>Y17*Y57*0.001</f>
        <v>4.205939393939393</v>
      </c>
      <c r="Z36" s="231"/>
      <c r="AA36" s="231">
        <f>AA17*AA57*0.001</f>
        <v>27.476480769230768</v>
      </c>
      <c r="AB36" s="231">
        <f>AB17*AB57*0.001</f>
        <v>4.1387222222222215</v>
      </c>
      <c r="AC36" s="231">
        <f>AC17*AC57*0.001</f>
        <v>1.7665000000000002</v>
      </c>
      <c r="AD36" s="231">
        <f>AD17*AD57*0.001</f>
        <v>0.745</v>
      </c>
      <c r="AE36" s="231">
        <f>AE17*AE57*0.001</f>
        <v>3.6815006581834142</v>
      </c>
    </row>
    <row r="37" spans="1:32" x14ac:dyDescent="0.2">
      <c r="A37" s="230">
        <v>2001</v>
      </c>
      <c r="B37" s="231">
        <v>161.09</v>
      </c>
      <c r="C37" s="231">
        <v>25.14</v>
      </c>
      <c r="D37" s="231">
        <v>7.23</v>
      </c>
      <c r="E37" s="231">
        <v>13.22</v>
      </c>
      <c r="F37" s="231">
        <v>14.41</v>
      </c>
      <c r="G37" s="231">
        <f t="shared" si="4"/>
        <v>221.09</v>
      </c>
      <c r="H37" s="231"/>
      <c r="I37" s="231">
        <v>28.35</v>
      </c>
      <c r="J37" s="231">
        <v>6.7</v>
      </c>
      <c r="K37" s="231">
        <v>0.68</v>
      </c>
      <c r="L37" s="231">
        <v>5.73</v>
      </c>
      <c r="M37" s="231">
        <v>3.83</v>
      </c>
      <c r="N37" s="231"/>
      <c r="O37" s="231">
        <v>43.04</v>
      </c>
      <c r="P37" s="231">
        <v>8.27</v>
      </c>
      <c r="Q37" s="231">
        <v>1.25</v>
      </c>
      <c r="R37" s="231">
        <v>3.27</v>
      </c>
      <c r="S37" s="231">
        <v>2.36</v>
      </c>
      <c r="T37" s="231"/>
      <c r="U37" s="231">
        <v>59.88</v>
      </c>
      <c r="V37" s="231">
        <v>6.56</v>
      </c>
      <c r="W37" s="231">
        <v>3.45</v>
      </c>
      <c r="X37" s="231">
        <v>2.74</v>
      </c>
      <c r="Y37" s="231">
        <v>4.01</v>
      </c>
      <c r="Z37" s="231"/>
      <c r="AA37" s="231">
        <v>29.82</v>
      </c>
      <c r="AB37" s="231">
        <v>3.61</v>
      </c>
      <c r="AC37" s="231">
        <v>1.85</v>
      </c>
      <c r="AD37" s="231">
        <v>1.49</v>
      </c>
      <c r="AE37" s="231">
        <v>4.21</v>
      </c>
    </row>
    <row r="38" spans="1:32" x14ac:dyDescent="0.2">
      <c r="A38" s="230">
        <v>2005</v>
      </c>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row>
    <row r="39" spans="1:32" x14ac:dyDescent="0.2">
      <c r="A39" s="230"/>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row>
    <row r="40" spans="1:32" x14ac:dyDescent="0.2">
      <c r="B40" s="32" t="s">
        <v>393</v>
      </c>
    </row>
    <row r="41" spans="1:32" x14ac:dyDescent="0.2">
      <c r="B41" s="32" t="s">
        <v>394</v>
      </c>
    </row>
    <row r="42" spans="1:32" x14ac:dyDescent="0.2">
      <c r="B42" s="32" t="s">
        <v>395</v>
      </c>
    </row>
    <row r="44" spans="1:32" x14ac:dyDescent="0.2">
      <c r="A44" s="217" t="s">
        <v>396</v>
      </c>
      <c r="B44" s="240"/>
    </row>
    <row r="45" spans="1:32" x14ac:dyDescent="0.2">
      <c r="B45" s="240"/>
      <c r="C45" s="240"/>
      <c r="D45" s="240"/>
    </row>
    <row r="46" spans="1:32" ht="13.5" thickBot="1" x14ac:dyDescent="0.25">
      <c r="B46" s="439" t="s">
        <v>38</v>
      </c>
      <c r="C46" s="439"/>
      <c r="D46" s="439"/>
      <c r="E46" s="439"/>
      <c r="F46" s="439"/>
      <c r="G46" s="220"/>
      <c r="H46" s="241"/>
      <c r="I46" s="440" t="s">
        <v>20</v>
      </c>
      <c r="J46" s="440"/>
      <c r="K46" s="440"/>
      <c r="L46" s="440"/>
      <c r="M46" s="440"/>
      <c r="N46" s="242"/>
      <c r="O46" s="243" t="s">
        <v>21</v>
      </c>
      <c r="P46" s="238"/>
      <c r="Q46" s="238"/>
      <c r="R46" s="238"/>
      <c r="S46" s="238"/>
      <c r="T46" s="238"/>
      <c r="U46" s="442" t="s">
        <v>22</v>
      </c>
      <c r="V46" s="442"/>
      <c r="W46" s="442"/>
      <c r="X46" s="442"/>
      <c r="Y46" s="442"/>
      <c r="Z46" s="224"/>
      <c r="AA46" s="443" t="s">
        <v>23</v>
      </c>
      <c r="AB46" s="443"/>
      <c r="AC46" s="443"/>
      <c r="AD46" s="443"/>
      <c r="AE46" s="443"/>
      <c r="AF46" s="244"/>
    </row>
    <row r="47" spans="1:32" x14ac:dyDescent="0.2">
      <c r="A47" s="245"/>
      <c r="B47" s="225" t="s">
        <v>382</v>
      </c>
      <c r="C47" s="225" t="s">
        <v>383</v>
      </c>
      <c r="D47" s="225" t="s">
        <v>384</v>
      </c>
      <c r="E47" s="225" t="s">
        <v>385</v>
      </c>
      <c r="F47" s="225" t="s">
        <v>386</v>
      </c>
      <c r="G47" s="225"/>
      <c r="H47" s="225"/>
      <c r="I47" s="225" t="s">
        <v>382</v>
      </c>
      <c r="J47" s="225" t="s">
        <v>383</v>
      </c>
      <c r="K47" s="225" t="s">
        <v>384</v>
      </c>
      <c r="L47" s="225" t="s">
        <v>385</v>
      </c>
      <c r="M47" s="225" t="s">
        <v>386</v>
      </c>
      <c r="N47" s="225"/>
      <c r="O47" s="225" t="s">
        <v>382</v>
      </c>
      <c r="P47" s="225" t="s">
        <v>383</v>
      </c>
      <c r="Q47" s="225" t="s">
        <v>384</v>
      </c>
      <c r="R47" s="225" t="s">
        <v>385</v>
      </c>
      <c r="S47" s="225" t="s">
        <v>386</v>
      </c>
      <c r="T47" s="225" t="s">
        <v>91</v>
      </c>
      <c r="U47" s="225" t="s">
        <v>382</v>
      </c>
      <c r="V47" s="225" t="s">
        <v>383</v>
      </c>
      <c r="W47" s="225" t="s">
        <v>384</v>
      </c>
      <c r="X47" s="225" t="s">
        <v>385</v>
      </c>
      <c r="Y47" s="225" t="s">
        <v>386</v>
      </c>
      <c r="Z47" s="225" t="s">
        <v>91</v>
      </c>
      <c r="AA47" s="225" t="s">
        <v>382</v>
      </c>
      <c r="AB47" s="225" t="s">
        <v>383</v>
      </c>
      <c r="AC47" s="225" t="s">
        <v>384</v>
      </c>
      <c r="AD47" s="225" t="s">
        <v>385</v>
      </c>
      <c r="AE47" s="225" t="s">
        <v>386</v>
      </c>
      <c r="AF47" s="229" t="s">
        <v>91</v>
      </c>
    </row>
    <row r="48" spans="1:32" x14ac:dyDescent="0.2">
      <c r="A48" s="230">
        <v>1978</v>
      </c>
      <c r="B48" s="231">
        <f>B50</f>
        <v>2130.9433962264152</v>
      </c>
      <c r="C48" s="231">
        <f>C50</f>
        <v>1839.3939393939395</v>
      </c>
      <c r="D48" s="231">
        <f>D50</f>
        <v>826.08695652173913</v>
      </c>
      <c r="E48" s="231">
        <f>E50</f>
        <v>1089.8989898989896</v>
      </c>
      <c r="F48" s="231">
        <f>F50</f>
        <v>823.14814814814815</v>
      </c>
      <c r="G48" s="231">
        <f t="shared" ref="G48:G59" si="6">G27/G8*1000</f>
        <v>1730.8086837109468</v>
      </c>
      <c r="H48" s="231"/>
      <c r="I48" s="231">
        <f t="shared" ref="I48:AE48" si="7">I50</f>
        <v>2744.3181818181815</v>
      </c>
      <c r="J48" s="231">
        <f t="shared" si="7"/>
        <v>2006.2499999999995</v>
      </c>
      <c r="K48" s="231">
        <f t="shared" si="7"/>
        <v>920</v>
      </c>
      <c r="L48" s="231">
        <f t="shared" si="7"/>
        <v>1272.727272727273</v>
      </c>
      <c r="M48" s="231">
        <f t="shared" si="7"/>
        <v>805.71428571428567</v>
      </c>
      <c r="N48" s="231"/>
      <c r="O48" s="231">
        <f t="shared" si="7"/>
        <v>2290.1315789473688</v>
      </c>
      <c r="P48" s="231">
        <f t="shared" si="7"/>
        <v>1366.6666666666667</v>
      </c>
      <c r="Q48" s="231">
        <f t="shared" si="7"/>
        <v>833.33333333333337</v>
      </c>
      <c r="R48" s="231">
        <f t="shared" si="7"/>
        <v>1141.3793103448274</v>
      </c>
      <c r="S48" s="231">
        <f t="shared" si="7"/>
        <v>842.85714285714289</v>
      </c>
      <c r="T48" s="231"/>
      <c r="U48" s="231">
        <f t="shared" si="7"/>
        <v>1832.4607329842929</v>
      </c>
      <c r="V48" s="231">
        <f t="shared" si="7"/>
        <v>1866.666666666667</v>
      </c>
      <c r="W48" s="231">
        <f t="shared" si="7"/>
        <v>808.33333333333337</v>
      </c>
      <c r="X48" s="231">
        <f t="shared" si="7"/>
        <v>910</v>
      </c>
      <c r="Y48" s="231">
        <f t="shared" si="7"/>
        <v>825.00000000000011</v>
      </c>
      <c r="Z48" s="231"/>
      <c r="AA48" s="231">
        <f t="shared" si="7"/>
        <v>1916.1616161616159</v>
      </c>
      <c r="AB48" s="231">
        <f t="shared" si="7"/>
        <v>1488.8888888888889</v>
      </c>
      <c r="AC48" s="231">
        <f t="shared" si="7"/>
        <v>827.27272727272725</v>
      </c>
      <c r="AD48" s="231">
        <f t="shared" si="7"/>
        <v>852.94117647058818</v>
      </c>
      <c r="AE48" s="231">
        <f t="shared" si="7"/>
        <v>869.56521739130449</v>
      </c>
      <c r="AF48" s="231"/>
    </row>
    <row r="49" spans="1:35" x14ac:dyDescent="0.2">
      <c r="A49" s="230">
        <v>1979</v>
      </c>
      <c r="B49" s="231">
        <f>B50</f>
        <v>2130.9433962264152</v>
      </c>
      <c r="C49" s="231">
        <f>C50</f>
        <v>1839.3939393939395</v>
      </c>
      <c r="D49" s="231">
        <f>D50</f>
        <v>826.08695652173913</v>
      </c>
      <c r="E49" s="231">
        <f>E50</f>
        <v>1089.8989898989896</v>
      </c>
      <c r="F49" s="231">
        <f>F50</f>
        <v>823.14814814814815</v>
      </c>
      <c r="G49" s="231">
        <f t="shared" si="6"/>
        <v>1744.3566651368183</v>
      </c>
      <c r="H49" s="231"/>
      <c r="I49" s="231">
        <f t="shared" ref="I49:AE49" si="8">I50</f>
        <v>2744.3181818181815</v>
      </c>
      <c r="J49" s="231">
        <f t="shared" si="8"/>
        <v>2006.2499999999995</v>
      </c>
      <c r="K49" s="231">
        <f t="shared" si="8"/>
        <v>920</v>
      </c>
      <c r="L49" s="231">
        <f t="shared" si="8"/>
        <v>1272.727272727273</v>
      </c>
      <c r="M49" s="231">
        <f t="shared" si="8"/>
        <v>805.71428571428567</v>
      </c>
      <c r="N49" s="231"/>
      <c r="O49" s="231">
        <f t="shared" si="8"/>
        <v>2290.1315789473688</v>
      </c>
      <c r="P49" s="231">
        <f t="shared" si="8"/>
        <v>1366.6666666666667</v>
      </c>
      <c r="Q49" s="231">
        <f t="shared" si="8"/>
        <v>833.33333333333337</v>
      </c>
      <c r="R49" s="231">
        <f t="shared" si="8"/>
        <v>1141.3793103448274</v>
      </c>
      <c r="S49" s="231">
        <f t="shared" si="8"/>
        <v>842.85714285714289</v>
      </c>
      <c r="T49" s="231"/>
      <c r="U49" s="231">
        <f t="shared" si="8"/>
        <v>1832.4607329842929</v>
      </c>
      <c r="V49" s="231">
        <f t="shared" si="8"/>
        <v>1866.666666666667</v>
      </c>
      <c r="W49" s="231">
        <f t="shared" si="8"/>
        <v>808.33333333333337</v>
      </c>
      <c r="X49" s="231">
        <f t="shared" si="8"/>
        <v>910</v>
      </c>
      <c r="Y49" s="231">
        <f t="shared" si="8"/>
        <v>825.00000000000011</v>
      </c>
      <c r="Z49" s="231"/>
      <c r="AA49" s="231">
        <f t="shared" si="8"/>
        <v>1916.1616161616159</v>
      </c>
      <c r="AB49" s="231">
        <f t="shared" si="8"/>
        <v>1488.8888888888889</v>
      </c>
      <c r="AC49" s="231">
        <f t="shared" si="8"/>
        <v>827.27272727272725</v>
      </c>
      <c r="AD49" s="231">
        <f t="shared" si="8"/>
        <v>852.94117647058818</v>
      </c>
      <c r="AE49" s="231">
        <f t="shared" si="8"/>
        <v>869.56521739130449</v>
      </c>
      <c r="AF49" s="231"/>
    </row>
    <row r="50" spans="1:35" x14ac:dyDescent="0.2">
      <c r="A50" s="230">
        <v>1980</v>
      </c>
      <c r="B50" s="231">
        <f t="shared" ref="B50:F56" si="9">(B29/B10)*1000</f>
        <v>2130.9433962264152</v>
      </c>
      <c r="C50" s="231">
        <f t="shared" si="9"/>
        <v>1839.3939393939395</v>
      </c>
      <c r="D50" s="231">
        <f t="shared" si="9"/>
        <v>826.08695652173913</v>
      </c>
      <c r="E50" s="231">
        <f t="shared" si="9"/>
        <v>1089.8989898989896</v>
      </c>
      <c r="F50" s="231">
        <f t="shared" si="9"/>
        <v>823.14814814814815</v>
      </c>
      <c r="G50" s="231">
        <f t="shared" si="6"/>
        <v>1746.2009803921569</v>
      </c>
      <c r="H50" s="231"/>
      <c r="I50" s="231">
        <f t="shared" ref="I50:AE56" si="10">(I29/I10)*1000</f>
        <v>2744.3181818181815</v>
      </c>
      <c r="J50" s="231">
        <f t="shared" si="10"/>
        <v>2006.2499999999995</v>
      </c>
      <c r="K50" s="231">
        <f t="shared" si="10"/>
        <v>920</v>
      </c>
      <c r="L50" s="231">
        <f t="shared" si="10"/>
        <v>1272.727272727273</v>
      </c>
      <c r="M50" s="231">
        <f t="shared" si="10"/>
        <v>805.71428571428567</v>
      </c>
      <c r="N50" s="231"/>
      <c r="O50" s="231">
        <f t="shared" si="10"/>
        <v>2290.1315789473688</v>
      </c>
      <c r="P50" s="231">
        <f t="shared" si="10"/>
        <v>1366.6666666666667</v>
      </c>
      <c r="Q50" s="231">
        <f t="shared" si="10"/>
        <v>833.33333333333337</v>
      </c>
      <c r="R50" s="231">
        <f t="shared" si="10"/>
        <v>1141.3793103448274</v>
      </c>
      <c r="S50" s="231">
        <f t="shared" si="10"/>
        <v>842.85714285714289</v>
      </c>
      <c r="T50" s="231"/>
      <c r="U50" s="231">
        <f t="shared" si="10"/>
        <v>1832.4607329842929</v>
      </c>
      <c r="V50" s="231">
        <f t="shared" si="10"/>
        <v>1866.666666666667</v>
      </c>
      <c r="W50" s="231">
        <f t="shared" si="10"/>
        <v>808.33333333333337</v>
      </c>
      <c r="X50" s="231">
        <f t="shared" si="10"/>
        <v>910</v>
      </c>
      <c r="Y50" s="231">
        <f t="shared" si="10"/>
        <v>825.00000000000011</v>
      </c>
      <c r="Z50" s="231"/>
      <c r="AA50" s="231">
        <f t="shared" si="10"/>
        <v>1916.1616161616159</v>
      </c>
      <c r="AB50" s="231">
        <f t="shared" si="10"/>
        <v>1488.8888888888889</v>
      </c>
      <c r="AC50" s="231">
        <f t="shared" si="10"/>
        <v>827.27272727272725</v>
      </c>
      <c r="AD50" s="231">
        <f t="shared" si="10"/>
        <v>852.94117647058818</v>
      </c>
      <c r="AE50" s="231">
        <f t="shared" si="10"/>
        <v>869.56521739130449</v>
      </c>
      <c r="AF50" s="231"/>
    </row>
    <row r="51" spans="1:35" x14ac:dyDescent="0.2">
      <c r="A51" s="230">
        <v>1981</v>
      </c>
      <c r="B51" s="231">
        <f t="shared" si="9"/>
        <v>2091.7582417582416</v>
      </c>
      <c r="C51" s="231">
        <f t="shared" si="9"/>
        <v>1950</v>
      </c>
      <c r="D51" s="231">
        <f t="shared" si="9"/>
        <v>880.95238095238096</v>
      </c>
      <c r="E51" s="231">
        <f t="shared" si="9"/>
        <v>1130.1075268817203</v>
      </c>
      <c r="F51" s="231">
        <f t="shared" si="9"/>
        <v>828.33333333333326</v>
      </c>
      <c r="G51" s="231">
        <f t="shared" si="6"/>
        <v>1735.3790613718406</v>
      </c>
      <c r="H51" s="231"/>
      <c r="I51" s="231">
        <f t="shared" si="10"/>
        <v>2788.6363636363631</v>
      </c>
      <c r="J51" s="231">
        <f t="shared" si="10"/>
        <v>2192.3076923076924</v>
      </c>
      <c r="K51" s="231">
        <f t="shared" si="10"/>
        <v>1025</v>
      </c>
      <c r="L51" s="231">
        <f t="shared" si="10"/>
        <v>1186.1111111111109</v>
      </c>
      <c r="M51" s="231">
        <f t="shared" si="10"/>
        <v>792.1052631578948</v>
      </c>
      <c r="N51" s="231"/>
      <c r="O51" s="231">
        <f t="shared" si="10"/>
        <v>2307.2368421052633</v>
      </c>
      <c r="P51" s="231">
        <f t="shared" si="10"/>
        <v>1933.3333333333333</v>
      </c>
      <c r="Q51" s="231">
        <f t="shared" si="10"/>
        <v>912.5</v>
      </c>
      <c r="R51" s="231">
        <f t="shared" si="10"/>
        <v>1316.666666666667</v>
      </c>
      <c r="S51" s="231">
        <f t="shared" si="10"/>
        <v>772</v>
      </c>
      <c r="T51" s="231"/>
      <c r="U51" s="231">
        <f t="shared" si="10"/>
        <v>1764.321608040201</v>
      </c>
      <c r="V51" s="231">
        <f t="shared" si="10"/>
        <v>1600.0000000000002</v>
      </c>
      <c r="W51" s="231">
        <f t="shared" si="10"/>
        <v>828.57142857142856</v>
      </c>
      <c r="X51" s="231">
        <f t="shared" si="10"/>
        <v>883.33333333333326</v>
      </c>
      <c r="Y51" s="231">
        <f t="shared" si="10"/>
        <v>943.75</v>
      </c>
      <c r="Z51" s="231"/>
      <c r="AA51" s="231">
        <f t="shared" si="10"/>
        <v>1821.4953271028039</v>
      </c>
      <c r="AB51" s="231">
        <f t="shared" si="10"/>
        <v>1842.8571428571429</v>
      </c>
      <c r="AC51" s="231">
        <f t="shared" si="10"/>
        <v>1012.5</v>
      </c>
      <c r="AD51" s="231">
        <f t="shared" si="10"/>
        <v>986.66666666666674</v>
      </c>
      <c r="AE51" s="231">
        <f t="shared" si="10"/>
        <v>796</v>
      </c>
      <c r="AF51" s="231"/>
    </row>
    <row r="52" spans="1:35" x14ac:dyDescent="0.2">
      <c r="A52" s="230">
        <v>1982</v>
      </c>
      <c r="B52" s="231">
        <f t="shared" si="9"/>
        <v>2060.2230483271373</v>
      </c>
      <c r="C52" s="231">
        <f t="shared" si="9"/>
        <v>1774.3589743589744</v>
      </c>
      <c r="D52" s="231">
        <f t="shared" si="9"/>
        <v>870.27027027027032</v>
      </c>
      <c r="E52" s="231">
        <f t="shared" si="9"/>
        <v>1142.5742574257424</v>
      </c>
      <c r="F52" s="231">
        <f t="shared" si="9"/>
        <v>797.54098360655746</v>
      </c>
      <c r="G52" s="231">
        <f t="shared" si="6"/>
        <v>1699.522102747909</v>
      </c>
      <c r="H52" s="231"/>
      <c r="I52" s="231">
        <f t="shared" si="10"/>
        <v>2668.9655172413795</v>
      </c>
      <c r="J52" s="231">
        <f t="shared" si="10"/>
        <v>1984.2105263157896</v>
      </c>
      <c r="K52" s="231">
        <f t="shared" si="10"/>
        <v>724.99999999999989</v>
      </c>
      <c r="L52" s="231">
        <f t="shared" si="10"/>
        <v>1291.4285714285713</v>
      </c>
      <c r="M52" s="231">
        <f t="shared" si="10"/>
        <v>728.57142857142856</v>
      </c>
      <c r="N52" s="231"/>
      <c r="O52" s="231">
        <f t="shared" si="10"/>
        <v>2265.9722222222226</v>
      </c>
      <c r="P52" s="231">
        <f t="shared" si="10"/>
        <v>1783.3333333333335</v>
      </c>
      <c r="Q52" s="231">
        <f t="shared" si="10"/>
        <v>871.42857142857144</v>
      </c>
      <c r="R52" s="231">
        <f t="shared" si="10"/>
        <v>1303.9999999999998</v>
      </c>
      <c r="S52" s="231">
        <f t="shared" si="10"/>
        <v>761.29032258064512</v>
      </c>
      <c r="T52" s="231"/>
      <c r="U52" s="231">
        <f t="shared" si="10"/>
        <v>1810.2439024390244</v>
      </c>
      <c r="V52" s="231">
        <f t="shared" si="10"/>
        <v>1724.9999999999998</v>
      </c>
      <c r="W52" s="231">
        <f t="shared" si="10"/>
        <v>805.55555555555543</v>
      </c>
      <c r="X52" s="231">
        <f t="shared" si="10"/>
        <v>920.83333333333337</v>
      </c>
      <c r="Y52" s="231">
        <f t="shared" si="10"/>
        <v>743.33333333333326</v>
      </c>
      <c r="Z52" s="231"/>
      <c r="AA52" s="231">
        <f t="shared" si="10"/>
        <v>1753.9215686274513</v>
      </c>
      <c r="AB52" s="231">
        <f t="shared" si="10"/>
        <v>1533.3333333333333</v>
      </c>
      <c r="AC52" s="231">
        <f t="shared" si="10"/>
        <v>977.77777777777771</v>
      </c>
      <c r="AD52" s="231">
        <f t="shared" si="10"/>
        <v>917.64705882352951</v>
      </c>
      <c r="AE52" s="231">
        <f t="shared" si="10"/>
        <v>959.25925925925912</v>
      </c>
      <c r="AF52" s="231"/>
    </row>
    <row r="53" spans="1:35" x14ac:dyDescent="0.2">
      <c r="A53" s="230">
        <v>1984</v>
      </c>
      <c r="B53" s="231">
        <f t="shared" si="9"/>
        <v>2050.2803738317757</v>
      </c>
      <c r="C53" s="231">
        <f t="shared" si="9"/>
        <v>1870.7317073170732</v>
      </c>
      <c r="D53" s="231">
        <f t="shared" si="9"/>
        <v>843.13725490196077</v>
      </c>
      <c r="E53" s="231">
        <f t="shared" si="9"/>
        <v>1161</v>
      </c>
      <c r="F53" s="231">
        <f t="shared" si="9"/>
        <v>815.44117647058818</v>
      </c>
      <c r="G53" s="231">
        <f t="shared" si="6"/>
        <v>1672.7694090382386</v>
      </c>
      <c r="H53" s="231"/>
      <c r="I53" s="231">
        <f t="shared" si="10"/>
        <v>2646.1538461538462</v>
      </c>
      <c r="J53" s="231">
        <f t="shared" si="10"/>
        <v>1983.3333333333333</v>
      </c>
      <c r="K53" s="231">
        <f t="shared" si="10"/>
        <v>785.71428571428578</v>
      </c>
      <c r="L53" s="231">
        <f t="shared" si="10"/>
        <v>1309.375</v>
      </c>
      <c r="M53" s="231">
        <f t="shared" si="10"/>
        <v>730.55555555555554</v>
      </c>
      <c r="N53" s="231"/>
      <c r="O53" s="231">
        <f t="shared" si="10"/>
        <v>2209.4890510948908</v>
      </c>
      <c r="P53" s="231">
        <f t="shared" si="10"/>
        <v>1977.7777777777778</v>
      </c>
      <c r="Q53" s="231">
        <f t="shared" si="10"/>
        <v>899.99999999999989</v>
      </c>
      <c r="R53" s="231">
        <f t="shared" si="10"/>
        <v>1303.5714285714287</v>
      </c>
      <c r="S53" s="231">
        <f t="shared" si="10"/>
        <v>790.32258064516134</v>
      </c>
      <c r="T53" s="231"/>
      <c r="U53" s="231">
        <f t="shared" si="10"/>
        <v>1770.0483091787439</v>
      </c>
      <c r="V53" s="231">
        <f t="shared" si="10"/>
        <v>1645.4545454545453</v>
      </c>
      <c r="W53" s="231">
        <f t="shared" si="10"/>
        <v>786.95652173913061</v>
      </c>
      <c r="X53" s="231">
        <f t="shared" si="10"/>
        <v>900</v>
      </c>
      <c r="Y53" s="231">
        <f t="shared" si="10"/>
        <v>780</v>
      </c>
      <c r="Z53" s="231"/>
      <c r="AA53" s="231">
        <f t="shared" si="10"/>
        <v>1869.0000000000002</v>
      </c>
      <c r="AB53" s="231">
        <f t="shared" si="10"/>
        <v>1733.3333333333335</v>
      </c>
      <c r="AC53" s="231">
        <f t="shared" si="10"/>
        <v>950</v>
      </c>
      <c r="AD53" s="231">
        <f t="shared" si="10"/>
        <v>973.91304347826099</v>
      </c>
      <c r="AE53" s="231">
        <f t="shared" si="10"/>
        <v>964.70588235294122</v>
      </c>
      <c r="AF53" s="231"/>
    </row>
    <row r="54" spans="1:35" x14ac:dyDescent="0.2">
      <c r="A54" s="230">
        <v>1987</v>
      </c>
      <c r="B54" s="231">
        <f t="shared" si="9"/>
        <v>2150.1811594202895</v>
      </c>
      <c r="C54" s="231">
        <f t="shared" si="9"/>
        <v>1920.7547169811321</v>
      </c>
      <c r="D54" s="231">
        <f t="shared" si="9"/>
        <v>864.70588235294122</v>
      </c>
      <c r="E54" s="231">
        <f t="shared" si="9"/>
        <v>1150.4950495049504</v>
      </c>
      <c r="F54" s="231">
        <f t="shared" si="9"/>
        <v>799.99999999999989</v>
      </c>
      <c r="G54" s="231">
        <f t="shared" si="6"/>
        <v>1730.9050772626933</v>
      </c>
      <c r="H54" s="231"/>
      <c r="I54" s="231">
        <f t="shared" si="10"/>
        <v>2760.4395604395609</v>
      </c>
      <c r="J54" s="231">
        <f t="shared" si="10"/>
        <v>1915</v>
      </c>
      <c r="K54" s="231">
        <f t="shared" si="10"/>
        <v>742.85714285714289</v>
      </c>
      <c r="L54" s="231">
        <f t="shared" si="10"/>
        <v>1328.125</v>
      </c>
      <c r="M54" s="231">
        <f t="shared" si="10"/>
        <v>756.09756097560989</v>
      </c>
      <c r="N54" s="231"/>
      <c r="O54" s="231">
        <f t="shared" si="10"/>
        <v>2411.5646258503402</v>
      </c>
      <c r="P54" s="231">
        <f t="shared" si="10"/>
        <v>2788.8888888888887</v>
      </c>
      <c r="Q54" s="231">
        <f t="shared" si="10"/>
        <v>850.00000000000011</v>
      </c>
      <c r="R54" s="231">
        <f t="shared" si="10"/>
        <v>1215.3846153846155</v>
      </c>
      <c r="S54" s="231">
        <f t="shared" si="10"/>
        <v>760.71428571428567</v>
      </c>
      <c r="T54" s="231"/>
      <c r="U54" s="231">
        <f t="shared" si="10"/>
        <v>1801.4423076923076</v>
      </c>
      <c r="V54" s="231">
        <f t="shared" si="10"/>
        <v>1580</v>
      </c>
      <c r="W54" s="231">
        <f t="shared" si="10"/>
        <v>831.81818181818176</v>
      </c>
      <c r="X54" s="231">
        <f t="shared" si="10"/>
        <v>954.5454545454545</v>
      </c>
      <c r="Y54" s="231">
        <f t="shared" si="10"/>
        <v>802.38095238095241</v>
      </c>
      <c r="Z54" s="231"/>
      <c r="AA54" s="231">
        <f t="shared" si="10"/>
        <v>1966.6666666666665</v>
      </c>
      <c r="AB54" s="231">
        <f t="shared" si="10"/>
        <v>1633.3333333333333</v>
      </c>
      <c r="AC54" s="231">
        <f t="shared" si="10"/>
        <v>1040</v>
      </c>
      <c r="AD54" s="231">
        <f t="shared" si="10"/>
        <v>1060</v>
      </c>
      <c r="AE54" s="231">
        <f t="shared" si="10"/>
        <v>873.68421052631584</v>
      </c>
      <c r="AF54" s="231"/>
    </row>
    <row r="55" spans="1:35" x14ac:dyDescent="0.2">
      <c r="A55" s="230">
        <v>1990</v>
      </c>
      <c r="B55" s="231">
        <f t="shared" si="9"/>
        <v>2240.7534246575347</v>
      </c>
      <c r="C55" s="231">
        <f t="shared" si="9"/>
        <v>1668.3333333333333</v>
      </c>
      <c r="D55" s="231">
        <f t="shared" si="9"/>
        <v>942.30769230769226</v>
      </c>
      <c r="E55" s="231">
        <f t="shared" si="9"/>
        <v>1178</v>
      </c>
      <c r="F55" s="231">
        <f t="shared" si="9"/>
        <v>811.11111111111109</v>
      </c>
      <c r="G55" s="231">
        <f t="shared" si="6"/>
        <v>1800.31914893617</v>
      </c>
      <c r="H55" s="231"/>
      <c r="I55" s="231">
        <f t="shared" si="10"/>
        <v>2860.204081632653</v>
      </c>
      <c r="J55" s="231">
        <f t="shared" si="10"/>
        <v>2047.6190476190475</v>
      </c>
      <c r="K55" s="231">
        <f t="shared" si="10"/>
        <v>980</v>
      </c>
      <c r="L55" s="231">
        <f t="shared" si="10"/>
        <v>1271.4285714285716</v>
      </c>
      <c r="M55" s="231">
        <f t="shared" si="10"/>
        <v>936.36363636363637</v>
      </c>
      <c r="N55" s="231"/>
      <c r="O55" s="231">
        <f t="shared" si="10"/>
        <v>2507.8431372549016</v>
      </c>
      <c r="P55" s="231">
        <f t="shared" si="10"/>
        <v>1842.8571428571429</v>
      </c>
      <c r="Q55" s="231">
        <f t="shared" si="10"/>
        <v>962.5</v>
      </c>
      <c r="R55" s="231">
        <f t="shared" si="10"/>
        <v>1327.9999999999998</v>
      </c>
      <c r="S55" s="231">
        <f t="shared" si="10"/>
        <v>803.33333333333337</v>
      </c>
      <c r="T55" s="231"/>
      <c r="U55" s="231">
        <f t="shared" si="10"/>
        <v>1948.623853211009</v>
      </c>
      <c r="V55" s="231">
        <f t="shared" si="10"/>
        <v>1363.1578947368421</v>
      </c>
      <c r="W55" s="231">
        <f t="shared" si="10"/>
        <v>884.21052631578948</v>
      </c>
      <c r="X55" s="231">
        <f t="shared" si="10"/>
        <v>975</v>
      </c>
      <c r="Y55" s="231">
        <f t="shared" si="10"/>
        <v>779.06976744186056</v>
      </c>
      <c r="Z55" s="231"/>
      <c r="AA55" s="231">
        <f t="shared" si="10"/>
        <v>1910.4347826086955</v>
      </c>
      <c r="AB55" s="231">
        <f t="shared" si="10"/>
        <v>1525.0000000000002</v>
      </c>
      <c r="AC55" s="231">
        <f t="shared" si="10"/>
        <v>991.66666666666674</v>
      </c>
      <c r="AD55" s="231">
        <f t="shared" si="10"/>
        <v>982.35294117647049</v>
      </c>
      <c r="AE55" s="231">
        <f t="shared" si="10"/>
        <v>747.36842105263156</v>
      </c>
      <c r="AF55" s="231"/>
    </row>
    <row r="56" spans="1:35" x14ac:dyDescent="0.2">
      <c r="A56" s="230">
        <v>1993</v>
      </c>
      <c r="B56" s="231">
        <f t="shared" si="9"/>
        <v>2337.1428571428573</v>
      </c>
      <c r="C56" s="231">
        <f t="shared" si="9"/>
        <v>1800</v>
      </c>
      <c r="D56" s="231">
        <f t="shared" si="9"/>
        <v>971.42857142857156</v>
      </c>
      <c r="E56" s="231">
        <f t="shared" si="9"/>
        <v>1201.25</v>
      </c>
      <c r="F56" s="231">
        <f t="shared" si="9"/>
        <v>862.34567901234573</v>
      </c>
      <c r="G56" s="231">
        <f t="shared" si="6"/>
        <v>1875.9834368530021</v>
      </c>
      <c r="H56" s="231">
        <f>G56/G53</f>
        <v>1.1214835868690365</v>
      </c>
      <c r="I56" s="231">
        <f t="shared" si="10"/>
        <v>2896.8421052631575</v>
      </c>
      <c r="J56" s="231">
        <f t="shared" si="10"/>
        <v>1816.666666666667</v>
      </c>
      <c r="K56" s="231">
        <f t="shared" si="10"/>
        <v>1000</v>
      </c>
      <c r="L56" s="231">
        <f t="shared" si="10"/>
        <v>1479.3103448275863</v>
      </c>
      <c r="M56" s="231">
        <f t="shared" si="10"/>
        <v>824.39024390243912</v>
      </c>
      <c r="N56" s="231"/>
      <c r="O56" s="231">
        <f t="shared" si="10"/>
        <v>2683.9743589743589</v>
      </c>
      <c r="P56" s="231">
        <f t="shared" si="10"/>
        <v>2244.4444444444443</v>
      </c>
      <c r="Q56" s="231">
        <f t="shared" si="10"/>
        <v>992.85714285714289</v>
      </c>
      <c r="R56" s="231">
        <f t="shared" si="10"/>
        <v>1255.5555555555552</v>
      </c>
      <c r="S56" s="231">
        <f t="shared" si="10"/>
        <v>865.71428571428567</v>
      </c>
      <c r="T56" s="231"/>
      <c r="U56" s="231">
        <f t="shared" si="10"/>
        <v>2012.1076233183858</v>
      </c>
      <c r="V56" s="231">
        <f t="shared" si="10"/>
        <v>1748</v>
      </c>
      <c r="W56" s="231">
        <f t="shared" si="10"/>
        <v>980.7692307692306</v>
      </c>
      <c r="X56" s="231">
        <f t="shared" si="10"/>
        <v>917.64705882352951</v>
      </c>
      <c r="Y56" s="231">
        <f t="shared" si="10"/>
        <v>861.36363636363637</v>
      </c>
      <c r="Z56" s="231"/>
      <c r="AA56" s="231">
        <f t="shared" si="10"/>
        <v>2067.5</v>
      </c>
      <c r="AB56" s="231">
        <f t="shared" si="10"/>
        <v>1593.3333333333335</v>
      </c>
      <c r="AC56" s="231">
        <f t="shared" si="10"/>
        <v>990</v>
      </c>
      <c r="AD56" s="231">
        <f t="shared" si="10"/>
        <v>931.24999999999989</v>
      </c>
      <c r="AE56" s="231">
        <f t="shared" si="10"/>
        <v>879.06976744186045</v>
      </c>
      <c r="AF56" s="231"/>
    </row>
    <row r="57" spans="1:35" x14ac:dyDescent="0.2">
      <c r="A57" s="230">
        <v>1997</v>
      </c>
      <c r="B57" s="231">
        <f>AVERAGE(B56,B58)</f>
        <v>2445.0373556712702</v>
      </c>
      <c r="C57" s="231">
        <f>AVERAGE(C56,C58)</f>
        <v>2085.8490566037735</v>
      </c>
      <c r="D57" s="231">
        <f>AVERAGE(D56,D58)</f>
        <v>1017.3319327731093</v>
      </c>
      <c r="E57" s="231">
        <f>AVERAGE(E56,E58)</f>
        <v>1296.4144736842104</v>
      </c>
      <c r="F57" s="231">
        <f>AVERAGE(F56,F58)</f>
        <v>854.99636891793762</v>
      </c>
      <c r="G57" s="231">
        <f t="shared" si="6"/>
        <v>2010.0724241638063</v>
      </c>
      <c r="H57" s="231">
        <f>G57/G54</f>
        <v>1.161284030284663</v>
      </c>
      <c r="I57" s="231">
        <f>AVERAGE(I56,I58)</f>
        <v>2989.1819221967962</v>
      </c>
      <c r="J57" s="231">
        <f>AVERAGE(J56,J58)</f>
        <v>2104.761904761905</v>
      </c>
      <c r="K57" s="231">
        <f>AVERAGE(K56,K58)</f>
        <v>985.71428571428578</v>
      </c>
      <c r="L57" s="231">
        <f>AVERAGE(L56,L58)</f>
        <v>1663.8487208008901</v>
      </c>
      <c r="M57" s="231">
        <f>AVERAGE(M56,M58)</f>
        <v>837.75067750677522</v>
      </c>
      <c r="N57" s="231"/>
      <c r="O57" s="231">
        <f>AVERAGE(O56,O58)</f>
        <v>2730.3742762613729</v>
      </c>
      <c r="P57" s="231">
        <f>AVERAGE(P56,P58)</f>
        <v>2599.0079365079364</v>
      </c>
      <c r="Q57" s="231">
        <f>AVERAGE(Q56,Q58)</f>
        <v>1017.2619047619048</v>
      </c>
      <c r="R57" s="231">
        <f>AVERAGE(R56,R58)</f>
        <v>1370.9595959595958</v>
      </c>
      <c r="S57" s="231">
        <f>AVERAGE(S56,S58)</f>
        <v>854.28571428571422</v>
      </c>
      <c r="T57" s="231"/>
      <c r="U57" s="231">
        <f>AVERAGE(U56,U58)</f>
        <v>2180.1714587180163</v>
      </c>
      <c r="V57" s="231">
        <f>AVERAGE(V56,V58)</f>
        <v>1932.064516129032</v>
      </c>
      <c r="W57" s="231">
        <f>AVERAGE(W56,W58)</f>
        <v>1013.1118881118882</v>
      </c>
      <c r="X57" s="231">
        <f>AVERAGE(X56,X58)</f>
        <v>985.74660633484166</v>
      </c>
      <c r="Y57" s="231">
        <f>AVERAGE(Y56,Y58)</f>
        <v>876.23737373737367</v>
      </c>
      <c r="Z57" s="231"/>
      <c r="AA57" s="231">
        <f>AVERAGE(AA56,AA58)</f>
        <v>2180.6730769230771</v>
      </c>
      <c r="AB57" s="231">
        <f>AVERAGE(AB56,AB58)</f>
        <v>1799.4444444444443</v>
      </c>
      <c r="AC57" s="231">
        <f>AVERAGE(AC56,AC58)</f>
        <v>1039.1176470588236</v>
      </c>
      <c r="AD57" s="231">
        <f>AVERAGE(AD56,AD58)</f>
        <v>931.24999999999989</v>
      </c>
      <c r="AE57" s="231">
        <f>AVERAGE(AE56,AE58)</f>
        <v>836.704695041685</v>
      </c>
      <c r="AF57" s="231"/>
    </row>
    <row r="58" spans="1:35" x14ac:dyDescent="0.2">
      <c r="A58" s="230">
        <v>2001</v>
      </c>
      <c r="B58" s="231">
        <f t="shared" ref="B58:F59" si="11">(B37/B18)*1000</f>
        <v>2552.9318541996831</v>
      </c>
      <c r="C58" s="231">
        <f t="shared" si="11"/>
        <v>2371.6981132075471</v>
      </c>
      <c r="D58" s="231">
        <f t="shared" si="11"/>
        <v>1063.2352941176471</v>
      </c>
      <c r="E58" s="231">
        <f t="shared" si="11"/>
        <v>1391.578947368421</v>
      </c>
      <c r="F58" s="231">
        <f t="shared" si="11"/>
        <v>847.64705882352939</v>
      </c>
      <c r="G58" s="231">
        <f t="shared" si="6"/>
        <v>2066.2616822429909</v>
      </c>
      <c r="H58" s="231">
        <f>G58/G55</f>
        <v>1.1477196604079725</v>
      </c>
      <c r="I58" s="231">
        <f t="shared" ref="I58:M59" si="12">(I37/I18)*1000</f>
        <v>3081.521739130435</v>
      </c>
      <c r="J58" s="231">
        <f t="shared" si="12"/>
        <v>2392.8571428571431</v>
      </c>
      <c r="K58" s="231">
        <f t="shared" si="12"/>
        <v>971.42857142857156</v>
      </c>
      <c r="L58" s="231">
        <f t="shared" si="12"/>
        <v>1848.3870967741937</v>
      </c>
      <c r="M58" s="231">
        <f t="shared" si="12"/>
        <v>851.1111111111112</v>
      </c>
      <c r="N58" s="231"/>
      <c r="O58" s="231">
        <f t="shared" ref="O58:S59" si="13">(O37/O18)*1000</f>
        <v>2776.7741935483873</v>
      </c>
      <c r="P58" s="231">
        <f t="shared" si="13"/>
        <v>2953.5714285714289</v>
      </c>
      <c r="Q58" s="231">
        <f t="shared" si="13"/>
        <v>1041.6666666666667</v>
      </c>
      <c r="R58" s="231">
        <f t="shared" si="13"/>
        <v>1486.3636363636363</v>
      </c>
      <c r="S58" s="231">
        <f t="shared" si="13"/>
        <v>842.85714285714289</v>
      </c>
      <c r="T58" s="231"/>
      <c r="U58" s="231">
        <f t="shared" ref="U58:Y59" si="14">(U37/U18)*1000</f>
        <v>2348.2352941176468</v>
      </c>
      <c r="V58" s="231">
        <f t="shared" si="14"/>
        <v>2116.1290322580639</v>
      </c>
      <c r="W58" s="231">
        <f t="shared" si="14"/>
        <v>1045.4545454545457</v>
      </c>
      <c r="X58" s="231">
        <f t="shared" si="14"/>
        <v>1053.8461538461538</v>
      </c>
      <c r="Y58" s="231">
        <f t="shared" si="14"/>
        <v>891.11111111111109</v>
      </c>
      <c r="Z58" s="231"/>
      <c r="AA58" s="231">
        <f t="shared" ref="AA58:AE59" si="15">(AA37/AA18)*1000</f>
        <v>2293.8461538461538</v>
      </c>
      <c r="AB58" s="231">
        <f t="shared" si="15"/>
        <v>2005.5555555555554</v>
      </c>
      <c r="AC58" s="231">
        <f t="shared" si="15"/>
        <v>1088.2352941176473</v>
      </c>
      <c r="AD58" s="231">
        <f t="shared" si="15"/>
        <v>931.24999999999989</v>
      </c>
      <c r="AE58" s="231">
        <f t="shared" si="15"/>
        <v>794.33962264150944</v>
      </c>
      <c r="AF58" s="231"/>
    </row>
    <row r="59" spans="1:35" x14ac:dyDescent="0.2">
      <c r="A59" s="230">
        <v>2005</v>
      </c>
      <c r="B59" s="231" t="e">
        <f t="shared" si="11"/>
        <v>#DIV/0!</v>
      </c>
      <c r="C59" s="231" t="e">
        <f t="shared" si="11"/>
        <v>#DIV/0!</v>
      </c>
      <c r="D59" s="231" t="e">
        <f t="shared" si="11"/>
        <v>#DIV/0!</v>
      </c>
      <c r="E59" s="231" t="e">
        <f t="shared" si="11"/>
        <v>#DIV/0!</v>
      </c>
      <c r="F59" s="231" t="e">
        <f t="shared" si="11"/>
        <v>#DIV/0!</v>
      </c>
      <c r="G59" s="231" t="e">
        <f t="shared" si="6"/>
        <v>#DIV/0!</v>
      </c>
      <c r="H59" s="231" t="e">
        <f>G59/G56</f>
        <v>#DIV/0!</v>
      </c>
      <c r="I59" s="231" t="e">
        <f t="shared" si="12"/>
        <v>#DIV/0!</v>
      </c>
      <c r="J59" s="231" t="e">
        <f t="shared" si="12"/>
        <v>#DIV/0!</v>
      </c>
      <c r="K59" s="231" t="e">
        <f t="shared" si="12"/>
        <v>#DIV/0!</v>
      </c>
      <c r="L59" s="231" t="e">
        <f t="shared" si="12"/>
        <v>#DIV/0!</v>
      </c>
      <c r="M59" s="231" t="e">
        <f t="shared" si="12"/>
        <v>#DIV/0!</v>
      </c>
      <c r="N59" s="231"/>
      <c r="O59" s="231" t="e">
        <f t="shared" si="13"/>
        <v>#DIV/0!</v>
      </c>
      <c r="P59" s="231" t="e">
        <f t="shared" si="13"/>
        <v>#DIV/0!</v>
      </c>
      <c r="Q59" s="231" t="e">
        <f t="shared" si="13"/>
        <v>#DIV/0!</v>
      </c>
      <c r="R59" s="231" t="e">
        <f t="shared" si="13"/>
        <v>#DIV/0!</v>
      </c>
      <c r="S59" s="231" t="e">
        <f t="shared" si="13"/>
        <v>#DIV/0!</v>
      </c>
      <c r="T59" s="231"/>
      <c r="U59" s="231" t="e">
        <f t="shared" si="14"/>
        <v>#DIV/0!</v>
      </c>
      <c r="V59" s="231" t="e">
        <f t="shared" si="14"/>
        <v>#DIV/0!</v>
      </c>
      <c r="W59" s="231" t="e">
        <f t="shared" si="14"/>
        <v>#DIV/0!</v>
      </c>
      <c r="X59" s="231" t="e">
        <f t="shared" si="14"/>
        <v>#DIV/0!</v>
      </c>
      <c r="Y59" s="231" t="e">
        <f t="shared" si="14"/>
        <v>#DIV/0!</v>
      </c>
      <c r="Z59" s="231"/>
      <c r="AA59" s="231" t="e">
        <f t="shared" si="15"/>
        <v>#DIV/0!</v>
      </c>
      <c r="AB59" s="231" t="e">
        <f t="shared" si="15"/>
        <v>#DIV/0!</v>
      </c>
      <c r="AC59" s="231" t="e">
        <f t="shared" si="15"/>
        <v>#DIV/0!</v>
      </c>
      <c r="AD59" s="231" t="e">
        <f t="shared" si="15"/>
        <v>#DIV/0!</v>
      </c>
      <c r="AE59" s="231" t="e">
        <f t="shared" si="15"/>
        <v>#DIV/0!</v>
      </c>
      <c r="AF59" s="231"/>
    </row>
    <row r="60" spans="1:35" x14ac:dyDescent="0.2">
      <c r="B60" s="240"/>
    </row>
    <row r="61" spans="1:35" x14ac:dyDescent="0.2">
      <c r="A61" s="218" t="s">
        <v>397</v>
      </c>
      <c r="B61" s="218"/>
      <c r="C61" s="218"/>
      <c r="D61" s="218"/>
      <c r="E61" s="218"/>
      <c r="F61" s="218"/>
      <c r="G61" s="218"/>
      <c r="H61" s="218"/>
      <c r="I61" s="218" t="str">
        <f>A61</f>
        <v>Site Energy Consumption (Trillion Btu)</v>
      </c>
      <c r="J61" s="218"/>
      <c r="K61" s="218"/>
      <c r="L61" s="218"/>
      <c r="M61" s="218"/>
      <c r="N61" s="218"/>
      <c r="O61" s="218" t="str">
        <f>A61</f>
        <v>Site Energy Consumption (Trillion Btu)</v>
      </c>
      <c r="P61" s="218"/>
      <c r="Q61" s="218"/>
      <c r="R61" s="218"/>
      <c r="S61" s="218"/>
      <c r="T61" s="218"/>
      <c r="U61" s="218" t="str">
        <f>A61</f>
        <v>Site Energy Consumption (Trillion Btu)</v>
      </c>
      <c r="V61" s="218"/>
      <c r="W61" s="218"/>
      <c r="X61" s="218"/>
      <c r="Y61" s="218"/>
      <c r="Z61" s="218"/>
      <c r="AA61" s="218" t="str">
        <f>A61</f>
        <v>Site Energy Consumption (Trillion Btu)</v>
      </c>
      <c r="AB61" s="218"/>
      <c r="AC61" s="218"/>
      <c r="AD61" s="218"/>
      <c r="AE61" s="218"/>
    </row>
    <row r="62" spans="1:35" x14ac:dyDescent="0.2">
      <c r="B62" s="240"/>
    </row>
    <row r="63" spans="1:35" ht="13.5" thickBot="1" x14ac:dyDescent="0.25">
      <c r="B63" s="439" t="s">
        <v>38</v>
      </c>
      <c r="C63" s="439"/>
      <c r="D63" s="439"/>
      <c r="E63" s="439"/>
      <c r="F63" s="439"/>
      <c r="G63" s="220"/>
      <c r="H63" s="241"/>
      <c r="I63" s="440" t="s">
        <v>20</v>
      </c>
      <c r="J63" s="440"/>
      <c r="K63" s="440"/>
      <c r="L63" s="440"/>
      <c r="M63" s="440"/>
      <c r="N63" s="222"/>
      <c r="O63" s="441" t="s">
        <v>21</v>
      </c>
      <c r="P63" s="441"/>
      <c r="Q63" s="441"/>
      <c r="R63" s="441"/>
      <c r="S63" s="441"/>
      <c r="T63" s="238"/>
      <c r="U63" s="442" t="s">
        <v>22</v>
      </c>
      <c r="V63" s="442"/>
      <c r="W63" s="442"/>
      <c r="X63" s="442"/>
      <c r="Y63" s="442"/>
      <c r="Z63" s="224"/>
      <c r="AA63" s="443" t="s">
        <v>23</v>
      </c>
      <c r="AB63" s="443"/>
      <c r="AC63" s="443"/>
      <c r="AD63" s="443"/>
      <c r="AE63" s="443"/>
      <c r="AF63" s="244"/>
      <c r="AH63" s="32" t="s">
        <v>18</v>
      </c>
      <c r="AI63" s="32" t="s">
        <v>398</v>
      </c>
    </row>
    <row r="64" spans="1:35" x14ac:dyDescent="0.2">
      <c r="B64" s="225" t="s">
        <v>382</v>
      </c>
      <c r="C64" s="225" t="s">
        <v>383</v>
      </c>
      <c r="D64" s="246" t="s">
        <v>384</v>
      </c>
      <c r="E64" s="225" t="s">
        <v>385</v>
      </c>
      <c r="F64" s="225" t="s">
        <v>386</v>
      </c>
      <c r="G64" s="225" t="s">
        <v>91</v>
      </c>
      <c r="H64" s="225"/>
      <c r="I64" s="225" t="s">
        <v>382</v>
      </c>
      <c r="J64" s="225" t="s">
        <v>383</v>
      </c>
      <c r="K64" s="225" t="s">
        <v>384</v>
      </c>
      <c r="L64" s="225" t="s">
        <v>385</v>
      </c>
      <c r="M64" s="225" t="s">
        <v>386</v>
      </c>
      <c r="N64" s="225" t="s">
        <v>91</v>
      </c>
      <c r="O64" s="225" t="s">
        <v>382</v>
      </c>
      <c r="P64" s="225" t="s">
        <v>383</v>
      </c>
      <c r="Q64" s="225" t="s">
        <v>384</v>
      </c>
      <c r="R64" s="225" t="s">
        <v>385</v>
      </c>
      <c r="S64" s="225" t="s">
        <v>386</v>
      </c>
      <c r="T64" s="225" t="s">
        <v>91</v>
      </c>
      <c r="U64" s="225" t="s">
        <v>382</v>
      </c>
      <c r="V64" s="225" t="s">
        <v>383</v>
      </c>
      <c r="W64" s="225" t="s">
        <v>384</v>
      </c>
      <c r="X64" s="225" t="s">
        <v>385</v>
      </c>
      <c r="Y64" s="225" t="s">
        <v>386</v>
      </c>
      <c r="Z64" s="225" t="s">
        <v>91</v>
      </c>
      <c r="AA64" s="225" t="s">
        <v>382</v>
      </c>
      <c r="AB64" s="225" t="s">
        <v>383</v>
      </c>
      <c r="AC64" s="225" t="s">
        <v>384</v>
      </c>
      <c r="AD64" s="225" t="s">
        <v>385</v>
      </c>
      <c r="AE64" s="225" t="s">
        <v>386</v>
      </c>
      <c r="AF64" s="229" t="s">
        <v>91</v>
      </c>
    </row>
    <row r="65" spans="1:35" x14ac:dyDescent="0.2">
      <c r="A65" s="230">
        <v>1978</v>
      </c>
      <c r="B65" s="231">
        <v>7476.36</v>
      </c>
      <c r="C65" s="231">
        <v>435.43</v>
      </c>
      <c r="D65" s="231">
        <v>452.69</v>
      </c>
      <c r="E65" s="231">
        <v>1447.66</v>
      </c>
      <c r="F65" s="231">
        <v>750.57</v>
      </c>
      <c r="G65" s="231">
        <f t="shared" ref="G65:G75" si="16">SUM(B65:F65)</f>
        <v>10562.71</v>
      </c>
      <c r="H65" s="231"/>
      <c r="I65" s="231">
        <v>1540.35</v>
      </c>
      <c r="J65" s="231">
        <v>234.6</v>
      </c>
      <c r="K65" s="231">
        <v>40.83</v>
      </c>
      <c r="L65" s="231">
        <v>680.52</v>
      </c>
      <c r="M65" s="231">
        <v>390.76</v>
      </c>
      <c r="N65" s="231">
        <f>SUM(I65:M65)</f>
        <v>2887.0599999999995</v>
      </c>
      <c r="O65" s="231">
        <v>2960.38</v>
      </c>
      <c r="P65" s="231">
        <v>105.21</v>
      </c>
      <c r="Q65" s="231">
        <v>127.08</v>
      </c>
      <c r="R65" s="231">
        <v>443.87</v>
      </c>
      <c r="S65" s="231">
        <v>65.849999999999994</v>
      </c>
      <c r="T65" s="231">
        <f>SUM(O65:S65)</f>
        <v>3702.39</v>
      </c>
      <c r="U65" s="231">
        <v>1918.06</v>
      </c>
      <c r="V65" s="231">
        <v>46.55</v>
      </c>
      <c r="W65" s="231">
        <v>222.64</v>
      </c>
      <c r="X65" s="231">
        <v>144.58000000000001</v>
      </c>
      <c r="Y65" s="231">
        <v>101.45</v>
      </c>
      <c r="Z65" s="231">
        <f>SUM(U65:Y65)</f>
        <v>2433.2799999999997</v>
      </c>
      <c r="AA65" s="231">
        <v>1057.57</v>
      </c>
      <c r="AB65" s="231">
        <v>49.06</v>
      </c>
      <c r="AC65" s="231">
        <v>62.13</v>
      </c>
      <c r="AD65" s="231">
        <v>178.7</v>
      </c>
      <c r="AE65" s="231">
        <v>192.51</v>
      </c>
      <c r="AF65" s="231">
        <f>SUM(AA65:AE65)</f>
        <v>1539.97</v>
      </c>
      <c r="AH65" s="235">
        <f>G65</f>
        <v>10562.71</v>
      </c>
      <c r="AI65" s="235">
        <f>N65+T65+Z65+AF65</f>
        <v>10562.699999999999</v>
      </c>
    </row>
    <row r="66" spans="1:35" x14ac:dyDescent="0.2">
      <c r="A66" s="230">
        <v>1979</v>
      </c>
      <c r="B66" s="231">
        <v>6915.99</v>
      </c>
      <c r="C66" s="231">
        <v>448.93</v>
      </c>
      <c r="D66" s="231">
        <v>350.18</v>
      </c>
      <c r="E66" s="231">
        <v>1211.3699999999999</v>
      </c>
      <c r="F66" s="231">
        <v>818.37</v>
      </c>
      <c r="G66" s="231">
        <f t="shared" si="16"/>
        <v>9744.840000000002</v>
      </c>
      <c r="H66" s="231"/>
      <c r="I66" s="231">
        <v>1369.23</v>
      </c>
      <c r="J66" s="231">
        <v>161.79</v>
      </c>
      <c r="K66" s="231">
        <v>17.149999999999999</v>
      </c>
      <c r="L66" s="231">
        <v>534.30999999999995</v>
      </c>
      <c r="M66" s="231">
        <v>414.98</v>
      </c>
      <c r="N66" s="231">
        <f t="shared" ref="N66:N75" si="17">SUM(I66:M66)</f>
        <v>2497.46</v>
      </c>
      <c r="O66" s="231">
        <v>2750.6</v>
      </c>
      <c r="P66" s="231">
        <v>121.5</v>
      </c>
      <c r="Q66" s="231">
        <v>88.98</v>
      </c>
      <c r="R66" s="231">
        <v>424.43</v>
      </c>
      <c r="S66" s="231">
        <v>93.78</v>
      </c>
      <c r="T66" s="231">
        <f t="shared" ref="T66:T75" si="18">SUM(O66:S66)</f>
        <v>3479.29</v>
      </c>
      <c r="U66" s="231">
        <v>1803.27</v>
      </c>
      <c r="V66" s="231">
        <v>104.11</v>
      </c>
      <c r="W66" s="231">
        <v>166.42</v>
      </c>
      <c r="X66" s="231">
        <v>105.81</v>
      </c>
      <c r="Y66" s="231">
        <v>119.41</v>
      </c>
      <c r="Z66" s="231">
        <f t="shared" ref="Z66:Z75" si="19">SUM(U66:Y66)</f>
        <v>2299.0199999999995</v>
      </c>
      <c r="AA66" s="231">
        <v>992.89</v>
      </c>
      <c r="AB66" s="231">
        <v>61.53</v>
      </c>
      <c r="AC66" s="231">
        <v>77.63</v>
      </c>
      <c r="AD66" s="231">
        <v>146.82</v>
      </c>
      <c r="AE66" s="231">
        <v>190.21</v>
      </c>
      <c r="AF66" s="231">
        <f t="shared" ref="AF66:AF75" si="20">SUM(AA66:AE66)</f>
        <v>1469.0800000000002</v>
      </c>
      <c r="AH66" s="235">
        <f t="shared" ref="AH66:AH75" si="21">G66</f>
        <v>9744.840000000002</v>
      </c>
      <c r="AI66" s="235">
        <f t="shared" ref="AI66:AI75" si="22">N66+T66+Z66+AF66</f>
        <v>9744.85</v>
      </c>
    </row>
    <row r="67" spans="1:35" x14ac:dyDescent="0.2">
      <c r="A67" s="230">
        <v>1980</v>
      </c>
      <c r="B67" s="231">
        <v>6611.81</v>
      </c>
      <c r="C67" s="231">
        <v>390.64</v>
      </c>
      <c r="D67" s="231">
        <v>390.84</v>
      </c>
      <c r="E67" s="231">
        <v>1093.06</v>
      </c>
      <c r="F67" s="231">
        <v>834.3</v>
      </c>
      <c r="G67" s="231">
        <f t="shared" si="16"/>
        <v>9320.65</v>
      </c>
      <c r="H67" s="231"/>
      <c r="I67" s="231">
        <v>1301.6300000000001</v>
      </c>
      <c r="J67" s="231">
        <v>217.99</v>
      </c>
      <c r="K67" s="231">
        <v>49.04</v>
      </c>
      <c r="L67" s="231">
        <v>467.78</v>
      </c>
      <c r="M67" s="231">
        <v>396.19</v>
      </c>
      <c r="N67" s="231">
        <f t="shared" si="17"/>
        <v>2432.63</v>
      </c>
      <c r="O67" s="231">
        <v>2311.2600000000002</v>
      </c>
      <c r="P67" s="231">
        <v>29.25</v>
      </c>
      <c r="Q67" s="231">
        <v>66.319999999999993</v>
      </c>
      <c r="R67" s="231">
        <v>360.68</v>
      </c>
      <c r="S67" s="231">
        <v>155.82</v>
      </c>
      <c r="T67" s="231">
        <f t="shared" si="18"/>
        <v>2923.3300000000004</v>
      </c>
      <c r="U67" s="231">
        <v>2023.46</v>
      </c>
      <c r="V67" s="231">
        <v>70.89</v>
      </c>
      <c r="W67" s="231">
        <v>187.69</v>
      </c>
      <c r="X67" s="231">
        <v>143.27000000000001</v>
      </c>
      <c r="Y67" s="231">
        <v>162.28</v>
      </c>
      <c r="Z67" s="231">
        <f t="shared" si="19"/>
        <v>2587.59</v>
      </c>
      <c r="AA67" s="231">
        <v>975.46</v>
      </c>
      <c r="AB67" s="231">
        <v>72.52</v>
      </c>
      <c r="AC67" s="231">
        <v>87.8</v>
      </c>
      <c r="AD67" s="231">
        <v>121.33</v>
      </c>
      <c r="AE67" s="231">
        <v>120.01</v>
      </c>
      <c r="AF67" s="231">
        <f t="shared" si="20"/>
        <v>1377.12</v>
      </c>
      <c r="AH67" s="235">
        <f t="shared" si="21"/>
        <v>9320.65</v>
      </c>
      <c r="AI67" s="235">
        <f t="shared" si="22"/>
        <v>9320.6700000000019</v>
      </c>
    </row>
    <row r="68" spans="1:35" x14ac:dyDescent="0.2">
      <c r="A68" s="230">
        <v>1981</v>
      </c>
      <c r="B68" s="231">
        <v>6923.91</v>
      </c>
      <c r="C68" s="231">
        <v>321.8</v>
      </c>
      <c r="D68" s="231">
        <v>336.42</v>
      </c>
      <c r="E68" s="231">
        <v>1008.39</v>
      </c>
      <c r="F68" s="231">
        <v>923.03</v>
      </c>
      <c r="G68" s="231">
        <f t="shared" si="16"/>
        <v>9513.5500000000011</v>
      </c>
      <c r="H68" s="231"/>
      <c r="I68" s="231">
        <v>1368.85</v>
      </c>
      <c r="J68" s="231">
        <v>169.88</v>
      </c>
      <c r="K68" s="231">
        <v>43.48</v>
      </c>
      <c r="L68" s="231">
        <v>476.82</v>
      </c>
      <c r="M68" s="231">
        <v>408.71</v>
      </c>
      <c r="N68" s="231">
        <f t="shared" si="17"/>
        <v>2467.7400000000002</v>
      </c>
      <c r="O68" s="231">
        <v>2495.29</v>
      </c>
      <c r="P68" s="231">
        <v>38.53</v>
      </c>
      <c r="Q68" s="231">
        <v>87.32</v>
      </c>
      <c r="R68" s="231">
        <v>307.86</v>
      </c>
      <c r="S68" s="231">
        <v>186.25</v>
      </c>
      <c r="T68" s="231">
        <f t="shared" si="18"/>
        <v>3115.2500000000005</v>
      </c>
      <c r="U68" s="231">
        <v>1953.89</v>
      </c>
      <c r="V68" s="231">
        <v>52.47</v>
      </c>
      <c r="W68" s="231">
        <v>136.54</v>
      </c>
      <c r="X68" s="231">
        <v>127.95</v>
      </c>
      <c r="Y68" s="231">
        <v>192.18</v>
      </c>
      <c r="Z68" s="231">
        <f t="shared" si="19"/>
        <v>2463.0299999999997</v>
      </c>
      <c r="AA68" s="231">
        <v>1105.8800000000001</v>
      </c>
      <c r="AB68" s="231">
        <v>60.92</v>
      </c>
      <c r="AC68" s="231">
        <v>69.08</v>
      </c>
      <c r="AD68" s="231">
        <v>95.76</v>
      </c>
      <c r="AE68" s="231">
        <v>135.88999999999999</v>
      </c>
      <c r="AF68" s="231">
        <f t="shared" si="20"/>
        <v>1467.5300000000002</v>
      </c>
      <c r="AH68" s="235">
        <f t="shared" si="21"/>
        <v>9513.5500000000011</v>
      </c>
      <c r="AI68" s="235">
        <f t="shared" si="22"/>
        <v>9513.5500000000011</v>
      </c>
    </row>
    <row r="69" spans="1:35" x14ac:dyDescent="0.2">
      <c r="A69" s="230">
        <v>1982</v>
      </c>
      <c r="B69" s="231">
        <v>6037.45</v>
      </c>
      <c r="C69" s="231">
        <v>432.73</v>
      </c>
      <c r="D69" s="231">
        <v>268.86</v>
      </c>
      <c r="E69" s="231">
        <v>997.28</v>
      </c>
      <c r="F69" s="231">
        <v>888.45</v>
      </c>
      <c r="G69" s="231">
        <f t="shared" si="16"/>
        <v>8624.77</v>
      </c>
      <c r="H69" s="231"/>
      <c r="I69" s="231">
        <v>1169.46</v>
      </c>
      <c r="J69" s="231">
        <v>254.37</v>
      </c>
      <c r="K69" s="231">
        <v>35.32</v>
      </c>
      <c r="L69" s="231">
        <v>394.21</v>
      </c>
      <c r="M69" s="231">
        <v>330.93</v>
      </c>
      <c r="N69" s="231">
        <f t="shared" si="17"/>
        <v>2184.29</v>
      </c>
      <c r="O69" s="231">
        <v>1943.75</v>
      </c>
      <c r="P69" s="231">
        <v>61.49</v>
      </c>
      <c r="Q69" s="231">
        <v>60.87</v>
      </c>
      <c r="R69" s="231">
        <v>306.97000000000003</v>
      </c>
      <c r="S69" s="231">
        <v>223.53</v>
      </c>
      <c r="T69" s="231">
        <f t="shared" si="18"/>
        <v>2596.61</v>
      </c>
      <c r="U69" s="231">
        <v>1952.51</v>
      </c>
      <c r="V69" s="231">
        <v>42.76</v>
      </c>
      <c r="W69" s="231">
        <v>103.52</v>
      </c>
      <c r="X69" s="231">
        <v>179.44</v>
      </c>
      <c r="Y69" s="231">
        <v>186.06</v>
      </c>
      <c r="Z69" s="231">
        <f t="shared" si="19"/>
        <v>2464.29</v>
      </c>
      <c r="AA69" s="231">
        <v>971.73</v>
      </c>
      <c r="AB69" s="231">
        <v>74.11</v>
      </c>
      <c r="AC69" s="231">
        <v>69.14</v>
      </c>
      <c r="AD69" s="231">
        <v>116.65</v>
      </c>
      <c r="AE69" s="231">
        <v>147.94</v>
      </c>
      <c r="AF69" s="231">
        <f t="shared" si="20"/>
        <v>1379.5700000000002</v>
      </c>
      <c r="AH69" s="235">
        <f t="shared" si="21"/>
        <v>8624.77</v>
      </c>
      <c r="AI69" s="235">
        <f t="shared" si="22"/>
        <v>8624.76</v>
      </c>
    </row>
    <row r="70" spans="1:35" x14ac:dyDescent="0.2">
      <c r="A70" s="230">
        <v>1984</v>
      </c>
      <c r="B70" s="231">
        <v>6270.15</v>
      </c>
      <c r="C70" s="231">
        <v>453.56</v>
      </c>
      <c r="D70" s="231">
        <v>373.51</v>
      </c>
      <c r="E70" s="231">
        <v>972.03</v>
      </c>
      <c r="F70" s="231">
        <v>968.8</v>
      </c>
      <c r="G70" s="231">
        <f t="shared" si="16"/>
        <v>9038.0499999999993</v>
      </c>
      <c r="H70" s="231"/>
      <c r="I70" s="231">
        <v>1305.96</v>
      </c>
      <c r="J70" s="231">
        <v>227.83</v>
      </c>
      <c r="K70" s="231">
        <v>62.08</v>
      </c>
      <c r="L70" s="231">
        <v>377.43</v>
      </c>
      <c r="M70" s="231">
        <v>318.24</v>
      </c>
      <c r="N70" s="231">
        <f t="shared" si="17"/>
        <v>2291.54</v>
      </c>
      <c r="O70" s="231">
        <v>1963.28</v>
      </c>
      <c r="P70" s="231">
        <v>108.45</v>
      </c>
      <c r="Q70" s="231">
        <v>106.99</v>
      </c>
      <c r="R70" s="231">
        <v>345.45</v>
      </c>
      <c r="S70" s="231">
        <v>273.10000000000002</v>
      </c>
      <c r="T70" s="231">
        <f t="shared" si="18"/>
        <v>2797.2699999999995</v>
      </c>
      <c r="U70" s="231">
        <v>1977.76</v>
      </c>
      <c r="V70" s="231">
        <v>92.59</v>
      </c>
      <c r="W70" s="231">
        <v>123.95</v>
      </c>
      <c r="X70" s="231">
        <v>111.33</v>
      </c>
      <c r="Y70" s="231">
        <v>190.84</v>
      </c>
      <c r="Z70" s="231">
        <f t="shared" si="19"/>
        <v>2496.4699999999998</v>
      </c>
      <c r="AA70" s="231">
        <v>1023.15</v>
      </c>
      <c r="AB70" s="231">
        <v>24.69</v>
      </c>
      <c r="AC70" s="231">
        <v>80.48</v>
      </c>
      <c r="AD70" s="231">
        <v>137.81</v>
      </c>
      <c r="AE70" s="231">
        <v>186.61</v>
      </c>
      <c r="AF70" s="231">
        <f t="shared" si="20"/>
        <v>1452.7399999999998</v>
      </c>
      <c r="AH70" s="235">
        <f t="shared" si="21"/>
        <v>9038.0499999999993</v>
      </c>
      <c r="AI70" s="235">
        <f t="shared" si="22"/>
        <v>9038.0199999999986</v>
      </c>
    </row>
    <row r="71" spans="1:35" x14ac:dyDescent="0.2">
      <c r="A71" s="230">
        <v>1987</v>
      </c>
      <c r="B71" s="231">
        <v>6315.37</v>
      </c>
      <c r="C71" s="231">
        <v>525.6</v>
      </c>
      <c r="D71" s="231">
        <v>391.12</v>
      </c>
      <c r="E71" s="231">
        <v>938.78</v>
      </c>
      <c r="F71" s="231">
        <v>957.03</v>
      </c>
      <c r="G71" s="231">
        <f t="shared" si="16"/>
        <v>9127.9</v>
      </c>
      <c r="H71" s="231"/>
      <c r="I71" s="231">
        <v>1367.27</v>
      </c>
      <c r="J71" s="231">
        <v>241.43</v>
      </c>
      <c r="K71" s="231">
        <v>61.92</v>
      </c>
      <c r="L71" s="231">
        <v>371.89</v>
      </c>
      <c r="M71" s="231">
        <v>327.68</v>
      </c>
      <c r="N71" s="231">
        <f t="shared" si="17"/>
        <v>2370.19</v>
      </c>
      <c r="O71" s="231">
        <v>1987.84</v>
      </c>
      <c r="P71" s="231">
        <v>116.17</v>
      </c>
      <c r="Q71" s="231">
        <v>111.15</v>
      </c>
      <c r="R71" s="231">
        <v>299.86</v>
      </c>
      <c r="S71" s="231">
        <v>212.53</v>
      </c>
      <c r="T71" s="231">
        <f t="shared" si="18"/>
        <v>2727.55</v>
      </c>
      <c r="U71" s="231">
        <v>1996.88</v>
      </c>
      <c r="V71" s="231">
        <v>94.56</v>
      </c>
      <c r="W71" s="231">
        <v>141.18</v>
      </c>
      <c r="X71" s="231">
        <v>141.71</v>
      </c>
      <c r="Y71" s="231">
        <v>231.31</v>
      </c>
      <c r="Z71" s="231">
        <f t="shared" si="19"/>
        <v>2605.64</v>
      </c>
      <c r="AA71" s="231">
        <v>963.39</v>
      </c>
      <c r="AB71" s="231">
        <v>73.45</v>
      </c>
      <c r="AC71" s="231">
        <v>76.87</v>
      </c>
      <c r="AD71" s="231">
        <v>125.32</v>
      </c>
      <c r="AE71" s="231">
        <v>185.52</v>
      </c>
      <c r="AF71" s="231">
        <f t="shared" si="20"/>
        <v>1424.55</v>
      </c>
      <c r="AH71" s="235">
        <f t="shared" si="21"/>
        <v>9127.9</v>
      </c>
      <c r="AI71" s="235">
        <f t="shared" si="22"/>
        <v>9127.9299999999985</v>
      </c>
    </row>
    <row r="72" spans="1:35" x14ac:dyDescent="0.2">
      <c r="A72" s="230">
        <v>1990</v>
      </c>
      <c r="B72" s="231">
        <v>6613.47</v>
      </c>
      <c r="C72" s="231">
        <v>523.76</v>
      </c>
      <c r="D72" s="231">
        <v>406.77</v>
      </c>
      <c r="E72" s="231">
        <v>944.79</v>
      </c>
      <c r="F72" s="231">
        <v>728.76</v>
      </c>
      <c r="G72" s="231">
        <f t="shared" si="16"/>
        <v>9217.5500000000011</v>
      </c>
      <c r="H72" s="231"/>
      <c r="I72" s="231">
        <v>1397.81</v>
      </c>
      <c r="J72" s="231">
        <v>234.78</v>
      </c>
      <c r="K72" s="231">
        <v>43.87</v>
      </c>
      <c r="L72" s="231">
        <v>404.6</v>
      </c>
      <c r="M72" s="231">
        <v>217.05</v>
      </c>
      <c r="N72" s="231">
        <f t="shared" si="17"/>
        <v>2298.11</v>
      </c>
      <c r="O72" s="231">
        <v>2106.44</v>
      </c>
      <c r="P72" s="231">
        <v>77.48</v>
      </c>
      <c r="Q72" s="231">
        <v>155.43</v>
      </c>
      <c r="R72" s="231">
        <v>302.72000000000003</v>
      </c>
      <c r="S72" s="231">
        <v>164.84</v>
      </c>
      <c r="T72" s="231">
        <f t="shared" si="18"/>
        <v>2806.91</v>
      </c>
      <c r="U72" s="231">
        <v>2058.86</v>
      </c>
      <c r="V72" s="231">
        <v>109.12</v>
      </c>
      <c r="W72" s="231">
        <v>116.13</v>
      </c>
      <c r="X72" s="231">
        <v>134.08000000000001</v>
      </c>
      <c r="Y72" s="231">
        <v>184.09</v>
      </c>
      <c r="Z72" s="231">
        <f t="shared" si="19"/>
        <v>2602.2800000000002</v>
      </c>
      <c r="AA72" s="231">
        <v>1050.3599999999999</v>
      </c>
      <c r="AB72" s="231">
        <v>102.38</v>
      </c>
      <c r="AC72" s="231">
        <v>91.34</v>
      </c>
      <c r="AD72" s="231">
        <v>103.39</v>
      </c>
      <c r="AE72" s="231">
        <v>162.78</v>
      </c>
      <c r="AF72" s="231">
        <f t="shared" si="20"/>
        <v>1510.2499999999998</v>
      </c>
      <c r="AH72" s="235">
        <f t="shared" si="21"/>
        <v>9217.5500000000011</v>
      </c>
      <c r="AI72" s="235">
        <f t="shared" si="22"/>
        <v>9217.5500000000011</v>
      </c>
    </row>
    <row r="73" spans="1:35" x14ac:dyDescent="0.2">
      <c r="A73" s="230">
        <v>1993</v>
      </c>
      <c r="B73" s="231">
        <v>7213.94</v>
      </c>
      <c r="C73" s="231">
        <v>703.16</v>
      </c>
      <c r="D73" s="231">
        <v>456.51</v>
      </c>
      <c r="E73" s="231">
        <v>797.92</v>
      </c>
      <c r="F73" s="231">
        <v>834.87</v>
      </c>
      <c r="G73" s="231">
        <f t="shared" si="16"/>
        <v>10006.4</v>
      </c>
      <c r="H73" s="231"/>
      <c r="I73" s="231">
        <v>1456.59</v>
      </c>
      <c r="J73" s="231">
        <v>257.43</v>
      </c>
      <c r="K73" s="231">
        <v>47.34</v>
      </c>
      <c r="L73" s="231">
        <v>359.02</v>
      </c>
      <c r="M73" s="231">
        <v>262.99</v>
      </c>
      <c r="N73" s="231">
        <f t="shared" si="17"/>
        <v>2383.37</v>
      </c>
      <c r="O73" s="231">
        <v>2364.42</v>
      </c>
      <c r="P73" s="231">
        <v>123.41</v>
      </c>
      <c r="Q73" s="231">
        <v>148.97</v>
      </c>
      <c r="R73" s="231">
        <v>261.95999999999998</v>
      </c>
      <c r="S73" s="231">
        <v>230.66</v>
      </c>
      <c r="T73" s="231">
        <f t="shared" si="18"/>
        <v>3129.4199999999996</v>
      </c>
      <c r="U73" s="231">
        <v>2276.08</v>
      </c>
      <c r="V73" s="231">
        <v>221.37</v>
      </c>
      <c r="W73" s="231">
        <v>179.66</v>
      </c>
      <c r="X73" s="231">
        <v>84.46</v>
      </c>
      <c r="Y73" s="231">
        <v>184.11</v>
      </c>
      <c r="Z73" s="231">
        <f t="shared" si="19"/>
        <v>2945.68</v>
      </c>
      <c r="AA73" s="231">
        <v>1116.8499999999999</v>
      </c>
      <c r="AB73" s="231">
        <v>100.96</v>
      </c>
      <c r="AC73" s="231">
        <v>80.55</v>
      </c>
      <c r="AD73" s="231">
        <v>92.49</v>
      </c>
      <c r="AE73" s="231">
        <v>157.11000000000001</v>
      </c>
      <c r="AF73" s="231">
        <f t="shared" si="20"/>
        <v>1547.96</v>
      </c>
      <c r="AH73" s="235">
        <f t="shared" si="21"/>
        <v>10006.4</v>
      </c>
      <c r="AI73" s="235">
        <f t="shared" si="22"/>
        <v>10006.43</v>
      </c>
    </row>
    <row r="74" spans="1:35" x14ac:dyDescent="0.2">
      <c r="A74" s="230">
        <v>1997</v>
      </c>
      <c r="B74" s="231">
        <v>7520.36</v>
      </c>
      <c r="C74" s="231">
        <v>939.15</v>
      </c>
      <c r="D74" s="231">
        <v>502.16</v>
      </c>
      <c r="E74" s="231">
        <v>514.77</v>
      </c>
      <c r="F74" s="231">
        <v>768.69</v>
      </c>
      <c r="G74" s="231">
        <f t="shared" si="16"/>
        <v>10245.130000000001</v>
      </c>
      <c r="H74" s="231"/>
      <c r="I74" s="231">
        <v>1526.23</v>
      </c>
      <c r="J74" s="231">
        <v>374.87</v>
      </c>
      <c r="K74" s="231">
        <v>43.24</v>
      </c>
      <c r="L74" s="231">
        <v>183.23</v>
      </c>
      <c r="M74" s="231">
        <v>251.68</v>
      </c>
      <c r="N74" s="231">
        <f t="shared" si="17"/>
        <v>2379.2499999999995</v>
      </c>
      <c r="O74" s="231">
        <v>2496.91</v>
      </c>
      <c r="P74" s="231">
        <v>231.29</v>
      </c>
      <c r="Q74" s="231">
        <v>123.37</v>
      </c>
      <c r="R74" s="231">
        <v>209.19</v>
      </c>
      <c r="S74" s="231">
        <v>163.35</v>
      </c>
      <c r="T74" s="231">
        <f t="shared" si="18"/>
        <v>3224.1099999999997</v>
      </c>
      <c r="U74" s="231">
        <v>2335.23</v>
      </c>
      <c r="V74" s="231">
        <v>188.29</v>
      </c>
      <c r="W74" s="231">
        <v>206.97</v>
      </c>
      <c r="X74" s="231">
        <v>80.819999999999993</v>
      </c>
      <c r="Y74" s="231">
        <v>197.77</v>
      </c>
      <c r="Z74" s="231">
        <f t="shared" si="19"/>
        <v>3009.08</v>
      </c>
      <c r="AA74" s="231">
        <v>1161.98</v>
      </c>
      <c r="AB74" s="231">
        <v>144.69999999999999</v>
      </c>
      <c r="AC74" s="231">
        <v>128.57</v>
      </c>
      <c r="AD74" s="231">
        <v>41.53</v>
      </c>
      <c r="AE74" s="231">
        <v>155.88</v>
      </c>
      <c r="AF74" s="231">
        <f t="shared" si="20"/>
        <v>1632.6599999999999</v>
      </c>
      <c r="AH74" s="235">
        <f t="shared" si="21"/>
        <v>10245.130000000001</v>
      </c>
      <c r="AI74" s="235">
        <f t="shared" si="22"/>
        <v>10245.099999999999</v>
      </c>
    </row>
    <row r="75" spans="1:35" x14ac:dyDescent="0.2">
      <c r="A75" s="230">
        <v>2001</v>
      </c>
      <c r="B75" s="231">
        <v>6845.24</v>
      </c>
      <c r="C75" s="231">
        <v>1063.42</v>
      </c>
      <c r="D75" s="231">
        <v>516.80999999999995</v>
      </c>
      <c r="E75" s="231">
        <v>741.23</v>
      </c>
      <c r="F75" s="231">
        <v>697.93</v>
      </c>
      <c r="G75" s="231">
        <f t="shared" si="16"/>
        <v>9864.6299999999992</v>
      </c>
      <c r="H75" s="231"/>
      <c r="I75" s="231">
        <v>1239.2</v>
      </c>
      <c r="J75" s="231">
        <v>321.23</v>
      </c>
      <c r="K75" s="231">
        <v>58.08</v>
      </c>
      <c r="L75" s="231">
        <v>314.88</v>
      </c>
      <c r="M75" s="231">
        <v>225.01</v>
      </c>
      <c r="N75" s="231">
        <f t="shared" si="17"/>
        <v>2158.3999999999996</v>
      </c>
      <c r="O75" s="231">
        <v>2036.08</v>
      </c>
      <c r="P75" s="231">
        <v>354.41</v>
      </c>
      <c r="Q75" s="231">
        <v>123.38</v>
      </c>
      <c r="R75" s="231">
        <v>229.67</v>
      </c>
      <c r="S75" s="231">
        <v>115.54</v>
      </c>
      <c r="T75" s="231">
        <f t="shared" si="18"/>
        <v>2859.08</v>
      </c>
      <c r="U75" s="231">
        <v>2432.9299999999998</v>
      </c>
      <c r="V75" s="231">
        <v>248.99</v>
      </c>
      <c r="W75" s="231">
        <v>214.78</v>
      </c>
      <c r="X75" s="231">
        <v>126.13</v>
      </c>
      <c r="Y75" s="231">
        <v>189.51</v>
      </c>
      <c r="Z75" s="231">
        <f t="shared" si="19"/>
        <v>3212.34</v>
      </c>
      <c r="AA75" s="231">
        <v>1137.02</v>
      </c>
      <c r="AB75" s="231">
        <v>138.79</v>
      </c>
      <c r="AC75" s="231">
        <v>120.56</v>
      </c>
      <c r="AD75" s="231">
        <v>70.55</v>
      </c>
      <c r="AE75" s="231">
        <v>167.87</v>
      </c>
      <c r="AF75" s="231">
        <f t="shared" si="20"/>
        <v>1634.79</v>
      </c>
      <c r="AH75" s="235">
        <f t="shared" si="21"/>
        <v>9864.6299999999992</v>
      </c>
      <c r="AI75" s="235">
        <f t="shared" si="22"/>
        <v>9864.61</v>
      </c>
    </row>
    <row r="76" spans="1:35" x14ac:dyDescent="0.2">
      <c r="A76" s="230">
        <v>2005</v>
      </c>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H76" s="235"/>
      <c r="AI76" s="235"/>
    </row>
    <row r="78" spans="1:35" x14ac:dyDescent="0.2">
      <c r="A78" s="218" t="s">
        <v>399</v>
      </c>
      <c r="B78" s="218"/>
      <c r="C78" s="218"/>
      <c r="D78" s="218"/>
      <c r="E78" s="218"/>
      <c r="F78" s="218"/>
      <c r="G78" s="218"/>
      <c r="H78" s="218"/>
      <c r="I78" s="218" t="str">
        <f>A78</f>
        <v>Primary Energy Consumption (Trillion Btu)</v>
      </c>
      <c r="J78" s="218"/>
      <c r="K78" s="218"/>
      <c r="L78" s="218"/>
      <c r="M78" s="218"/>
      <c r="N78" s="218"/>
      <c r="O78" s="218"/>
      <c r="P78" s="218"/>
      <c r="Q78" s="218"/>
      <c r="R78" s="218"/>
      <c r="S78" s="218"/>
      <c r="T78" s="218"/>
      <c r="U78" s="218"/>
      <c r="V78" s="218"/>
      <c r="W78" s="218"/>
      <c r="X78" s="218"/>
      <c r="Y78" s="218"/>
      <c r="Z78" s="218"/>
      <c r="AA78" s="218"/>
      <c r="AB78" s="218"/>
      <c r="AC78" s="218"/>
      <c r="AD78" s="218"/>
      <c r="AE78" s="218"/>
    </row>
    <row r="80" spans="1:35" ht="13.5" thickBot="1" x14ac:dyDescent="0.25">
      <c r="B80" s="439" t="s">
        <v>38</v>
      </c>
      <c r="C80" s="439"/>
      <c r="D80" s="439"/>
      <c r="E80" s="439"/>
      <c r="F80" s="439"/>
      <c r="G80" s="247"/>
      <c r="H80" s="241"/>
      <c r="I80" s="440" t="s">
        <v>20</v>
      </c>
      <c r="J80" s="440"/>
      <c r="K80" s="440"/>
      <c r="L80" s="440"/>
      <c r="M80" s="440"/>
      <c r="N80" s="222"/>
      <c r="O80" s="441" t="s">
        <v>21</v>
      </c>
      <c r="P80" s="441"/>
      <c r="Q80" s="441"/>
      <c r="R80" s="441"/>
      <c r="S80" s="441"/>
      <c r="T80" s="238"/>
      <c r="U80" s="442" t="s">
        <v>22</v>
      </c>
      <c r="V80" s="442"/>
      <c r="W80" s="442"/>
      <c r="X80" s="442"/>
      <c r="Y80" s="442"/>
      <c r="Z80" s="224"/>
      <c r="AA80" s="443" t="s">
        <v>23</v>
      </c>
      <c r="AB80" s="443"/>
      <c r="AC80" s="443"/>
      <c r="AD80" s="443"/>
      <c r="AE80" s="443"/>
      <c r="AF80" s="244"/>
      <c r="AH80" s="32" t="s">
        <v>18</v>
      </c>
      <c r="AI80" s="32" t="s">
        <v>398</v>
      </c>
    </row>
    <row r="81" spans="1:35" x14ac:dyDescent="0.2">
      <c r="B81" s="225" t="s">
        <v>382</v>
      </c>
      <c r="C81" s="225" t="s">
        <v>383</v>
      </c>
      <c r="D81" s="225" t="s">
        <v>384</v>
      </c>
      <c r="E81" s="225" t="s">
        <v>385</v>
      </c>
      <c r="F81" s="225" t="s">
        <v>386</v>
      </c>
      <c r="G81" s="225"/>
      <c r="H81" s="225"/>
      <c r="I81" s="225" t="s">
        <v>382</v>
      </c>
      <c r="J81" s="225" t="s">
        <v>383</v>
      </c>
      <c r="K81" s="225" t="s">
        <v>384</v>
      </c>
      <c r="L81" s="225" t="s">
        <v>385</v>
      </c>
      <c r="M81" s="225" t="s">
        <v>386</v>
      </c>
      <c r="N81" s="225" t="s">
        <v>91</v>
      </c>
      <c r="O81" s="225" t="s">
        <v>382</v>
      </c>
      <c r="P81" s="225" t="s">
        <v>383</v>
      </c>
      <c r="Q81" s="225" t="s">
        <v>384</v>
      </c>
      <c r="R81" s="225" t="s">
        <v>385</v>
      </c>
      <c r="S81" s="225" t="s">
        <v>386</v>
      </c>
      <c r="T81" s="225" t="s">
        <v>91</v>
      </c>
      <c r="U81" s="225" t="s">
        <v>382</v>
      </c>
      <c r="V81" s="225" t="s">
        <v>383</v>
      </c>
      <c r="W81" s="225" t="s">
        <v>384</v>
      </c>
      <c r="X81" s="225" t="s">
        <v>385</v>
      </c>
      <c r="Y81" s="225" t="s">
        <v>386</v>
      </c>
      <c r="Z81" s="225" t="s">
        <v>91</v>
      </c>
      <c r="AA81" s="225" t="s">
        <v>382</v>
      </c>
      <c r="AB81" s="225" t="s">
        <v>383</v>
      </c>
      <c r="AC81" s="225" t="s">
        <v>384</v>
      </c>
      <c r="AD81" s="225" t="s">
        <v>385</v>
      </c>
      <c r="AE81" s="225" t="s">
        <v>386</v>
      </c>
      <c r="AF81" s="229" t="s">
        <v>91</v>
      </c>
    </row>
    <row r="82" spans="1:35" x14ac:dyDescent="0.2">
      <c r="A82" s="230">
        <v>1978</v>
      </c>
      <c r="B82" s="231">
        <v>11138.48</v>
      </c>
      <c r="C82" s="231">
        <v>630.87</v>
      </c>
      <c r="D82" s="231">
        <v>813.35</v>
      </c>
      <c r="E82" s="231">
        <v>1873.67</v>
      </c>
      <c r="F82" s="231">
        <v>1106.1099999999999</v>
      </c>
      <c r="G82" s="231">
        <f t="shared" ref="G82:G92" si="23">SUM(B82:F82)</f>
        <v>15562.480000000001</v>
      </c>
      <c r="H82" s="231"/>
      <c r="I82" s="231">
        <v>2002.11</v>
      </c>
      <c r="J82" s="231">
        <v>316.52999999999997</v>
      </c>
      <c r="K82" s="231">
        <v>61.66</v>
      </c>
      <c r="L82" s="231">
        <v>817.56</v>
      </c>
      <c r="M82" s="231">
        <v>461.66</v>
      </c>
      <c r="N82" s="231">
        <f>SUM(I82:M82)</f>
        <v>3659.5199999999995</v>
      </c>
      <c r="O82" s="231">
        <v>3973.85</v>
      </c>
      <c r="P82" s="231">
        <v>142.33000000000001</v>
      </c>
      <c r="Q82" s="231">
        <v>176.01</v>
      </c>
      <c r="R82" s="231">
        <v>538.49</v>
      </c>
      <c r="S82" s="231">
        <v>82.07</v>
      </c>
      <c r="T82" s="231">
        <f>SUM(O82:S82)</f>
        <v>4912.75</v>
      </c>
      <c r="U82" s="231">
        <v>3426.38</v>
      </c>
      <c r="V82" s="231">
        <v>98.96</v>
      </c>
      <c r="W82" s="231">
        <v>428.48</v>
      </c>
      <c r="X82" s="231">
        <v>275.33999999999997</v>
      </c>
      <c r="Y82" s="231">
        <v>246.82</v>
      </c>
      <c r="Z82" s="231">
        <f>SUM(U82:Y82)</f>
        <v>4475.9799999999996</v>
      </c>
      <c r="AA82" s="231">
        <v>1736.14</v>
      </c>
      <c r="AB82" s="231">
        <v>73.05</v>
      </c>
      <c r="AC82" s="231">
        <v>147.19</v>
      </c>
      <c r="AD82" s="231">
        <v>242.28</v>
      </c>
      <c r="AE82" s="248">
        <v>315.56</v>
      </c>
      <c r="AF82" s="231">
        <f>SUM(AA82:AE82)</f>
        <v>2514.2200000000003</v>
      </c>
      <c r="AH82" s="235">
        <f>G82</f>
        <v>15562.480000000001</v>
      </c>
      <c r="AI82" s="235">
        <f>N82+T82+Z82+AF82</f>
        <v>15562.470000000001</v>
      </c>
    </row>
    <row r="83" spans="1:35" x14ac:dyDescent="0.2">
      <c r="A83" s="230">
        <v>1979</v>
      </c>
      <c r="B83" s="231">
        <v>10571.8</v>
      </c>
      <c r="C83" s="231">
        <v>637.32000000000005</v>
      </c>
      <c r="D83" s="231">
        <v>649.55999999999995</v>
      </c>
      <c r="E83" s="231">
        <v>1538.33</v>
      </c>
      <c r="F83" s="231">
        <v>1250.6600000000001</v>
      </c>
      <c r="G83" s="231">
        <f t="shared" si="23"/>
        <v>14647.669999999998</v>
      </c>
      <c r="H83" s="231"/>
      <c r="I83" s="231">
        <v>1824.67</v>
      </c>
      <c r="J83" s="231">
        <v>215.68</v>
      </c>
      <c r="K83" s="231">
        <v>27.52</v>
      </c>
      <c r="L83" s="231">
        <v>629.91999999999996</v>
      </c>
      <c r="M83" s="231">
        <v>580.51</v>
      </c>
      <c r="N83" s="231">
        <f t="shared" ref="N83:N92" si="24">SUM(I83:M83)</f>
        <v>3278.3</v>
      </c>
      <c r="O83" s="231">
        <v>3766.65</v>
      </c>
      <c r="P83" s="231">
        <v>173.47</v>
      </c>
      <c r="Q83" s="231">
        <v>123.78</v>
      </c>
      <c r="R83" s="231">
        <v>500.67</v>
      </c>
      <c r="S83" s="231">
        <v>122.74</v>
      </c>
      <c r="T83" s="231">
        <f t="shared" ref="T83:T92" si="25">SUM(O83:S83)</f>
        <v>4687.3099999999995</v>
      </c>
      <c r="U83" s="231">
        <v>3321.95</v>
      </c>
      <c r="V83" s="231">
        <v>159.97</v>
      </c>
      <c r="W83" s="231">
        <v>328.74</v>
      </c>
      <c r="X83" s="231">
        <v>197.01</v>
      </c>
      <c r="Y83" s="231">
        <v>259.08</v>
      </c>
      <c r="Z83" s="231">
        <f t="shared" ref="Z83:Z92" si="26">SUM(U83:Y83)</f>
        <v>4266.75</v>
      </c>
      <c r="AA83" s="231">
        <v>1658.53</v>
      </c>
      <c r="AB83" s="231">
        <v>88.2</v>
      </c>
      <c r="AC83" s="231">
        <v>169.52</v>
      </c>
      <c r="AD83" s="231">
        <v>210.73</v>
      </c>
      <c r="AE83" s="231">
        <v>288.33</v>
      </c>
      <c r="AF83" s="231">
        <f t="shared" ref="AF83:AF92" si="27">SUM(AA83:AE83)</f>
        <v>2415.31</v>
      </c>
      <c r="AH83" s="235">
        <f t="shared" ref="AH83:AH92" si="28">G83</f>
        <v>14647.669999999998</v>
      </c>
      <c r="AI83" s="235">
        <f t="shared" ref="AI83:AI92" si="29">N83+T83+Z83+AF83</f>
        <v>14647.67</v>
      </c>
    </row>
    <row r="84" spans="1:35" x14ac:dyDescent="0.2">
      <c r="A84" s="230">
        <v>1980</v>
      </c>
      <c r="B84" s="231">
        <v>10417.02</v>
      </c>
      <c r="C84" s="231">
        <v>553.12</v>
      </c>
      <c r="D84" s="231">
        <v>692.67</v>
      </c>
      <c r="E84" s="231">
        <v>1447.47</v>
      </c>
      <c r="F84" s="231">
        <v>1240.8900000000001</v>
      </c>
      <c r="G84" s="231">
        <f t="shared" si="23"/>
        <v>14351.17</v>
      </c>
      <c r="H84" s="231"/>
      <c r="I84" s="231">
        <v>1825.83</v>
      </c>
      <c r="J84" s="231">
        <v>287.62</v>
      </c>
      <c r="K84" s="231">
        <v>77.13</v>
      </c>
      <c r="L84" s="231">
        <v>557.24</v>
      </c>
      <c r="M84" s="231">
        <v>485.22</v>
      </c>
      <c r="N84" s="231">
        <f t="shared" si="24"/>
        <v>3233.04</v>
      </c>
      <c r="O84" s="231">
        <v>3311.62</v>
      </c>
      <c r="P84" s="231">
        <v>44.17</v>
      </c>
      <c r="Q84" s="231">
        <v>99.02</v>
      </c>
      <c r="R84" s="231">
        <v>459.95</v>
      </c>
      <c r="S84" s="231">
        <v>233.4</v>
      </c>
      <c r="T84" s="231">
        <f t="shared" si="25"/>
        <v>4148.16</v>
      </c>
      <c r="U84" s="231">
        <v>3706.25</v>
      </c>
      <c r="V84" s="231">
        <v>106.74</v>
      </c>
      <c r="W84" s="231">
        <v>371.13</v>
      </c>
      <c r="X84" s="231">
        <v>241.53</v>
      </c>
      <c r="Y84" s="231">
        <v>323.51</v>
      </c>
      <c r="Z84" s="231">
        <f t="shared" si="26"/>
        <v>4749.16</v>
      </c>
      <c r="AA84" s="231">
        <v>1573.33</v>
      </c>
      <c r="AB84" s="231">
        <v>114.6</v>
      </c>
      <c r="AC84" s="231">
        <v>145.4</v>
      </c>
      <c r="AD84" s="231">
        <v>188.76</v>
      </c>
      <c r="AE84" s="231">
        <v>198.76</v>
      </c>
      <c r="AF84" s="231">
        <f t="shared" si="27"/>
        <v>2220.85</v>
      </c>
      <c r="AH84" s="235">
        <f t="shared" si="28"/>
        <v>14351.17</v>
      </c>
      <c r="AI84" s="235">
        <f t="shared" si="29"/>
        <v>14351.210000000001</v>
      </c>
    </row>
    <row r="85" spans="1:35" x14ac:dyDescent="0.2">
      <c r="A85" s="230">
        <v>1981</v>
      </c>
      <c r="B85" s="231">
        <v>10668.9</v>
      </c>
      <c r="C85" s="231">
        <v>472.94</v>
      </c>
      <c r="D85" s="231">
        <v>597.75</v>
      </c>
      <c r="E85" s="231">
        <v>1416.11</v>
      </c>
      <c r="F85" s="231">
        <v>1475.5</v>
      </c>
      <c r="G85" s="231">
        <f t="shared" si="23"/>
        <v>14631.2</v>
      </c>
      <c r="H85" s="231"/>
      <c r="I85" s="231">
        <v>1901.09</v>
      </c>
      <c r="J85" s="231">
        <v>218.81</v>
      </c>
      <c r="K85" s="231">
        <v>68</v>
      </c>
      <c r="L85" s="231">
        <v>588.96</v>
      </c>
      <c r="M85" s="231">
        <v>554.88</v>
      </c>
      <c r="N85" s="231">
        <f t="shared" si="24"/>
        <v>3331.7400000000002</v>
      </c>
      <c r="O85" s="231">
        <v>3415.18</v>
      </c>
      <c r="P85" s="231">
        <v>54.11</v>
      </c>
      <c r="Q85" s="231">
        <v>125.71</v>
      </c>
      <c r="R85" s="231">
        <v>410.62</v>
      </c>
      <c r="S85" s="231">
        <v>291.45</v>
      </c>
      <c r="T85" s="231">
        <f t="shared" si="25"/>
        <v>4297.07</v>
      </c>
      <c r="U85" s="231">
        <v>3548.38</v>
      </c>
      <c r="V85" s="231">
        <v>99.93</v>
      </c>
      <c r="W85" s="231">
        <v>278.37</v>
      </c>
      <c r="X85" s="231">
        <v>258.85000000000002</v>
      </c>
      <c r="Y85" s="231">
        <v>398.33</v>
      </c>
      <c r="Z85" s="231">
        <f t="shared" si="26"/>
        <v>4583.8599999999997</v>
      </c>
      <c r="AA85" s="231">
        <v>1804.24</v>
      </c>
      <c r="AB85" s="231">
        <v>100.09</v>
      </c>
      <c r="AC85" s="231">
        <v>125.68</v>
      </c>
      <c r="AD85" s="231">
        <v>157.68</v>
      </c>
      <c r="AE85" s="231">
        <v>230.85</v>
      </c>
      <c r="AF85" s="231">
        <f t="shared" si="27"/>
        <v>2418.54</v>
      </c>
      <c r="AH85" s="235">
        <f t="shared" si="28"/>
        <v>14631.2</v>
      </c>
      <c r="AI85" s="235">
        <f t="shared" si="29"/>
        <v>14631.21</v>
      </c>
    </row>
    <row r="86" spans="1:35" x14ac:dyDescent="0.2">
      <c r="A86" s="230">
        <v>1982</v>
      </c>
      <c r="B86" s="231">
        <v>9661.1200000000008</v>
      </c>
      <c r="C86" s="231">
        <v>631.29999999999995</v>
      </c>
      <c r="D86" s="231">
        <v>497.74</v>
      </c>
      <c r="E86" s="231">
        <v>1414.07</v>
      </c>
      <c r="F86" s="231">
        <v>1422.8</v>
      </c>
      <c r="G86" s="231">
        <f t="shared" si="23"/>
        <v>13627.029999999999</v>
      </c>
      <c r="H86" s="231"/>
      <c r="I86" s="231">
        <v>1640.9</v>
      </c>
      <c r="J86" s="231">
        <v>339.48</v>
      </c>
      <c r="K86" s="231">
        <v>53.13</v>
      </c>
      <c r="L86" s="231">
        <v>509.71</v>
      </c>
      <c r="M86" s="231">
        <v>426.43</v>
      </c>
      <c r="N86" s="231">
        <f t="shared" si="24"/>
        <v>2969.65</v>
      </c>
      <c r="O86" s="231">
        <v>2828.38</v>
      </c>
      <c r="P86" s="231">
        <v>112.14</v>
      </c>
      <c r="Q86" s="231">
        <v>104.28</v>
      </c>
      <c r="R86" s="231">
        <v>401.13</v>
      </c>
      <c r="S86" s="231">
        <v>336.7</v>
      </c>
      <c r="T86" s="231">
        <f t="shared" si="25"/>
        <v>3782.63</v>
      </c>
      <c r="U86" s="231">
        <v>3611.07</v>
      </c>
      <c r="V86" s="231">
        <v>67.34</v>
      </c>
      <c r="W86" s="231">
        <v>223.47</v>
      </c>
      <c r="X86" s="231">
        <v>326.51</v>
      </c>
      <c r="Y86" s="231">
        <v>400.46</v>
      </c>
      <c r="Z86" s="231">
        <f t="shared" si="26"/>
        <v>4628.8500000000004</v>
      </c>
      <c r="AA86" s="231">
        <v>1580.76</v>
      </c>
      <c r="AB86" s="231">
        <v>112.34</v>
      </c>
      <c r="AC86" s="231">
        <v>116.86</v>
      </c>
      <c r="AD86" s="231">
        <v>176.72</v>
      </c>
      <c r="AE86" s="231">
        <v>259.20999999999998</v>
      </c>
      <c r="AF86" s="231">
        <f t="shared" si="27"/>
        <v>2245.89</v>
      </c>
      <c r="AH86" s="235">
        <f t="shared" si="28"/>
        <v>13627.029999999999</v>
      </c>
      <c r="AI86" s="235">
        <f t="shared" si="29"/>
        <v>13627.02</v>
      </c>
    </row>
    <row r="87" spans="1:35" x14ac:dyDescent="0.2">
      <c r="A87" s="230">
        <v>1984</v>
      </c>
      <c r="B87" s="231">
        <v>9976.16</v>
      </c>
      <c r="C87" s="231">
        <v>686.79</v>
      </c>
      <c r="D87" s="231">
        <v>691.91</v>
      </c>
      <c r="E87" s="231">
        <v>1321.18</v>
      </c>
      <c r="F87" s="231">
        <v>1477.45</v>
      </c>
      <c r="G87" s="231">
        <f t="shared" si="23"/>
        <v>14153.490000000002</v>
      </c>
      <c r="H87" s="231"/>
      <c r="I87" s="231">
        <v>1858.56</v>
      </c>
      <c r="J87" s="231">
        <v>300.29000000000002</v>
      </c>
      <c r="K87" s="231">
        <v>94.79</v>
      </c>
      <c r="L87" s="231">
        <v>465.42</v>
      </c>
      <c r="M87" s="231">
        <v>413.97</v>
      </c>
      <c r="N87" s="231">
        <f t="shared" si="24"/>
        <v>3133.0299999999997</v>
      </c>
      <c r="O87" s="231">
        <v>2794.49</v>
      </c>
      <c r="P87" s="231">
        <v>155.34</v>
      </c>
      <c r="Q87" s="231">
        <v>180.62</v>
      </c>
      <c r="R87" s="231">
        <v>435.35</v>
      </c>
      <c r="S87" s="231">
        <v>354.18</v>
      </c>
      <c r="T87" s="231">
        <f t="shared" si="25"/>
        <v>3919.9799999999996</v>
      </c>
      <c r="U87" s="231">
        <v>3639.16</v>
      </c>
      <c r="V87" s="231">
        <v>197.96</v>
      </c>
      <c r="W87" s="231">
        <v>277.63</v>
      </c>
      <c r="X87" s="231">
        <v>191.07</v>
      </c>
      <c r="Y87" s="231">
        <v>381.98</v>
      </c>
      <c r="Z87" s="231">
        <f t="shared" si="26"/>
        <v>4687.7999999999993</v>
      </c>
      <c r="AA87" s="231">
        <v>1683.95</v>
      </c>
      <c r="AB87" s="231">
        <v>33.21</v>
      </c>
      <c r="AC87" s="231">
        <v>138.87</v>
      </c>
      <c r="AD87" s="231">
        <v>229.33</v>
      </c>
      <c r="AE87" s="231">
        <v>327.33</v>
      </c>
      <c r="AF87" s="231">
        <f t="shared" si="27"/>
        <v>2412.69</v>
      </c>
      <c r="AH87" s="235">
        <f t="shared" si="28"/>
        <v>14153.490000000002</v>
      </c>
      <c r="AI87" s="235">
        <f t="shared" si="29"/>
        <v>14153.499999999998</v>
      </c>
    </row>
    <row r="88" spans="1:35" x14ac:dyDescent="0.2">
      <c r="A88" s="230">
        <v>1987</v>
      </c>
      <c r="B88" s="231">
        <v>10355.91</v>
      </c>
      <c r="C88" s="231">
        <v>854.77</v>
      </c>
      <c r="D88" s="231">
        <v>712.88</v>
      </c>
      <c r="E88" s="231">
        <v>1342.52</v>
      </c>
      <c r="F88" s="231">
        <v>1523.09</v>
      </c>
      <c r="G88" s="231">
        <f t="shared" si="23"/>
        <v>14789.17</v>
      </c>
      <c r="H88" s="231"/>
      <c r="I88" s="231">
        <v>1947.69</v>
      </c>
      <c r="J88" s="231">
        <v>329.09</v>
      </c>
      <c r="K88" s="231">
        <v>91.85</v>
      </c>
      <c r="L88" s="231">
        <v>472.62</v>
      </c>
      <c r="M88" s="231">
        <v>441.16</v>
      </c>
      <c r="N88" s="231">
        <f t="shared" si="24"/>
        <v>3282.41</v>
      </c>
      <c r="O88" s="231">
        <v>2949.85</v>
      </c>
      <c r="P88" s="231">
        <v>176.84</v>
      </c>
      <c r="Q88" s="231">
        <v>182.58</v>
      </c>
      <c r="R88" s="231">
        <v>380.51</v>
      </c>
      <c r="S88" s="231">
        <v>289.88</v>
      </c>
      <c r="T88" s="231">
        <f t="shared" si="25"/>
        <v>3979.66</v>
      </c>
      <c r="U88" s="231">
        <v>3813.32</v>
      </c>
      <c r="V88" s="231">
        <v>233.78</v>
      </c>
      <c r="W88" s="231">
        <v>309.82</v>
      </c>
      <c r="X88" s="231">
        <v>275.89</v>
      </c>
      <c r="Y88" s="231">
        <v>477.16</v>
      </c>
      <c r="Z88" s="231">
        <f t="shared" si="26"/>
        <v>5109.97</v>
      </c>
      <c r="AA88" s="231">
        <v>1645.06</v>
      </c>
      <c r="AB88" s="231">
        <v>115.06</v>
      </c>
      <c r="AC88" s="231">
        <v>128.65</v>
      </c>
      <c r="AD88" s="231">
        <v>213.5</v>
      </c>
      <c r="AE88" s="231">
        <v>314.88</v>
      </c>
      <c r="AF88" s="231">
        <f t="shared" si="27"/>
        <v>2417.15</v>
      </c>
      <c r="AH88" s="235">
        <f t="shared" si="28"/>
        <v>14789.17</v>
      </c>
      <c r="AI88" s="235">
        <f t="shared" si="29"/>
        <v>14789.19</v>
      </c>
    </row>
    <row r="89" spans="1:35" x14ac:dyDescent="0.2">
      <c r="A89" s="230">
        <v>1990</v>
      </c>
      <c r="B89" s="231">
        <v>11112.2</v>
      </c>
      <c r="C89" s="231">
        <v>909.93</v>
      </c>
      <c r="D89" s="231">
        <v>737.66</v>
      </c>
      <c r="E89" s="231">
        <v>1356.24</v>
      </c>
      <c r="F89" s="231">
        <v>1309.0999999999999</v>
      </c>
      <c r="G89" s="231">
        <f t="shared" si="23"/>
        <v>15425.130000000001</v>
      </c>
      <c r="H89" s="231"/>
      <c r="I89" s="231">
        <v>2027.36</v>
      </c>
      <c r="J89" s="231">
        <v>330.05</v>
      </c>
      <c r="K89" s="231">
        <v>74.11</v>
      </c>
      <c r="L89" s="231">
        <v>510.24</v>
      </c>
      <c r="M89" s="231">
        <v>312.94</v>
      </c>
      <c r="N89" s="231">
        <f t="shared" si="24"/>
        <v>3254.7000000000003</v>
      </c>
      <c r="O89" s="231">
        <v>3133.28</v>
      </c>
      <c r="P89" s="231">
        <v>120.25</v>
      </c>
      <c r="Q89" s="231">
        <v>248.17</v>
      </c>
      <c r="R89" s="231">
        <v>392.92</v>
      </c>
      <c r="S89" s="231">
        <v>271.10000000000002</v>
      </c>
      <c r="T89" s="231">
        <f t="shared" si="25"/>
        <v>4165.72</v>
      </c>
      <c r="U89" s="231">
        <v>4142.41</v>
      </c>
      <c r="V89" s="231">
        <v>268.16000000000003</v>
      </c>
      <c r="W89" s="231">
        <v>258.69</v>
      </c>
      <c r="X89" s="231">
        <v>284.22000000000003</v>
      </c>
      <c r="Y89" s="231">
        <v>436.43</v>
      </c>
      <c r="Z89" s="231">
        <f t="shared" si="26"/>
        <v>5389.91</v>
      </c>
      <c r="AA89" s="231">
        <v>1809.16</v>
      </c>
      <c r="AB89" s="231">
        <v>191.48</v>
      </c>
      <c r="AC89" s="231">
        <v>156.69</v>
      </c>
      <c r="AD89" s="231">
        <v>168.86</v>
      </c>
      <c r="AE89" s="231">
        <v>288.63</v>
      </c>
      <c r="AF89" s="231">
        <f t="shared" si="27"/>
        <v>2614.8200000000002</v>
      </c>
      <c r="AH89" s="235">
        <f t="shared" si="28"/>
        <v>15425.130000000001</v>
      </c>
      <c r="AI89" s="235">
        <f t="shared" si="29"/>
        <v>15425.15</v>
      </c>
    </row>
    <row r="90" spans="1:35" x14ac:dyDescent="0.2">
      <c r="A90" s="230">
        <v>1993</v>
      </c>
      <c r="B90" s="231">
        <v>11939.84</v>
      </c>
      <c r="C90" s="231">
        <v>1192.06</v>
      </c>
      <c r="D90" s="231">
        <v>888.71</v>
      </c>
      <c r="E90" s="231">
        <v>1135.75</v>
      </c>
      <c r="F90" s="231">
        <v>1486.93</v>
      </c>
      <c r="G90" s="231">
        <f t="shared" si="23"/>
        <v>16643.29</v>
      </c>
      <c r="H90" s="231"/>
      <c r="I90" s="231">
        <v>2066.14</v>
      </c>
      <c r="J90" s="231">
        <v>359.52</v>
      </c>
      <c r="K90" s="231">
        <v>76.28</v>
      </c>
      <c r="L90" s="231">
        <v>455.53</v>
      </c>
      <c r="M90" s="231">
        <v>375.75</v>
      </c>
      <c r="N90" s="231">
        <f t="shared" si="24"/>
        <v>3333.2200000000003</v>
      </c>
      <c r="O90" s="231">
        <v>3509.12</v>
      </c>
      <c r="P90" s="231">
        <v>173.35</v>
      </c>
      <c r="Q90" s="231">
        <v>242.06</v>
      </c>
      <c r="R90" s="231">
        <v>328.92</v>
      </c>
      <c r="S90" s="231">
        <v>374.93</v>
      </c>
      <c r="T90" s="231">
        <f t="shared" si="25"/>
        <v>4628.38</v>
      </c>
      <c r="U90" s="231">
        <v>4466.16</v>
      </c>
      <c r="V90" s="231">
        <v>479.16</v>
      </c>
      <c r="W90" s="231">
        <v>424.93</v>
      </c>
      <c r="X90" s="231">
        <v>191.39</v>
      </c>
      <c r="Y90" s="231">
        <v>430.55</v>
      </c>
      <c r="Z90" s="231">
        <f t="shared" si="26"/>
        <v>5992.1900000000005</v>
      </c>
      <c r="AA90" s="231">
        <v>1898.42</v>
      </c>
      <c r="AB90" s="231">
        <v>180.04</v>
      </c>
      <c r="AC90" s="231">
        <v>145.44999999999999</v>
      </c>
      <c r="AD90" s="231">
        <v>159.91</v>
      </c>
      <c r="AE90" s="231">
        <v>305.69</v>
      </c>
      <c r="AF90" s="231">
        <f t="shared" si="27"/>
        <v>2689.5099999999998</v>
      </c>
      <c r="AH90" s="235">
        <f t="shared" si="28"/>
        <v>16643.29</v>
      </c>
      <c r="AI90" s="235">
        <f t="shared" si="29"/>
        <v>16643.3</v>
      </c>
    </row>
    <row r="91" spans="1:35" x14ac:dyDescent="0.2">
      <c r="A91" s="230">
        <v>1997</v>
      </c>
      <c r="B91" s="231">
        <v>12722.41</v>
      </c>
      <c r="C91" s="231">
        <v>1495.17</v>
      </c>
      <c r="D91" s="231">
        <v>1015.74</v>
      </c>
      <c r="E91" s="231">
        <v>768.17</v>
      </c>
      <c r="F91" s="231">
        <v>1423.59</v>
      </c>
      <c r="G91" s="231">
        <f t="shared" si="23"/>
        <v>17425.079999999998</v>
      </c>
      <c r="H91" s="231"/>
      <c r="I91" s="231">
        <v>2196.4</v>
      </c>
      <c r="J91" s="231">
        <v>512.63</v>
      </c>
      <c r="K91" s="231">
        <v>70.400000000000006</v>
      </c>
      <c r="L91" s="231">
        <v>236.55</v>
      </c>
      <c r="M91" s="231">
        <v>353.59</v>
      </c>
      <c r="N91" s="231">
        <f t="shared" si="24"/>
        <v>3369.5700000000006</v>
      </c>
      <c r="O91" s="231">
        <v>3683.13</v>
      </c>
      <c r="P91" s="231">
        <v>317.33999999999997</v>
      </c>
      <c r="Q91" s="231">
        <v>193.99</v>
      </c>
      <c r="R91" s="231">
        <v>284.72000000000003</v>
      </c>
      <c r="S91" s="231">
        <v>259.93</v>
      </c>
      <c r="T91" s="231">
        <f t="shared" si="25"/>
        <v>4739.1100000000006</v>
      </c>
      <c r="U91" s="231">
        <v>4811</v>
      </c>
      <c r="V91" s="231">
        <v>415.79</v>
      </c>
      <c r="W91" s="231">
        <v>497.24</v>
      </c>
      <c r="X91" s="231">
        <v>177.4</v>
      </c>
      <c r="Y91" s="231">
        <v>492.94</v>
      </c>
      <c r="Z91" s="231">
        <f t="shared" si="26"/>
        <v>6394.369999999999</v>
      </c>
      <c r="AA91" s="231">
        <v>2031.87</v>
      </c>
      <c r="AB91" s="231">
        <v>249.41</v>
      </c>
      <c r="AC91" s="231">
        <v>254.11</v>
      </c>
      <c r="AD91" s="231">
        <v>69.5</v>
      </c>
      <c r="AE91" s="231">
        <v>317.14</v>
      </c>
      <c r="AF91" s="231">
        <f t="shared" si="27"/>
        <v>2922.0299999999997</v>
      </c>
      <c r="AH91" s="235">
        <f t="shared" si="28"/>
        <v>17425.079999999998</v>
      </c>
      <c r="AI91" s="235">
        <f t="shared" si="29"/>
        <v>17425.079999999998</v>
      </c>
    </row>
    <row r="92" spans="1:35" x14ac:dyDescent="0.2">
      <c r="A92" s="230">
        <v>2001</v>
      </c>
      <c r="B92" s="231">
        <v>12122.93</v>
      </c>
      <c r="C92" s="231">
        <v>1740.24</v>
      </c>
      <c r="D92" s="231">
        <v>1090.1500000000001</v>
      </c>
      <c r="E92" s="231">
        <v>1201.29</v>
      </c>
      <c r="F92" s="231">
        <v>1410.62</v>
      </c>
      <c r="G92" s="231">
        <f t="shared" si="23"/>
        <v>17565.23</v>
      </c>
      <c r="H92" s="231"/>
      <c r="I92" s="231">
        <v>1857.93</v>
      </c>
      <c r="J92" s="231">
        <v>444.56</v>
      </c>
      <c r="K92" s="231">
        <v>96.46</v>
      </c>
      <c r="L92" s="231">
        <v>435.01</v>
      </c>
      <c r="M92" s="231">
        <v>367.59</v>
      </c>
      <c r="N92" s="231">
        <f t="shared" si="24"/>
        <v>3201.55</v>
      </c>
      <c r="O92" s="231">
        <v>3184.48</v>
      </c>
      <c r="P92" s="231">
        <v>535.42999999999995</v>
      </c>
      <c r="Q92" s="231">
        <v>205.26</v>
      </c>
      <c r="R92" s="231">
        <v>329.48</v>
      </c>
      <c r="S92" s="231">
        <v>213.81</v>
      </c>
      <c r="T92" s="231">
        <f t="shared" si="25"/>
        <v>4468.46</v>
      </c>
      <c r="U92" s="231">
        <v>5079.5</v>
      </c>
      <c r="V92" s="231">
        <v>532.63</v>
      </c>
      <c r="W92" s="231">
        <v>552.1</v>
      </c>
      <c r="X92" s="231">
        <v>306.60000000000002</v>
      </c>
      <c r="Y92" s="231">
        <v>484.61</v>
      </c>
      <c r="Z92" s="231">
        <f t="shared" si="26"/>
        <v>6955.4400000000005</v>
      </c>
      <c r="AA92" s="231">
        <v>2001.02</v>
      </c>
      <c r="AB92" s="231">
        <v>227.61</v>
      </c>
      <c r="AC92" s="231">
        <v>236.34</v>
      </c>
      <c r="AD92" s="231">
        <v>130.19</v>
      </c>
      <c r="AE92" s="231">
        <v>344.62</v>
      </c>
      <c r="AF92" s="231">
        <f t="shared" si="27"/>
        <v>2939.78</v>
      </c>
      <c r="AH92" s="235">
        <f t="shared" si="28"/>
        <v>17565.23</v>
      </c>
      <c r="AI92" s="235">
        <f t="shared" si="29"/>
        <v>17565.23</v>
      </c>
    </row>
    <row r="93" spans="1:35" x14ac:dyDescent="0.2">
      <c r="A93" s="230">
        <v>2005</v>
      </c>
    </row>
    <row r="94" spans="1:35" x14ac:dyDescent="0.2">
      <c r="A94" s="230"/>
    </row>
    <row r="95" spans="1:35" x14ac:dyDescent="0.2">
      <c r="A95" s="32" t="s">
        <v>400</v>
      </c>
      <c r="B95" s="240"/>
      <c r="C95" s="240"/>
      <c r="D95" s="240"/>
      <c r="E95" s="240"/>
      <c r="F95" s="240"/>
      <c r="G95" s="240"/>
      <c r="H95" s="240"/>
      <c r="I95" s="240"/>
      <c r="J95" s="240"/>
      <c r="K95" s="240"/>
      <c r="L95" s="240"/>
      <c r="M95" s="240"/>
      <c r="N95" s="240"/>
    </row>
    <row r="96" spans="1:35" x14ac:dyDescent="0.2">
      <c r="A96" s="218" t="s">
        <v>401</v>
      </c>
      <c r="B96" s="218"/>
      <c r="C96" s="218"/>
      <c r="D96" s="218"/>
      <c r="E96" s="218"/>
      <c r="F96" s="218"/>
      <c r="G96" s="218"/>
      <c r="H96" s="240"/>
      <c r="I96" s="218" t="str">
        <f>A96</f>
        <v>Electricity Consumption (Trillion Btu)</v>
      </c>
      <c r="J96" s="218"/>
      <c r="K96" s="218"/>
      <c r="L96" s="218"/>
      <c r="M96" s="218"/>
      <c r="N96" s="218"/>
      <c r="O96" s="218" t="str">
        <f>A96</f>
        <v>Electricity Consumption (Trillion Btu)</v>
      </c>
      <c r="P96" s="218"/>
      <c r="Q96" s="218"/>
      <c r="R96" s="218"/>
      <c r="S96" s="218"/>
      <c r="T96" s="218"/>
      <c r="U96" s="218" t="str">
        <f>A96</f>
        <v>Electricity Consumption (Trillion Btu)</v>
      </c>
      <c r="V96" s="218"/>
      <c r="W96" s="218"/>
      <c r="X96" s="218"/>
      <c r="Y96" s="218"/>
      <c r="Z96" s="218"/>
      <c r="AA96" s="218" t="str">
        <f>A96</f>
        <v>Electricity Consumption (Trillion Btu)</v>
      </c>
      <c r="AB96" s="218"/>
      <c r="AC96" s="218"/>
      <c r="AD96" s="218"/>
      <c r="AE96" s="218"/>
    </row>
    <row r="97" spans="1:38" x14ac:dyDescent="0.2">
      <c r="H97" s="225"/>
    </row>
    <row r="98" spans="1:38" ht="13.5" thickBot="1" x14ac:dyDescent="0.25">
      <c r="B98" s="439" t="s">
        <v>38</v>
      </c>
      <c r="C98" s="439"/>
      <c r="D98" s="439"/>
      <c r="E98" s="439"/>
      <c r="F98" s="439"/>
      <c r="G98" s="247"/>
      <c r="I98" s="440" t="s">
        <v>20</v>
      </c>
      <c r="J98" s="440"/>
      <c r="K98" s="440"/>
      <c r="L98" s="440"/>
      <c r="M98" s="440"/>
      <c r="N98" s="222"/>
      <c r="O98" s="441" t="s">
        <v>21</v>
      </c>
      <c r="P98" s="441"/>
      <c r="Q98" s="441"/>
      <c r="R98" s="441"/>
      <c r="S98" s="441"/>
      <c r="T98" s="238"/>
      <c r="U98" s="442" t="s">
        <v>22</v>
      </c>
      <c r="V98" s="442"/>
      <c r="W98" s="442"/>
      <c r="X98" s="442"/>
      <c r="Y98" s="442"/>
      <c r="Z98" s="224"/>
      <c r="AA98" s="443" t="s">
        <v>23</v>
      </c>
      <c r="AB98" s="443"/>
      <c r="AC98" s="443"/>
      <c r="AD98" s="443"/>
      <c r="AE98" s="443"/>
      <c r="AF98" s="244"/>
      <c r="AH98" s="32" t="s">
        <v>18</v>
      </c>
      <c r="AI98" s="32" t="s">
        <v>398</v>
      </c>
      <c r="AK98" s="32" t="s">
        <v>402</v>
      </c>
    </row>
    <row r="99" spans="1:38" x14ac:dyDescent="0.2">
      <c r="B99" s="225" t="s">
        <v>382</v>
      </c>
      <c r="C99" s="225" t="s">
        <v>383</v>
      </c>
      <c r="D99" s="225" t="s">
        <v>384</v>
      </c>
      <c r="E99" s="225" t="s">
        <v>385</v>
      </c>
      <c r="F99" s="225" t="s">
        <v>386</v>
      </c>
      <c r="G99" s="225"/>
      <c r="I99" s="225" t="s">
        <v>382</v>
      </c>
      <c r="J99" s="225" t="s">
        <v>383</v>
      </c>
      <c r="K99" s="225" t="s">
        <v>384</v>
      </c>
      <c r="L99" s="225" t="s">
        <v>385</v>
      </c>
      <c r="M99" s="225" t="s">
        <v>386</v>
      </c>
      <c r="N99" s="225" t="s">
        <v>91</v>
      </c>
      <c r="O99" s="225" t="s">
        <v>382</v>
      </c>
      <c r="P99" s="225" t="s">
        <v>383</v>
      </c>
      <c r="Q99" s="225" t="s">
        <v>384</v>
      </c>
      <c r="R99" s="225" t="s">
        <v>385</v>
      </c>
      <c r="S99" s="225" t="s">
        <v>386</v>
      </c>
      <c r="T99" s="225" t="s">
        <v>91</v>
      </c>
      <c r="U99" s="225" t="s">
        <v>382</v>
      </c>
      <c r="V99" s="225" t="s">
        <v>383</v>
      </c>
      <c r="W99" s="225" t="s">
        <v>384</v>
      </c>
      <c r="X99" s="225" t="s">
        <v>385</v>
      </c>
      <c r="Y99" s="225" t="s">
        <v>386</v>
      </c>
      <c r="Z99" s="225" t="s">
        <v>91</v>
      </c>
      <c r="AA99" s="225" t="s">
        <v>382</v>
      </c>
      <c r="AB99" s="225" t="s">
        <v>383</v>
      </c>
      <c r="AC99" s="225" t="s">
        <v>384</v>
      </c>
      <c r="AD99" s="225" t="s">
        <v>385</v>
      </c>
      <c r="AE99" s="225" t="s">
        <v>386</v>
      </c>
      <c r="AF99" s="229" t="s">
        <v>91</v>
      </c>
      <c r="AK99" s="32" t="s">
        <v>403</v>
      </c>
      <c r="AL99" s="32" t="s">
        <v>404</v>
      </c>
    </row>
    <row r="100" spans="1:38" x14ac:dyDescent="0.2">
      <c r="A100" s="230">
        <v>1978</v>
      </c>
      <c r="B100" s="231">
        <f t="shared" ref="B100:F110" si="30">(B82-B65)/$AL100</f>
        <v>1786.4</v>
      </c>
      <c r="C100" s="231">
        <f t="shared" si="30"/>
        <v>95.336585365853665</v>
      </c>
      <c r="D100" s="231">
        <f t="shared" si="30"/>
        <v>175.9317073170732</v>
      </c>
      <c r="E100" s="231">
        <f t="shared" si="30"/>
        <v>207.80975609756098</v>
      </c>
      <c r="F100" s="231">
        <f t="shared" si="30"/>
        <v>173.43414634146336</v>
      </c>
      <c r="G100" s="231">
        <f t="shared" ref="G100:G109" si="31">SUM(B100:F100)</f>
        <v>2438.9121951219513</v>
      </c>
      <c r="I100" s="231">
        <f t="shared" ref="I100:M110" si="32">(I82-I65)/$AL100</f>
        <v>225.24878048780488</v>
      </c>
      <c r="J100" s="231">
        <f t="shared" si="32"/>
        <v>39.965853658536581</v>
      </c>
      <c r="K100" s="231">
        <f t="shared" si="32"/>
        <v>10.160975609756097</v>
      </c>
      <c r="L100" s="231">
        <f t="shared" si="32"/>
        <v>66.848780487804859</v>
      </c>
      <c r="M100" s="231">
        <f t="shared" si="32"/>
        <v>34.585365853658558</v>
      </c>
      <c r="N100" s="231">
        <f>SUM(I100:M100)</f>
        <v>376.80975609756098</v>
      </c>
      <c r="O100" s="231">
        <f t="shared" ref="O100:S110" si="33">(O82-O65)/$AL100</f>
        <v>494.3756097560975</v>
      </c>
      <c r="P100" s="231">
        <f t="shared" si="33"/>
        <v>18.107317073170741</v>
      </c>
      <c r="Q100" s="231">
        <f t="shared" si="33"/>
        <v>23.868292682926828</v>
      </c>
      <c r="R100" s="231">
        <f t="shared" si="33"/>
        <v>46.156097560975617</v>
      </c>
      <c r="S100" s="231">
        <f t="shared" si="33"/>
        <v>7.9121951219512194</v>
      </c>
      <c r="T100" s="231">
        <f>SUM(O100:S100)</f>
        <v>590.4195121951218</v>
      </c>
      <c r="U100" s="231">
        <f t="shared" ref="U100:Y110" si="34">(U82-U65)/$AL100</f>
        <v>735.76585365853668</v>
      </c>
      <c r="V100" s="231">
        <f t="shared" si="34"/>
        <v>25.565853658536586</v>
      </c>
      <c r="W100" s="231">
        <f t="shared" si="34"/>
        <v>100.409756097561</v>
      </c>
      <c r="X100" s="231">
        <f t="shared" si="34"/>
        <v>63.785365853658526</v>
      </c>
      <c r="Y100" s="231">
        <f t="shared" si="34"/>
        <v>70.912195121951228</v>
      </c>
      <c r="Z100" s="231">
        <f>SUM(U100:Y100)</f>
        <v>996.43902439024407</v>
      </c>
      <c r="AA100" s="231">
        <f t="shared" ref="AA100:AE110" si="35">(AA82-AA65)/$AL100</f>
        <v>331.00975609756108</v>
      </c>
      <c r="AB100" s="231">
        <f t="shared" si="35"/>
        <v>11.702439024390243</v>
      </c>
      <c r="AC100" s="231">
        <f t="shared" si="35"/>
        <v>41.492682926829275</v>
      </c>
      <c r="AD100" s="231">
        <f t="shared" si="35"/>
        <v>31.014634146341471</v>
      </c>
      <c r="AE100" s="231">
        <f t="shared" si="35"/>
        <v>60.024390243902452</v>
      </c>
      <c r="AF100" s="231">
        <f>SUM(AA100:AE100)</f>
        <v>475.24390243902451</v>
      </c>
      <c r="AH100" s="235">
        <f>G100</f>
        <v>2438.9121951219513</v>
      </c>
      <c r="AI100" s="235">
        <f>N100+T100+Z100+AF100</f>
        <v>2438.9121951219513</v>
      </c>
      <c r="AK100" s="32">
        <v>3.05</v>
      </c>
      <c r="AL100" s="32">
        <f>AK100-1</f>
        <v>2.0499999999999998</v>
      </c>
    </row>
    <row r="101" spans="1:38" x14ac:dyDescent="0.2">
      <c r="A101" s="230">
        <v>1979</v>
      </c>
      <c r="B101" s="231">
        <f t="shared" si="30"/>
        <v>1783.3219512195121</v>
      </c>
      <c r="C101" s="231">
        <f t="shared" si="30"/>
        <v>91.897560975609778</v>
      </c>
      <c r="D101" s="231">
        <f t="shared" si="30"/>
        <v>146.0390243902439</v>
      </c>
      <c r="E101" s="231">
        <f t="shared" si="30"/>
        <v>159.4926829268293</v>
      </c>
      <c r="F101" s="231">
        <f t="shared" si="30"/>
        <v>210.87317073170738</v>
      </c>
      <c r="G101" s="231">
        <f t="shared" si="31"/>
        <v>2391.6243902439028</v>
      </c>
      <c r="I101" s="231">
        <f t="shared" si="32"/>
        <v>222.16585365853663</v>
      </c>
      <c r="J101" s="231">
        <f t="shared" si="32"/>
        <v>26.287804878048789</v>
      </c>
      <c r="K101" s="231">
        <f t="shared" si="32"/>
        <v>5.0585365853658546</v>
      </c>
      <c r="L101" s="231">
        <f t="shared" si="32"/>
        <v>46.639024390243911</v>
      </c>
      <c r="M101" s="231">
        <f t="shared" si="32"/>
        <v>80.746341463414623</v>
      </c>
      <c r="N101" s="231">
        <f t="shared" ref="N101:N109" si="36">SUM(I101:M101)</f>
        <v>380.89756097560979</v>
      </c>
      <c r="O101" s="231">
        <f t="shared" si="33"/>
        <v>495.63414634146352</v>
      </c>
      <c r="P101" s="231">
        <f t="shared" si="33"/>
        <v>25.351219512195122</v>
      </c>
      <c r="Q101" s="231">
        <f t="shared" si="33"/>
        <v>16.975609756097562</v>
      </c>
      <c r="R101" s="231">
        <f t="shared" si="33"/>
        <v>37.190243902439029</v>
      </c>
      <c r="S101" s="231">
        <f t="shared" si="33"/>
        <v>14.126829268292681</v>
      </c>
      <c r="T101" s="231">
        <f t="shared" ref="T101:T109" si="37">SUM(O101:S101)</f>
        <v>589.27804878048801</v>
      </c>
      <c r="U101" s="231">
        <f t="shared" si="34"/>
        <v>740.81951219512189</v>
      </c>
      <c r="V101" s="231">
        <f t="shared" si="34"/>
        <v>27.248780487804879</v>
      </c>
      <c r="W101" s="231">
        <f t="shared" si="34"/>
        <v>79.180487804878069</v>
      </c>
      <c r="X101" s="231">
        <f t="shared" si="34"/>
        <v>44.487804878048777</v>
      </c>
      <c r="Y101" s="231">
        <f t="shared" si="34"/>
        <v>68.131707317073165</v>
      </c>
      <c r="Z101" s="231">
        <f t="shared" ref="Z101:Z109" si="38">SUM(U101:Y101)</f>
        <v>959.86829268292684</v>
      </c>
      <c r="AA101" s="231">
        <f t="shared" si="35"/>
        <v>324.70243902439029</v>
      </c>
      <c r="AB101" s="231">
        <f t="shared" si="35"/>
        <v>13.009756097560977</v>
      </c>
      <c r="AC101" s="231">
        <f t="shared" si="35"/>
        <v>44.82439024390245</v>
      </c>
      <c r="AD101" s="231">
        <f t="shared" si="35"/>
        <v>31.175609756097561</v>
      </c>
      <c r="AE101" s="231">
        <f t="shared" si="35"/>
        <v>47.863414634146331</v>
      </c>
      <c r="AF101" s="231">
        <f t="shared" ref="AF101:AF109" si="39">SUM(AA101:AE101)</f>
        <v>461.57560975609761</v>
      </c>
      <c r="AH101" s="235">
        <f t="shared" ref="AH101:AH109" si="40">G101</f>
        <v>2391.6243902439028</v>
      </c>
      <c r="AI101" s="235">
        <f t="shared" ref="AI101:AI109" si="41">N101+T101+Z101+AF101</f>
        <v>2391.6195121951223</v>
      </c>
      <c r="AK101" s="32">
        <v>3.05</v>
      </c>
      <c r="AL101" s="32">
        <f t="shared" ref="AL101:AL110" si="42">AK101-1</f>
        <v>2.0499999999999998</v>
      </c>
    </row>
    <row r="102" spans="1:38" x14ac:dyDescent="0.2">
      <c r="A102" s="230">
        <v>1980</v>
      </c>
      <c r="B102" s="231">
        <f t="shared" si="30"/>
        <v>1856.2000000000003</v>
      </c>
      <c r="C102" s="231">
        <f t="shared" si="30"/>
        <v>79.258536585365874</v>
      </c>
      <c r="D102" s="231">
        <f t="shared" si="30"/>
        <v>147.23414634146343</v>
      </c>
      <c r="E102" s="231">
        <f t="shared" si="30"/>
        <v>172.88292682926834</v>
      </c>
      <c r="F102" s="231">
        <f t="shared" si="30"/>
        <v>198.33658536585375</v>
      </c>
      <c r="G102" s="231">
        <f t="shared" si="31"/>
        <v>2453.9121951219518</v>
      </c>
      <c r="I102" s="231">
        <f t="shared" si="32"/>
        <v>255.70731707317066</v>
      </c>
      <c r="J102" s="231">
        <f t="shared" si="32"/>
        <v>33.965853658536588</v>
      </c>
      <c r="K102" s="231">
        <f t="shared" si="32"/>
        <v>13.702439024390243</v>
      </c>
      <c r="L102" s="231">
        <f t="shared" si="32"/>
        <v>43.639024390243925</v>
      </c>
      <c r="M102" s="231">
        <f t="shared" si="32"/>
        <v>43.429268292682949</v>
      </c>
      <c r="N102" s="231">
        <f t="shared" si="36"/>
        <v>390.44390243902438</v>
      </c>
      <c r="O102" s="231">
        <f t="shared" si="33"/>
        <v>487.98048780487795</v>
      </c>
      <c r="P102" s="231">
        <f t="shared" si="33"/>
        <v>7.278048780487806</v>
      </c>
      <c r="Q102" s="231">
        <f t="shared" si="33"/>
        <v>15.951219512195125</v>
      </c>
      <c r="R102" s="231">
        <f t="shared" si="33"/>
        <v>48.424390243902437</v>
      </c>
      <c r="S102" s="231">
        <f t="shared" si="33"/>
        <v>37.843902439024397</v>
      </c>
      <c r="T102" s="231">
        <f t="shared" si="37"/>
        <v>597.47804878048771</v>
      </c>
      <c r="U102" s="231">
        <f t="shared" si="34"/>
        <v>820.87317073170732</v>
      </c>
      <c r="V102" s="231">
        <f t="shared" si="34"/>
        <v>17.487804878048781</v>
      </c>
      <c r="W102" s="231">
        <f t="shared" si="34"/>
        <v>89.482926829268294</v>
      </c>
      <c r="X102" s="231">
        <f t="shared" si="34"/>
        <v>47.931707317073169</v>
      </c>
      <c r="Y102" s="231">
        <f t="shared" si="34"/>
        <v>78.648780487804885</v>
      </c>
      <c r="Z102" s="231">
        <f t="shared" si="38"/>
        <v>1054.4243902439025</v>
      </c>
      <c r="AA102" s="231">
        <f t="shared" si="35"/>
        <v>291.64390243902437</v>
      </c>
      <c r="AB102" s="231">
        <f t="shared" si="35"/>
        <v>20.526829268292683</v>
      </c>
      <c r="AC102" s="231">
        <f t="shared" si="35"/>
        <v>28.097560975609763</v>
      </c>
      <c r="AD102" s="231">
        <f t="shared" si="35"/>
        <v>32.892682926829266</v>
      </c>
      <c r="AE102" s="231">
        <f t="shared" si="35"/>
        <v>38.414634146341463</v>
      </c>
      <c r="AF102" s="231">
        <f t="shared" si="39"/>
        <v>411.57560975609755</v>
      </c>
      <c r="AH102" s="235">
        <f t="shared" si="40"/>
        <v>2453.9121951219518</v>
      </c>
      <c r="AI102" s="235">
        <f t="shared" si="41"/>
        <v>2453.9219512195123</v>
      </c>
      <c r="AK102" s="32">
        <v>3.05</v>
      </c>
      <c r="AL102" s="32">
        <f t="shared" si="42"/>
        <v>2.0499999999999998</v>
      </c>
    </row>
    <row r="103" spans="1:38" x14ac:dyDescent="0.2">
      <c r="A103" s="230">
        <v>1981</v>
      </c>
      <c r="B103" s="231">
        <f t="shared" si="30"/>
        <v>1826.8243902439026</v>
      </c>
      <c r="C103" s="231">
        <f t="shared" si="30"/>
        <v>73.726829268292676</v>
      </c>
      <c r="D103" s="231">
        <f t="shared" si="30"/>
        <v>127.47804878048781</v>
      </c>
      <c r="E103" s="231">
        <f t="shared" si="30"/>
        <v>198.88780487804877</v>
      </c>
      <c r="F103" s="231">
        <f t="shared" si="30"/>
        <v>269.49756097560982</v>
      </c>
      <c r="G103" s="231">
        <f t="shared" si="31"/>
        <v>2496.4146341463415</v>
      </c>
      <c r="I103" s="231">
        <f t="shared" si="32"/>
        <v>259.62926829268298</v>
      </c>
      <c r="J103" s="231">
        <f t="shared" si="32"/>
        <v>23.868292682926835</v>
      </c>
      <c r="K103" s="231">
        <f t="shared" si="32"/>
        <v>11.960975609756099</v>
      </c>
      <c r="L103" s="231">
        <f t="shared" si="32"/>
        <v>54.702439024390273</v>
      </c>
      <c r="M103" s="231">
        <f t="shared" si="32"/>
        <v>71.302439024390253</v>
      </c>
      <c r="N103" s="231">
        <f t="shared" si="36"/>
        <v>421.46341463414643</v>
      </c>
      <c r="O103" s="231">
        <f t="shared" si="33"/>
        <v>448.72682926829265</v>
      </c>
      <c r="P103" s="231">
        <f t="shared" si="33"/>
        <v>7.6</v>
      </c>
      <c r="Q103" s="231">
        <f t="shared" si="33"/>
        <v>18.726829268292686</v>
      </c>
      <c r="R103" s="231">
        <f t="shared" si="33"/>
        <v>50.126829268292681</v>
      </c>
      <c r="S103" s="231">
        <f t="shared" si="33"/>
        <v>51.317073170731703</v>
      </c>
      <c r="T103" s="231">
        <f t="shared" si="37"/>
        <v>576.49756097560976</v>
      </c>
      <c r="U103" s="231">
        <f t="shared" si="34"/>
        <v>777.80000000000007</v>
      </c>
      <c r="V103" s="231">
        <f t="shared" si="34"/>
        <v>23.151219512195127</v>
      </c>
      <c r="W103" s="231">
        <f t="shared" si="34"/>
        <v>69.185365853658553</v>
      </c>
      <c r="X103" s="231">
        <f t="shared" si="34"/>
        <v>63.853658536585385</v>
      </c>
      <c r="Y103" s="231">
        <f t="shared" si="34"/>
        <v>100.5609756097561</v>
      </c>
      <c r="Z103" s="231">
        <f t="shared" si="38"/>
        <v>1034.5512195121953</v>
      </c>
      <c r="AA103" s="231">
        <f t="shared" si="35"/>
        <v>340.66341463414631</v>
      </c>
      <c r="AB103" s="231">
        <f t="shared" si="35"/>
        <v>19.107317073170734</v>
      </c>
      <c r="AC103" s="231">
        <f t="shared" si="35"/>
        <v>27.609756097560982</v>
      </c>
      <c r="AD103" s="231">
        <f t="shared" si="35"/>
        <v>30.20487804878049</v>
      </c>
      <c r="AE103" s="231">
        <f t="shared" si="35"/>
        <v>46.321951219512201</v>
      </c>
      <c r="AF103" s="231">
        <f t="shared" si="39"/>
        <v>463.9073170731707</v>
      </c>
      <c r="AH103" s="235">
        <f t="shared" si="40"/>
        <v>2496.4146341463415</v>
      </c>
      <c r="AI103" s="235">
        <f t="shared" si="41"/>
        <v>2496.419512195122</v>
      </c>
      <c r="AK103" s="32">
        <v>3.05</v>
      </c>
      <c r="AL103" s="32">
        <f t="shared" si="42"/>
        <v>2.0499999999999998</v>
      </c>
    </row>
    <row r="104" spans="1:38" x14ac:dyDescent="0.2">
      <c r="A104" s="230">
        <v>1982</v>
      </c>
      <c r="B104" s="231">
        <f t="shared" si="30"/>
        <v>1767.6439024390249</v>
      </c>
      <c r="C104" s="231">
        <f t="shared" si="30"/>
        <v>96.863414634146324</v>
      </c>
      <c r="D104" s="231">
        <f t="shared" si="30"/>
        <v>111.64878048780488</v>
      </c>
      <c r="E104" s="231">
        <f t="shared" si="30"/>
        <v>203.31219512195122</v>
      </c>
      <c r="F104" s="231">
        <f t="shared" si="30"/>
        <v>260.65853658536582</v>
      </c>
      <c r="G104" s="231">
        <f t="shared" si="31"/>
        <v>2440.126829268293</v>
      </c>
      <c r="I104" s="231">
        <f t="shared" si="32"/>
        <v>229.97073170731713</v>
      </c>
      <c r="J104" s="231">
        <f t="shared" si="32"/>
        <v>41.51707317073172</v>
      </c>
      <c r="K104" s="231">
        <f t="shared" si="32"/>
        <v>8.687804878048782</v>
      </c>
      <c r="L104" s="231">
        <f t="shared" si="32"/>
        <v>56.341463414634148</v>
      </c>
      <c r="M104" s="231">
        <f t="shared" si="32"/>
        <v>46.585365853658537</v>
      </c>
      <c r="N104" s="231">
        <f t="shared" si="36"/>
        <v>383.10243902439032</v>
      </c>
      <c r="O104" s="231">
        <f t="shared" si="33"/>
        <v>431.52682926829277</v>
      </c>
      <c r="P104" s="231">
        <f t="shared" si="33"/>
        <v>24.707317073170731</v>
      </c>
      <c r="Q104" s="231">
        <f t="shared" si="33"/>
        <v>21.175609756097565</v>
      </c>
      <c r="R104" s="231">
        <f t="shared" si="33"/>
        <v>45.931707317073162</v>
      </c>
      <c r="S104" s="231">
        <f t="shared" si="33"/>
        <v>55.204878048780486</v>
      </c>
      <c r="T104" s="231">
        <f t="shared" si="37"/>
        <v>578.54634146341471</v>
      </c>
      <c r="U104" s="231">
        <f t="shared" si="34"/>
        <v>809.05365853658554</v>
      </c>
      <c r="V104" s="231">
        <f t="shared" si="34"/>
        <v>11.990243902439028</v>
      </c>
      <c r="W104" s="231">
        <f t="shared" si="34"/>
        <v>58.512195121951223</v>
      </c>
      <c r="X104" s="231">
        <f t="shared" si="34"/>
        <v>71.741463414634154</v>
      </c>
      <c r="Y104" s="231">
        <f t="shared" si="34"/>
        <v>104.58536585365853</v>
      </c>
      <c r="Z104" s="231">
        <f t="shared" si="38"/>
        <v>1055.8829268292684</v>
      </c>
      <c r="AA104" s="231">
        <f t="shared" si="35"/>
        <v>297.08780487804881</v>
      </c>
      <c r="AB104" s="231">
        <f t="shared" si="35"/>
        <v>18.648780487804881</v>
      </c>
      <c r="AC104" s="231">
        <f t="shared" si="35"/>
        <v>23.278048780487808</v>
      </c>
      <c r="AD104" s="231">
        <f t="shared" si="35"/>
        <v>29.302439024390242</v>
      </c>
      <c r="AE104" s="231">
        <f t="shared" si="35"/>
        <v>54.278048780487801</v>
      </c>
      <c r="AF104" s="231">
        <f t="shared" si="39"/>
        <v>422.59512195121948</v>
      </c>
      <c r="AH104" s="235">
        <f t="shared" si="40"/>
        <v>2440.126829268293</v>
      </c>
      <c r="AI104" s="235">
        <f t="shared" si="41"/>
        <v>2440.126829268293</v>
      </c>
      <c r="AK104" s="32">
        <v>3.05</v>
      </c>
      <c r="AL104" s="32">
        <f t="shared" si="42"/>
        <v>2.0499999999999998</v>
      </c>
    </row>
    <row r="105" spans="1:38" x14ac:dyDescent="0.2">
      <c r="A105" s="230">
        <v>1984</v>
      </c>
      <c r="B105" s="231">
        <f t="shared" si="30"/>
        <v>1807.8097560975611</v>
      </c>
      <c r="C105" s="231">
        <f t="shared" si="30"/>
        <v>113.77073170731707</v>
      </c>
      <c r="D105" s="231">
        <f t="shared" si="30"/>
        <v>155.3170731707317</v>
      </c>
      <c r="E105" s="231">
        <f t="shared" si="30"/>
        <v>170.31707317073176</v>
      </c>
      <c r="F105" s="231">
        <f t="shared" si="30"/>
        <v>248.12195121951225</v>
      </c>
      <c r="G105" s="231">
        <f t="shared" si="31"/>
        <v>2495.3365853658538</v>
      </c>
      <c r="I105" s="231">
        <f t="shared" si="32"/>
        <v>269.5609756097561</v>
      </c>
      <c r="J105" s="231">
        <f t="shared" si="32"/>
        <v>35.346341463414639</v>
      </c>
      <c r="K105" s="231">
        <f t="shared" si="32"/>
        <v>15.956097560975614</v>
      </c>
      <c r="L105" s="231">
        <f t="shared" si="32"/>
        <v>42.921951219512202</v>
      </c>
      <c r="M105" s="231">
        <f t="shared" si="32"/>
        <v>46.697560975609768</v>
      </c>
      <c r="N105" s="231">
        <f t="shared" si="36"/>
        <v>410.48292682926831</v>
      </c>
      <c r="O105" s="231">
        <f t="shared" si="33"/>
        <v>405.46829268292674</v>
      </c>
      <c r="P105" s="231">
        <f t="shared" si="33"/>
        <v>22.873170731707319</v>
      </c>
      <c r="Q105" s="231">
        <f t="shared" si="33"/>
        <v>35.917073170731712</v>
      </c>
      <c r="R105" s="231">
        <f t="shared" si="33"/>
        <v>43.853658536585385</v>
      </c>
      <c r="S105" s="231">
        <f t="shared" si="33"/>
        <v>39.551219512195118</v>
      </c>
      <c r="T105" s="231">
        <f t="shared" si="37"/>
        <v>547.66341463414631</v>
      </c>
      <c r="U105" s="231">
        <f t="shared" si="34"/>
        <v>810.43902439024396</v>
      </c>
      <c r="V105" s="231">
        <f t="shared" si="34"/>
        <v>51.400000000000006</v>
      </c>
      <c r="W105" s="231">
        <f t="shared" si="34"/>
        <v>74.965853658536602</v>
      </c>
      <c r="X105" s="231">
        <f t="shared" si="34"/>
        <v>38.897560975609757</v>
      </c>
      <c r="Y105" s="231">
        <f t="shared" si="34"/>
        <v>93.239024390243912</v>
      </c>
      <c r="Z105" s="231">
        <f t="shared" si="38"/>
        <v>1068.9414634146342</v>
      </c>
      <c r="AA105" s="231">
        <f t="shared" si="35"/>
        <v>322.34146341463423</v>
      </c>
      <c r="AB105" s="231">
        <f t="shared" si="35"/>
        <v>4.1560975609756099</v>
      </c>
      <c r="AC105" s="231">
        <f t="shared" si="35"/>
        <v>28.482926829268294</v>
      </c>
      <c r="AD105" s="231">
        <f t="shared" si="35"/>
        <v>44.643902439024401</v>
      </c>
      <c r="AE105" s="231">
        <f t="shared" si="35"/>
        <v>68.643902439024387</v>
      </c>
      <c r="AF105" s="231">
        <f t="shared" si="39"/>
        <v>468.26829268292693</v>
      </c>
      <c r="AH105" s="235">
        <f t="shared" si="40"/>
        <v>2495.3365853658538</v>
      </c>
      <c r="AI105" s="235">
        <f t="shared" si="41"/>
        <v>2495.3560975609757</v>
      </c>
      <c r="AK105" s="32">
        <v>3.05</v>
      </c>
      <c r="AL105" s="32">
        <f t="shared" si="42"/>
        <v>2.0499999999999998</v>
      </c>
    </row>
    <row r="106" spans="1:38" x14ac:dyDescent="0.2">
      <c r="A106" s="230">
        <v>1987</v>
      </c>
      <c r="B106" s="231">
        <f t="shared" si="30"/>
        <v>1970.9951219512197</v>
      </c>
      <c r="C106" s="231">
        <f t="shared" si="30"/>
        <v>160.57073170731707</v>
      </c>
      <c r="D106" s="231">
        <f t="shared" si="30"/>
        <v>156.95609756097562</v>
      </c>
      <c r="E106" s="231">
        <f t="shared" si="30"/>
        <v>196.94634146341465</v>
      </c>
      <c r="F106" s="231">
        <f t="shared" si="30"/>
        <v>276.12682926829268</v>
      </c>
      <c r="G106" s="231">
        <f t="shared" si="31"/>
        <v>2761.5951219512199</v>
      </c>
      <c r="I106" s="231">
        <f t="shared" si="32"/>
        <v>283.13170731707322</v>
      </c>
      <c r="J106" s="231">
        <f t="shared" si="32"/>
        <v>42.760975609756088</v>
      </c>
      <c r="K106" s="231">
        <f t="shared" si="32"/>
        <v>14.599999999999998</v>
      </c>
      <c r="L106" s="231">
        <f t="shared" si="32"/>
        <v>49.136585365853669</v>
      </c>
      <c r="M106" s="231">
        <f t="shared" si="32"/>
        <v>55.356097560975627</v>
      </c>
      <c r="N106" s="231">
        <f t="shared" si="36"/>
        <v>444.98536585365861</v>
      </c>
      <c r="O106" s="231">
        <f t="shared" si="33"/>
        <v>469.27317073170735</v>
      </c>
      <c r="P106" s="231">
        <f t="shared" si="33"/>
        <v>29.595121951219515</v>
      </c>
      <c r="Q106" s="231">
        <f t="shared" si="33"/>
        <v>34.843902439024397</v>
      </c>
      <c r="R106" s="231">
        <f t="shared" si="33"/>
        <v>39.341463414634141</v>
      </c>
      <c r="S106" s="231">
        <f t="shared" si="33"/>
        <v>37.731707317073173</v>
      </c>
      <c r="T106" s="231">
        <f t="shared" si="37"/>
        <v>610.78536585365862</v>
      </c>
      <c r="U106" s="231">
        <f t="shared" si="34"/>
        <v>886.06829268292688</v>
      </c>
      <c r="V106" s="231">
        <f t="shared" si="34"/>
        <v>67.912195121951228</v>
      </c>
      <c r="W106" s="231">
        <f t="shared" si="34"/>
        <v>82.263414634146343</v>
      </c>
      <c r="X106" s="231">
        <f t="shared" si="34"/>
        <v>65.453658536585365</v>
      </c>
      <c r="Y106" s="231">
        <f t="shared" si="34"/>
        <v>119.92682926829271</v>
      </c>
      <c r="Z106" s="231">
        <f t="shared" si="38"/>
        <v>1221.6243902439026</v>
      </c>
      <c r="AA106" s="231">
        <f t="shared" si="35"/>
        <v>332.52195121951223</v>
      </c>
      <c r="AB106" s="231">
        <f t="shared" si="35"/>
        <v>20.297560975609759</v>
      </c>
      <c r="AC106" s="231">
        <f t="shared" si="35"/>
        <v>25.258536585365857</v>
      </c>
      <c r="AD106" s="231">
        <f t="shared" si="35"/>
        <v>43.014634146341471</v>
      </c>
      <c r="AE106" s="231">
        <f t="shared" si="35"/>
        <v>63.102439024390243</v>
      </c>
      <c r="AF106" s="231">
        <f t="shared" si="39"/>
        <v>484.19512195121956</v>
      </c>
      <c r="AH106" s="235">
        <f t="shared" si="40"/>
        <v>2761.5951219512199</v>
      </c>
      <c r="AI106" s="235">
        <f t="shared" si="41"/>
        <v>2761.5902439024394</v>
      </c>
      <c r="AK106" s="32">
        <v>3.05</v>
      </c>
      <c r="AL106" s="32">
        <f t="shared" si="42"/>
        <v>2.0499999999999998</v>
      </c>
    </row>
    <row r="107" spans="1:38" x14ac:dyDescent="0.2">
      <c r="A107" s="230">
        <v>1990</v>
      </c>
      <c r="B107" s="231">
        <f t="shared" si="30"/>
        <v>2194.5024390243907</v>
      </c>
      <c r="C107" s="231">
        <f t="shared" si="30"/>
        <v>188.37560975609756</v>
      </c>
      <c r="D107" s="231">
        <f t="shared" si="30"/>
        <v>161.40975609756097</v>
      </c>
      <c r="E107" s="231">
        <f t="shared" si="30"/>
        <v>200.70731707317077</v>
      </c>
      <c r="F107" s="231">
        <f t="shared" si="30"/>
        <v>283.09268292682924</v>
      </c>
      <c r="G107" s="231">
        <f t="shared" si="31"/>
        <v>3028.0878048780496</v>
      </c>
      <c r="I107" s="231">
        <f t="shared" si="32"/>
        <v>307.09756097560978</v>
      </c>
      <c r="J107" s="231">
        <f t="shared" si="32"/>
        <v>46.473170731707327</v>
      </c>
      <c r="K107" s="231">
        <f t="shared" si="32"/>
        <v>14.751219512195124</v>
      </c>
      <c r="L107" s="231">
        <f t="shared" si="32"/>
        <v>51.53170731707317</v>
      </c>
      <c r="M107" s="231">
        <f t="shared" si="32"/>
        <v>46.775609756097559</v>
      </c>
      <c r="N107" s="231">
        <f t="shared" si="36"/>
        <v>466.62926829268292</v>
      </c>
      <c r="O107" s="231">
        <f t="shared" si="33"/>
        <v>500.89756097560985</v>
      </c>
      <c r="P107" s="231">
        <f t="shared" si="33"/>
        <v>20.863414634146341</v>
      </c>
      <c r="Q107" s="231">
        <f t="shared" si="33"/>
        <v>45.239024390243898</v>
      </c>
      <c r="R107" s="231">
        <f t="shared" si="33"/>
        <v>44</v>
      </c>
      <c r="S107" s="231">
        <f t="shared" si="33"/>
        <v>51.83414634146343</v>
      </c>
      <c r="T107" s="231">
        <f t="shared" si="37"/>
        <v>662.83414634146357</v>
      </c>
      <c r="U107" s="231">
        <f t="shared" si="34"/>
        <v>1016.3658536585366</v>
      </c>
      <c r="V107" s="231">
        <f t="shared" si="34"/>
        <v>77.580487804878061</v>
      </c>
      <c r="W107" s="231">
        <f t="shared" si="34"/>
        <v>69.541463414634151</v>
      </c>
      <c r="X107" s="231">
        <f t="shared" si="34"/>
        <v>73.239024390243912</v>
      </c>
      <c r="Y107" s="231">
        <f t="shared" si="34"/>
        <v>123.09268292682928</v>
      </c>
      <c r="Z107" s="231">
        <f t="shared" si="38"/>
        <v>1359.8195121951219</v>
      </c>
      <c r="AA107" s="231">
        <f t="shared" si="35"/>
        <v>370.14634146341473</v>
      </c>
      <c r="AB107" s="231">
        <f t="shared" si="35"/>
        <v>43.463414634146339</v>
      </c>
      <c r="AC107" s="231">
        <f t="shared" si="35"/>
        <v>31.878048780487806</v>
      </c>
      <c r="AD107" s="231">
        <f t="shared" si="35"/>
        <v>31.936585365853666</v>
      </c>
      <c r="AE107" s="231">
        <f t="shared" si="35"/>
        <v>61.390243902439025</v>
      </c>
      <c r="AF107" s="231">
        <f t="shared" si="39"/>
        <v>538.81463414634152</v>
      </c>
      <c r="AH107" s="235">
        <f t="shared" si="40"/>
        <v>3028.0878048780496</v>
      </c>
      <c r="AI107" s="235">
        <f t="shared" si="41"/>
        <v>3028.0975609756097</v>
      </c>
      <c r="AK107" s="32">
        <v>3.05</v>
      </c>
      <c r="AL107" s="32">
        <f t="shared" si="42"/>
        <v>2.0499999999999998</v>
      </c>
    </row>
    <row r="108" spans="1:38" x14ac:dyDescent="0.2">
      <c r="A108" s="230">
        <v>1993</v>
      </c>
      <c r="B108" s="231">
        <f t="shared" si="30"/>
        <v>2305.3170731707323</v>
      </c>
      <c r="C108" s="231">
        <f t="shared" si="30"/>
        <v>238.48780487804879</v>
      </c>
      <c r="D108" s="231">
        <f t="shared" si="30"/>
        <v>210.82926829268297</v>
      </c>
      <c r="E108" s="231">
        <f t="shared" si="30"/>
        <v>164.79512195121956</v>
      </c>
      <c r="F108" s="231">
        <f t="shared" si="30"/>
        <v>318.07804878048785</v>
      </c>
      <c r="G108" s="231">
        <f t="shared" si="31"/>
        <v>3237.5073170731716</v>
      </c>
      <c r="I108" s="231">
        <f t="shared" si="32"/>
        <v>297.34146341463418</v>
      </c>
      <c r="J108" s="231">
        <f t="shared" si="32"/>
        <v>49.79999999999999</v>
      </c>
      <c r="K108" s="231">
        <f t="shared" si="32"/>
        <v>14.117073170731707</v>
      </c>
      <c r="L108" s="231">
        <f t="shared" si="32"/>
        <v>47.078048780487805</v>
      </c>
      <c r="M108" s="231">
        <f t="shared" si="32"/>
        <v>55.00487804878049</v>
      </c>
      <c r="N108" s="231">
        <f t="shared" si="36"/>
        <v>463.34146341463418</v>
      </c>
      <c r="O108" s="231">
        <f t="shared" si="33"/>
        <v>558.39024390243901</v>
      </c>
      <c r="P108" s="231">
        <f t="shared" si="33"/>
        <v>24.3609756097561</v>
      </c>
      <c r="Q108" s="231">
        <f t="shared" si="33"/>
        <v>45.40975609756098</v>
      </c>
      <c r="R108" s="231">
        <f t="shared" si="33"/>
        <v>32.663414634146363</v>
      </c>
      <c r="S108" s="231">
        <f t="shared" si="33"/>
        <v>70.375609756097575</v>
      </c>
      <c r="T108" s="231">
        <f t="shared" si="37"/>
        <v>731.19999999999993</v>
      </c>
      <c r="U108" s="231">
        <f t="shared" si="34"/>
        <v>1068.3317073170733</v>
      </c>
      <c r="V108" s="231">
        <f t="shared" si="34"/>
        <v>125.75121951219515</v>
      </c>
      <c r="W108" s="231">
        <f t="shared" si="34"/>
        <v>119.6439024390244</v>
      </c>
      <c r="X108" s="231">
        <f t="shared" si="34"/>
        <v>52.1609756097561</v>
      </c>
      <c r="Y108" s="231">
        <f t="shared" si="34"/>
        <v>120.21463414634147</v>
      </c>
      <c r="Z108" s="231">
        <f t="shared" si="38"/>
        <v>1486.1024390243906</v>
      </c>
      <c r="AA108" s="231">
        <f t="shared" si="35"/>
        <v>381.25365853658548</v>
      </c>
      <c r="AB108" s="231">
        <f t="shared" si="35"/>
        <v>38.575609756097563</v>
      </c>
      <c r="AC108" s="231">
        <f t="shared" si="35"/>
        <v>31.658536585365852</v>
      </c>
      <c r="AD108" s="231">
        <f t="shared" si="35"/>
        <v>32.887804878048783</v>
      </c>
      <c r="AE108" s="231">
        <f t="shared" si="35"/>
        <v>72.478048780487796</v>
      </c>
      <c r="AF108" s="231">
        <f t="shared" si="39"/>
        <v>556.8536585365855</v>
      </c>
      <c r="AH108" s="235">
        <f t="shared" si="40"/>
        <v>3237.5073170731716</v>
      </c>
      <c r="AI108" s="235">
        <f t="shared" si="41"/>
        <v>3237.4975609756102</v>
      </c>
      <c r="AK108" s="32">
        <v>3.05</v>
      </c>
      <c r="AL108" s="32">
        <f t="shared" si="42"/>
        <v>2.0499999999999998</v>
      </c>
    </row>
    <row r="109" spans="1:38" x14ac:dyDescent="0.2">
      <c r="A109" s="230">
        <v>1997</v>
      </c>
      <c r="B109" s="231">
        <f t="shared" si="30"/>
        <v>2537.5853658536589</v>
      </c>
      <c r="C109" s="231">
        <f t="shared" si="30"/>
        <v>271.229268292683</v>
      </c>
      <c r="D109" s="231">
        <f t="shared" si="30"/>
        <v>250.52682926829266</v>
      </c>
      <c r="E109" s="231">
        <f t="shared" si="30"/>
        <v>123.60975609756098</v>
      </c>
      <c r="F109" s="231">
        <f t="shared" si="30"/>
        <v>319.46341463414632</v>
      </c>
      <c r="G109" s="231">
        <f t="shared" si="31"/>
        <v>3502.414634146342</v>
      </c>
      <c r="I109" s="231">
        <f t="shared" si="32"/>
        <v>326.9121951219513</v>
      </c>
      <c r="J109" s="231">
        <f t="shared" si="32"/>
        <v>67.2</v>
      </c>
      <c r="K109" s="231">
        <f t="shared" si="32"/>
        <v>13.248780487804881</v>
      </c>
      <c r="L109" s="231">
        <f t="shared" si="32"/>
        <v>26.009756097560988</v>
      </c>
      <c r="M109" s="231">
        <f t="shared" si="32"/>
        <v>49.712195121951211</v>
      </c>
      <c r="N109" s="231">
        <f t="shared" si="36"/>
        <v>483.08292682926833</v>
      </c>
      <c r="O109" s="231">
        <f t="shared" si="33"/>
        <v>578.6439024390246</v>
      </c>
      <c r="P109" s="231">
        <f t="shared" si="33"/>
        <v>41.975609756097555</v>
      </c>
      <c r="Q109" s="231">
        <f t="shared" si="33"/>
        <v>34.448780487804882</v>
      </c>
      <c r="R109" s="231">
        <f t="shared" si="33"/>
        <v>36.843902439024404</v>
      </c>
      <c r="S109" s="231">
        <f t="shared" si="33"/>
        <v>47.112195121951231</v>
      </c>
      <c r="T109" s="231">
        <f t="shared" si="37"/>
        <v>739.02439024390276</v>
      </c>
      <c r="U109" s="231">
        <f t="shared" si="34"/>
        <v>1207.6926829268293</v>
      </c>
      <c r="V109" s="231">
        <f t="shared" si="34"/>
        <v>110.97560975609758</v>
      </c>
      <c r="W109" s="231">
        <f t="shared" si="34"/>
        <v>141.59512195121951</v>
      </c>
      <c r="X109" s="231">
        <f t="shared" si="34"/>
        <v>47.112195121951231</v>
      </c>
      <c r="Y109" s="231">
        <f t="shared" si="34"/>
        <v>143.98536585365852</v>
      </c>
      <c r="Z109" s="231">
        <f t="shared" si="38"/>
        <v>1651.3609756097562</v>
      </c>
      <c r="AA109" s="231">
        <f t="shared" si="35"/>
        <v>424.33658536585364</v>
      </c>
      <c r="AB109" s="231">
        <f t="shared" si="35"/>
        <v>51.078048780487812</v>
      </c>
      <c r="AC109" s="231">
        <f t="shared" si="35"/>
        <v>61.23902439024392</v>
      </c>
      <c r="AD109" s="231">
        <f t="shared" si="35"/>
        <v>13.643902439024391</v>
      </c>
      <c r="AE109" s="231">
        <f t="shared" si="35"/>
        <v>78.663414634146349</v>
      </c>
      <c r="AF109" s="231">
        <f t="shared" si="39"/>
        <v>628.96097560975602</v>
      </c>
      <c r="AH109" s="235">
        <f t="shared" si="40"/>
        <v>3502.414634146342</v>
      </c>
      <c r="AI109" s="235">
        <f t="shared" si="41"/>
        <v>3502.4292682926834</v>
      </c>
      <c r="AK109" s="32">
        <v>3.05</v>
      </c>
      <c r="AL109" s="32">
        <f t="shared" si="42"/>
        <v>2.0499999999999998</v>
      </c>
    </row>
    <row r="110" spans="1:38" x14ac:dyDescent="0.2">
      <c r="A110" s="230">
        <v>2001</v>
      </c>
      <c r="B110" s="231">
        <f t="shared" si="30"/>
        <v>2574.4829268292688</v>
      </c>
      <c r="C110" s="231">
        <f t="shared" si="30"/>
        <v>330.15609756097558</v>
      </c>
      <c r="D110" s="231">
        <f t="shared" si="30"/>
        <v>279.67804878048793</v>
      </c>
      <c r="E110" s="231">
        <f t="shared" si="30"/>
        <v>224.41951219512194</v>
      </c>
      <c r="F110" s="231">
        <f t="shared" si="30"/>
        <v>347.65365853658534</v>
      </c>
      <c r="G110" s="231">
        <f>SUM(B110:F110)</f>
        <v>3756.3902439024396</v>
      </c>
      <c r="I110" s="231">
        <f t="shared" si="32"/>
        <v>301.819512195122</v>
      </c>
      <c r="J110" s="231">
        <f t="shared" si="32"/>
        <v>60.160975609756093</v>
      </c>
      <c r="K110" s="231">
        <f t="shared" si="32"/>
        <v>18.721951219512196</v>
      </c>
      <c r="L110" s="231">
        <f t="shared" si="32"/>
        <v>58.6</v>
      </c>
      <c r="M110" s="231">
        <f t="shared" si="32"/>
        <v>69.551219512195118</v>
      </c>
      <c r="N110" s="231">
        <f>SUM(I110:M110)</f>
        <v>508.85365853658544</v>
      </c>
      <c r="O110" s="231">
        <f t="shared" si="33"/>
        <v>560.19512195121956</v>
      </c>
      <c r="P110" s="231">
        <f t="shared" si="33"/>
        <v>88.30243902439021</v>
      </c>
      <c r="Q110" s="231">
        <f t="shared" si="33"/>
        <v>39.94146341463415</v>
      </c>
      <c r="R110" s="231">
        <f t="shared" si="33"/>
        <v>48.687804878048802</v>
      </c>
      <c r="S110" s="231">
        <f t="shared" si="33"/>
        <v>47.936585365853659</v>
      </c>
      <c r="T110" s="231">
        <f>SUM(O110:S110)</f>
        <v>785.06341463414651</v>
      </c>
      <c r="U110" s="231">
        <f t="shared" si="34"/>
        <v>1291.0097560975612</v>
      </c>
      <c r="V110" s="231">
        <f t="shared" si="34"/>
        <v>138.36097560975611</v>
      </c>
      <c r="W110" s="231">
        <f t="shared" si="34"/>
        <v>164.54634146341468</v>
      </c>
      <c r="X110" s="231">
        <f t="shared" si="34"/>
        <v>88.03414634146344</v>
      </c>
      <c r="Y110" s="231">
        <f t="shared" si="34"/>
        <v>143.95121951219514</v>
      </c>
      <c r="Z110" s="231">
        <f>SUM(U110:Y110)</f>
        <v>1825.9024390243903</v>
      </c>
      <c r="AA110" s="231">
        <f t="shared" si="35"/>
        <v>421.46341463414637</v>
      </c>
      <c r="AB110" s="231">
        <f t="shared" si="35"/>
        <v>43.326829268292698</v>
      </c>
      <c r="AC110" s="231">
        <f t="shared" si="35"/>
        <v>56.478048780487811</v>
      </c>
      <c r="AD110" s="231">
        <f t="shared" si="35"/>
        <v>29.092682926829273</v>
      </c>
      <c r="AE110" s="231">
        <f t="shared" si="35"/>
        <v>86.219512195121965</v>
      </c>
      <c r="AF110" s="231">
        <f>SUM(AA110:AE110)</f>
        <v>636.5804878048782</v>
      </c>
      <c r="AH110" s="235">
        <f>G110</f>
        <v>3756.3902439024396</v>
      </c>
      <c r="AI110" s="235">
        <f>N110+T110+Z110+AF110</f>
        <v>3756.4000000000005</v>
      </c>
      <c r="AK110" s="32">
        <v>3.05</v>
      </c>
      <c r="AL110" s="32">
        <f t="shared" si="42"/>
        <v>2.0499999999999998</v>
      </c>
    </row>
    <row r="111" spans="1:38" x14ac:dyDescent="0.2">
      <c r="B111" s="240"/>
      <c r="F111" s="240"/>
      <c r="G111" s="240"/>
      <c r="H111" s="240"/>
      <c r="I111" s="240"/>
      <c r="J111" s="240"/>
      <c r="K111" s="240"/>
    </row>
    <row r="112" spans="1:38" x14ac:dyDescent="0.2">
      <c r="B112" s="240"/>
      <c r="F112" s="240"/>
      <c r="G112" s="240"/>
      <c r="H112" s="240"/>
      <c r="I112" s="240"/>
      <c r="J112" s="240"/>
      <c r="K112" s="240"/>
    </row>
    <row r="113" spans="1:35" x14ac:dyDescent="0.2">
      <c r="A113" s="218" t="s">
        <v>405</v>
      </c>
      <c r="B113" s="218"/>
      <c r="C113" s="218"/>
      <c r="D113" s="218"/>
      <c r="E113" s="218"/>
      <c r="F113" s="218"/>
      <c r="G113" s="218"/>
      <c r="H113" s="240"/>
      <c r="I113" s="218" t="str">
        <f>A113</f>
        <v>Fuel Consumption (Trillion Btu)</v>
      </c>
      <c r="J113" s="218"/>
      <c r="K113" s="218"/>
      <c r="L113" s="218"/>
      <c r="M113" s="218"/>
      <c r="N113" s="218"/>
      <c r="O113" s="218"/>
      <c r="P113" s="218"/>
      <c r="Q113" s="218"/>
      <c r="R113" s="218"/>
      <c r="S113" s="218"/>
      <c r="T113" s="218"/>
      <c r="U113" s="218"/>
      <c r="V113" s="218"/>
      <c r="W113" s="218"/>
      <c r="X113" s="218"/>
      <c r="Y113" s="218"/>
      <c r="Z113" s="218"/>
      <c r="AA113" s="218"/>
      <c r="AB113" s="218"/>
      <c r="AC113" s="218"/>
      <c r="AD113" s="218"/>
      <c r="AE113" s="218"/>
    </row>
    <row r="114" spans="1:35" x14ac:dyDescent="0.2">
      <c r="H114" s="225"/>
    </row>
    <row r="115" spans="1:35" ht="13.5" thickBot="1" x14ac:dyDescent="0.25">
      <c r="B115" s="439" t="s">
        <v>38</v>
      </c>
      <c r="C115" s="439"/>
      <c r="D115" s="439"/>
      <c r="E115" s="439"/>
      <c r="F115" s="439"/>
      <c r="G115" s="247"/>
      <c r="I115" s="440" t="s">
        <v>20</v>
      </c>
      <c r="J115" s="440"/>
      <c r="K115" s="440"/>
      <c r="L115" s="440"/>
      <c r="M115" s="440"/>
      <c r="N115" s="222"/>
      <c r="O115" s="441" t="s">
        <v>21</v>
      </c>
      <c r="P115" s="441"/>
      <c r="Q115" s="441"/>
      <c r="R115" s="441"/>
      <c r="S115" s="441"/>
      <c r="T115" s="238"/>
      <c r="U115" s="442" t="s">
        <v>22</v>
      </c>
      <c r="V115" s="442"/>
      <c r="W115" s="442"/>
      <c r="X115" s="442"/>
      <c r="Y115" s="442"/>
      <c r="Z115" s="224"/>
      <c r="AA115" s="443" t="s">
        <v>23</v>
      </c>
      <c r="AB115" s="443"/>
      <c r="AC115" s="443"/>
      <c r="AD115" s="443"/>
      <c r="AE115" s="443"/>
      <c r="AF115" s="244"/>
      <c r="AH115" s="32" t="s">
        <v>18</v>
      </c>
      <c r="AI115" s="32" t="s">
        <v>398</v>
      </c>
    </row>
    <row r="116" spans="1:35" x14ac:dyDescent="0.2">
      <c r="B116" s="225" t="s">
        <v>382</v>
      </c>
      <c r="C116" s="225" t="s">
        <v>383</v>
      </c>
      <c r="D116" s="225" t="s">
        <v>384</v>
      </c>
      <c r="E116" s="225" t="s">
        <v>385</v>
      </c>
      <c r="F116" s="225" t="s">
        <v>386</v>
      </c>
      <c r="G116" s="225"/>
      <c r="I116" s="225" t="s">
        <v>382</v>
      </c>
      <c r="J116" s="225" t="s">
        <v>383</v>
      </c>
      <c r="K116" s="225" t="s">
        <v>384</v>
      </c>
      <c r="L116" s="225" t="s">
        <v>385</v>
      </c>
      <c r="M116" s="225" t="s">
        <v>386</v>
      </c>
      <c r="N116" s="225" t="s">
        <v>91</v>
      </c>
      <c r="O116" s="225" t="s">
        <v>382</v>
      </c>
      <c r="P116" s="225" t="s">
        <v>383</v>
      </c>
      <c r="Q116" s="225" t="s">
        <v>384</v>
      </c>
      <c r="R116" s="225" t="s">
        <v>385</v>
      </c>
      <c r="S116" s="225" t="s">
        <v>386</v>
      </c>
      <c r="T116" s="225" t="s">
        <v>91</v>
      </c>
      <c r="U116" s="225" t="s">
        <v>382</v>
      </c>
      <c r="V116" s="225" t="s">
        <v>383</v>
      </c>
      <c r="W116" s="225" t="s">
        <v>384</v>
      </c>
      <c r="X116" s="225" t="s">
        <v>385</v>
      </c>
      <c r="Y116" s="225" t="s">
        <v>386</v>
      </c>
      <c r="Z116" s="225" t="s">
        <v>91</v>
      </c>
      <c r="AA116" s="225" t="s">
        <v>382</v>
      </c>
      <c r="AB116" s="225" t="s">
        <v>383</v>
      </c>
      <c r="AC116" s="225" t="s">
        <v>384</v>
      </c>
      <c r="AD116" s="225" t="s">
        <v>385</v>
      </c>
      <c r="AE116" s="225" t="s">
        <v>386</v>
      </c>
      <c r="AF116" s="229" t="s">
        <v>91</v>
      </c>
    </row>
    <row r="117" spans="1:35" x14ac:dyDescent="0.2">
      <c r="A117" s="230">
        <v>1978</v>
      </c>
      <c r="B117" s="231">
        <f t="shared" ref="B117:F127" si="43">B65-B100</f>
        <v>5689.9599999999991</v>
      </c>
      <c r="C117" s="231">
        <f t="shared" si="43"/>
        <v>340.09341463414637</v>
      </c>
      <c r="D117" s="231">
        <f t="shared" si="43"/>
        <v>276.75829268292682</v>
      </c>
      <c r="E117" s="231">
        <f t="shared" si="43"/>
        <v>1239.8502439024392</v>
      </c>
      <c r="F117" s="231">
        <f t="shared" si="43"/>
        <v>577.13585365853669</v>
      </c>
      <c r="G117" s="231">
        <f t="shared" ref="G117:G126" si="44">SUM(B117:F117)</f>
        <v>8123.7978048780487</v>
      </c>
      <c r="I117" s="231">
        <f t="shared" ref="I117:M127" si="45">I65-I100</f>
        <v>1315.101219512195</v>
      </c>
      <c r="J117" s="231">
        <f t="shared" si="45"/>
        <v>194.63414634146341</v>
      </c>
      <c r="K117" s="231">
        <f t="shared" si="45"/>
        <v>30.669024390243901</v>
      </c>
      <c r="L117" s="231">
        <f t="shared" si="45"/>
        <v>613.67121951219508</v>
      </c>
      <c r="M117" s="231">
        <f t="shared" si="45"/>
        <v>356.17463414634142</v>
      </c>
      <c r="N117" s="231">
        <f>SUM(I117:M117)</f>
        <v>2510.2502439024388</v>
      </c>
      <c r="O117" s="231">
        <f t="shared" ref="O117:S127" si="46">O65-O100</f>
        <v>2466.0043902439024</v>
      </c>
      <c r="P117" s="231">
        <f t="shared" si="46"/>
        <v>87.10268292682926</v>
      </c>
      <c r="Q117" s="231">
        <f t="shared" si="46"/>
        <v>103.21170731707318</v>
      </c>
      <c r="R117" s="231">
        <f t="shared" si="46"/>
        <v>397.71390243902437</v>
      </c>
      <c r="S117" s="231">
        <f t="shared" si="46"/>
        <v>57.937804878048773</v>
      </c>
      <c r="T117" s="231">
        <f>SUM(O117:S117)</f>
        <v>3111.9704878048778</v>
      </c>
      <c r="U117" s="231">
        <f t="shared" ref="U117:Y127" si="47">U65-U100</f>
        <v>1182.2941463414631</v>
      </c>
      <c r="V117" s="231">
        <f t="shared" si="47"/>
        <v>20.984146341463411</v>
      </c>
      <c r="W117" s="231">
        <f t="shared" si="47"/>
        <v>122.23024390243899</v>
      </c>
      <c r="X117" s="231">
        <f t="shared" si="47"/>
        <v>80.79463414634148</v>
      </c>
      <c r="Y117" s="231">
        <f t="shared" si="47"/>
        <v>30.537804878048775</v>
      </c>
      <c r="Z117" s="231">
        <f>SUM(U117:Y117)</f>
        <v>1436.8409756097558</v>
      </c>
      <c r="AA117" s="231">
        <f t="shared" ref="AA117:AE127" si="48">AA65-AA100</f>
        <v>726.56024390243886</v>
      </c>
      <c r="AB117" s="231">
        <f t="shared" si="48"/>
        <v>37.357560975609758</v>
      </c>
      <c r="AC117" s="231">
        <f t="shared" si="48"/>
        <v>20.637317073170728</v>
      </c>
      <c r="AD117" s="231">
        <f t="shared" si="48"/>
        <v>147.68536585365851</v>
      </c>
      <c r="AE117" s="231">
        <f t="shared" si="48"/>
        <v>132.48560975609755</v>
      </c>
      <c r="AF117" s="231">
        <f>SUM(AA117:AE117)</f>
        <v>1064.7260975609754</v>
      </c>
      <c r="AH117" s="235">
        <f>G117</f>
        <v>8123.7978048780487</v>
      </c>
      <c r="AI117" s="235">
        <f>N117+T117+Z117+AF117</f>
        <v>8123.7878048780476</v>
      </c>
    </row>
    <row r="118" spans="1:35" x14ac:dyDescent="0.2">
      <c r="A118" s="230">
        <v>1979</v>
      </c>
      <c r="B118" s="231">
        <f t="shared" si="43"/>
        <v>5132.6680487804879</v>
      </c>
      <c r="C118" s="231">
        <f t="shared" si="43"/>
        <v>357.03243902439021</v>
      </c>
      <c r="D118" s="231">
        <f t="shared" si="43"/>
        <v>204.14097560975611</v>
      </c>
      <c r="E118" s="231">
        <f t="shared" si="43"/>
        <v>1051.8773170731706</v>
      </c>
      <c r="F118" s="231">
        <f t="shared" si="43"/>
        <v>607.49682926829269</v>
      </c>
      <c r="G118" s="231">
        <f t="shared" si="44"/>
        <v>7353.2156097560974</v>
      </c>
      <c r="I118" s="231">
        <f t="shared" si="45"/>
        <v>1147.0641463414634</v>
      </c>
      <c r="J118" s="231">
        <f t="shared" si="45"/>
        <v>135.50219512195122</v>
      </c>
      <c r="K118" s="231">
        <f t="shared" si="45"/>
        <v>12.091463414634145</v>
      </c>
      <c r="L118" s="231">
        <f t="shared" si="45"/>
        <v>487.67097560975606</v>
      </c>
      <c r="M118" s="231">
        <f t="shared" si="45"/>
        <v>334.23365853658538</v>
      </c>
      <c r="N118" s="231">
        <f t="shared" ref="N118:N126" si="49">SUM(I118:M118)</f>
        <v>2116.5624390243902</v>
      </c>
      <c r="O118" s="231">
        <f t="shared" si="46"/>
        <v>2254.9658536585366</v>
      </c>
      <c r="P118" s="231">
        <f t="shared" si="46"/>
        <v>96.148780487804885</v>
      </c>
      <c r="Q118" s="231">
        <f t="shared" si="46"/>
        <v>72.004390243902435</v>
      </c>
      <c r="R118" s="231">
        <f t="shared" si="46"/>
        <v>387.23975609756098</v>
      </c>
      <c r="S118" s="231">
        <f t="shared" si="46"/>
        <v>79.65317073170732</v>
      </c>
      <c r="T118" s="231">
        <f t="shared" ref="T118:T126" si="50">SUM(O118:S118)</f>
        <v>2890.011951219512</v>
      </c>
      <c r="U118" s="231">
        <f t="shared" si="47"/>
        <v>1062.4504878048781</v>
      </c>
      <c r="V118" s="231">
        <f t="shared" si="47"/>
        <v>76.86121951219512</v>
      </c>
      <c r="W118" s="231">
        <f t="shared" si="47"/>
        <v>87.239512195121918</v>
      </c>
      <c r="X118" s="231">
        <f t="shared" si="47"/>
        <v>61.322195121951225</v>
      </c>
      <c r="Y118" s="231">
        <f t="shared" si="47"/>
        <v>51.278292682926832</v>
      </c>
      <c r="Z118" s="231">
        <f t="shared" ref="Z118:Z126" si="51">SUM(U118:Y118)</f>
        <v>1339.151707317073</v>
      </c>
      <c r="AA118" s="231">
        <f t="shared" si="48"/>
        <v>668.1875609756097</v>
      </c>
      <c r="AB118" s="231">
        <f t="shared" si="48"/>
        <v>48.52024390243902</v>
      </c>
      <c r="AC118" s="231">
        <f t="shared" si="48"/>
        <v>32.805609756097546</v>
      </c>
      <c r="AD118" s="231">
        <f t="shared" si="48"/>
        <v>115.64439024390244</v>
      </c>
      <c r="AE118" s="231">
        <f t="shared" si="48"/>
        <v>142.34658536585368</v>
      </c>
      <c r="AF118" s="231">
        <f t="shared" ref="AF118:AF126" si="52">SUM(AA118:AE118)</f>
        <v>1007.5043902439023</v>
      </c>
      <c r="AH118" s="235">
        <f t="shared" ref="AH118:AH126" si="53">G118</f>
        <v>7353.2156097560974</v>
      </c>
      <c r="AI118" s="235">
        <f t="shared" ref="AI118:AI126" si="54">N118+T118+Z118+AF118</f>
        <v>7353.2304878048772</v>
      </c>
    </row>
    <row r="119" spans="1:35" x14ac:dyDescent="0.2">
      <c r="A119" s="230">
        <v>1980</v>
      </c>
      <c r="B119" s="231">
        <f t="shared" si="43"/>
        <v>4755.6100000000006</v>
      </c>
      <c r="C119" s="231">
        <f t="shared" si="43"/>
        <v>311.38146341463414</v>
      </c>
      <c r="D119" s="231">
        <f t="shared" si="43"/>
        <v>243.60585365853655</v>
      </c>
      <c r="E119" s="231">
        <f t="shared" si="43"/>
        <v>920.17707317073155</v>
      </c>
      <c r="F119" s="231">
        <f t="shared" si="43"/>
        <v>635.96341463414615</v>
      </c>
      <c r="G119" s="231">
        <f t="shared" si="44"/>
        <v>6866.7378048780492</v>
      </c>
      <c r="I119" s="231">
        <f t="shared" si="45"/>
        <v>1045.9226829268296</v>
      </c>
      <c r="J119" s="231">
        <f t="shared" si="45"/>
        <v>184.02414634146342</v>
      </c>
      <c r="K119" s="231">
        <f t="shared" si="45"/>
        <v>35.337560975609755</v>
      </c>
      <c r="L119" s="231">
        <f t="shared" si="45"/>
        <v>424.14097560975603</v>
      </c>
      <c r="M119" s="231">
        <f t="shared" si="45"/>
        <v>352.76073170731706</v>
      </c>
      <c r="N119" s="231">
        <f t="shared" si="49"/>
        <v>2042.1860975609757</v>
      </c>
      <c r="O119" s="231">
        <f t="shared" si="46"/>
        <v>1823.2795121951222</v>
      </c>
      <c r="P119" s="231">
        <f t="shared" si="46"/>
        <v>21.971951219512192</v>
      </c>
      <c r="Q119" s="231">
        <f t="shared" si="46"/>
        <v>50.368780487804869</v>
      </c>
      <c r="R119" s="231">
        <f t="shared" si="46"/>
        <v>312.25560975609756</v>
      </c>
      <c r="S119" s="231">
        <f t="shared" si="46"/>
        <v>117.9760975609756</v>
      </c>
      <c r="T119" s="231">
        <f t="shared" si="50"/>
        <v>2325.8519512195121</v>
      </c>
      <c r="U119" s="231">
        <f t="shared" si="47"/>
        <v>1202.5868292682926</v>
      </c>
      <c r="V119" s="231">
        <f t="shared" si="47"/>
        <v>53.402195121951223</v>
      </c>
      <c r="W119" s="231">
        <f t="shared" si="47"/>
        <v>98.207073170731704</v>
      </c>
      <c r="X119" s="231">
        <f t="shared" si="47"/>
        <v>95.338292682926834</v>
      </c>
      <c r="Y119" s="231">
        <f t="shared" si="47"/>
        <v>83.631219512195116</v>
      </c>
      <c r="Z119" s="231">
        <f t="shared" si="51"/>
        <v>1533.1656097560976</v>
      </c>
      <c r="AA119" s="231">
        <f t="shared" si="48"/>
        <v>683.81609756097566</v>
      </c>
      <c r="AB119" s="231">
        <f t="shared" si="48"/>
        <v>51.993170731707309</v>
      </c>
      <c r="AC119" s="231">
        <f t="shared" si="48"/>
        <v>59.70243902439023</v>
      </c>
      <c r="AD119" s="231">
        <f t="shared" si="48"/>
        <v>88.437317073170732</v>
      </c>
      <c r="AE119" s="231">
        <f t="shared" si="48"/>
        <v>81.595365853658535</v>
      </c>
      <c r="AF119" s="231">
        <f t="shared" si="52"/>
        <v>965.54439024390251</v>
      </c>
      <c r="AH119" s="235">
        <f t="shared" si="53"/>
        <v>6866.7378048780492</v>
      </c>
      <c r="AI119" s="235">
        <f t="shared" si="54"/>
        <v>6866.7480487804887</v>
      </c>
    </row>
    <row r="120" spans="1:35" x14ac:dyDescent="0.2">
      <c r="A120" s="230">
        <v>1981</v>
      </c>
      <c r="B120" s="231">
        <f t="shared" si="43"/>
        <v>5097.0856097560973</v>
      </c>
      <c r="C120" s="231">
        <f t="shared" si="43"/>
        <v>248.07317073170734</v>
      </c>
      <c r="D120" s="231">
        <f t="shared" si="43"/>
        <v>208.94195121951219</v>
      </c>
      <c r="E120" s="231">
        <f t="shared" si="43"/>
        <v>809.50219512195122</v>
      </c>
      <c r="F120" s="231">
        <f t="shared" si="43"/>
        <v>653.53243902439021</v>
      </c>
      <c r="G120" s="231">
        <f t="shared" si="44"/>
        <v>7017.1353658536582</v>
      </c>
      <c r="I120" s="231">
        <f t="shared" si="45"/>
        <v>1109.2207317073169</v>
      </c>
      <c r="J120" s="231">
        <f t="shared" si="45"/>
        <v>146.01170731707316</v>
      </c>
      <c r="K120" s="231">
        <f t="shared" si="45"/>
        <v>31.519024390243899</v>
      </c>
      <c r="L120" s="231">
        <f t="shared" si="45"/>
        <v>422.11756097560971</v>
      </c>
      <c r="M120" s="231">
        <f t="shared" si="45"/>
        <v>337.40756097560973</v>
      </c>
      <c r="N120" s="231">
        <f t="shared" si="49"/>
        <v>2046.2765853658534</v>
      </c>
      <c r="O120" s="231">
        <f t="shared" si="46"/>
        <v>2046.5631707317073</v>
      </c>
      <c r="P120" s="231">
        <f t="shared" si="46"/>
        <v>30.93</v>
      </c>
      <c r="Q120" s="231">
        <f t="shared" si="46"/>
        <v>68.593170731707303</v>
      </c>
      <c r="R120" s="231">
        <f t="shared" si="46"/>
        <v>257.73317073170733</v>
      </c>
      <c r="S120" s="231">
        <f t="shared" si="46"/>
        <v>134.9329268292683</v>
      </c>
      <c r="T120" s="231">
        <f t="shared" si="50"/>
        <v>2538.7524390243902</v>
      </c>
      <c r="U120" s="231">
        <f t="shared" si="47"/>
        <v>1176.0900000000001</v>
      </c>
      <c r="V120" s="231">
        <f t="shared" si="47"/>
        <v>29.318780487804872</v>
      </c>
      <c r="W120" s="231">
        <f t="shared" si="47"/>
        <v>67.354634146341439</v>
      </c>
      <c r="X120" s="231">
        <f t="shared" si="47"/>
        <v>64.096341463414618</v>
      </c>
      <c r="Y120" s="231">
        <f t="shared" si="47"/>
        <v>91.619024390243908</v>
      </c>
      <c r="Z120" s="231">
        <f t="shared" si="51"/>
        <v>1428.4787804878047</v>
      </c>
      <c r="AA120" s="231">
        <f t="shared" si="48"/>
        <v>765.2165853658538</v>
      </c>
      <c r="AB120" s="231">
        <f t="shared" si="48"/>
        <v>41.812682926829268</v>
      </c>
      <c r="AC120" s="231">
        <f t="shared" si="48"/>
        <v>41.470243902439016</v>
      </c>
      <c r="AD120" s="231">
        <f t="shared" si="48"/>
        <v>65.555121951219519</v>
      </c>
      <c r="AE120" s="231">
        <f t="shared" si="48"/>
        <v>89.568048780487786</v>
      </c>
      <c r="AF120" s="231">
        <f t="shared" si="52"/>
        <v>1003.6226829268294</v>
      </c>
      <c r="AH120" s="235">
        <f t="shared" si="53"/>
        <v>7017.1353658536582</v>
      </c>
      <c r="AI120" s="235">
        <f t="shared" si="54"/>
        <v>7017.1304878048777</v>
      </c>
    </row>
    <row r="121" spans="1:35" x14ac:dyDescent="0.2">
      <c r="A121" s="230">
        <v>1982</v>
      </c>
      <c r="B121" s="231">
        <f t="shared" si="43"/>
        <v>4269.8060975609751</v>
      </c>
      <c r="C121" s="231">
        <f t="shared" si="43"/>
        <v>335.86658536585367</v>
      </c>
      <c r="D121" s="231">
        <f t="shared" si="43"/>
        <v>157.21121951219513</v>
      </c>
      <c r="E121" s="231">
        <f t="shared" si="43"/>
        <v>793.96780487804881</v>
      </c>
      <c r="F121" s="231">
        <f t="shared" si="43"/>
        <v>627.79146341463422</v>
      </c>
      <c r="G121" s="231">
        <f t="shared" si="44"/>
        <v>6184.6431707317079</v>
      </c>
      <c r="I121" s="231">
        <f t="shared" si="45"/>
        <v>939.48926829268294</v>
      </c>
      <c r="J121" s="231">
        <f t="shared" si="45"/>
        <v>212.85292682926828</v>
      </c>
      <c r="K121" s="231">
        <f t="shared" si="45"/>
        <v>26.63219512195122</v>
      </c>
      <c r="L121" s="231">
        <f t="shared" si="45"/>
        <v>337.86853658536586</v>
      </c>
      <c r="M121" s="231">
        <f t="shared" si="45"/>
        <v>284.34463414634149</v>
      </c>
      <c r="N121" s="231">
        <f t="shared" si="49"/>
        <v>1801.1875609756098</v>
      </c>
      <c r="O121" s="231">
        <f t="shared" si="46"/>
        <v>1512.2231707317073</v>
      </c>
      <c r="P121" s="231">
        <f t="shared" si="46"/>
        <v>36.782682926829267</v>
      </c>
      <c r="Q121" s="231">
        <f t="shared" si="46"/>
        <v>39.694390243902433</v>
      </c>
      <c r="R121" s="231">
        <f t="shared" si="46"/>
        <v>261.03829268292685</v>
      </c>
      <c r="S121" s="231">
        <f t="shared" si="46"/>
        <v>168.3251219512195</v>
      </c>
      <c r="T121" s="231">
        <f t="shared" si="50"/>
        <v>2018.0636585365853</v>
      </c>
      <c r="U121" s="231">
        <f t="shared" si="47"/>
        <v>1143.4563414634144</v>
      </c>
      <c r="V121" s="231">
        <f t="shared" si="47"/>
        <v>30.769756097560972</v>
      </c>
      <c r="W121" s="231">
        <f t="shared" si="47"/>
        <v>45.007804878048773</v>
      </c>
      <c r="X121" s="231">
        <f t="shared" si="47"/>
        <v>107.69853658536584</v>
      </c>
      <c r="Y121" s="231">
        <f t="shared" si="47"/>
        <v>81.474634146341472</v>
      </c>
      <c r="Z121" s="231">
        <f t="shared" si="51"/>
        <v>1408.4070731707316</v>
      </c>
      <c r="AA121" s="231">
        <f t="shared" si="48"/>
        <v>674.6421951219512</v>
      </c>
      <c r="AB121" s="231">
        <f t="shared" si="48"/>
        <v>55.461219512195115</v>
      </c>
      <c r="AC121" s="231">
        <f t="shared" si="48"/>
        <v>45.861951219512193</v>
      </c>
      <c r="AD121" s="231">
        <f t="shared" si="48"/>
        <v>87.347560975609767</v>
      </c>
      <c r="AE121" s="231">
        <f t="shared" si="48"/>
        <v>93.66195121951219</v>
      </c>
      <c r="AF121" s="231">
        <f t="shared" si="52"/>
        <v>956.97487804878051</v>
      </c>
      <c r="AH121" s="235">
        <f t="shared" si="53"/>
        <v>6184.6431707317079</v>
      </c>
      <c r="AI121" s="235">
        <f t="shared" si="54"/>
        <v>6184.6331707317077</v>
      </c>
    </row>
    <row r="122" spans="1:35" x14ac:dyDescent="0.2">
      <c r="A122" s="230">
        <v>1984</v>
      </c>
      <c r="B122" s="231">
        <f t="shared" si="43"/>
        <v>4462.3402439024385</v>
      </c>
      <c r="C122" s="231">
        <f t="shared" si="43"/>
        <v>339.78926829268295</v>
      </c>
      <c r="D122" s="231">
        <f t="shared" si="43"/>
        <v>218.19292682926829</v>
      </c>
      <c r="E122" s="231">
        <f t="shared" si="43"/>
        <v>801.71292682926821</v>
      </c>
      <c r="F122" s="231">
        <f t="shared" si="43"/>
        <v>720.67804878048764</v>
      </c>
      <c r="G122" s="231">
        <f t="shared" si="44"/>
        <v>6542.713414634145</v>
      </c>
      <c r="I122" s="231">
        <f t="shared" si="45"/>
        <v>1036.399024390244</v>
      </c>
      <c r="J122" s="231">
        <f t="shared" si="45"/>
        <v>192.48365853658538</v>
      </c>
      <c r="K122" s="231">
        <f t="shared" si="45"/>
        <v>46.123902439024384</v>
      </c>
      <c r="L122" s="231">
        <f t="shared" si="45"/>
        <v>334.5080487804878</v>
      </c>
      <c r="M122" s="231">
        <f t="shared" si="45"/>
        <v>271.54243902439026</v>
      </c>
      <c r="N122" s="231">
        <f t="shared" si="49"/>
        <v>1881.0570731707317</v>
      </c>
      <c r="O122" s="231">
        <f t="shared" si="46"/>
        <v>1557.8117073170733</v>
      </c>
      <c r="P122" s="231">
        <f t="shared" si="46"/>
        <v>85.576829268292684</v>
      </c>
      <c r="Q122" s="231">
        <f t="shared" si="46"/>
        <v>71.072926829268283</v>
      </c>
      <c r="R122" s="231">
        <f t="shared" si="46"/>
        <v>301.5963414634146</v>
      </c>
      <c r="S122" s="231">
        <f t="shared" si="46"/>
        <v>233.54878048780489</v>
      </c>
      <c r="T122" s="231">
        <f t="shared" si="50"/>
        <v>2249.6065853658538</v>
      </c>
      <c r="U122" s="231">
        <f t="shared" si="47"/>
        <v>1167.320975609756</v>
      </c>
      <c r="V122" s="231">
        <f t="shared" si="47"/>
        <v>41.19</v>
      </c>
      <c r="W122" s="231">
        <f t="shared" si="47"/>
        <v>48.984146341463401</v>
      </c>
      <c r="X122" s="231">
        <f t="shared" si="47"/>
        <v>72.432439024390249</v>
      </c>
      <c r="Y122" s="231">
        <f t="shared" si="47"/>
        <v>97.600975609756091</v>
      </c>
      <c r="Z122" s="231">
        <f t="shared" si="51"/>
        <v>1427.5285365853658</v>
      </c>
      <c r="AA122" s="231">
        <f t="shared" si="48"/>
        <v>700.8085365853658</v>
      </c>
      <c r="AB122" s="231">
        <f t="shared" si="48"/>
        <v>20.533902439024391</v>
      </c>
      <c r="AC122" s="231">
        <f t="shared" si="48"/>
        <v>51.99707317073171</v>
      </c>
      <c r="AD122" s="231">
        <f t="shared" si="48"/>
        <v>93.166097560975601</v>
      </c>
      <c r="AE122" s="231">
        <f t="shared" si="48"/>
        <v>117.96609756097563</v>
      </c>
      <c r="AF122" s="231">
        <f t="shared" si="52"/>
        <v>984.47170731707308</v>
      </c>
      <c r="AH122" s="235">
        <f t="shared" si="53"/>
        <v>6542.713414634145</v>
      </c>
      <c r="AI122" s="235">
        <f t="shared" si="54"/>
        <v>6542.6639024390242</v>
      </c>
    </row>
    <row r="123" spans="1:35" x14ac:dyDescent="0.2">
      <c r="A123" s="230">
        <v>1987</v>
      </c>
      <c r="B123" s="231">
        <f t="shared" si="43"/>
        <v>4344.3748780487804</v>
      </c>
      <c r="C123" s="231">
        <f t="shared" si="43"/>
        <v>365.02926829268296</v>
      </c>
      <c r="D123" s="231">
        <f t="shared" si="43"/>
        <v>234.16390243902438</v>
      </c>
      <c r="E123" s="231">
        <f t="shared" si="43"/>
        <v>741.83365853658529</v>
      </c>
      <c r="F123" s="231">
        <f t="shared" si="43"/>
        <v>680.90317073170729</v>
      </c>
      <c r="G123" s="231">
        <f t="shared" si="44"/>
        <v>6366.3048780487798</v>
      </c>
      <c r="I123" s="231">
        <f t="shared" si="45"/>
        <v>1084.1382926829267</v>
      </c>
      <c r="J123" s="231">
        <f t="shared" si="45"/>
        <v>198.66902439024392</v>
      </c>
      <c r="K123" s="231">
        <f t="shared" si="45"/>
        <v>47.320000000000007</v>
      </c>
      <c r="L123" s="231">
        <f t="shared" si="45"/>
        <v>322.75341463414634</v>
      </c>
      <c r="M123" s="231">
        <f t="shared" si="45"/>
        <v>272.32390243902438</v>
      </c>
      <c r="N123" s="231">
        <f t="shared" si="49"/>
        <v>1925.2046341463413</v>
      </c>
      <c r="O123" s="231">
        <f t="shared" si="46"/>
        <v>1518.5668292682926</v>
      </c>
      <c r="P123" s="231">
        <f t="shared" si="46"/>
        <v>86.574878048780491</v>
      </c>
      <c r="Q123" s="231">
        <f t="shared" si="46"/>
        <v>76.306097560975616</v>
      </c>
      <c r="R123" s="231">
        <f t="shared" si="46"/>
        <v>260.51853658536589</v>
      </c>
      <c r="S123" s="231">
        <f t="shared" si="46"/>
        <v>174.79829268292684</v>
      </c>
      <c r="T123" s="231">
        <f t="shared" si="50"/>
        <v>2116.7646341463415</v>
      </c>
      <c r="U123" s="231">
        <f t="shared" si="47"/>
        <v>1110.8117073170733</v>
      </c>
      <c r="V123" s="231">
        <f t="shared" si="47"/>
        <v>26.647804878048774</v>
      </c>
      <c r="W123" s="231">
        <f t="shared" si="47"/>
        <v>58.916585365853663</v>
      </c>
      <c r="X123" s="231">
        <f t="shared" si="47"/>
        <v>76.256341463414643</v>
      </c>
      <c r="Y123" s="231">
        <f t="shared" si="47"/>
        <v>111.3831707317073</v>
      </c>
      <c r="Z123" s="231">
        <f t="shared" si="51"/>
        <v>1384.0156097560978</v>
      </c>
      <c r="AA123" s="231">
        <f t="shared" si="48"/>
        <v>630.8680487804877</v>
      </c>
      <c r="AB123" s="231">
        <f t="shared" si="48"/>
        <v>53.152439024390247</v>
      </c>
      <c r="AC123" s="231">
        <f t="shared" si="48"/>
        <v>51.611463414634144</v>
      </c>
      <c r="AD123" s="231">
        <f t="shared" si="48"/>
        <v>82.305365853658515</v>
      </c>
      <c r="AE123" s="231">
        <f t="shared" si="48"/>
        <v>122.41756097560977</v>
      </c>
      <c r="AF123" s="231">
        <f t="shared" si="52"/>
        <v>940.35487804878039</v>
      </c>
      <c r="AH123" s="235">
        <f t="shared" si="53"/>
        <v>6366.3048780487798</v>
      </c>
      <c r="AI123" s="235">
        <f t="shared" si="54"/>
        <v>6366.3397560975609</v>
      </c>
    </row>
    <row r="124" spans="1:35" x14ac:dyDescent="0.2">
      <c r="A124" s="230">
        <v>1990</v>
      </c>
      <c r="B124" s="231">
        <f t="shared" si="43"/>
        <v>4418.9675609756096</v>
      </c>
      <c r="C124" s="231">
        <f t="shared" si="43"/>
        <v>335.38439024390243</v>
      </c>
      <c r="D124" s="231">
        <f t="shared" si="43"/>
        <v>245.36024390243901</v>
      </c>
      <c r="E124" s="231">
        <f t="shared" si="43"/>
        <v>744.08268292682919</v>
      </c>
      <c r="F124" s="231">
        <f t="shared" si="43"/>
        <v>445.66731707317075</v>
      </c>
      <c r="G124" s="231">
        <f t="shared" si="44"/>
        <v>6189.4621951219506</v>
      </c>
      <c r="I124" s="231">
        <f t="shared" si="45"/>
        <v>1090.7124390243903</v>
      </c>
      <c r="J124" s="231">
        <f t="shared" si="45"/>
        <v>188.30682926829269</v>
      </c>
      <c r="K124" s="231">
        <f t="shared" si="45"/>
        <v>29.118780487804873</v>
      </c>
      <c r="L124" s="231">
        <f t="shared" si="45"/>
        <v>353.06829268292688</v>
      </c>
      <c r="M124" s="231">
        <f t="shared" si="45"/>
        <v>170.27439024390245</v>
      </c>
      <c r="N124" s="231">
        <f t="shared" si="49"/>
        <v>1831.4807317073169</v>
      </c>
      <c r="O124" s="231">
        <f t="shared" si="46"/>
        <v>1605.5424390243902</v>
      </c>
      <c r="P124" s="231">
        <f t="shared" si="46"/>
        <v>56.616585365853666</v>
      </c>
      <c r="Q124" s="231">
        <f t="shared" si="46"/>
        <v>110.19097560975611</v>
      </c>
      <c r="R124" s="231">
        <f t="shared" si="46"/>
        <v>258.72000000000003</v>
      </c>
      <c r="S124" s="231">
        <f t="shared" si="46"/>
        <v>113.00585365853658</v>
      </c>
      <c r="T124" s="231">
        <f t="shared" si="50"/>
        <v>2144.0758536585363</v>
      </c>
      <c r="U124" s="231">
        <f t="shared" si="47"/>
        <v>1042.4941463414634</v>
      </c>
      <c r="V124" s="231">
        <f t="shared" si="47"/>
        <v>31.539512195121944</v>
      </c>
      <c r="W124" s="231">
        <f t="shared" si="47"/>
        <v>46.588536585365844</v>
      </c>
      <c r="X124" s="231">
        <f t="shared" si="47"/>
        <v>60.8409756097561</v>
      </c>
      <c r="Y124" s="231">
        <f t="shared" si="47"/>
        <v>60.99731707317072</v>
      </c>
      <c r="Z124" s="231">
        <f t="shared" si="51"/>
        <v>1242.4604878048779</v>
      </c>
      <c r="AA124" s="231">
        <f t="shared" si="48"/>
        <v>680.21365853658517</v>
      </c>
      <c r="AB124" s="231">
        <f t="shared" si="48"/>
        <v>58.916585365853656</v>
      </c>
      <c r="AC124" s="231">
        <f t="shared" si="48"/>
        <v>59.461951219512201</v>
      </c>
      <c r="AD124" s="231">
        <f t="shared" si="48"/>
        <v>71.453414634146327</v>
      </c>
      <c r="AE124" s="231">
        <f t="shared" si="48"/>
        <v>101.38975609756098</v>
      </c>
      <c r="AF124" s="231">
        <f t="shared" si="52"/>
        <v>971.43536585365825</v>
      </c>
      <c r="AH124" s="235">
        <f t="shared" si="53"/>
        <v>6189.4621951219506</v>
      </c>
      <c r="AI124" s="235">
        <f t="shared" si="54"/>
        <v>6189.4524390243896</v>
      </c>
    </row>
    <row r="125" spans="1:35" x14ac:dyDescent="0.2">
      <c r="A125" s="230">
        <v>1993</v>
      </c>
      <c r="B125" s="231">
        <f t="shared" si="43"/>
        <v>4908.6229268292673</v>
      </c>
      <c r="C125" s="231">
        <f t="shared" si="43"/>
        <v>464.67219512195118</v>
      </c>
      <c r="D125" s="231">
        <f t="shared" si="43"/>
        <v>245.68073170731702</v>
      </c>
      <c r="E125" s="231">
        <f t="shared" si="43"/>
        <v>633.12487804878037</v>
      </c>
      <c r="F125" s="231">
        <f t="shared" si="43"/>
        <v>516.79195121951216</v>
      </c>
      <c r="G125" s="231">
        <f t="shared" si="44"/>
        <v>6768.8926829268285</v>
      </c>
      <c r="I125" s="231">
        <f t="shared" si="45"/>
        <v>1159.2485365853659</v>
      </c>
      <c r="J125" s="231">
        <f t="shared" si="45"/>
        <v>207.63000000000002</v>
      </c>
      <c r="K125" s="231">
        <f t="shared" si="45"/>
        <v>33.222926829268296</v>
      </c>
      <c r="L125" s="231">
        <f t="shared" si="45"/>
        <v>311.94195121951219</v>
      </c>
      <c r="M125" s="231">
        <f t="shared" si="45"/>
        <v>207.98512195121953</v>
      </c>
      <c r="N125" s="231">
        <f t="shared" si="49"/>
        <v>1920.0285365853661</v>
      </c>
      <c r="O125" s="231">
        <f t="shared" si="46"/>
        <v>1806.0297560975609</v>
      </c>
      <c r="P125" s="231">
        <f t="shared" si="46"/>
        <v>99.0490243902439</v>
      </c>
      <c r="Q125" s="231">
        <f t="shared" si="46"/>
        <v>103.56024390243903</v>
      </c>
      <c r="R125" s="231">
        <f t="shared" si="46"/>
        <v>229.29658536585362</v>
      </c>
      <c r="S125" s="231">
        <f t="shared" si="46"/>
        <v>160.28439024390241</v>
      </c>
      <c r="T125" s="231">
        <f t="shared" si="50"/>
        <v>2398.2200000000003</v>
      </c>
      <c r="U125" s="231">
        <f t="shared" si="47"/>
        <v>1207.7482926829266</v>
      </c>
      <c r="V125" s="231">
        <f t="shared" si="47"/>
        <v>95.618780487804855</v>
      </c>
      <c r="W125" s="231">
        <f t="shared" si="47"/>
        <v>60.016097560975595</v>
      </c>
      <c r="X125" s="231">
        <f t="shared" si="47"/>
        <v>32.299024390243893</v>
      </c>
      <c r="Y125" s="231">
        <f t="shared" si="47"/>
        <v>63.895365853658546</v>
      </c>
      <c r="Z125" s="231">
        <f t="shared" si="51"/>
        <v>1459.5775609756095</v>
      </c>
      <c r="AA125" s="231">
        <f t="shared" si="48"/>
        <v>735.59634146341443</v>
      </c>
      <c r="AB125" s="231">
        <f t="shared" si="48"/>
        <v>62.38439024390243</v>
      </c>
      <c r="AC125" s="231">
        <f t="shared" si="48"/>
        <v>48.891463414634146</v>
      </c>
      <c r="AD125" s="231">
        <f t="shared" si="48"/>
        <v>59.602195121951212</v>
      </c>
      <c r="AE125" s="231">
        <f t="shared" si="48"/>
        <v>84.631951219512217</v>
      </c>
      <c r="AF125" s="231">
        <f t="shared" si="52"/>
        <v>991.10634146341442</v>
      </c>
      <c r="AH125" s="235">
        <f t="shared" si="53"/>
        <v>6768.8926829268285</v>
      </c>
      <c r="AI125" s="235">
        <f t="shared" si="54"/>
        <v>6768.9324390243901</v>
      </c>
    </row>
    <row r="126" spans="1:35" x14ac:dyDescent="0.2">
      <c r="A126" s="230">
        <v>1997</v>
      </c>
      <c r="B126" s="231">
        <f t="shared" si="43"/>
        <v>4982.7746341463408</v>
      </c>
      <c r="C126" s="231">
        <f t="shared" si="43"/>
        <v>667.92073170731692</v>
      </c>
      <c r="D126" s="231">
        <f t="shared" si="43"/>
        <v>251.63317073170737</v>
      </c>
      <c r="E126" s="231">
        <f t="shared" si="43"/>
        <v>391.16024390243899</v>
      </c>
      <c r="F126" s="231">
        <f t="shared" si="43"/>
        <v>449.22658536585374</v>
      </c>
      <c r="G126" s="231">
        <f t="shared" si="44"/>
        <v>6742.7153658536581</v>
      </c>
      <c r="I126" s="231">
        <f t="shared" si="45"/>
        <v>1199.3178048780487</v>
      </c>
      <c r="J126" s="231">
        <f t="shared" si="45"/>
        <v>307.67</v>
      </c>
      <c r="K126" s="231">
        <f t="shared" si="45"/>
        <v>29.991219512195123</v>
      </c>
      <c r="L126" s="231">
        <f t="shared" si="45"/>
        <v>157.22024390243899</v>
      </c>
      <c r="M126" s="231">
        <f t="shared" si="45"/>
        <v>201.96780487804881</v>
      </c>
      <c r="N126" s="231">
        <f t="shared" si="49"/>
        <v>1896.1670731707318</v>
      </c>
      <c r="O126" s="231">
        <f t="shared" si="46"/>
        <v>1918.2660975609751</v>
      </c>
      <c r="P126" s="231">
        <f t="shared" si="46"/>
        <v>189.31439024390244</v>
      </c>
      <c r="Q126" s="231">
        <f t="shared" si="46"/>
        <v>88.921219512195123</v>
      </c>
      <c r="R126" s="231">
        <f t="shared" si="46"/>
        <v>172.34609756097558</v>
      </c>
      <c r="S126" s="231">
        <f t="shared" si="46"/>
        <v>116.23780487804876</v>
      </c>
      <c r="T126" s="231">
        <f t="shared" si="50"/>
        <v>2485.0856097560968</v>
      </c>
      <c r="U126" s="231">
        <f t="shared" si="47"/>
        <v>1127.5373170731707</v>
      </c>
      <c r="V126" s="231">
        <f t="shared" si="47"/>
        <v>77.314390243902409</v>
      </c>
      <c r="W126" s="231">
        <f t="shared" si="47"/>
        <v>65.374878048780488</v>
      </c>
      <c r="X126" s="231">
        <f t="shared" si="47"/>
        <v>33.707804878048762</v>
      </c>
      <c r="Y126" s="231">
        <f t="shared" si="47"/>
        <v>53.784634146341489</v>
      </c>
      <c r="Z126" s="231">
        <f t="shared" si="51"/>
        <v>1357.7190243902439</v>
      </c>
      <c r="AA126" s="231">
        <f t="shared" si="48"/>
        <v>737.64341463414644</v>
      </c>
      <c r="AB126" s="231">
        <f t="shared" si="48"/>
        <v>93.621951219512169</v>
      </c>
      <c r="AC126" s="231">
        <f t="shared" si="48"/>
        <v>67.330975609756081</v>
      </c>
      <c r="AD126" s="231">
        <f t="shared" si="48"/>
        <v>27.88609756097561</v>
      </c>
      <c r="AE126" s="231">
        <f t="shared" si="48"/>
        <v>77.216585365853646</v>
      </c>
      <c r="AF126" s="231">
        <f t="shared" si="52"/>
        <v>1003.6990243902441</v>
      </c>
      <c r="AH126" s="235">
        <f t="shared" si="53"/>
        <v>6742.7153658536581</v>
      </c>
      <c r="AI126" s="235">
        <f t="shared" si="54"/>
        <v>6742.670731707316</v>
      </c>
    </row>
    <row r="127" spans="1:35" x14ac:dyDescent="0.2">
      <c r="A127" s="230">
        <v>2001</v>
      </c>
      <c r="B127" s="231">
        <f t="shared" si="43"/>
        <v>4270.757073170731</v>
      </c>
      <c r="C127" s="231">
        <f t="shared" si="43"/>
        <v>733.26390243902449</v>
      </c>
      <c r="D127" s="231">
        <f t="shared" si="43"/>
        <v>237.13195121951202</v>
      </c>
      <c r="E127" s="231">
        <f t="shared" si="43"/>
        <v>516.81048780487811</v>
      </c>
      <c r="F127" s="231">
        <f t="shared" si="43"/>
        <v>350.27634146341461</v>
      </c>
      <c r="G127" s="231">
        <f>SUM(B127:F127)</f>
        <v>6108.2397560975605</v>
      </c>
      <c r="I127" s="231">
        <f t="shared" si="45"/>
        <v>937.38048780487804</v>
      </c>
      <c r="J127" s="231">
        <f t="shared" si="45"/>
        <v>261.06902439024395</v>
      </c>
      <c r="K127" s="231">
        <f t="shared" si="45"/>
        <v>39.358048780487806</v>
      </c>
      <c r="L127" s="231">
        <f t="shared" si="45"/>
        <v>256.27999999999997</v>
      </c>
      <c r="M127" s="231">
        <f t="shared" si="45"/>
        <v>155.45878048780486</v>
      </c>
      <c r="N127" s="231">
        <f>SUM(I127:M127)</f>
        <v>1649.5463414634146</v>
      </c>
      <c r="O127" s="231">
        <f t="shared" si="46"/>
        <v>1475.8848780487804</v>
      </c>
      <c r="P127" s="231">
        <f t="shared" si="46"/>
        <v>266.10756097560983</v>
      </c>
      <c r="Q127" s="231">
        <f t="shared" si="46"/>
        <v>83.438536585365853</v>
      </c>
      <c r="R127" s="231">
        <f t="shared" si="46"/>
        <v>180.98219512195118</v>
      </c>
      <c r="S127" s="231">
        <f t="shared" si="46"/>
        <v>67.603414634146347</v>
      </c>
      <c r="T127" s="231">
        <f>SUM(O127:S127)</f>
        <v>2074.0165853658536</v>
      </c>
      <c r="U127" s="231">
        <f t="shared" si="47"/>
        <v>1141.9202439024386</v>
      </c>
      <c r="V127" s="231">
        <f t="shared" si="47"/>
        <v>110.6290243902439</v>
      </c>
      <c r="W127" s="231">
        <f t="shared" si="47"/>
        <v>50.233658536585324</v>
      </c>
      <c r="X127" s="231">
        <f t="shared" si="47"/>
        <v>38.095853658536555</v>
      </c>
      <c r="Y127" s="231">
        <f t="shared" si="47"/>
        <v>45.558780487804853</v>
      </c>
      <c r="Z127" s="231">
        <f>SUM(U127:Y127)</f>
        <v>1386.4375609756091</v>
      </c>
      <c r="AA127" s="231">
        <f t="shared" si="48"/>
        <v>715.55658536585361</v>
      </c>
      <c r="AB127" s="231">
        <f t="shared" si="48"/>
        <v>95.463170731707294</v>
      </c>
      <c r="AC127" s="231">
        <f t="shared" si="48"/>
        <v>64.081951219512192</v>
      </c>
      <c r="AD127" s="231">
        <f t="shared" si="48"/>
        <v>41.457317073170728</v>
      </c>
      <c r="AE127" s="231">
        <f t="shared" si="48"/>
        <v>81.65048780487804</v>
      </c>
      <c r="AF127" s="231">
        <f>SUM(AA127:AE127)</f>
        <v>998.20951219512199</v>
      </c>
      <c r="AH127" s="235">
        <f>G127</f>
        <v>6108.2397560975605</v>
      </c>
      <c r="AI127" s="235">
        <f>N127+T127+Z127+AF127</f>
        <v>6108.2099999999991</v>
      </c>
    </row>
    <row r="128" spans="1:35" x14ac:dyDescent="0.2">
      <c r="B128" s="240"/>
      <c r="F128" s="240"/>
      <c r="G128" s="240"/>
      <c r="H128" s="240"/>
      <c r="I128" s="240"/>
      <c r="J128" s="240"/>
      <c r="K128" s="240"/>
    </row>
    <row r="129" spans="1:31" x14ac:dyDescent="0.2">
      <c r="B129" s="240"/>
      <c r="F129" s="240"/>
      <c r="G129" s="240"/>
      <c r="H129" s="240"/>
      <c r="I129" s="240"/>
      <c r="J129" s="240"/>
      <c r="K129" s="240"/>
    </row>
    <row r="130" spans="1:31" x14ac:dyDescent="0.2">
      <c r="A130" s="32" t="s">
        <v>406</v>
      </c>
      <c r="B130" s="240"/>
      <c r="F130" s="240"/>
      <c r="G130" s="240"/>
      <c r="H130" s="240"/>
      <c r="I130" s="240"/>
      <c r="J130" s="240"/>
      <c r="K130" s="240"/>
    </row>
    <row r="131" spans="1:31" x14ac:dyDescent="0.2">
      <c r="B131" s="225" t="s">
        <v>382</v>
      </c>
      <c r="C131" s="225" t="s">
        <v>383</v>
      </c>
      <c r="D131" s="225" t="s">
        <v>384</v>
      </c>
      <c r="E131" s="225" t="s">
        <v>385</v>
      </c>
      <c r="F131" s="225" t="s">
        <v>386</v>
      </c>
      <c r="G131" s="225"/>
      <c r="H131" s="225"/>
      <c r="I131" s="239" t="s">
        <v>382</v>
      </c>
      <c r="J131" s="239" t="s">
        <v>383</v>
      </c>
      <c r="K131" s="239" t="s">
        <v>384</v>
      </c>
      <c r="L131" s="239" t="s">
        <v>385</v>
      </c>
      <c r="M131" s="239" t="s">
        <v>386</v>
      </c>
      <c r="N131" s="239"/>
      <c r="O131" s="239" t="s">
        <v>382</v>
      </c>
      <c r="P131" s="239" t="s">
        <v>383</v>
      </c>
      <c r="Q131" s="239" t="s">
        <v>384</v>
      </c>
      <c r="R131" s="239" t="s">
        <v>385</v>
      </c>
      <c r="S131" s="239" t="s">
        <v>386</v>
      </c>
      <c r="T131" s="239"/>
      <c r="U131" s="239" t="s">
        <v>382</v>
      </c>
      <c r="V131" s="239" t="s">
        <v>383</v>
      </c>
      <c r="W131" s="239" t="s">
        <v>384</v>
      </c>
      <c r="X131" s="239" t="s">
        <v>385</v>
      </c>
      <c r="Y131" s="239" t="s">
        <v>386</v>
      </c>
      <c r="Z131" s="239"/>
      <c r="AA131" s="239" t="s">
        <v>382</v>
      </c>
      <c r="AB131" s="239" t="s">
        <v>383</v>
      </c>
      <c r="AC131" s="239" t="s">
        <v>384</v>
      </c>
      <c r="AD131" s="239" t="s">
        <v>385</v>
      </c>
      <c r="AE131" s="239" t="s">
        <v>386</v>
      </c>
    </row>
    <row r="132" spans="1:31" x14ac:dyDescent="0.2">
      <c r="A132" s="230">
        <v>1978</v>
      </c>
      <c r="B132" s="231">
        <f t="shared" ref="B132:F142" si="55">B65/B27</f>
        <v>72.339674930033098</v>
      </c>
      <c r="C132" s="231">
        <f t="shared" si="55"/>
        <v>76.362810224796718</v>
      </c>
      <c r="D132" s="231">
        <f t="shared" si="55"/>
        <v>114.16524122807019</v>
      </c>
      <c r="E132" s="231">
        <f t="shared" si="55"/>
        <v>120.75013901760894</v>
      </c>
      <c r="F132" s="231">
        <f t="shared" si="55"/>
        <v>99.111801242236027</v>
      </c>
      <c r="G132" s="231"/>
      <c r="H132" s="231"/>
      <c r="I132" s="231">
        <f t="shared" ref="I132:AE142" si="56">I65/I27</f>
        <v>71.04898183819482</v>
      </c>
      <c r="J132" s="231">
        <f t="shared" si="56"/>
        <v>73.084112149532714</v>
      </c>
      <c r="K132" s="231">
        <f t="shared" si="56"/>
        <v>110.95108695652173</v>
      </c>
      <c r="L132" s="231">
        <f t="shared" si="56"/>
        <v>121.52142857142852</v>
      </c>
      <c r="M132" s="231">
        <f t="shared" si="56"/>
        <v>156.44703729123771</v>
      </c>
      <c r="N132" s="231"/>
      <c r="O132" s="231">
        <f t="shared" si="56"/>
        <v>83.397940895738159</v>
      </c>
      <c r="P132" s="231">
        <f t="shared" si="56"/>
        <v>128.30487804878047</v>
      </c>
      <c r="Q132" s="231">
        <f t="shared" si="56"/>
        <v>169.44</v>
      </c>
      <c r="R132" s="231">
        <f t="shared" si="56"/>
        <v>134.09969788519641</v>
      </c>
      <c r="S132" s="231">
        <f t="shared" si="56"/>
        <v>97.658898305084719</v>
      </c>
      <c r="T132" s="231"/>
      <c r="U132" s="231">
        <f t="shared" si="56"/>
        <v>61.935665257819117</v>
      </c>
      <c r="V132" s="231">
        <f t="shared" si="56"/>
        <v>49.874999999999993</v>
      </c>
      <c r="W132" s="231">
        <f t="shared" si="56"/>
        <v>98.368188512518387</v>
      </c>
      <c r="X132" s="231">
        <f t="shared" si="56"/>
        <v>79.439560439560438</v>
      </c>
      <c r="Y132" s="231">
        <f t="shared" si="56"/>
        <v>53.46508563899868</v>
      </c>
      <c r="Z132" s="231"/>
      <c r="AA132" s="231">
        <f t="shared" si="56"/>
        <v>67.307449503066465</v>
      </c>
      <c r="AB132" s="231">
        <f t="shared" si="56"/>
        <v>82.376865671641795</v>
      </c>
      <c r="AC132" s="231">
        <f t="shared" si="56"/>
        <v>107.28885400313975</v>
      </c>
      <c r="AD132" s="231">
        <f t="shared" si="56"/>
        <v>123.24137931034484</v>
      </c>
      <c r="AE132" s="231">
        <f t="shared" si="56"/>
        <v>73.79549999999999</v>
      </c>
    </row>
    <row r="133" spans="1:31" x14ac:dyDescent="0.2">
      <c r="A133" s="230">
        <v>1979</v>
      </c>
      <c r="B133" s="231">
        <f t="shared" si="55"/>
        <v>64.780562833956665</v>
      </c>
      <c r="C133" s="231">
        <f t="shared" si="55"/>
        <v>73.958813838550242</v>
      </c>
      <c r="D133" s="231">
        <f t="shared" si="55"/>
        <v>103.39075738125803</v>
      </c>
      <c r="E133" s="231">
        <f t="shared" si="55"/>
        <v>118.23953424171317</v>
      </c>
      <c r="F133" s="231">
        <f t="shared" si="55"/>
        <v>93.792007131184064</v>
      </c>
      <c r="G133" s="231"/>
      <c r="H133" s="231"/>
      <c r="I133" s="231">
        <f t="shared" si="56"/>
        <v>62.366583850931683</v>
      </c>
      <c r="J133" s="231">
        <f t="shared" si="56"/>
        <v>73.311809685641464</v>
      </c>
      <c r="K133" s="231">
        <f t="shared" si="56"/>
        <v>93.206521739130423</v>
      </c>
      <c r="L133" s="231">
        <f t="shared" si="56"/>
        <v>119.94714285714281</v>
      </c>
      <c r="M133" s="231">
        <f t="shared" si="56"/>
        <v>117.05593165699548</v>
      </c>
      <c r="N133" s="231"/>
      <c r="O133" s="231">
        <f t="shared" si="56"/>
        <v>76.991433348801905</v>
      </c>
      <c r="P133" s="231">
        <f t="shared" si="56"/>
        <v>127.00348432055749</v>
      </c>
      <c r="Q133" s="231">
        <f t="shared" si="56"/>
        <v>152.53714285714287</v>
      </c>
      <c r="R133" s="231">
        <f t="shared" si="56"/>
        <v>137.72485173995747</v>
      </c>
      <c r="S133" s="231">
        <f t="shared" si="56"/>
        <v>111.26440677966102</v>
      </c>
      <c r="T133" s="231"/>
      <c r="U133" s="231">
        <f t="shared" si="56"/>
        <v>54.67056666666668</v>
      </c>
      <c r="V133" s="231">
        <f t="shared" si="56"/>
        <v>61.970238095238088</v>
      </c>
      <c r="W133" s="231">
        <f t="shared" si="56"/>
        <v>93.582005623242722</v>
      </c>
      <c r="X133" s="231">
        <f t="shared" si="56"/>
        <v>72.671703296703299</v>
      </c>
      <c r="Y133" s="231">
        <f t="shared" si="56"/>
        <v>65.790633608815412</v>
      </c>
      <c r="Z133" s="231"/>
      <c r="AA133" s="231">
        <f t="shared" si="56"/>
        <v>60.251872601782502</v>
      </c>
      <c r="AB133" s="231">
        <f t="shared" si="56"/>
        <v>82.652238805970143</v>
      </c>
      <c r="AC133" s="231">
        <f t="shared" si="56"/>
        <v>104.26495726495726</v>
      </c>
      <c r="AD133" s="231">
        <f t="shared" si="56"/>
        <v>107.58362068965516</v>
      </c>
      <c r="AE133" s="231">
        <f t="shared" si="56"/>
        <v>72.913833333333329</v>
      </c>
    </row>
    <row r="134" spans="1:31" x14ac:dyDescent="0.2">
      <c r="A134" s="230">
        <v>1980</v>
      </c>
      <c r="B134" s="231">
        <f t="shared" si="55"/>
        <v>58.542677527890923</v>
      </c>
      <c r="C134" s="231">
        <f t="shared" si="55"/>
        <v>64.355848434925861</v>
      </c>
      <c r="D134" s="231">
        <f t="shared" si="55"/>
        <v>102.85263157894737</v>
      </c>
      <c r="E134" s="231">
        <f t="shared" si="55"/>
        <v>101.30305838739574</v>
      </c>
      <c r="F134" s="231">
        <f t="shared" si="55"/>
        <v>93.847019122609666</v>
      </c>
      <c r="G134" s="231"/>
      <c r="H134" s="231"/>
      <c r="I134" s="231">
        <f t="shared" si="56"/>
        <v>53.897722567287794</v>
      </c>
      <c r="J134" s="231">
        <f t="shared" si="56"/>
        <v>67.909657320872284</v>
      </c>
      <c r="K134" s="231">
        <f t="shared" si="56"/>
        <v>106.60869565217391</v>
      </c>
      <c r="L134" s="231">
        <f t="shared" si="56"/>
        <v>111.37619047619046</v>
      </c>
      <c r="M134" s="231">
        <f t="shared" si="56"/>
        <v>140.49290780141845</v>
      </c>
      <c r="N134" s="231"/>
      <c r="O134" s="231">
        <f t="shared" si="56"/>
        <v>66.396437805228388</v>
      </c>
      <c r="P134" s="231">
        <f t="shared" si="56"/>
        <v>71.341463414634148</v>
      </c>
      <c r="Q134" s="231">
        <f t="shared" si="56"/>
        <v>132.63999999999999</v>
      </c>
      <c r="R134" s="231">
        <f t="shared" si="56"/>
        <v>108.96676737160121</v>
      </c>
      <c r="S134" s="231">
        <f t="shared" si="56"/>
        <v>88.033898305084747</v>
      </c>
      <c r="T134" s="231"/>
      <c r="U134" s="231">
        <f t="shared" si="56"/>
        <v>57.813142857142857</v>
      </c>
      <c r="V134" s="231">
        <f t="shared" si="56"/>
        <v>63.294642857142854</v>
      </c>
      <c r="W134" s="231">
        <f t="shared" si="56"/>
        <v>96.74742268041237</v>
      </c>
      <c r="X134" s="231">
        <f t="shared" si="56"/>
        <v>78.719780219780219</v>
      </c>
      <c r="Y134" s="231">
        <f t="shared" si="56"/>
        <v>70.251082251082252</v>
      </c>
      <c r="Z134" s="231"/>
      <c r="AA134" s="231">
        <f t="shared" si="56"/>
        <v>51.421191354770698</v>
      </c>
      <c r="AB134" s="231">
        <f t="shared" si="56"/>
        <v>54.119402985074622</v>
      </c>
      <c r="AC134" s="231">
        <f t="shared" si="56"/>
        <v>96.483516483516482</v>
      </c>
      <c r="AD134" s="231">
        <f t="shared" si="56"/>
        <v>83.675862068965515</v>
      </c>
      <c r="AE134" s="231">
        <f t="shared" si="56"/>
        <v>60.005000000000003</v>
      </c>
    </row>
    <row r="135" spans="1:31" x14ac:dyDescent="0.2">
      <c r="A135" s="230">
        <v>1981</v>
      </c>
      <c r="B135" s="231">
        <f t="shared" si="55"/>
        <v>60.624376149198845</v>
      </c>
      <c r="C135" s="231">
        <f t="shared" si="55"/>
        <v>55.008547008547012</v>
      </c>
      <c r="D135" s="231">
        <f t="shared" si="55"/>
        <v>90.924324324324331</v>
      </c>
      <c r="E135" s="231">
        <f t="shared" si="55"/>
        <v>95.945765937202665</v>
      </c>
      <c r="F135" s="231">
        <f t="shared" si="55"/>
        <v>92.860160965794776</v>
      </c>
      <c r="G135" s="231"/>
      <c r="H135" s="231"/>
      <c r="I135" s="231">
        <f t="shared" si="56"/>
        <v>55.780358598207009</v>
      </c>
      <c r="J135" s="231">
        <f t="shared" si="56"/>
        <v>59.607017543859648</v>
      </c>
      <c r="K135" s="231">
        <f t="shared" si="56"/>
        <v>106.04878048780488</v>
      </c>
      <c r="L135" s="231">
        <f t="shared" si="56"/>
        <v>111.66744730679157</v>
      </c>
      <c r="M135" s="231">
        <f t="shared" si="56"/>
        <v>135.78405315614617</v>
      </c>
      <c r="N135" s="231"/>
      <c r="O135" s="231">
        <f t="shared" si="56"/>
        <v>71.15169660678643</v>
      </c>
      <c r="P135" s="231">
        <f t="shared" si="56"/>
        <v>66.431034482758633</v>
      </c>
      <c r="Q135" s="231">
        <f t="shared" si="56"/>
        <v>119.61643835616438</v>
      </c>
      <c r="R135" s="231">
        <f t="shared" si="56"/>
        <v>97.424050632911388</v>
      </c>
      <c r="S135" s="231">
        <f t="shared" si="56"/>
        <v>96.502590673575128</v>
      </c>
      <c r="T135" s="231"/>
      <c r="U135" s="231">
        <f t="shared" si="56"/>
        <v>55.650526915408719</v>
      </c>
      <c r="V135" s="231">
        <f t="shared" si="56"/>
        <v>46.848214285714278</v>
      </c>
      <c r="W135" s="231">
        <f t="shared" si="56"/>
        <v>78.47126436781609</v>
      </c>
      <c r="X135" s="231">
        <f t="shared" si="56"/>
        <v>80.471698113207552</v>
      </c>
      <c r="Y135" s="231">
        <f t="shared" si="56"/>
        <v>63.635761589403977</v>
      </c>
      <c r="Z135" s="231"/>
      <c r="AA135" s="231">
        <f t="shared" si="56"/>
        <v>56.74089276552079</v>
      </c>
      <c r="AB135" s="231">
        <f t="shared" si="56"/>
        <v>47.224806201550386</v>
      </c>
      <c r="AC135" s="231">
        <f t="shared" si="56"/>
        <v>85.283950617283949</v>
      </c>
      <c r="AD135" s="231">
        <f t="shared" si="56"/>
        <v>64.702702702702709</v>
      </c>
      <c r="AE135" s="231">
        <f t="shared" si="56"/>
        <v>68.286432160804011</v>
      </c>
    </row>
    <row r="136" spans="1:31" x14ac:dyDescent="0.2">
      <c r="A136" s="230">
        <v>1982</v>
      </c>
      <c r="B136" s="231">
        <f t="shared" si="55"/>
        <v>54.469956694334172</v>
      </c>
      <c r="C136" s="231">
        <f t="shared" si="55"/>
        <v>62.533236994219656</v>
      </c>
      <c r="D136" s="231">
        <f t="shared" si="55"/>
        <v>83.496894409937894</v>
      </c>
      <c r="E136" s="231">
        <f t="shared" si="55"/>
        <v>86.419410745233975</v>
      </c>
      <c r="F136" s="231">
        <f t="shared" si="55"/>
        <v>91.310380267214796</v>
      </c>
      <c r="G136" s="231"/>
      <c r="H136" s="231"/>
      <c r="I136" s="231">
        <f t="shared" si="56"/>
        <v>50.36434108527132</v>
      </c>
      <c r="J136" s="231">
        <f t="shared" si="56"/>
        <v>67.472148541114066</v>
      </c>
      <c r="K136" s="231">
        <f t="shared" si="56"/>
        <v>121.79310344827587</v>
      </c>
      <c r="L136" s="231">
        <f t="shared" si="56"/>
        <v>87.214601769911511</v>
      </c>
      <c r="M136" s="231">
        <f t="shared" si="56"/>
        <v>129.7764705882353</v>
      </c>
      <c r="N136" s="231"/>
      <c r="O136" s="231">
        <f t="shared" si="56"/>
        <v>59.569414649095918</v>
      </c>
      <c r="P136" s="231">
        <f t="shared" si="56"/>
        <v>57.467289719626166</v>
      </c>
      <c r="Q136" s="231">
        <f t="shared" si="56"/>
        <v>99.786885245901644</v>
      </c>
      <c r="R136" s="231">
        <f t="shared" si="56"/>
        <v>94.162576687116584</v>
      </c>
      <c r="S136" s="231">
        <f t="shared" si="56"/>
        <v>94.716101694915267</v>
      </c>
      <c r="T136" s="231"/>
      <c r="U136" s="231">
        <f t="shared" si="56"/>
        <v>52.614120183239017</v>
      </c>
      <c r="V136" s="231">
        <f t="shared" si="56"/>
        <v>61.971014492753625</v>
      </c>
      <c r="W136" s="231">
        <f t="shared" si="56"/>
        <v>71.393103448275866</v>
      </c>
      <c r="X136" s="231">
        <f t="shared" si="56"/>
        <v>81.194570135746602</v>
      </c>
      <c r="Y136" s="231">
        <f t="shared" si="56"/>
        <v>83.43497757847534</v>
      </c>
      <c r="Z136" s="231"/>
      <c r="AA136" s="231">
        <f t="shared" si="56"/>
        <v>54.316936836221352</v>
      </c>
      <c r="AB136" s="231">
        <f t="shared" si="56"/>
        <v>53.70289855072464</v>
      </c>
      <c r="AC136" s="231">
        <f t="shared" si="56"/>
        <v>78.568181818181813</v>
      </c>
      <c r="AD136" s="231">
        <f t="shared" si="56"/>
        <v>74.775641025641022</v>
      </c>
      <c r="AE136" s="231">
        <f t="shared" si="56"/>
        <v>57.119691119691119</v>
      </c>
    </row>
    <row r="137" spans="1:31" x14ac:dyDescent="0.2">
      <c r="A137" s="230">
        <v>1984</v>
      </c>
      <c r="B137" s="231">
        <f t="shared" si="55"/>
        <v>57.16245783571884</v>
      </c>
      <c r="C137" s="231">
        <f t="shared" si="55"/>
        <v>59.134289439374186</v>
      </c>
      <c r="D137" s="231">
        <f t="shared" si="55"/>
        <v>86.862790697674427</v>
      </c>
      <c r="E137" s="231">
        <f t="shared" si="55"/>
        <v>83.723514211886311</v>
      </c>
      <c r="F137" s="231">
        <f t="shared" si="55"/>
        <v>87.35798016230838</v>
      </c>
      <c r="G137" s="231"/>
      <c r="H137" s="231"/>
      <c r="I137" s="231">
        <f t="shared" si="56"/>
        <v>54.234219269102994</v>
      </c>
      <c r="J137" s="231">
        <f t="shared" si="56"/>
        <v>63.817927170868352</v>
      </c>
      <c r="K137" s="231">
        <f t="shared" si="56"/>
        <v>112.87272727272726</v>
      </c>
      <c r="L137" s="231">
        <f t="shared" si="56"/>
        <v>90.078758949880665</v>
      </c>
      <c r="M137" s="231">
        <f t="shared" si="56"/>
        <v>121.00380228136883</v>
      </c>
      <c r="N137" s="231"/>
      <c r="O137" s="231">
        <f t="shared" si="56"/>
        <v>64.858936240502146</v>
      </c>
      <c r="P137" s="231">
        <f t="shared" si="56"/>
        <v>60.926966292134836</v>
      </c>
      <c r="Q137" s="231">
        <f t="shared" si="56"/>
        <v>108.07070707070707</v>
      </c>
      <c r="R137" s="231">
        <f t="shared" si="56"/>
        <v>94.643835616438352</v>
      </c>
      <c r="S137" s="231">
        <f t="shared" si="56"/>
        <v>111.46938775510205</v>
      </c>
      <c r="T137" s="231"/>
      <c r="U137" s="231">
        <f t="shared" si="56"/>
        <v>53.978165938864628</v>
      </c>
      <c r="V137" s="231">
        <f t="shared" si="56"/>
        <v>51.154696132596683</v>
      </c>
      <c r="W137" s="231">
        <f t="shared" si="56"/>
        <v>68.480662983425418</v>
      </c>
      <c r="X137" s="231">
        <f t="shared" si="56"/>
        <v>72.764705882352942</v>
      </c>
      <c r="Y137" s="231">
        <f t="shared" si="56"/>
        <v>69.904761904761912</v>
      </c>
      <c r="Z137" s="231"/>
      <c r="AA137" s="231">
        <f t="shared" si="56"/>
        <v>54.743178170144461</v>
      </c>
      <c r="AB137" s="231">
        <f t="shared" si="56"/>
        <v>47.480769230769234</v>
      </c>
      <c r="AC137" s="231">
        <f t="shared" si="56"/>
        <v>84.715789473684225</v>
      </c>
      <c r="AD137" s="231">
        <f t="shared" si="56"/>
        <v>61.522321428571423</v>
      </c>
      <c r="AE137" s="231">
        <f t="shared" si="56"/>
        <v>56.893292682926834</v>
      </c>
    </row>
    <row r="138" spans="1:31" x14ac:dyDescent="0.2">
      <c r="A138" s="230">
        <v>1987</v>
      </c>
      <c r="B138" s="231">
        <f t="shared" si="55"/>
        <v>53.208947678827194</v>
      </c>
      <c r="C138" s="231">
        <f t="shared" si="55"/>
        <v>51.630648330058946</v>
      </c>
      <c r="D138" s="231">
        <f t="shared" si="55"/>
        <v>88.689342403628117</v>
      </c>
      <c r="E138" s="231">
        <f t="shared" si="55"/>
        <v>80.790017211703969</v>
      </c>
      <c r="F138" s="231">
        <f t="shared" si="55"/>
        <v>80.287751677852341</v>
      </c>
      <c r="G138" s="231"/>
      <c r="H138" s="231"/>
      <c r="I138" s="231">
        <f t="shared" si="56"/>
        <v>54.429538216560509</v>
      </c>
      <c r="J138" s="231">
        <f t="shared" si="56"/>
        <v>63.036553524804177</v>
      </c>
      <c r="K138" s="231">
        <f t="shared" si="56"/>
        <v>119.07692307692308</v>
      </c>
      <c r="L138" s="231">
        <f t="shared" si="56"/>
        <v>87.503529411764703</v>
      </c>
      <c r="M138" s="231">
        <f t="shared" si="56"/>
        <v>105.70322580645161</v>
      </c>
      <c r="N138" s="231"/>
      <c r="O138" s="231">
        <f t="shared" si="56"/>
        <v>56.074471086036667</v>
      </c>
      <c r="P138" s="231">
        <f t="shared" si="56"/>
        <v>46.282868525896419</v>
      </c>
      <c r="Q138" s="231">
        <f t="shared" si="56"/>
        <v>108.97058823529412</v>
      </c>
      <c r="R138" s="231">
        <f t="shared" si="56"/>
        <v>94.892405063291136</v>
      </c>
      <c r="S138" s="231">
        <f t="shared" si="56"/>
        <v>99.779342723004703</v>
      </c>
      <c r="T138" s="231"/>
      <c r="U138" s="231">
        <f t="shared" si="56"/>
        <v>53.292767547371234</v>
      </c>
      <c r="V138" s="231">
        <f t="shared" si="56"/>
        <v>39.898734177215189</v>
      </c>
      <c r="W138" s="231">
        <f t="shared" si="56"/>
        <v>77.147540983606561</v>
      </c>
      <c r="X138" s="231">
        <f t="shared" si="56"/>
        <v>67.480952380952388</v>
      </c>
      <c r="Y138" s="231">
        <f t="shared" si="56"/>
        <v>68.637982195845694</v>
      </c>
      <c r="Z138" s="231"/>
      <c r="AA138" s="231">
        <f t="shared" si="56"/>
        <v>46.653268765133177</v>
      </c>
      <c r="AB138" s="231">
        <f t="shared" si="56"/>
        <v>49.965986394557824</v>
      </c>
      <c r="AC138" s="231">
        <f t="shared" si="56"/>
        <v>73.913461538461547</v>
      </c>
      <c r="AD138" s="231">
        <f t="shared" si="56"/>
        <v>59.113207547169807</v>
      </c>
      <c r="AE138" s="231">
        <f t="shared" si="56"/>
        <v>55.879518072289166</v>
      </c>
    </row>
    <row r="139" spans="1:31" x14ac:dyDescent="0.2">
      <c r="A139" s="230">
        <v>1990</v>
      </c>
      <c r="B139" s="231">
        <f t="shared" si="55"/>
        <v>50.538514442916089</v>
      </c>
      <c r="C139" s="231">
        <f t="shared" si="55"/>
        <v>52.323676323676324</v>
      </c>
      <c r="D139" s="231">
        <f t="shared" si="55"/>
        <v>83.014285714285705</v>
      </c>
      <c r="E139" s="231">
        <f t="shared" si="55"/>
        <v>80.202886247877757</v>
      </c>
      <c r="F139" s="231">
        <f t="shared" si="55"/>
        <v>62.393835616438359</v>
      </c>
      <c r="G139" s="231"/>
      <c r="H139" s="231"/>
      <c r="I139" s="231">
        <f t="shared" si="56"/>
        <v>49.868355333571166</v>
      </c>
      <c r="J139" s="231">
        <f t="shared" si="56"/>
        <v>54.6</v>
      </c>
      <c r="K139" s="231">
        <f t="shared" si="56"/>
        <v>89.530612244897952</v>
      </c>
      <c r="L139" s="231">
        <f t="shared" si="56"/>
        <v>90.921348314606746</v>
      </c>
      <c r="M139" s="231">
        <f t="shared" si="56"/>
        <v>70.242718446601955</v>
      </c>
      <c r="N139" s="231"/>
      <c r="O139" s="231">
        <f t="shared" si="56"/>
        <v>54.898097471983327</v>
      </c>
      <c r="P139" s="231">
        <f t="shared" si="56"/>
        <v>60.062015503875969</v>
      </c>
      <c r="Q139" s="231">
        <f t="shared" si="56"/>
        <v>100.92857142857143</v>
      </c>
      <c r="R139" s="231">
        <f t="shared" si="56"/>
        <v>91.180722891566276</v>
      </c>
      <c r="S139" s="231">
        <f t="shared" si="56"/>
        <v>68.398340248962654</v>
      </c>
      <c r="T139" s="231"/>
      <c r="U139" s="231">
        <f t="shared" si="56"/>
        <v>48.466572504708104</v>
      </c>
      <c r="V139" s="231">
        <f t="shared" si="56"/>
        <v>42.131274131274132</v>
      </c>
      <c r="W139" s="231">
        <f t="shared" si="56"/>
        <v>69.125</v>
      </c>
      <c r="X139" s="231">
        <f t="shared" si="56"/>
        <v>57.299145299145309</v>
      </c>
      <c r="Y139" s="231">
        <f t="shared" si="56"/>
        <v>54.952238805970147</v>
      </c>
      <c r="Z139" s="231"/>
      <c r="AA139" s="231">
        <f t="shared" si="56"/>
        <v>47.808830223031407</v>
      </c>
      <c r="AB139" s="231">
        <f t="shared" si="56"/>
        <v>55.945355191256823</v>
      </c>
      <c r="AC139" s="231">
        <f t="shared" si="56"/>
        <v>76.756302521008408</v>
      </c>
      <c r="AD139" s="231">
        <f t="shared" si="56"/>
        <v>61.910179640718567</v>
      </c>
      <c r="AE139" s="231">
        <f t="shared" si="56"/>
        <v>57.316901408450704</v>
      </c>
    </row>
    <row r="140" spans="1:31" x14ac:dyDescent="0.2">
      <c r="A140" s="230">
        <v>1993</v>
      </c>
      <c r="B140" s="231">
        <f t="shared" si="55"/>
        <v>51.876456205954263</v>
      </c>
      <c r="C140" s="231">
        <f t="shared" si="55"/>
        <v>53.512937595129372</v>
      </c>
      <c r="D140" s="231">
        <f t="shared" si="55"/>
        <v>83.917279411764696</v>
      </c>
      <c r="E140" s="231">
        <f t="shared" si="55"/>
        <v>83.030176899063477</v>
      </c>
      <c r="F140" s="231">
        <f t="shared" si="55"/>
        <v>59.761632068718683</v>
      </c>
      <c r="G140" s="231"/>
      <c r="H140" s="231"/>
      <c r="I140" s="231">
        <f t="shared" si="56"/>
        <v>52.928415697674417</v>
      </c>
      <c r="J140" s="231">
        <f t="shared" si="56"/>
        <v>59.043577981651374</v>
      </c>
      <c r="K140" s="231">
        <f t="shared" si="56"/>
        <v>94.68</v>
      </c>
      <c r="L140" s="231">
        <f t="shared" si="56"/>
        <v>83.687645687645684</v>
      </c>
      <c r="M140" s="231">
        <f t="shared" si="56"/>
        <v>77.807692307692307</v>
      </c>
      <c r="N140" s="231"/>
      <c r="O140" s="231">
        <f t="shared" si="56"/>
        <v>56.470503940769049</v>
      </c>
      <c r="P140" s="231">
        <f t="shared" si="56"/>
        <v>61.094059405940591</v>
      </c>
      <c r="Q140" s="231">
        <f t="shared" si="56"/>
        <v>107.1726618705036</v>
      </c>
      <c r="R140" s="231">
        <f t="shared" si="56"/>
        <v>115.91150442477877</v>
      </c>
      <c r="S140" s="231">
        <f t="shared" si="56"/>
        <v>76.125412541254136</v>
      </c>
      <c r="T140" s="231"/>
      <c r="U140" s="231">
        <f t="shared" si="56"/>
        <v>50.726097615333188</v>
      </c>
      <c r="V140" s="231">
        <f t="shared" si="56"/>
        <v>50.65675057208238</v>
      </c>
      <c r="W140" s="231">
        <f t="shared" si="56"/>
        <v>70.454901960784312</v>
      </c>
      <c r="X140" s="231">
        <f t="shared" si="56"/>
        <v>54.141025641025635</v>
      </c>
      <c r="Y140" s="231">
        <f t="shared" si="56"/>
        <v>48.577836411609503</v>
      </c>
      <c r="Z140" s="231"/>
      <c r="AA140" s="231">
        <f t="shared" si="56"/>
        <v>45.0161225312374</v>
      </c>
      <c r="AB140" s="231">
        <f t="shared" si="56"/>
        <v>42.24267782426778</v>
      </c>
      <c r="AC140" s="231">
        <f t="shared" si="56"/>
        <v>81.36363636363636</v>
      </c>
      <c r="AD140" s="231">
        <f t="shared" si="56"/>
        <v>62.0738255033557</v>
      </c>
      <c r="AE140" s="231">
        <f t="shared" si="56"/>
        <v>41.56349206349207</v>
      </c>
    </row>
    <row r="141" spans="1:31" x14ac:dyDescent="0.2">
      <c r="A141" s="230">
        <v>1997</v>
      </c>
      <c r="B141" s="231">
        <f t="shared" si="55"/>
        <v>48.209480692723808</v>
      </c>
      <c r="C141" s="231">
        <f t="shared" si="55"/>
        <v>45.479626660087995</v>
      </c>
      <c r="D141" s="231">
        <f t="shared" si="55"/>
        <v>78.349979923134285</v>
      </c>
      <c r="E141" s="231">
        <f t="shared" si="55"/>
        <v>70.905729727378514</v>
      </c>
      <c r="F141" s="231">
        <f t="shared" si="55"/>
        <v>56.90230694705366</v>
      </c>
      <c r="G141" s="231"/>
      <c r="H141" s="231"/>
      <c r="I141" s="231">
        <f t="shared" si="56"/>
        <v>47.718178909693876</v>
      </c>
      <c r="J141" s="231">
        <f t="shared" si="56"/>
        <v>57.453437454386219</v>
      </c>
      <c r="K141" s="231">
        <f t="shared" si="56"/>
        <v>87.733333333333334</v>
      </c>
      <c r="L141" s="231">
        <f t="shared" si="56"/>
        <v>64.778937888833809</v>
      </c>
      <c r="M141" s="231">
        <f t="shared" si="56"/>
        <v>79.05881872215231</v>
      </c>
      <c r="N141" s="231"/>
      <c r="O141" s="231">
        <f t="shared" si="56"/>
        <v>55.089980288783643</v>
      </c>
      <c r="P141" s="231">
        <f t="shared" si="56"/>
        <v>49.439804565233985</v>
      </c>
      <c r="Q141" s="231">
        <f t="shared" si="56"/>
        <v>110.25139635086971</v>
      </c>
      <c r="R141" s="231">
        <f t="shared" si="56"/>
        <v>89.756796290076181</v>
      </c>
      <c r="S141" s="231">
        <f t="shared" si="56"/>
        <v>68.290133779264224</v>
      </c>
      <c r="T141" s="231"/>
      <c r="U141" s="231">
        <f t="shared" si="56"/>
        <v>44.816827506902264</v>
      </c>
      <c r="V141" s="231">
        <f t="shared" si="56"/>
        <v>36.094569541993323</v>
      </c>
      <c r="W141" s="231">
        <f t="shared" si="56"/>
        <v>68.097118205349432</v>
      </c>
      <c r="X141" s="231">
        <f t="shared" si="56"/>
        <v>60.313432835820883</v>
      </c>
      <c r="Y141" s="231">
        <f t="shared" si="56"/>
        <v>47.021600046110855</v>
      </c>
      <c r="Z141" s="231"/>
      <c r="AA141" s="231">
        <f t="shared" si="56"/>
        <v>42.289986470946836</v>
      </c>
      <c r="AB141" s="231">
        <f t="shared" si="56"/>
        <v>34.962481710672918</v>
      </c>
      <c r="AC141" s="231">
        <f t="shared" si="56"/>
        <v>72.78233795641097</v>
      </c>
      <c r="AD141" s="231">
        <f t="shared" si="56"/>
        <v>55.744966442953022</v>
      </c>
      <c r="AE141" s="231">
        <f t="shared" si="56"/>
        <v>42.341429344444784</v>
      </c>
    </row>
    <row r="142" spans="1:31" x14ac:dyDescent="0.2">
      <c r="A142" s="230">
        <v>2001</v>
      </c>
      <c r="B142" s="231">
        <f t="shared" si="55"/>
        <v>42.493264634676265</v>
      </c>
      <c r="C142" s="231">
        <f t="shared" si="55"/>
        <v>42.299920445505172</v>
      </c>
      <c r="D142" s="231">
        <f t="shared" si="55"/>
        <v>71.48132780082986</v>
      </c>
      <c r="E142" s="231">
        <f t="shared" si="55"/>
        <v>56.068835098335853</v>
      </c>
      <c r="F142" s="231">
        <f t="shared" si="55"/>
        <v>48.433726578764741</v>
      </c>
      <c r="G142" s="231"/>
      <c r="H142" s="231"/>
      <c r="I142" s="231">
        <f t="shared" si="56"/>
        <v>43.710758377425044</v>
      </c>
      <c r="J142" s="231">
        <f t="shared" si="56"/>
        <v>47.944776119402988</v>
      </c>
      <c r="K142" s="231">
        <f t="shared" si="56"/>
        <v>85.411764705882348</v>
      </c>
      <c r="L142" s="231">
        <f t="shared" si="56"/>
        <v>54.952879581151826</v>
      </c>
      <c r="M142" s="231">
        <f t="shared" si="56"/>
        <v>58.749347258485635</v>
      </c>
      <c r="N142" s="231"/>
      <c r="O142" s="231">
        <f t="shared" si="56"/>
        <v>47.306691449814124</v>
      </c>
      <c r="P142" s="231">
        <f t="shared" si="56"/>
        <v>42.854897218863364</v>
      </c>
      <c r="Q142" s="231">
        <f t="shared" si="56"/>
        <v>98.703999999999994</v>
      </c>
      <c r="R142" s="231">
        <f t="shared" si="56"/>
        <v>70.235474006116206</v>
      </c>
      <c r="S142" s="231">
        <f t="shared" si="56"/>
        <v>48.957627118644076</v>
      </c>
      <c r="T142" s="231"/>
      <c r="U142" s="231">
        <f t="shared" si="56"/>
        <v>40.630093520374075</v>
      </c>
      <c r="V142" s="231">
        <f t="shared" si="56"/>
        <v>37.955792682926834</v>
      </c>
      <c r="W142" s="231">
        <f t="shared" si="56"/>
        <v>62.255072463768116</v>
      </c>
      <c r="X142" s="231">
        <f t="shared" si="56"/>
        <v>46.032846715328461</v>
      </c>
      <c r="Y142" s="231">
        <f t="shared" si="56"/>
        <v>47.259351620947633</v>
      </c>
      <c r="Z142" s="231"/>
      <c r="AA142" s="231">
        <f t="shared" si="56"/>
        <v>38.129443326626422</v>
      </c>
      <c r="AB142" s="231">
        <f t="shared" si="56"/>
        <v>38.445983379501385</v>
      </c>
      <c r="AC142" s="231">
        <f t="shared" si="56"/>
        <v>65.167567567567559</v>
      </c>
      <c r="AD142" s="231">
        <f t="shared" si="56"/>
        <v>47.348993288590606</v>
      </c>
      <c r="AE142" s="231">
        <f t="shared" si="56"/>
        <v>39.874109263657957</v>
      </c>
    </row>
    <row r="143" spans="1:31" x14ac:dyDescent="0.2">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c r="AC143" s="249"/>
      <c r="AD143" s="249"/>
      <c r="AE143" s="249"/>
    </row>
    <row r="144" spans="1:31" x14ac:dyDescent="0.2">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c r="AC144" s="249"/>
      <c r="AD144" s="249"/>
      <c r="AE144" s="249"/>
    </row>
    <row r="145" spans="1:8" x14ac:dyDescent="0.2">
      <c r="A145" s="217" t="s">
        <v>407</v>
      </c>
      <c r="B145" s="240"/>
      <c r="F145" s="240"/>
    </row>
    <row r="146" spans="1:8" x14ac:dyDescent="0.2">
      <c r="A146" s="217"/>
      <c r="B146" s="240"/>
      <c r="F146" s="240"/>
    </row>
    <row r="147" spans="1:8" x14ac:dyDescent="0.2">
      <c r="B147" s="225" t="s">
        <v>382</v>
      </c>
      <c r="C147" s="225" t="s">
        <v>383</v>
      </c>
      <c r="D147" s="225" t="s">
        <v>384</v>
      </c>
      <c r="E147" s="225" t="s">
        <v>385</v>
      </c>
      <c r="F147" s="225" t="s">
        <v>386</v>
      </c>
    </row>
    <row r="148" spans="1:8" x14ac:dyDescent="0.2">
      <c r="A148" s="230">
        <v>1978</v>
      </c>
      <c r="B148" s="235">
        <f t="shared" ref="B148:G158" si="57">B65/B8</f>
        <v>154.15175257731957</v>
      </c>
      <c r="C148" s="235">
        <f t="shared" si="57"/>
        <v>140.46129032258065</v>
      </c>
      <c r="D148" s="235">
        <f t="shared" si="57"/>
        <v>94.310416666666669</v>
      </c>
      <c r="E148" s="235">
        <f t="shared" si="57"/>
        <v>131.60545454545456</v>
      </c>
      <c r="F148" s="235">
        <f t="shared" si="57"/>
        <v>81.58369565217393</v>
      </c>
      <c r="G148" s="235">
        <f t="shared" si="57"/>
        <v>137.89438642297648</v>
      </c>
      <c r="H148" s="235"/>
    </row>
    <row r="149" spans="1:8" x14ac:dyDescent="0.2">
      <c r="A149" s="230">
        <v>1979</v>
      </c>
      <c r="B149" s="235">
        <f t="shared" si="57"/>
        <v>138.0437125748503</v>
      </c>
      <c r="C149" s="235">
        <f t="shared" si="57"/>
        <v>136.03939393939396</v>
      </c>
      <c r="D149" s="235">
        <f t="shared" si="57"/>
        <v>85.409756097560987</v>
      </c>
      <c r="E149" s="235">
        <f t="shared" si="57"/>
        <v>128.86914893617021</v>
      </c>
      <c r="F149" s="235">
        <f t="shared" si="57"/>
        <v>77.20471698113208</v>
      </c>
      <c r="G149" s="235">
        <f t="shared" si="57"/>
        <v>125.73987096774196</v>
      </c>
      <c r="H149" s="235"/>
    </row>
    <row r="150" spans="1:8" x14ac:dyDescent="0.2">
      <c r="A150" s="230">
        <v>1980</v>
      </c>
      <c r="B150" s="235">
        <f t="shared" si="57"/>
        <v>124.7511320754717</v>
      </c>
      <c r="C150" s="235">
        <f t="shared" si="57"/>
        <v>118.37575757575758</v>
      </c>
      <c r="D150" s="235">
        <f t="shared" si="57"/>
        <v>84.96521739130435</v>
      </c>
      <c r="E150" s="235">
        <f t="shared" si="57"/>
        <v>110.410101010101</v>
      </c>
      <c r="F150" s="235">
        <f t="shared" si="57"/>
        <v>77.249999999999986</v>
      </c>
      <c r="G150" s="235">
        <f t="shared" si="57"/>
        <v>114.22365196078432</v>
      </c>
      <c r="H150" s="235"/>
    </row>
    <row r="151" spans="1:8" x14ac:dyDescent="0.2">
      <c r="A151" s="230">
        <v>1981</v>
      </c>
      <c r="B151" s="235">
        <f t="shared" si="57"/>
        <v>126.81153846153846</v>
      </c>
      <c r="C151" s="235">
        <f t="shared" si="57"/>
        <v>107.26666666666667</v>
      </c>
      <c r="D151" s="235">
        <f t="shared" si="57"/>
        <v>80.099999999999994</v>
      </c>
      <c r="E151" s="235">
        <f t="shared" si="57"/>
        <v>108.42903225806451</v>
      </c>
      <c r="F151" s="235">
        <f t="shared" si="57"/>
        <v>76.919166666666669</v>
      </c>
      <c r="G151" s="235">
        <f t="shared" si="57"/>
        <v>114.48315282791818</v>
      </c>
      <c r="H151" s="235"/>
    </row>
    <row r="152" spans="1:8" x14ac:dyDescent="0.2">
      <c r="A152" s="230">
        <v>1982</v>
      </c>
      <c r="B152" s="235">
        <f t="shared" si="57"/>
        <v>112.22026022304833</v>
      </c>
      <c r="C152" s="235">
        <f t="shared" si="57"/>
        <v>110.95641025641027</v>
      </c>
      <c r="D152" s="235">
        <f t="shared" si="57"/>
        <v>72.664864864864867</v>
      </c>
      <c r="E152" s="235">
        <f t="shared" si="57"/>
        <v>98.740594059405936</v>
      </c>
      <c r="F152" s="235">
        <f t="shared" si="57"/>
        <v>72.823770491803288</v>
      </c>
      <c r="G152" s="235">
        <f t="shared" si="57"/>
        <v>103.04384707287933</v>
      </c>
      <c r="H152" s="235"/>
    </row>
    <row r="153" spans="1:8" x14ac:dyDescent="0.2">
      <c r="A153" s="230">
        <v>1984</v>
      </c>
      <c r="B153" s="235">
        <f t="shared" si="57"/>
        <v>117.19906542056074</v>
      </c>
      <c r="C153" s="235">
        <f t="shared" si="57"/>
        <v>110.62439024390245</v>
      </c>
      <c r="D153" s="235">
        <f t="shared" si="57"/>
        <v>73.237254901960782</v>
      </c>
      <c r="E153" s="235">
        <f t="shared" si="57"/>
        <v>97.203000000000003</v>
      </c>
      <c r="F153" s="235">
        <f t="shared" si="57"/>
        <v>71.235294117647058</v>
      </c>
      <c r="G153" s="235">
        <f t="shared" si="57"/>
        <v>104.72827346465816</v>
      </c>
      <c r="H153" s="235"/>
    </row>
    <row r="154" spans="1:8" x14ac:dyDescent="0.2">
      <c r="A154" s="230">
        <v>1987</v>
      </c>
      <c r="B154" s="235">
        <f t="shared" si="57"/>
        <v>114.4088768115942</v>
      </c>
      <c r="C154" s="235">
        <f t="shared" si="57"/>
        <v>99.169811320754718</v>
      </c>
      <c r="D154" s="235">
        <f t="shared" si="57"/>
        <v>76.690196078431384</v>
      </c>
      <c r="E154" s="235">
        <f t="shared" si="57"/>
        <v>92.948514851485143</v>
      </c>
      <c r="F154" s="235">
        <f t="shared" si="57"/>
        <v>64.230201342281873</v>
      </c>
      <c r="G154" s="235">
        <f t="shared" si="57"/>
        <v>100.74944812362031</v>
      </c>
      <c r="H154" s="235"/>
    </row>
    <row r="155" spans="1:8" x14ac:dyDescent="0.2">
      <c r="A155" s="230">
        <v>1990</v>
      </c>
      <c r="B155" s="235">
        <f t="shared" si="57"/>
        <v>113.2443493150685</v>
      </c>
      <c r="C155" s="235">
        <f t="shared" si="57"/>
        <v>87.293333333333337</v>
      </c>
      <c r="D155" s="235">
        <f t="shared" si="57"/>
        <v>78.224999999999994</v>
      </c>
      <c r="E155" s="235">
        <f t="shared" si="57"/>
        <v>94.478999999999999</v>
      </c>
      <c r="F155" s="235">
        <f t="shared" si="57"/>
        <v>50.608333333333334</v>
      </c>
      <c r="G155" s="235">
        <f t="shared" si="57"/>
        <v>98.059042553191489</v>
      </c>
      <c r="H155" s="235"/>
    </row>
    <row r="156" spans="1:8" x14ac:dyDescent="0.2">
      <c r="A156" s="230">
        <v>1993</v>
      </c>
      <c r="B156" s="235">
        <f t="shared" si="57"/>
        <v>121.24268907563024</v>
      </c>
      <c r="C156" s="235">
        <f t="shared" si="57"/>
        <v>96.323287671232876</v>
      </c>
      <c r="D156" s="235">
        <f t="shared" si="57"/>
        <v>81.519642857142856</v>
      </c>
      <c r="E156" s="235">
        <f t="shared" si="57"/>
        <v>99.74</v>
      </c>
      <c r="F156" s="235">
        <f t="shared" si="57"/>
        <v>51.535185185185185</v>
      </c>
      <c r="G156" s="235">
        <f t="shared" si="57"/>
        <v>103.58592132505176</v>
      </c>
      <c r="H156" s="235"/>
    </row>
    <row r="157" spans="1:8" x14ac:dyDescent="0.2">
      <c r="A157" s="230">
        <v>1997</v>
      </c>
      <c r="B157" s="235">
        <f t="shared" si="57"/>
        <v>117.87398119122257</v>
      </c>
      <c r="C157" s="235">
        <f t="shared" si="57"/>
        <v>94.86363636363636</v>
      </c>
      <c r="D157" s="235">
        <f t="shared" si="57"/>
        <v>79.707936507936509</v>
      </c>
      <c r="E157" s="235">
        <f t="shared" si="57"/>
        <v>91.923214285714295</v>
      </c>
      <c r="F157" s="235">
        <f t="shared" si="57"/>
        <v>48.651265822784815</v>
      </c>
      <c r="G157" s="235">
        <f t="shared" si="57"/>
        <v>101.03678500986196</v>
      </c>
      <c r="H157" s="235"/>
    </row>
    <row r="158" spans="1:8" x14ac:dyDescent="0.2">
      <c r="A158" s="230">
        <v>2001</v>
      </c>
      <c r="B158" s="235">
        <f t="shared" si="57"/>
        <v>108.48240887480189</v>
      </c>
      <c r="C158" s="235">
        <f t="shared" si="57"/>
        <v>100.32264150943398</v>
      </c>
      <c r="D158" s="235">
        <f t="shared" si="57"/>
        <v>76.001470588235293</v>
      </c>
      <c r="E158" s="235">
        <f t="shared" si="57"/>
        <v>78.024210526315798</v>
      </c>
      <c r="F158" s="235">
        <f t="shared" si="57"/>
        <v>41.054705882352941</v>
      </c>
      <c r="G158" s="235">
        <f t="shared" si="57"/>
        <v>92.19280373831775</v>
      </c>
    </row>
    <row r="160" spans="1:8" x14ac:dyDescent="0.2">
      <c r="G160" s="251" t="s">
        <v>409</v>
      </c>
    </row>
    <row r="161" spans="2:29" x14ac:dyDescent="0.2">
      <c r="G161" s="32">
        <v>1993</v>
      </c>
      <c r="I161" s="235">
        <f>I35+J35</f>
        <v>31.88</v>
      </c>
      <c r="J161" s="235">
        <f>L35+M35</f>
        <v>7.67</v>
      </c>
      <c r="K161" s="235">
        <f>K35</f>
        <v>0.5</v>
      </c>
      <c r="O161" s="235">
        <f>O35+P35</f>
        <v>43.89</v>
      </c>
      <c r="P161" s="235">
        <f>R35+S35</f>
        <v>5.2899999999999991</v>
      </c>
      <c r="Q161" s="235">
        <f>Q35</f>
        <v>1.39</v>
      </c>
      <c r="U161" s="235">
        <f>U35+V35</f>
        <v>49.239999999999995</v>
      </c>
      <c r="V161" s="235">
        <f>X35+Y35</f>
        <v>5.35</v>
      </c>
      <c r="W161" s="235">
        <f>W35</f>
        <v>2.5499999999999998</v>
      </c>
      <c r="AA161" s="235">
        <f>AA35+AB35</f>
        <v>27.2</v>
      </c>
      <c r="AB161" s="235">
        <f>AD35+AE35</f>
        <v>5.27</v>
      </c>
      <c r="AC161" s="235">
        <f>AC35</f>
        <v>0.99</v>
      </c>
    </row>
    <row r="162" spans="2:29" x14ac:dyDescent="0.2">
      <c r="G162" s="32">
        <v>2001</v>
      </c>
      <c r="I162" s="235">
        <f>I37+J37</f>
        <v>35.050000000000004</v>
      </c>
      <c r="J162" s="235">
        <f>L37+M37</f>
        <v>9.56</v>
      </c>
      <c r="K162" s="235">
        <f>K37</f>
        <v>0.68</v>
      </c>
      <c r="O162" s="235">
        <f>O37+P37</f>
        <v>51.31</v>
      </c>
      <c r="P162" s="235">
        <f>R37+S37</f>
        <v>5.63</v>
      </c>
      <c r="Q162" s="235">
        <f>Q37</f>
        <v>1.25</v>
      </c>
      <c r="U162" s="235">
        <f>U37+V37</f>
        <v>66.44</v>
      </c>
      <c r="V162" s="235">
        <f>X37+Y37</f>
        <v>6.75</v>
      </c>
      <c r="W162" s="235">
        <f>W37</f>
        <v>3.45</v>
      </c>
      <c r="AA162" s="235">
        <f>AA37+AB37</f>
        <v>33.43</v>
      </c>
      <c r="AB162" s="235">
        <f>AD37+AE37</f>
        <v>5.7</v>
      </c>
      <c r="AC162" s="235">
        <f>AC37</f>
        <v>1.85</v>
      </c>
    </row>
    <row r="164" spans="2:29" x14ac:dyDescent="0.2">
      <c r="G164" s="32">
        <v>1993</v>
      </c>
      <c r="I164" s="235">
        <f>I125+J125</f>
        <v>1366.878536585366</v>
      </c>
      <c r="J164" s="235">
        <f>L125+M125</f>
        <v>519.92707317073177</v>
      </c>
      <c r="K164" s="235">
        <f>K125</f>
        <v>33.222926829268296</v>
      </c>
      <c r="O164" s="235">
        <f>O125+P125</f>
        <v>1905.0787804878048</v>
      </c>
      <c r="P164" s="235">
        <f>R125+S125</f>
        <v>389.58097560975602</v>
      </c>
      <c r="Q164" s="235">
        <f>Q125</f>
        <v>103.56024390243903</v>
      </c>
      <c r="U164" s="235">
        <f>U125+V125</f>
        <v>1303.3670731707314</v>
      </c>
      <c r="V164" s="235">
        <f>X125+Y125</f>
        <v>96.194390243902433</v>
      </c>
      <c r="W164" s="235">
        <f>W125</f>
        <v>60.016097560975595</v>
      </c>
      <c r="AA164" s="235">
        <f>AA125+AB125</f>
        <v>797.98073170731686</v>
      </c>
      <c r="AB164" s="235">
        <f>AD125+AE125</f>
        <v>144.23414634146343</v>
      </c>
      <c r="AC164" s="235">
        <f>AC125</f>
        <v>48.891463414634146</v>
      </c>
    </row>
    <row r="165" spans="2:29" x14ac:dyDescent="0.2">
      <c r="G165" s="32">
        <v>2001</v>
      </c>
      <c r="I165" s="235">
        <f>I127+J127</f>
        <v>1198.449512195122</v>
      </c>
      <c r="J165" s="235">
        <f>L127+M127</f>
        <v>411.73878048780483</v>
      </c>
      <c r="K165" s="235">
        <f>K127</f>
        <v>39.358048780487806</v>
      </c>
      <c r="O165" s="235">
        <f>O127+P127</f>
        <v>1741.9924390243903</v>
      </c>
      <c r="P165" s="235">
        <f>R127+S127</f>
        <v>248.58560975609754</v>
      </c>
      <c r="Q165" s="235">
        <f>Q127</f>
        <v>83.438536585365853</v>
      </c>
      <c r="U165" s="235">
        <f>U127+V127</f>
        <v>1252.5492682926824</v>
      </c>
      <c r="V165" s="235">
        <f>X127+Y127</f>
        <v>83.654634146341408</v>
      </c>
      <c r="W165" s="235">
        <f>W127</f>
        <v>50.233658536585324</v>
      </c>
      <c r="AA165" s="235">
        <f>AA127+AB127</f>
        <v>811.01975609756096</v>
      </c>
      <c r="AB165" s="235">
        <f>AD127+AE127</f>
        <v>123.10780487804877</v>
      </c>
      <c r="AC165" s="235">
        <f>AC127</f>
        <v>64.081951219512192</v>
      </c>
    </row>
    <row r="167" spans="2:29" x14ac:dyDescent="0.2">
      <c r="G167" s="32">
        <v>1993</v>
      </c>
      <c r="I167" s="32">
        <f t="shared" ref="I167:K168" si="58">I164/I161</f>
        <v>42.875738286868447</v>
      </c>
      <c r="J167" s="32">
        <f t="shared" si="58"/>
        <v>67.787102108309227</v>
      </c>
      <c r="K167" s="32">
        <f t="shared" si="58"/>
        <v>66.445853658536592</v>
      </c>
      <c r="O167" s="32">
        <f t="shared" ref="O167:Q168" si="59">O164/O161</f>
        <v>43.405759409610496</v>
      </c>
      <c r="P167" s="32">
        <f t="shared" si="59"/>
        <v>73.644796901655212</v>
      </c>
      <c r="Q167" s="32">
        <f t="shared" si="59"/>
        <v>74.503772591682761</v>
      </c>
      <c r="U167" s="32">
        <f t="shared" ref="U167:W168" si="60">U164/U161</f>
        <v>26.469680608666359</v>
      </c>
      <c r="V167" s="32">
        <f t="shared" si="60"/>
        <v>17.980259858673353</v>
      </c>
      <c r="W167" s="32">
        <f t="shared" si="60"/>
        <v>23.535724533715921</v>
      </c>
      <c r="AA167" s="32">
        <f t="shared" ref="AA167:AC168" si="61">AA164/AA161</f>
        <v>29.337526901004296</v>
      </c>
      <c r="AB167" s="32">
        <f t="shared" si="61"/>
        <v>27.368908224186612</v>
      </c>
      <c r="AC167" s="32">
        <f t="shared" si="61"/>
        <v>49.385316580438534</v>
      </c>
    </row>
    <row r="168" spans="2:29" x14ac:dyDescent="0.2">
      <c r="G168" s="32">
        <v>2001</v>
      </c>
      <c r="I168" s="32">
        <f t="shared" si="58"/>
        <v>34.192568108277371</v>
      </c>
      <c r="J168" s="32">
        <f t="shared" si="58"/>
        <v>43.068910092866609</v>
      </c>
      <c r="K168" s="32">
        <f t="shared" si="58"/>
        <v>57.879483500717356</v>
      </c>
      <c r="O168" s="32">
        <f t="shared" si="59"/>
        <v>33.950349620432476</v>
      </c>
      <c r="P168" s="32">
        <f t="shared" si="59"/>
        <v>44.153749512628337</v>
      </c>
      <c r="Q168" s="32">
        <f t="shared" si="59"/>
        <v>66.750829268292676</v>
      </c>
      <c r="U168" s="32">
        <f t="shared" si="60"/>
        <v>18.852336970088537</v>
      </c>
      <c r="V168" s="32">
        <f t="shared" si="60"/>
        <v>12.393279132791319</v>
      </c>
      <c r="W168" s="32">
        <f t="shared" si="60"/>
        <v>14.560480735242121</v>
      </c>
      <c r="AA168" s="32">
        <f t="shared" si="61"/>
        <v>24.260237992747861</v>
      </c>
      <c r="AB168" s="32">
        <f t="shared" si="61"/>
        <v>21.597860504920835</v>
      </c>
      <c r="AC168" s="32">
        <f t="shared" si="61"/>
        <v>34.638892551087672</v>
      </c>
    </row>
    <row r="169" spans="2:29" x14ac:dyDescent="0.2">
      <c r="I169" s="252">
        <f>AVERAGE(I167,I168)</f>
        <v>38.534153197572905</v>
      </c>
      <c r="J169" s="252">
        <f>AVERAGE(J167,J168)</f>
        <v>55.428006100587922</v>
      </c>
      <c r="K169" s="252">
        <f>AVERAGE(K167,K168)</f>
        <v>62.162668579626974</v>
      </c>
      <c r="O169" s="252">
        <f>AVERAGE(O167,O168)</f>
        <v>38.678054515021486</v>
      </c>
      <c r="P169" s="252">
        <f>AVERAGE(P167,P168)</f>
        <v>58.899273207141775</v>
      </c>
      <c r="Q169" s="252">
        <f>AVERAGE(Q167,Q168)</f>
        <v>70.627300929987712</v>
      </c>
      <c r="U169" s="252">
        <f>AVERAGE(U167,U168)</f>
        <v>22.661008789377448</v>
      </c>
      <c r="V169" s="252">
        <f>AVERAGE(V167,V168)</f>
        <v>15.186769495732335</v>
      </c>
      <c r="W169" s="252">
        <f>AVERAGE(W167,W168)</f>
        <v>19.048102634479022</v>
      </c>
      <c r="AA169" s="252">
        <f>AVERAGE(AA167,AA168)</f>
        <v>26.798882446876078</v>
      </c>
      <c r="AB169" s="252">
        <f>AVERAGE(AB167,AB168)</f>
        <v>24.483384364553721</v>
      </c>
      <c r="AC169" s="252">
        <f>AVERAGE(AC167,AC168)</f>
        <v>42.012104565763103</v>
      </c>
    </row>
    <row r="172" spans="2:29" x14ac:dyDescent="0.2">
      <c r="G172" s="251" t="s">
        <v>408</v>
      </c>
    </row>
    <row r="173" spans="2:29" x14ac:dyDescent="0.2">
      <c r="G173" s="32">
        <v>1993</v>
      </c>
      <c r="I173" s="235">
        <f t="shared" ref="I173:K174" si="62">I161</f>
        <v>31.88</v>
      </c>
      <c r="J173" s="235">
        <f t="shared" si="62"/>
        <v>7.67</v>
      </c>
      <c r="K173" s="235">
        <f t="shared" si="62"/>
        <v>0.5</v>
      </c>
      <c r="O173" s="235">
        <f t="shared" ref="O173:Q174" si="63">O161</f>
        <v>43.89</v>
      </c>
      <c r="P173" s="235">
        <f t="shared" si="63"/>
        <v>5.2899999999999991</v>
      </c>
      <c r="Q173" s="235">
        <f t="shared" si="63"/>
        <v>1.39</v>
      </c>
      <c r="U173" s="235">
        <f t="shared" ref="U173:W174" si="64">U161</f>
        <v>49.239999999999995</v>
      </c>
      <c r="V173" s="235">
        <f t="shared" si="64"/>
        <v>5.35</v>
      </c>
      <c r="W173" s="235">
        <f t="shared" si="64"/>
        <v>2.5499999999999998</v>
      </c>
      <c r="AA173" s="235">
        <f t="shared" ref="AA173:AC174" si="65">AA161</f>
        <v>27.2</v>
      </c>
      <c r="AB173" s="235">
        <f t="shared" si="65"/>
        <v>5.27</v>
      </c>
      <c r="AC173" s="235">
        <f t="shared" si="65"/>
        <v>0.99</v>
      </c>
    </row>
    <row r="174" spans="2:29" x14ac:dyDescent="0.2">
      <c r="G174" s="32">
        <v>2001</v>
      </c>
      <c r="I174" s="235">
        <f t="shared" si="62"/>
        <v>35.050000000000004</v>
      </c>
      <c r="J174" s="235">
        <f t="shared" si="62"/>
        <v>9.56</v>
      </c>
      <c r="K174" s="235">
        <f t="shared" si="62"/>
        <v>0.68</v>
      </c>
      <c r="O174" s="235">
        <f t="shared" si="63"/>
        <v>51.31</v>
      </c>
      <c r="P174" s="235">
        <f t="shared" si="63"/>
        <v>5.63</v>
      </c>
      <c r="Q174" s="235">
        <f t="shared" si="63"/>
        <v>1.25</v>
      </c>
      <c r="U174" s="235">
        <f t="shared" si="64"/>
        <v>66.44</v>
      </c>
      <c r="V174" s="235">
        <f t="shared" si="64"/>
        <v>6.75</v>
      </c>
      <c r="W174" s="235">
        <f t="shared" si="64"/>
        <v>3.45</v>
      </c>
      <c r="AA174" s="235">
        <f t="shared" si="65"/>
        <v>33.43</v>
      </c>
      <c r="AB174" s="235">
        <f t="shared" si="65"/>
        <v>5.7</v>
      </c>
      <c r="AC174" s="235">
        <f t="shared" si="65"/>
        <v>1.85</v>
      </c>
    </row>
    <row r="175" spans="2:29" x14ac:dyDescent="0.2">
      <c r="B175" s="240"/>
      <c r="F175" s="240"/>
    </row>
    <row r="176" spans="2:29" x14ac:dyDescent="0.2">
      <c r="B176" s="225"/>
      <c r="C176" s="225"/>
      <c r="D176" s="225"/>
      <c r="E176" s="225"/>
      <c r="F176" s="225"/>
      <c r="G176" s="32">
        <v>1993</v>
      </c>
      <c r="I176" s="235">
        <f>I108+J108</f>
        <v>347.14146341463419</v>
      </c>
      <c r="J176" s="235">
        <f>L108+M108</f>
        <v>102.0829268292683</v>
      </c>
      <c r="K176" s="235">
        <f>K108</f>
        <v>14.117073170731707</v>
      </c>
      <c r="O176" s="235">
        <f>O108+P108</f>
        <v>582.75121951219512</v>
      </c>
      <c r="P176" s="235">
        <f>R108+S108</f>
        <v>103.03902439024394</v>
      </c>
      <c r="Q176" s="235">
        <f>Q108</f>
        <v>45.40975609756098</v>
      </c>
      <c r="U176" s="235">
        <f>U108+V108</f>
        <v>1194.0829268292684</v>
      </c>
      <c r="V176" s="235">
        <f>X108+Y108</f>
        <v>172.37560975609756</v>
      </c>
      <c r="W176" s="235">
        <f>W108</f>
        <v>119.6439024390244</v>
      </c>
      <c r="AA176" s="235">
        <f>AA108+AB108</f>
        <v>419.82926829268303</v>
      </c>
      <c r="AB176" s="235">
        <f>AD108+AE108</f>
        <v>105.36585365853658</v>
      </c>
      <c r="AC176" s="235">
        <f>AC108</f>
        <v>31.658536585365852</v>
      </c>
    </row>
    <row r="177" spans="1:29" x14ac:dyDescent="0.2">
      <c r="A177" s="230"/>
      <c r="B177" s="235"/>
      <c r="C177" s="235"/>
      <c r="D177" s="235"/>
      <c r="E177" s="235"/>
      <c r="F177" s="235"/>
      <c r="G177" s="32">
        <v>2001</v>
      </c>
      <c r="I177" s="235">
        <f>I110+J110</f>
        <v>361.98048780487807</v>
      </c>
      <c r="J177" s="235">
        <f>L110+M110</f>
        <v>128.15121951219513</v>
      </c>
      <c r="K177" s="235">
        <f>K110</f>
        <v>18.721951219512196</v>
      </c>
      <c r="O177" s="235">
        <f>O110+P110</f>
        <v>648.49756097560976</v>
      </c>
      <c r="P177" s="235">
        <f>R110+S110</f>
        <v>96.624390243902468</v>
      </c>
      <c r="Q177" s="235">
        <f>Q110</f>
        <v>39.94146341463415</v>
      </c>
      <c r="U177" s="235">
        <f>U110+V110</f>
        <v>1429.3707317073172</v>
      </c>
      <c r="V177" s="235">
        <f>X110+Y110</f>
        <v>231.98536585365858</v>
      </c>
      <c r="W177" s="235">
        <f>W110</f>
        <v>164.54634146341468</v>
      </c>
      <c r="AA177" s="235">
        <f>AA110+AB110</f>
        <v>464.7902439024391</v>
      </c>
      <c r="AB177" s="235">
        <f>AD110+AE110</f>
        <v>115.31219512195123</v>
      </c>
      <c r="AC177" s="235">
        <f>AC110</f>
        <v>56.478048780487811</v>
      </c>
    </row>
    <row r="178" spans="1:29" x14ac:dyDescent="0.2">
      <c r="A178" s="230"/>
      <c r="B178" s="235"/>
      <c r="C178" s="235"/>
      <c r="D178" s="235"/>
      <c r="E178" s="235"/>
      <c r="F178" s="235"/>
    </row>
    <row r="179" spans="1:29" x14ac:dyDescent="0.2">
      <c r="A179" s="230"/>
      <c r="B179" s="235"/>
      <c r="C179" s="235"/>
      <c r="D179" s="235"/>
      <c r="E179" s="235"/>
      <c r="F179" s="235"/>
      <c r="G179" s="32">
        <v>1993</v>
      </c>
      <c r="I179" s="32">
        <f t="shared" ref="I179:K180" si="66">I176/I173</f>
        <v>10.889004498576982</v>
      </c>
      <c r="J179" s="32">
        <f t="shared" si="66"/>
        <v>13.309377683085827</v>
      </c>
      <c r="K179" s="32">
        <f t="shared" si="66"/>
        <v>28.234146341463415</v>
      </c>
      <c r="O179" s="32">
        <f t="shared" ref="O179:Q180" si="67">O176/O173</f>
        <v>13.277539747372867</v>
      </c>
      <c r="P179" s="32">
        <f t="shared" si="67"/>
        <v>19.478076444280521</v>
      </c>
      <c r="Q179" s="32">
        <f t="shared" si="67"/>
        <v>32.668889278820849</v>
      </c>
      <c r="U179" s="32">
        <f t="shared" ref="U179:W180" si="68">U176/U173</f>
        <v>24.250262526995705</v>
      </c>
      <c r="V179" s="32">
        <f t="shared" si="68"/>
        <v>32.219740141326646</v>
      </c>
      <c r="W179" s="32">
        <f t="shared" si="68"/>
        <v>46.919177427068398</v>
      </c>
      <c r="AA179" s="32">
        <f t="shared" ref="AA179:AC180" si="69">AA176/AA173</f>
        <v>15.434899569583935</v>
      </c>
      <c r="AB179" s="32">
        <f t="shared" si="69"/>
        <v>19.993520618318136</v>
      </c>
      <c r="AC179" s="32">
        <f t="shared" si="69"/>
        <v>31.978319783197829</v>
      </c>
    </row>
    <row r="180" spans="1:29" x14ac:dyDescent="0.2">
      <c r="A180" s="230"/>
      <c r="B180" s="235"/>
      <c r="C180" s="235"/>
      <c r="D180" s="235"/>
      <c r="E180" s="235"/>
      <c r="F180" s="235"/>
      <c r="G180" s="32">
        <v>2001</v>
      </c>
      <c r="I180" s="32">
        <f t="shared" si="66"/>
        <v>10.327546014404508</v>
      </c>
      <c r="J180" s="32">
        <f t="shared" si="66"/>
        <v>13.404939279518318</v>
      </c>
      <c r="K180" s="32">
        <f t="shared" si="66"/>
        <v>27.532281205164992</v>
      </c>
      <c r="O180" s="32">
        <f t="shared" si="67"/>
        <v>12.638814285238935</v>
      </c>
      <c r="P180" s="32">
        <f t="shared" si="67"/>
        <v>17.16241389767362</v>
      </c>
      <c r="Q180" s="32">
        <f t="shared" si="67"/>
        <v>31.953170731707321</v>
      </c>
      <c r="U180" s="32">
        <f t="shared" si="68"/>
        <v>21.513707581386473</v>
      </c>
      <c r="V180" s="32">
        <f t="shared" si="68"/>
        <v>34.368202348690161</v>
      </c>
      <c r="W180" s="32">
        <f t="shared" si="68"/>
        <v>47.694591728525992</v>
      </c>
      <c r="AA180" s="32">
        <f t="shared" si="69"/>
        <v>13.90338749334248</v>
      </c>
      <c r="AB180" s="32">
        <f t="shared" si="69"/>
        <v>20.230209670517759</v>
      </c>
      <c r="AC180" s="32">
        <f t="shared" si="69"/>
        <v>30.528675016479895</v>
      </c>
    </row>
    <row r="181" spans="1:29" x14ac:dyDescent="0.2">
      <c r="A181" s="230"/>
      <c r="B181" s="235"/>
      <c r="C181" s="235"/>
      <c r="D181" s="235"/>
      <c r="E181" s="235"/>
      <c r="F181" s="235"/>
      <c r="I181" s="252">
        <f>AVERAGE(I179,I180)</f>
        <v>10.608275256490746</v>
      </c>
      <c r="J181" s="252">
        <f>AVERAGE(J179,J180)</f>
        <v>13.357158481302072</v>
      </c>
      <c r="K181" s="252">
        <f>AVERAGE(K179,K180)</f>
        <v>27.883213773314203</v>
      </c>
      <c r="O181" s="252">
        <f>AVERAGE(O179,O180)</f>
        <v>12.9581770163059</v>
      </c>
      <c r="P181" s="252">
        <f>AVERAGE(P179,P180)</f>
        <v>18.320245170977071</v>
      </c>
      <c r="Q181" s="252">
        <f>AVERAGE(Q179,Q180)</f>
        <v>32.311030005264087</v>
      </c>
      <c r="U181" s="252">
        <f>AVERAGE(U179,U180)</f>
        <v>22.881985054191091</v>
      </c>
      <c r="V181" s="252">
        <f>AVERAGE(V179,V180)</f>
        <v>33.293971245008407</v>
      </c>
      <c r="W181" s="252">
        <f>AVERAGE(W179,W180)</f>
        <v>47.306884577797192</v>
      </c>
      <c r="AA181" s="252">
        <f>AVERAGE(AA179,AA180)</f>
        <v>14.669143531463208</v>
      </c>
      <c r="AB181" s="252">
        <f>AVERAGE(AB179,AB180)</f>
        <v>20.111865144417948</v>
      </c>
      <c r="AC181" s="252">
        <f>AVERAGE(AC179,AC180)</f>
        <v>31.253497399838864</v>
      </c>
    </row>
    <row r="182" spans="1:29" x14ac:dyDescent="0.2">
      <c r="A182" s="230"/>
      <c r="B182" s="235"/>
      <c r="C182" s="235"/>
      <c r="D182" s="235"/>
      <c r="E182" s="235"/>
      <c r="F182" s="235"/>
    </row>
    <row r="183" spans="1:29" x14ac:dyDescent="0.2">
      <c r="A183" s="230"/>
      <c r="B183" s="235"/>
      <c r="C183" s="235"/>
      <c r="D183" s="235"/>
      <c r="E183" s="235"/>
      <c r="F183" s="235"/>
    </row>
    <row r="184" spans="1:29" x14ac:dyDescent="0.2">
      <c r="A184" s="230"/>
      <c r="B184" s="235"/>
      <c r="C184" s="235"/>
      <c r="D184" s="235"/>
      <c r="E184" s="235"/>
      <c r="F184" s="235"/>
    </row>
    <row r="185" spans="1:29" x14ac:dyDescent="0.2">
      <c r="A185" s="230"/>
      <c r="B185" s="235"/>
      <c r="C185" s="235"/>
      <c r="D185" s="235"/>
      <c r="E185" s="235"/>
      <c r="F185" s="235"/>
    </row>
    <row r="186" spans="1:29" x14ac:dyDescent="0.2">
      <c r="A186" s="230"/>
      <c r="B186" s="250"/>
      <c r="C186" s="250"/>
      <c r="D186" s="250"/>
      <c r="E186" s="250"/>
      <c r="F186" s="250"/>
    </row>
    <row r="190" spans="1:29" x14ac:dyDescent="0.2">
      <c r="F190" s="32">
        <f t="shared" ref="F190:F198" si="70">A178</f>
        <v>0</v>
      </c>
      <c r="G190" s="32">
        <f t="shared" ref="G190:G198" si="71">G28/G9*1000</f>
        <v>1744.3566651368183</v>
      </c>
    </row>
    <row r="191" spans="1:29" x14ac:dyDescent="0.2">
      <c r="F191" s="32">
        <f t="shared" si="70"/>
        <v>0</v>
      </c>
      <c r="G191" s="32">
        <f t="shared" si="71"/>
        <v>1746.2009803921569</v>
      </c>
    </row>
    <row r="192" spans="1:29" x14ac:dyDescent="0.2">
      <c r="F192" s="32">
        <f t="shared" si="70"/>
        <v>0</v>
      </c>
      <c r="G192" s="32">
        <f t="shared" si="71"/>
        <v>1735.3790613718406</v>
      </c>
    </row>
    <row r="193" spans="6:9" x14ac:dyDescent="0.2">
      <c r="F193" s="32">
        <f t="shared" si="70"/>
        <v>0</v>
      </c>
      <c r="G193" s="32">
        <f t="shared" si="71"/>
        <v>1699.522102747909</v>
      </c>
    </row>
    <row r="194" spans="6:9" x14ac:dyDescent="0.2">
      <c r="F194" s="32">
        <f t="shared" si="70"/>
        <v>0</v>
      </c>
      <c r="G194" s="32">
        <f t="shared" si="71"/>
        <v>1672.7694090382386</v>
      </c>
    </row>
    <row r="195" spans="6:9" x14ac:dyDescent="0.2">
      <c r="F195" s="32">
        <f t="shared" si="70"/>
        <v>0</v>
      </c>
      <c r="G195" s="32">
        <f t="shared" si="71"/>
        <v>1730.9050772626933</v>
      </c>
      <c r="I195" s="32">
        <f>G195/G198</f>
        <v>0.86111577695154584</v>
      </c>
    </row>
    <row r="196" spans="6:9" x14ac:dyDescent="0.2">
      <c r="F196" s="32">
        <f t="shared" si="70"/>
        <v>0</v>
      </c>
      <c r="G196" s="32">
        <f t="shared" si="71"/>
        <v>1800.31914893617</v>
      </c>
    </row>
    <row r="197" spans="6:9" x14ac:dyDescent="0.2">
      <c r="F197" s="32">
        <f t="shared" si="70"/>
        <v>0</v>
      </c>
      <c r="G197" s="32">
        <f t="shared" si="71"/>
        <v>1875.9834368530021</v>
      </c>
    </row>
    <row r="198" spans="6:9" x14ac:dyDescent="0.2">
      <c r="F198" s="32">
        <f t="shared" si="70"/>
        <v>0</v>
      </c>
      <c r="G198" s="32">
        <f t="shared" si="71"/>
        <v>2010.0724241638063</v>
      </c>
      <c r="I198" s="32">
        <f>G198/G194</f>
        <v>1.2016434622148553</v>
      </c>
    </row>
  </sheetData>
  <mergeCells count="34">
    <mergeCell ref="B25:F25"/>
    <mergeCell ref="I25:M25"/>
    <mergeCell ref="O25:S25"/>
    <mergeCell ref="U25:Y25"/>
    <mergeCell ref="AA25:AE25"/>
    <mergeCell ref="B6:F6"/>
    <mergeCell ref="I6:M6"/>
    <mergeCell ref="O6:S6"/>
    <mergeCell ref="U6:Y6"/>
    <mergeCell ref="AA6:AE6"/>
    <mergeCell ref="B46:F46"/>
    <mergeCell ref="I46:M46"/>
    <mergeCell ref="U46:Y46"/>
    <mergeCell ref="AA46:AE46"/>
    <mergeCell ref="B63:F63"/>
    <mergeCell ref="I63:M63"/>
    <mergeCell ref="O63:S63"/>
    <mergeCell ref="U63:Y63"/>
    <mergeCell ref="AA63:AE63"/>
    <mergeCell ref="B98:F98"/>
    <mergeCell ref="I98:M98"/>
    <mergeCell ref="O98:S98"/>
    <mergeCell ref="U98:Y98"/>
    <mergeCell ref="AA98:AE98"/>
    <mergeCell ref="B80:F80"/>
    <mergeCell ref="I80:M80"/>
    <mergeCell ref="O80:S80"/>
    <mergeCell ref="U80:Y80"/>
    <mergeCell ref="AA80:AE80"/>
    <mergeCell ref="B115:F115"/>
    <mergeCell ref="I115:M115"/>
    <mergeCell ref="O115:S115"/>
    <mergeCell ref="U115:Y115"/>
    <mergeCell ref="AA115:AE115"/>
  </mergeCells>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B4:Z96"/>
  <sheetViews>
    <sheetView workbookViewId="0">
      <selection activeCell="K21" sqref="K21"/>
    </sheetView>
  </sheetViews>
  <sheetFormatPr defaultRowHeight="12.75" x14ac:dyDescent="0.2"/>
  <cols>
    <col min="12" max="12" width="12" customWidth="1"/>
  </cols>
  <sheetData>
    <row r="4" spans="2:2" x14ac:dyDescent="0.2">
      <c r="B4">
        <v>1995</v>
      </c>
    </row>
    <row r="37" spans="2:9" x14ac:dyDescent="0.2">
      <c r="B37" t="s">
        <v>507</v>
      </c>
    </row>
    <row r="39" spans="2:9" x14ac:dyDescent="0.2">
      <c r="B39">
        <v>1995</v>
      </c>
    </row>
    <row r="41" spans="2:9" x14ac:dyDescent="0.2">
      <c r="C41" t="s">
        <v>333</v>
      </c>
      <c r="D41" t="s">
        <v>334</v>
      </c>
      <c r="E41" t="s">
        <v>335</v>
      </c>
      <c r="F41" t="s">
        <v>336</v>
      </c>
      <c r="G41" t="s">
        <v>337</v>
      </c>
      <c r="H41" t="s">
        <v>338</v>
      </c>
      <c r="I41" t="s">
        <v>339</v>
      </c>
    </row>
    <row r="42" spans="2:9" x14ac:dyDescent="0.2">
      <c r="B42" t="s">
        <v>340</v>
      </c>
      <c r="C42" s="2">
        <v>59876.294149998626</v>
      </c>
      <c r="D42" s="2">
        <v>60826.635619998429</v>
      </c>
      <c r="E42" s="2">
        <v>5545.0535400000163</v>
      </c>
      <c r="F42" s="2">
        <v>25157.958780000012</v>
      </c>
      <c r="G42" s="2">
        <v>6164.0563100000045</v>
      </c>
      <c r="H42" s="2">
        <v>97693.704249998453</v>
      </c>
      <c r="I42" s="2">
        <v>66371.689159998437</v>
      </c>
    </row>
    <row r="43" spans="2:9" x14ac:dyDescent="0.2">
      <c r="B43" t="s">
        <v>341</v>
      </c>
      <c r="C43" s="2">
        <v>9359.273049999967</v>
      </c>
      <c r="D43" s="2">
        <v>9817.9138099999618</v>
      </c>
      <c r="E43" s="2">
        <v>1570.6061099999984</v>
      </c>
      <c r="F43" s="2">
        <v>7253.9318299999923</v>
      </c>
      <c r="G43" s="2">
        <v>557.34513000000004</v>
      </c>
      <c r="H43" s="2">
        <v>19199.796879999951</v>
      </c>
      <c r="I43" s="2">
        <v>11388.519919999959</v>
      </c>
    </row>
    <row r="44" spans="2:9" x14ac:dyDescent="0.2">
      <c r="B44" t="s">
        <v>342</v>
      </c>
      <c r="C44" s="2">
        <v>15719.866600000163</v>
      </c>
      <c r="D44" s="2">
        <v>16175.397950000139</v>
      </c>
      <c r="E44" s="2">
        <v>1052.796669999999</v>
      </c>
      <c r="F44" s="2">
        <v>5298.0019199999906</v>
      </c>
      <c r="G44" s="2">
        <v>1136.2595099999999</v>
      </c>
      <c r="H44" s="2">
        <v>23662.456050000132</v>
      </c>
      <c r="I44" s="2">
        <v>17228.19462000014</v>
      </c>
    </row>
    <row r="45" spans="2:9" x14ac:dyDescent="0.2">
      <c r="B45" t="s">
        <v>343</v>
      </c>
      <c r="C45" s="2">
        <v>22300.334300000137</v>
      </c>
      <c r="D45" s="2">
        <v>22406.099130000126</v>
      </c>
      <c r="E45" s="2">
        <v>1866.5944999999967</v>
      </c>
      <c r="F45" s="2">
        <v>6747.0559200000089</v>
      </c>
      <c r="G45" s="2">
        <v>3216.0212499999989</v>
      </c>
      <c r="H45" s="2">
        <v>34235.770800000129</v>
      </c>
      <c r="I45" s="2">
        <v>24272.693630000122</v>
      </c>
    </row>
    <row r="46" spans="2:9" x14ac:dyDescent="0.2">
      <c r="B46" t="s">
        <v>344</v>
      </c>
      <c r="C46" s="2">
        <v>12496.820200000006</v>
      </c>
      <c r="D46" s="2">
        <v>12427.224730000042</v>
      </c>
      <c r="E46" s="2">
        <v>1055.0562599999998</v>
      </c>
      <c r="F46" s="2">
        <v>5858.9691100000109</v>
      </c>
      <c r="G46" s="2">
        <v>1254.430420000001</v>
      </c>
      <c r="H46" s="2">
        <v>20595.680520000056</v>
      </c>
      <c r="I46" s="2">
        <v>13482.280990000041</v>
      </c>
    </row>
    <row r="48" spans="2:9" x14ac:dyDescent="0.2">
      <c r="B48">
        <v>1993</v>
      </c>
    </row>
    <row r="50" spans="2:19" x14ac:dyDescent="0.2">
      <c r="C50" t="s">
        <v>333</v>
      </c>
      <c r="D50" t="s">
        <v>334</v>
      </c>
      <c r="E50" t="s">
        <v>335</v>
      </c>
      <c r="F50" t="s">
        <v>336</v>
      </c>
      <c r="G50" t="s">
        <v>337</v>
      </c>
      <c r="H50" t="s">
        <v>338</v>
      </c>
      <c r="I50" t="s">
        <v>339</v>
      </c>
    </row>
    <row r="51" spans="2:19" x14ac:dyDescent="0.2">
      <c r="B51" t="s">
        <v>340</v>
      </c>
      <c r="C51" s="2">
        <v>56802.059430000838</v>
      </c>
      <c r="D51" s="2">
        <v>58918.148260001064</v>
      </c>
      <c r="E51" s="2">
        <v>5374.6773200000162</v>
      </c>
      <c r="F51" s="2">
        <v>24775.763219999921</v>
      </c>
      <c r="G51" s="2">
        <v>5655.1145500000102</v>
      </c>
      <c r="H51" s="2">
        <v>94723.703350001015</v>
      </c>
      <c r="I51" s="2">
        <v>64292.825580001081</v>
      </c>
    </row>
    <row r="52" spans="2:19" x14ac:dyDescent="0.2">
      <c r="B52" t="s">
        <v>341</v>
      </c>
      <c r="C52" s="2">
        <v>8946.194880000081</v>
      </c>
      <c r="D52" s="2">
        <v>9748.4788300001201</v>
      </c>
      <c r="E52" s="2">
        <v>1534.5074099999986</v>
      </c>
      <c r="F52" s="2">
        <v>7076.1036099999956</v>
      </c>
      <c r="G52" s="2">
        <v>546.85523000000012</v>
      </c>
      <c r="H52" s="2">
        <v>18905.945080000114</v>
      </c>
      <c r="I52" s="2">
        <v>11282.986240000118</v>
      </c>
    </row>
    <row r="53" spans="2:19" x14ac:dyDescent="0.2">
      <c r="B53" t="s">
        <v>342</v>
      </c>
      <c r="C53" s="2">
        <v>14587.799069999963</v>
      </c>
      <c r="D53" s="2">
        <v>15410.598369999901</v>
      </c>
      <c r="E53" s="2">
        <v>970.14284000000032</v>
      </c>
      <c r="F53" s="2">
        <v>5540.0294199999853</v>
      </c>
      <c r="G53" s="2">
        <v>1110.35778</v>
      </c>
      <c r="H53" s="2">
        <v>23031.128409999885</v>
      </c>
      <c r="I53" s="2">
        <v>16380.7412099999</v>
      </c>
    </row>
    <row r="54" spans="2:19" x14ac:dyDescent="0.2">
      <c r="B54" t="s">
        <v>343</v>
      </c>
      <c r="C54" s="2">
        <v>21253.020540000081</v>
      </c>
      <c r="D54" s="2">
        <v>21667.630250000031</v>
      </c>
      <c r="E54" s="2">
        <v>1779.3363699999991</v>
      </c>
      <c r="F54" s="2">
        <v>6723.2364199999911</v>
      </c>
      <c r="G54" s="2">
        <v>2765.8391799999958</v>
      </c>
      <c r="H54" s="2">
        <v>32936.042220000018</v>
      </c>
      <c r="I54" s="2">
        <v>23446.966620000028</v>
      </c>
    </row>
    <row r="55" spans="2:19" x14ac:dyDescent="0.2">
      <c r="B55" t="s">
        <v>344</v>
      </c>
      <c r="C55" s="2">
        <v>12015.044939999989</v>
      </c>
      <c r="D55" s="2">
        <v>12091.440810000002</v>
      </c>
      <c r="E55" s="2">
        <v>1090.6907000000006</v>
      </c>
      <c r="F55" s="2">
        <v>5436.3937699999842</v>
      </c>
      <c r="G55" s="2">
        <v>1232.0623599999997</v>
      </c>
      <c r="H55" s="2">
        <v>19850.587639999987</v>
      </c>
      <c r="I55" s="2">
        <v>13182.131510000003</v>
      </c>
    </row>
    <row r="57" spans="2:19" x14ac:dyDescent="0.2">
      <c r="B57">
        <v>1991</v>
      </c>
      <c r="L57">
        <v>1991</v>
      </c>
    </row>
    <row r="58" spans="2:19" x14ac:dyDescent="0.2">
      <c r="F58" s="27" t="s">
        <v>347</v>
      </c>
      <c r="G58" s="27"/>
      <c r="H58" s="27"/>
    </row>
    <row r="59" spans="2:19" x14ac:dyDescent="0.2">
      <c r="C59" t="s">
        <v>333</v>
      </c>
      <c r="D59" t="s">
        <v>334</v>
      </c>
      <c r="E59" t="s">
        <v>335</v>
      </c>
      <c r="F59" t="s">
        <v>336</v>
      </c>
      <c r="G59" t="s">
        <v>337</v>
      </c>
      <c r="H59" t="s">
        <v>338</v>
      </c>
      <c r="I59" t="s">
        <v>339</v>
      </c>
      <c r="M59" t="s">
        <v>333</v>
      </c>
      <c r="N59" t="s">
        <v>334</v>
      </c>
      <c r="O59" t="s">
        <v>335</v>
      </c>
      <c r="P59" t="s">
        <v>336</v>
      </c>
      <c r="Q59" t="s">
        <v>337</v>
      </c>
      <c r="R59" t="s">
        <v>338</v>
      </c>
      <c r="S59" t="s">
        <v>339</v>
      </c>
    </row>
    <row r="60" spans="2:19" x14ac:dyDescent="0.2">
      <c r="B60" t="s">
        <v>340</v>
      </c>
      <c r="C60" s="2">
        <v>56802.059430000838</v>
      </c>
      <c r="D60" s="2">
        <v>58918.148260001064</v>
      </c>
      <c r="E60" s="2">
        <v>5374.6773200000162</v>
      </c>
      <c r="F60" s="9">
        <f>P$67*P60</f>
        <v>24590</v>
      </c>
      <c r="G60" s="9">
        <f>Q$67*Q60</f>
        <v>5630</v>
      </c>
      <c r="H60" s="2">
        <v>94723.703350001015</v>
      </c>
      <c r="I60" s="9">
        <f>S$67*S60</f>
        <v>62927</v>
      </c>
      <c r="L60" t="s">
        <v>340</v>
      </c>
      <c r="M60" s="2">
        <v>61574.698247001776</v>
      </c>
      <c r="N60" s="2">
        <v>57385.022199001563</v>
      </c>
      <c r="O60" s="2">
        <v>5431.7322310000009</v>
      </c>
      <c r="P60" s="2">
        <v>24590.243897000175</v>
      </c>
      <c r="Q60" s="2">
        <v>5510.0135589999909</v>
      </c>
      <c r="R60" s="2">
        <v>92917.011886001725</v>
      </c>
      <c r="S60" s="2">
        <v>62816.754430001565</v>
      </c>
    </row>
    <row r="61" spans="2:19" x14ac:dyDescent="0.2">
      <c r="B61" t="s">
        <v>341</v>
      </c>
      <c r="C61" s="2">
        <v>8946.194880000081</v>
      </c>
      <c r="D61" s="2">
        <v>9748.4788300001201</v>
      </c>
      <c r="E61" s="2">
        <v>1534.5074099999986</v>
      </c>
      <c r="F61" s="9">
        <f t="shared" ref="F61:I64" si="0">P$67*P61</f>
        <v>7154.9287235237007</v>
      </c>
      <c r="G61" s="9">
        <f t="shared" si="0"/>
        <v>512.81783792249371</v>
      </c>
      <c r="H61" s="2">
        <v>18905.945080000114</v>
      </c>
      <c r="I61" s="9">
        <f t="shared" si="0"/>
        <v>11314.552662640299</v>
      </c>
      <c r="L61" t="s">
        <v>341</v>
      </c>
      <c r="M61" s="2">
        <v>10029.369254999991</v>
      </c>
      <c r="N61" s="2">
        <v>9750.6803840000302</v>
      </c>
      <c r="O61" s="2">
        <v>1544.0496379999995</v>
      </c>
      <c r="P61" s="2">
        <v>7154.9996899999969</v>
      </c>
      <c r="Q61" s="2">
        <v>501.88867500000003</v>
      </c>
      <c r="R61" s="2">
        <v>18951.618387000028</v>
      </c>
      <c r="S61" s="2">
        <v>11294.730022000031</v>
      </c>
    </row>
    <row r="62" spans="2:19" x14ac:dyDescent="0.2">
      <c r="B62" t="s">
        <v>342</v>
      </c>
      <c r="C62" s="2">
        <v>14587.799069999963</v>
      </c>
      <c r="D62" s="2">
        <v>15410.598369999901</v>
      </c>
      <c r="E62" s="2">
        <v>970.14284000000032</v>
      </c>
      <c r="F62" s="9">
        <f t="shared" si="0"/>
        <v>5483.3071655758895</v>
      </c>
      <c r="G62" s="9">
        <f t="shared" si="0"/>
        <v>1098.345990534795</v>
      </c>
      <c r="H62" s="2">
        <v>23031.128409999885</v>
      </c>
      <c r="I62" s="9">
        <f t="shared" si="0"/>
        <v>15993.013423496805</v>
      </c>
      <c r="L62" t="s">
        <v>342</v>
      </c>
      <c r="M62" s="2">
        <v>15857.530353000011</v>
      </c>
      <c r="N62" s="2">
        <v>15042.328116000021</v>
      </c>
      <c r="O62" s="2">
        <v>922.66619199999934</v>
      </c>
      <c r="P62" s="2">
        <v>5483.361551999993</v>
      </c>
      <c r="Q62" s="2">
        <v>1074.9380639999993</v>
      </c>
      <c r="R62" s="2">
        <v>22523.293924000012</v>
      </c>
      <c r="S62" s="2">
        <v>15964.994308000021</v>
      </c>
    </row>
    <row r="63" spans="2:19" x14ac:dyDescent="0.2">
      <c r="B63" t="s">
        <v>343</v>
      </c>
      <c r="C63" s="2">
        <v>21253.020540000081</v>
      </c>
      <c r="D63" s="2">
        <v>21667.630250000031</v>
      </c>
      <c r="E63" s="2">
        <v>1779.3363699999991</v>
      </c>
      <c r="F63" s="9">
        <f t="shared" si="0"/>
        <v>6540.6199015728562</v>
      </c>
      <c r="G63" s="9">
        <f t="shared" si="0"/>
        <v>2863.4346538184409</v>
      </c>
      <c r="H63" s="2">
        <v>32936.042220000018</v>
      </c>
      <c r="I63" s="9">
        <f t="shared" si="0"/>
        <v>22757.262564602999</v>
      </c>
      <c r="L63" t="s">
        <v>343</v>
      </c>
      <c r="M63" s="2">
        <v>23060.623282000019</v>
      </c>
      <c r="N63" s="2">
        <v>20913.705624999922</v>
      </c>
      <c r="O63" s="2">
        <v>1803.6871320000027</v>
      </c>
      <c r="P63" s="2">
        <v>6540.6847749999924</v>
      </c>
      <c r="Q63" s="2">
        <v>2802.4091950000097</v>
      </c>
      <c r="R63" s="2">
        <v>32060.486726999923</v>
      </c>
      <c r="S63" s="2">
        <v>22717.392756999925</v>
      </c>
    </row>
    <row r="64" spans="2:19" x14ac:dyDescent="0.2">
      <c r="B64" t="s">
        <v>344</v>
      </c>
      <c r="C64" s="2">
        <v>12015.044939999989</v>
      </c>
      <c r="D64" s="2">
        <v>12091.440810000002</v>
      </c>
      <c r="E64" s="2">
        <v>1090.6907000000006</v>
      </c>
      <c r="F64" s="9">
        <f t="shared" si="0"/>
        <v>5411.1442093273545</v>
      </c>
      <c r="G64" s="9">
        <f t="shared" si="0"/>
        <v>1155.4015177242889</v>
      </c>
      <c r="H64" s="2">
        <v>19850.587639999987</v>
      </c>
      <c r="I64" s="9">
        <f t="shared" si="0"/>
        <v>12862.171349258337</v>
      </c>
      <c r="L64" t="s">
        <v>344</v>
      </c>
      <c r="M64" s="2">
        <v>12627.175357000027</v>
      </c>
      <c r="N64" s="2">
        <v>11678.308074000028</v>
      </c>
      <c r="O64" s="2">
        <v>1161.3292690000012</v>
      </c>
      <c r="P64" s="2">
        <v>5411.1978799999924</v>
      </c>
      <c r="Q64" s="2">
        <v>1130.7776249999999</v>
      </c>
      <c r="R64" s="2">
        <v>19381.612848000019</v>
      </c>
      <c r="S64" s="2">
        <v>12839.637343000029</v>
      </c>
    </row>
    <row r="66" spans="2:26" x14ac:dyDescent="0.2">
      <c r="L66" t="s">
        <v>345</v>
      </c>
      <c r="N66" s="2">
        <v>57485</v>
      </c>
      <c r="O66" s="2">
        <v>5442</v>
      </c>
      <c r="P66" s="2">
        <f>93147-N66-O66-Q66</f>
        <v>24590</v>
      </c>
      <c r="Q66">
        <f>5630</f>
        <v>5630</v>
      </c>
      <c r="R66">
        <f>93147</f>
        <v>93147</v>
      </c>
      <c r="S66" s="2">
        <f>N66+O66</f>
        <v>62927</v>
      </c>
      <c r="T66" s="2">
        <f>S66+P66+Q66</f>
        <v>93147</v>
      </c>
      <c r="Z66" s="2"/>
    </row>
    <row r="67" spans="2:26" x14ac:dyDescent="0.2">
      <c r="L67" t="s">
        <v>346</v>
      </c>
      <c r="N67">
        <f t="shared" ref="N67:S67" si="1">N66/N60</f>
        <v>1.0017422281488666</v>
      </c>
      <c r="O67">
        <f t="shared" si="1"/>
        <v>1.0018903304808362</v>
      </c>
      <c r="P67">
        <f t="shared" si="1"/>
        <v>0.99999008155424585</v>
      </c>
      <c r="Q67">
        <f t="shared" si="1"/>
        <v>1.0217760700069467</v>
      </c>
      <c r="R67">
        <f t="shared" si="1"/>
        <v>1.0024751992055065</v>
      </c>
      <c r="S67">
        <f t="shared" si="1"/>
        <v>1.0017550344808293</v>
      </c>
    </row>
    <row r="69" spans="2:26" x14ac:dyDescent="0.2">
      <c r="B69">
        <v>1989</v>
      </c>
    </row>
    <row r="71" spans="2:26" x14ac:dyDescent="0.2">
      <c r="C71" t="s">
        <v>333</v>
      </c>
      <c r="D71" t="s">
        <v>334</v>
      </c>
      <c r="E71" t="s">
        <v>335</v>
      </c>
      <c r="F71" t="s">
        <v>336</v>
      </c>
      <c r="G71" t="s">
        <v>337</v>
      </c>
      <c r="H71" t="s">
        <v>338</v>
      </c>
      <c r="I71" t="s">
        <v>339</v>
      </c>
    </row>
    <row r="72" spans="2:26" x14ac:dyDescent="0.2">
      <c r="B72" t="s">
        <v>340</v>
      </c>
      <c r="C72" s="2">
        <v>62666.965790000402</v>
      </c>
      <c r="D72" s="2">
        <v>58242.606900000435</v>
      </c>
      <c r="E72" s="2">
        <v>4961.9318200000116</v>
      </c>
      <c r="F72" s="2">
        <v>25040.568380000201</v>
      </c>
      <c r="G72" s="2">
        <v>5438.3889400000007</v>
      </c>
      <c r="H72" s="2">
        <v>93683.496040000653</v>
      </c>
      <c r="I72" s="2">
        <v>63204.538720000448</v>
      </c>
    </row>
    <row r="73" spans="2:26" x14ac:dyDescent="0.2">
      <c r="B73" t="s">
        <v>341</v>
      </c>
      <c r="C73" s="2">
        <v>10350.063039999992</v>
      </c>
      <c r="D73" s="2">
        <v>9968.5174700000043</v>
      </c>
      <c r="E73" s="2">
        <v>1465.02818</v>
      </c>
      <c r="F73" s="2">
        <v>7414.9868800000049</v>
      </c>
      <c r="G73" s="2">
        <v>540.56660999999997</v>
      </c>
      <c r="H73" s="2">
        <v>19389.099140000009</v>
      </c>
      <c r="I73" s="2">
        <v>11433.545650000004</v>
      </c>
    </row>
    <row r="74" spans="2:26" x14ac:dyDescent="0.2">
      <c r="B74" t="s">
        <v>342</v>
      </c>
      <c r="C74" s="2">
        <v>16341.872380000117</v>
      </c>
      <c r="D74" s="2">
        <v>15480.81043000009</v>
      </c>
      <c r="E74" s="2">
        <v>900.68629000000055</v>
      </c>
      <c r="F74" s="2">
        <v>5454.8764900000015</v>
      </c>
      <c r="G74" s="2">
        <v>1032.8265600000002</v>
      </c>
      <c r="H74" s="2">
        <v>22869.199770000094</v>
      </c>
      <c r="I74" s="2">
        <v>16381.496720000092</v>
      </c>
    </row>
    <row r="75" spans="2:26" x14ac:dyDescent="0.2">
      <c r="B75" t="s">
        <v>343</v>
      </c>
      <c r="C75" s="2">
        <v>23565.188679999777</v>
      </c>
      <c r="D75" s="2">
        <v>21449.637749999882</v>
      </c>
      <c r="E75" s="2">
        <v>1595.6755200000007</v>
      </c>
      <c r="F75" s="2">
        <v>6715.3504500000236</v>
      </c>
      <c r="G75" s="2">
        <v>2668.1341200000015</v>
      </c>
      <c r="H75" s="2">
        <v>32428.797839999905</v>
      </c>
      <c r="I75" s="2">
        <v>23045.313269999882</v>
      </c>
    </row>
    <row r="76" spans="2:26" x14ac:dyDescent="0.2">
      <c r="B76" t="s">
        <v>344</v>
      </c>
      <c r="C76" s="2">
        <v>12409.841690000028</v>
      </c>
      <c r="D76" s="2">
        <v>11343.641250000022</v>
      </c>
      <c r="E76" s="2">
        <v>1000.5418300000007</v>
      </c>
      <c r="F76" s="2">
        <v>5455.354559999997</v>
      </c>
      <c r="G76" s="2">
        <v>1196.8616500000005</v>
      </c>
      <c r="H76" s="2">
        <v>18996.399290000023</v>
      </c>
      <c r="I76" s="2">
        <v>12344.183080000023</v>
      </c>
    </row>
    <row r="79" spans="2:26" x14ac:dyDescent="0.2">
      <c r="B79">
        <v>1987</v>
      </c>
      <c r="D79" t="s">
        <v>348</v>
      </c>
    </row>
    <row r="81" spans="2:11" x14ac:dyDescent="0.2">
      <c r="C81" t="s">
        <v>333</v>
      </c>
      <c r="D81" t="s">
        <v>334</v>
      </c>
      <c r="E81" t="s">
        <v>335</v>
      </c>
      <c r="F81" t="s">
        <v>336</v>
      </c>
      <c r="G81" t="s">
        <v>337</v>
      </c>
      <c r="H81" t="s">
        <v>338</v>
      </c>
      <c r="I81" t="s">
        <v>339</v>
      </c>
    </row>
    <row r="82" spans="2:11" x14ac:dyDescent="0.2">
      <c r="B82" t="s">
        <v>340</v>
      </c>
      <c r="C82" s="2">
        <v>61789.03615999969</v>
      </c>
      <c r="D82" s="2">
        <v>56558.324449999651</v>
      </c>
      <c r="E82" s="2">
        <v>4819.7074100000109</v>
      </c>
      <c r="F82" s="2">
        <v>24241.975299999896</v>
      </c>
      <c r="G82" s="2">
        <v>5267.1956200000077</v>
      </c>
      <c r="H82" s="2">
        <v>90887.20277999957</v>
      </c>
      <c r="I82" s="2">
        <v>61378.031859999668</v>
      </c>
    </row>
    <row r="83" spans="2:11" x14ac:dyDescent="0.2">
      <c r="B83" t="s">
        <v>341</v>
      </c>
      <c r="C83" s="2">
        <v>10128.507050000117</v>
      </c>
      <c r="D83" s="2">
        <v>9643.583940000055</v>
      </c>
      <c r="E83" s="2">
        <v>1378.3620099999994</v>
      </c>
      <c r="F83" s="2">
        <v>7434.687960000002</v>
      </c>
      <c r="G83" s="2">
        <v>496.46517999999929</v>
      </c>
      <c r="H83" s="2">
        <v>18953.099090000058</v>
      </c>
      <c r="I83" s="2">
        <v>11021.945950000056</v>
      </c>
    </row>
    <row r="84" spans="2:11" x14ac:dyDescent="0.2">
      <c r="B84" t="s">
        <v>342</v>
      </c>
      <c r="C84" s="2">
        <v>16141.13501999986</v>
      </c>
      <c r="D84" s="2">
        <v>15096.28523999985</v>
      </c>
      <c r="E84" s="2">
        <v>877.92891000000031</v>
      </c>
      <c r="F84" s="2">
        <v>5244.8856099999884</v>
      </c>
      <c r="G84" s="2">
        <v>1048.0002300000012</v>
      </c>
      <c r="H84" s="2">
        <v>22267.099989999839</v>
      </c>
      <c r="I84" s="2">
        <v>15974.214149999851</v>
      </c>
    </row>
    <row r="85" spans="2:11" x14ac:dyDescent="0.2">
      <c r="B85" t="s">
        <v>343</v>
      </c>
      <c r="C85" s="2">
        <v>23276.670580000107</v>
      </c>
      <c r="D85" s="2">
        <v>20693.908259999967</v>
      </c>
      <c r="E85" s="2">
        <v>1619.2475899999999</v>
      </c>
      <c r="F85" s="2">
        <v>6374.0838800000047</v>
      </c>
      <c r="G85" s="2">
        <v>2582.7623199999994</v>
      </c>
      <c r="H85" s="2">
        <v>31270.002049999974</v>
      </c>
      <c r="I85" s="2">
        <v>22313.15584999997</v>
      </c>
    </row>
    <row r="86" spans="2:11" x14ac:dyDescent="0.2">
      <c r="B86" t="s">
        <v>344</v>
      </c>
      <c r="C86" s="2">
        <v>12242.723510000011</v>
      </c>
      <c r="D86" s="2">
        <v>11124.547009999958</v>
      </c>
      <c r="E86" s="2">
        <v>944.16890000000046</v>
      </c>
      <c r="F86" s="2">
        <v>5188.3178499999931</v>
      </c>
      <c r="G86" s="2">
        <v>1139.9678899999997</v>
      </c>
      <c r="H86" s="2">
        <v>18397.001649999955</v>
      </c>
      <c r="I86" s="2">
        <v>12068.715909999959</v>
      </c>
    </row>
    <row r="89" spans="2:11" x14ac:dyDescent="0.2">
      <c r="B89">
        <v>1985</v>
      </c>
      <c r="D89" t="s">
        <v>349</v>
      </c>
    </row>
    <row r="91" spans="2:11" x14ac:dyDescent="0.2">
      <c r="C91" t="s">
        <v>333</v>
      </c>
      <c r="D91" t="s">
        <v>334</v>
      </c>
      <c r="E91" t="s">
        <v>335</v>
      </c>
      <c r="F91" t="s">
        <v>336</v>
      </c>
      <c r="G91" t="s">
        <v>337</v>
      </c>
      <c r="H91" t="s">
        <v>338</v>
      </c>
      <c r="I91" t="s">
        <v>339</v>
      </c>
    </row>
    <row r="92" spans="2:11" x14ac:dyDescent="0.2">
      <c r="B92" t="s">
        <v>340</v>
      </c>
      <c r="C92" s="2">
        <v>59816.229129998952</v>
      </c>
      <c r="D92" s="2">
        <v>55076.562889999201</v>
      </c>
      <c r="E92" s="2">
        <v>4101.6332200000006</v>
      </c>
      <c r="F92" s="2">
        <v>24493.46276000014</v>
      </c>
      <c r="G92" s="2">
        <v>4753.5778599999903</v>
      </c>
      <c r="H92" s="2">
        <v>88425.23672999932</v>
      </c>
      <c r="I92" s="2">
        <v>59178.196109999197</v>
      </c>
    </row>
    <row r="93" spans="2:11" x14ac:dyDescent="0.2">
      <c r="B93" t="s">
        <v>341</v>
      </c>
      <c r="C93" s="2">
        <v>9804.2409599998991</v>
      </c>
      <c r="D93" s="2">
        <v>9368.2953099999722</v>
      </c>
      <c r="E93" s="2">
        <v>1430.6617000000035</v>
      </c>
      <c r="F93" s="2">
        <v>7490.0260599999547</v>
      </c>
      <c r="G93" s="2">
        <v>440.37656000000038</v>
      </c>
      <c r="H93" s="2">
        <v>18729.35962999993</v>
      </c>
      <c r="I93" s="2">
        <v>10798.957009999976</v>
      </c>
    </row>
    <row r="94" spans="2:11" x14ac:dyDescent="0.2">
      <c r="B94" t="s">
        <v>342</v>
      </c>
      <c r="C94" s="2">
        <v>15815.015130000162</v>
      </c>
      <c r="D94" s="2">
        <v>14957.654790000115</v>
      </c>
      <c r="E94" s="2">
        <v>813.6377600000003</v>
      </c>
      <c r="F94" s="2">
        <v>5511.4044999999887</v>
      </c>
      <c r="G94" s="2">
        <v>859.55330000000049</v>
      </c>
      <c r="H94" s="2">
        <v>22142.250350000104</v>
      </c>
      <c r="I94" s="2">
        <v>15771.292550000115</v>
      </c>
      <c r="K94" t="s">
        <v>551</v>
      </c>
    </row>
    <row r="95" spans="2:11" x14ac:dyDescent="0.2">
      <c r="B95" t="s">
        <v>343</v>
      </c>
      <c r="C95" s="2">
        <v>22418.989910000186</v>
      </c>
      <c r="D95" s="2">
        <v>19984.258530000308</v>
      </c>
      <c r="E95" s="2">
        <v>1212.3520299999996</v>
      </c>
      <c r="F95" s="2">
        <v>6427.2333399999607</v>
      </c>
      <c r="G95" s="2">
        <v>2439.6133899999991</v>
      </c>
      <c r="H95" s="2">
        <v>30063.457290000268</v>
      </c>
      <c r="I95" s="2">
        <v>21196.610560000307</v>
      </c>
      <c r="K95">
        <f>2428+1408+1360+651+583</f>
        <v>6430</v>
      </c>
    </row>
    <row r="96" spans="2:11" x14ac:dyDescent="0.2">
      <c r="B96" t="s">
        <v>344</v>
      </c>
      <c r="C96" s="2">
        <v>11777.983129999957</v>
      </c>
      <c r="D96" s="2">
        <v>10766.35425999996</v>
      </c>
      <c r="E96" s="2">
        <v>644.98173000000008</v>
      </c>
      <c r="F96" s="2">
        <v>5064.7988600000044</v>
      </c>
      <c r="G96" s="2">
        <v>1014.0346100000006</v>
      </c>
      <c r="H96" s="2">
        <v>17490.169459999965</v>
      </c>
      <c r="I96" s="2">
        <v>11411.335989999961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C1:EM176"/>
  <sheetViews>
    <sheetView topLeftCell="BX106" workbookViewId="0">
      <selection activeCell="K21" sqref="K21"/>
    </sheetView>
  </sheetViews>
  <sheetFormatPr defaultRowHeight="12.75" x14ac:dyDescent="0.2"/>
  <cols>
    <col min="14" max="14" width="12.42578125" customWidth="1"/>
    <col min="16" max="16" width="9.7109375" customWidth="1"/>
    <col min="18" max="18" width="10.140625" customWidth="1"/>
    <col min="19" max="19" width="10.28515625" customWidth="1"/>
    <col min="20" max="20" width="10.42578125" customWidth="1"/>
    <col min="21" max="21" width="10.140625" customWidth="1"/>
    <col min="22" max="22" width="10.7109375" customWidth="1"/>
    <col min="25" max="25" width="12.42578125" customWidth="1"/>
    <col min="27" max="27" width="9.7109375" customWidth="1"/>
    <col min="29" max="29" width="10.140625" customWidth="1"/>
    <col min="30" max="30" width="10.28515625" customWidth="1"/>
    <col min="31" max="31" width="10.42578125" customWidth="1"/>
    <col min="32" max="32" width="10.140625" customWidth="1"/>
    <col min="33" max="33" width="10.7109375" customWidth="1"/>
    <col min="36" max="36" width="12.42578125" customWidth="1"/>
    <col min="38" max="38" width="9.7109375" customWidth="1"/>
    <col min="40" max="40" width="10.140625" customWidth="1"/>
    <col min="41" max="41" width="10.28515625" customWidth="1"/>
    <col min="42" max="42" width="10.42578125" customWidth="1"/>
    <col min="43" max="43" width="10.140625" customWidth="1"/>
    <col min="44" max="44" width="10.7109375" customWidth="1"/>
    <col min="47" max="47" width="13.7109375" customWidth="1"/>
    <col min="48" max="48" width="12.42578125" customWidth="1"/>
    <col min="58" max="58" width="16.85546875" customWidth="1"/>
    <col min="69" max="69" width="12.42578125" customWidth="1"/>
    <col min="71" max="71" width="9.7109375" customWidth="1"/>
    <col min="73" max="73" width="10.140625" customWidth="1"/>
    <col min="74" max="74" width="10.28515625" customWidth="1"/>
    <col min="75" max="75" width="10.42578125" customWidth="1"/>
    <col min="76" max="76" width="10.140625" customWidth="1"/>
    <col min="77" max="77" width="10.7109375" customWidth="1"/>
  </cols>
  <sheetData>
    <row r="1" spans="3:143" x14ac:dyDescent="0.2">
      <c r="C1">
        <v>1997</v>
      </c>
      <c r="N1">
        <v>1999</v>
      </c>
      <c r="Y1">
        <v>2001</v>
      </c>
      <c r="AJ1">
        <v>2003</v>
      </c>
      <c r="AU1">
        <v>2005</v>
      </c>
      <c r="BF1">
        <v>2007</v>
      </c>
      <c r="BQ1">
        <v>2009</v>
      </c>
    </row>
    <row r="3" spans="3:143" x14ac:dyDescent="0.2">
      <c r="CZ3" t="s">
        <v>34</v>
      </c>
      <c r="DD3">
        <v>0</v>
      </c>
    </row>
    <row r="4" spans="3:143" ht="18" x14ac:dyDescent="0.25">
      <c r="C4" s="8" t="s">
        <v>24</v>
      </c>
      <c r="N4" s="8" t="s">
        <v>24</v>
      </c>
      <c r="Y4" s="8" t="s">
        <v>24</v>
      </c>
      <c r="AJ4" s="8" t="s">
        <v>24</v>
      </c>
      <c r="AL4" t="s">
        <v>36</v>
      </c>
      <c r="AU4" s="8" t="s">
        <v>24</v>
      </c>
      <c r="AW4" t="s">
        <v>37</v>
      </c>
      <c r="BF4" s="8" t="s">
        <v>24</v>
      </c>
      <c r="BH4" t="s">
        <v>25</v>
      </c>
      <c r="BQ4" s="8" t="s">
        <v>24</v>
      </c>
    </row>
    <row r="5" spans="3:143" x14ac:dyDescent="0.2">
      <c r="C5" s="1" t="s">
        <v>18</v>
      </c>
      <c r="N5" s="1" t="s">
        <v>18</v>
      </c>
      <c r="Y5" s="1" t="s">
        <v>18</v>
      </c>
      <c r="AJ5" s="1" t="s">
        <v>18</v>
      </c>
      <c r="AU5" s="1" t="s">
        <v>18</v>
      </c>
      <c r="BF5" s="1" t="s">
        <v>18</v>
      </c>
      <c r="BQ5" s="1" t="s">
        <v>18</v>
      </c>
      <c r="CE5" t="s">
        <v>27</v>
      </c>
      <c r="CG5" t="s">
        <v>38</v>
      </c>
      <c r="CO5" t="s">
        <v>28</v>
      </c>
      <c r="CZ5" t="s">
        <v>32</v>
      </c>
      <c r="DJ5" t="s">
        <v>28</v>
      </c>
      <c r="DU5" t="s">
        <v>33</v>
      </c>
      <c r="EE5" t="s">
        <v>28</v>
      </c>
    </row>
    <row r="6" spans="3:143" x14ac:dyDescent="0.2">
      <c r="D6" t="s">
        <v>0</v>
      </c>
      <c r="E6" t="s">
        <v>1</v>
      </c>
      <c r="F6" t="s">
        <v>2</v>
      </c>
      <c r="G6" t="s">
        <v>3</v>
      </c>
      <c r="H6" t="s">
        <v>4</v>
      </c>
      <c r="I6" t="s">
        <v>5</v>
      </c>
      <c r="J6" t="s">
        <v>6</v>
      </c>
      <c r="K6" t="s">
        <v>7</v>
      </c>
      <c r="L6" t="s">
        <v>19</v>
      </c>
      <c r="O6" t="s">
        <v>0</v>
      </c>
      <c r="P6" t="s">
        <v>1</v>
      </c>
      <c r="Q6" t="s">
        <v>2</v>
      </c>
      <c r="R6" t="s">
        <v>3</v>
      </c>
      <c r="S6" t="s">
        <v>4</v>
      </c>
      <c r="T6" t="s">
        <v>5</v>
      </c>
      <c r="U6" t="s">
        <v>6</v>
      </c>
      <c r="V6" t="s">
        <v>7</v>
      </c>
      <c r="W6" t="s">
        <v>19</v>
      </c>
      <c r="Z6" t="s">
        <v>0</v>
      </c>
      <c r="AA6" t="s">
        <v>1</v>
      </c>
      <c r="AB6" t="s">
        <v>2</v>
      </c>
      <c r="AC6" t="s">
        <v>3</v>
      </c>
      <c r="AD6" t="s">
        <v>4</v>
      </c>
      <c r="AE6" t="s">
        <v>5</v>
      </c>
      <c r="AF6" t="s">
        <v>6</v>
      </c>
      <c r="AG6" t="s">
        <v>7</v>
      </c>
      <c r="AH6" t="s">
        <v>19</v>
      </c>
      <c r="AK6" t="s">
        <v>0</v>
      </c>
      <c r="AL6" t="s">
        <v>1</v>
      </c>
      <c r="AM6" t="s">
        <v>2</v>
      </c>
      <c r="AN6" t="s">
        <v>3</v>
      </c>
      <c r="AO6" t="s">
        <v>4</v>
      </c>
      <c r="AP6" t="s">
        <v>5</v>
      </c>
      <c r="AQ6" t="s">
        <v>6</v>
      </c>
      <c r="AR6" t="s">
        <v>7</v>
      </c>
      <c r="AS6" t="s">
        <v>19</v>
      </c>
      <c r="AV6" t="s">
        <v>0</v>
      </c>
      <c r="AW6" t="s">
        <v>1</v>
      </c>
      <c r="AX6" t="s">
        <v>2</v>
      </c>
      <c r="AY6" t="s">
        <v>3</v>
      </c>
      <c r="AZ6" t="s">
        <v>4</v>
      </c>
      <c r="BA6" t="s">
        <v>5</v>
      </c>
      <c r="BB6" t="s">
        <v>6</v>
      </c>
      <c r="BC6" t="s">
        <v>7</v>
      </c>
      <c r="BD6" t="s">
        <v>19</v>
      </c>
      <c r="BG6" t="s">
        <v>0</v>
      </c>
      <c r="BH6" t="s">
        <v>1</v>
      </c>
      <c r="BI6" t="s">
        <v>2</v>
      </c>
      <c r="BJ6" t="s">
        <v>3</v>
      </c>
      <c r="BK6" t="s">
        <v>4</v>
      </c>
      <c r="BL6" t="s">
        <v>5</v>
      </c>
      <c r="BM6" t="s">
        <v>6</v>
      </c>
      <c r="BN6" t="s">
        <v>7</v>
      </c>
      <c r="BO6" t="s">
        <v>19</v>
      </c>
      <c r="BP6" s="1"/>
      <c r="BR6" t="s">
        <v>0</v>
      </c>
      <c r="BS6" t="s">
        <v>1</v>
      </c>
      <c r="BT6" t="s">
        <v>2</v>
      </c>
      <c r="BU6" t="s">
        <v>3</v>
      </c>
      <c r="BV6" t="s">
        <v>4</v>
      </c>
      <c r="BW6" t="s">
        <v>5</v>
      </c>
      <c r="BX6" t="s">
        <v>6</v>
      </c>
      <c r="BY6" t="s">
        <v>7</v>
      </c>
      <c r="BZ6" t="s">
        <v>19</v>
      </c>
      <c r="CF6" t="s">
        <v>0</v>
      </c>
      <c r="CG6" t="s">
        <v>1</v>
      </c>
      <c r="CH6" t="s">
        <v>2</v>
      </c>
      <c r="CI6" t="s">
        <v>3</v>
      </c>
      <c r="CJ6" t="s">
        <v>4</v>
      </c>
      <c r="CK6" t="s">
        <v>5</v>
      </c>
      <c r="CL6" t="s">
        <v>6</v>
      </c>
      <c r="CO6" t="s">
        <v>29</v>
      </c>
      <c r="CP6" t="s">
        <v>30</v>
      </c>
      <c r="CV6" t="s">
        <v>35</v>
      </c>
      <c r="DA6" t="s">
        <v>0</v>
      </c>
      <c r="DB6" t="s">
        <v>1</v>
      </c>
      <c r="DC6" t="s">
        <v>2</v>
      </c>
      <c r="DD6" t="s">
        <v>3</v>
      </c>
      <c r="DE6" t="s">
        <v>4</v>
      </c>
      <c r="DF6" t="s">
        <v>5</v>
      </c>
      <c r="DG6" t="s">
        <v>6</v>
      </c>
      <c r="DJ6" t="s">
        <v>29</v>
      </c>
      <c r="DK6" t="s">
        <v>30</v>
      </c>
      <c r="DQ6" t="s">
        <v>35</v>
      </c>
      <c r="DV6" t="s">
        <v>0</v>
      </c>
      <c r="DW6" t="s">
        <v>1</v>
      </c>
      <c r="DX6" t="s">
        <v>2</v>
      </c>
      <c r="DY6" t="s">
        <v>3</v>
      </c>
      <c r="DZ6" t="s">
        <v>4</v>
      </c>
      <c r="EA6" t="s">
        <v>5</v>
      </c>
      <c r="EB6" t="s">
        <v>6</v>
      </c>
      <c r="EE6" t="s">
        <v>29</v>
      </c>
      <c r="EF6" t="s">
        <v>30</v>
      </c>
      <c r="EL6" t="s">
        <v>35</v>
      </c>
    </row>
    <row r="7" spans="3:143" x14ac:dyDescent="0.2">
      <c r="AX7" t="s">
        <v>26</v>
      </c>
      <c r="AY7" t="s">
        <v>26</v>
      </c>
      <c r="AZ7" t="s">
        <v>26</v>
      </c>
      <c r="BA7" t="s">
        <v>26</v>
      </c>
      <c r="BB7" t="s">
        <v>26</v>
      </c>
      <c r="BK7" t="s">
        <v>26</v>
      </c>
      <c r="BL7" t="s">
        <v>26</v>
      </c>
      <c r="BM7" t="s">
        <v>26</v>
      </c>
      <c r="CC7" s="2"/>
      <c r="CD7" s="2"/>
      <c r="CE7" s="11">
        <v>1997</v>
      </c>
      <c r="CF7" s="2">
        <f t="shared" ref="CF7:CL7" si="0">D18+D19</f>
        <v>13238.675573965274</v>
      </c>
      <c r="CG7" s="2">
        <f t="shared" si="0"/>
        <v>5697.0200151893705</v>
      </c>
      <c r="CH7" s="2">
        <f t="shared" si="0"/>
        <v>10383.325308685691</v>
      </c>
      <c r="CI7" s="2">
        <f t="shared" si="0"/>
        <v>10044.144882481836</v>
      </c>
      <c r="CJ7" s="2">
        <f t="shared" si="0"/>
        <v>12384.14874034989</v>
      </c>
      <c r="CK7" s="2">
        <f t="shared" si="0"/>
        <v>8876.9727430982784</v>
      </c>
      <c r="CL7" s="2">
        <f t="shared" si="0"/>
        <v>7327.0950881031804</v>
      </c>
      <c r="CM7" s="2"/>
      <c r="CN7" s="11">
        <f>CE7</f>
        <v>1997</v>
      </c>
      <c r="CO7" s="2">
        <f t="shared" ref="CO7:CO13" si="1">SUM(CF7:CK7)</f>
        <v>60624.28726377034</v>
      </c>
      <c r="CP7">
        <f>EXP(CT7)</f>
        <v>60381.521584820293</v>
      </c>
      <c r="CQ7">
        <f t="shared" ref="CQ7:CQ13" si="2">LN(CO7)</f>
        <v>11.012450871696785</v>
      </c>
      <c r="CR7">
        <v>0</v>
      </c>
      <c r="CS7">
        <f t="shared" ref="CS7:CS13" si="3">CQ7</f>
        <v>11.012450871696785</v>
      </c>
      <c r="CT7">
        <f>$CW$7+CR7*$CV$7</f>
        <v>11.008438403089391</v>
      </c>
      <c r="CV7" s="13">
        <f t="array" ref="CV7:CW12">LINEST(CS7:CS13,CR7:CR13,TRUE,TRUE)</f>
        <v>-6.9537728640026546E-3</v>
      </c>
      <c r="CW7">
        <v>11.008438403089391</v>
      </c>
      <c r="CZ7" s="11">
        <v>1997</v>
      </c>
      <c r="DA7" s="2">
        <f>D20</f>
        <v>6166.0808005615136</v>
      </c>
      <c r="DB7" s="2">
        <f t="shared" ref="DB7:DG7" si="4">E20</f>
        <v>1608.0287468728714</v>
      </c>
      <c r="DC7" s="2">
        <f t="shared" si="4"/>
        <v>1974.0038961175023</v>
      </c>
      <c r="DD7" s="2">
        <f t="shared" si="4"/>
        <v>3537.2808487035782</v>
      </c>
      <c r="DE7" s="2">
        <f t="shared" si="4"/>
        <v>5814.3768939900547</v>
      </c>
      <c r="DF7" s="2">
        <f t="shared" si="4"/>
        <v>4331.8750069505513</v>
      </c>
      <c r="DG7" s="2">
        <f t="shared" si="4"/>
        <v>1556.818229577101</v>
      </c>
      <c r="DH7" s="2"/>
      <c r="DI7" s="11">
        <f>CZ7</f>
        <v>1997</v>
      </c>
      <c r="DJ7" s="2">
        <f t="shared" ref="DJ7:DJ13" si="5">SUM(DA7:DF7)</f>
        <v>23431.646193196069</v>
      </c>
      <c r="DK7">
        <f>EXP(DO7)</f>
        <v>22243.486581976871</v>
      </c>
      <c r="DL7">
        <f t="shared" ref="DL7:DL13" si="6">LN(DJ7)</f>
        <v>10.061842789093303</v>
      </c>
      <c r="DM7">
        <v>0</v>
      </c>
      <c r="DN7">
        <f t="shared" ref="DN7:DN13" si="7">DL7</f>
        <v>10.061842789093303</v>
      </c>
      <c r="DO7">
        <f>$DR$7+DM7*$DQ$7</f>
        <v>10.009804506849607</v>
      </c>
      <c r="DQ7" s="13">
        <f t="array" ref="DQ7:DR12">LINEST(DN7:DN13,DM7:DM13,TRUE,TRUE)</f>
        <v>-6.8482013616632123E-3</v>
      </c>
      <c r="DR7">
        <v>10.009804506849607</v>
      </c>
      <c r="DU7" s="11">
        <v>1997</v>
      </c>
      <c r="DV7" s="2">
        <f>D21</f>
        <v>35.429437008300006</v>
      </c>
      <c r="DW7" s="2">
        <f t="shared" ref="DW7:EB7" si="8">E21</f>
        <v>16.209391437699999</v>
      </c>
      <c r="DX7" s="2">
        <f t="shared" si="8"/>
        <v>117.80943427634</v>
      </c>
      <c r="DY7" s="2">
        <f t="shared" si="8"/>
        <v>729.65148363604442</v>
      </c>
      <c r="DZ7" s="2">
        <f t="shared" si="8"/>
        <v>2372.5162144807373</v>
      </c>
      <c r="EA7" s="2">
        <f t="shared" si="8"/>
        <v>1515.6482071383475</v>
      </c>
      <c r="EB7" s="2">
        <f t="shared" si="8"/>
        <v>1745.4471512269556</v>
      </c>
      <c r="EC7" s="2"/>
      <c r="ED7" s="11">
        <f>DU7</f>
        <v>1997</v>
      </c>
      <c r="EE7" s="2">
        <f t="shared" ref="EE7:EE13" si="9">SUM(DV7:EA7)</f>
        <v>4787.2641679774697</v>
      </c>
      <c r="EF7">
        <f>EXP(EJ7)</f>
        <v>4625.1616417792984</v>
      </c>
      <c r="EG7">
        <f t="shared" ref="EG7:EG13" si="10">LN(EE7)</f>
        <v>8.4737143723231032</v>
      </c>
      <c r="EH7">
        <v>0</v>
      </c>
      <c r="EI7">
        <f t="shared" ref="EI7:EI13" si="11">EG7</f>
        <v>8.4737143723231032</v>
      </c>
      <c r="EJ7">
        <f>$EM$7+EH7*$EL$7</f>
        <v>8.4392665989097058</v>
      </c>
      <c r="EL7">
        <f t="array" ref="EL7:EM12">LINEST(EI7:EI13,EH7:EH13,TRUE,TRUE)</f>
        <v>-3.15609972367061E-2</v>
      </c>
      <c r="EM7">
        <v>8.4392665989097058</v>
      </c>
    </row>
    <row r="8" spans="3:143" x14ac:dyDescent="0.2">
      <c r="C8" s="1" t="s">
        <v>8</v>
      </c>
      <c r="L8" s="2"/>
      <c r="N8" s="1" t="s">
        <v>8</v>
      </c>
      <c r="W8" s="2"/>
      <c r="Y8" s="1" t="s">
        <v>8</v>
      </c>
      <c r="AH8" s="2"/>
      <c r="AJ8" s="1" t="s">
        <v>8</v>
      </c>
      <c r="AS8" s="2"/>
      <c r="AU8" s="1" t="s">
        <v>8</v>
      </c>
      <c r="AX8" t="s">
        <v>26</v>
      </c>
      <c r="AY8" t="s">
        <v>26</v>
      </c>
      <c r="AZ8" t="s">
        <v>26</v>
      </c>
      <c r="BA8" t="s">
        <v>26</v>
      </c>
      <c r="BB8" t="s">
        <v>26</v>
      </c>
      <c r="BF8" s="1" t="s">
        <v>8</v>
      </c>
      <c r="BI8" t="s">
        <v>26</v>
      </c>
      <c r="BJ8" t="s">
        <v>26</v>
      </c>
      <c r="BK8" t="s">
        <v>26</v>
      </c>
      <c r="BL8" t="s">
        <v>26</v>
      </c>
      <c r="BM8" t="s">
        <v>26</v>
      </c>
      <c r="BQ8" s="1" t="s">
        <v>8</v>
      </c>
      <c r="BZ8" s="2"/>
      <c r="CC8" s="2"/>
      <c r="CD8" s="2"/>
      <c r="CE8" s="11">
        <v>1999</v>
      </c>
      <c r="CF8" s="2">
        <f t="shared" ref="CF8:CL8" si="12">O18+O19</f>
        <v>13731.725805588263</v>
      </c>
      <c r="CG8" s="2">
        <f t="shared" si="12"/>
        <v>5890.630524605147</v>
      </c>
      <c r="CH8" s="2">
        <f t="shared" si="12"/>
        <v>10393.762094314892</v>
      </c>
      <c r="CI8" s="2">
        <f t="shared" si="12"/>
        <v>10272.317825172686</v>
      </c>
      <c r="CJ8" s="2">
        <f t="shared" si="12"/>
        <v>12848.628085373453</v>
      </c>
      <c r="CK8" s="2">
        <f t="shared" si="12"/>
        <v>8834.1477718180067</v>
      </c>
      <c r="CL8" s="2">
        <f t="shared" si="12"/>
        <v>9527.7993463470375</v>
      </c>
      <c r="CM8" s="2"/>
      <c r="CN8" s="11">
        <f t="shared" ref="CN8:CN13" si="13">CE8</f>
        <v>1999</v>
      </c>
      <c r="CO8" s="2">
        <f t="shared" si="1"/>
        <v>61971.212106872452</v>
      </c>
      <c r="CP8">
        <f t="shared" ref="CP8:CP13" si="14">EXP(CT8)</f>
        <v>59547.575326879902</v>
      </c>
      <c r="CQ8">
        <f t="shared" si="2"/>
        <v>11.034425235340024</v>
      </c>
      <c r="CR8">
        <v>2</v>
      </c>
      <c r="CS8">
        <f t="shared" si="3"/>
        <v>11.034425235340024</v>
      </c>
      <c r="CT8">
        <f t="shared" ref="CT8:CT13" si="15">$CW$7+CR8*$CV$7</f>
        <v>10.994530857361386</v>
      </c>
      <c r="CV8">
        <v>7.8402146698374961E-3</v>
      </c>
      <c r="CW8">
        <v>5.6536592005488127E-2</v>
      </c>
      <c r="CZ8" s="11">
        <v>1999</v>
      </c>
      <c r="DA8" s="2">
        <f>O20</f>
        <v>5759.8137758875009</v>
      </c>
      <c r="DB8" s="2">
        <f t="shared" ref="DB8:DG8" si="16">P20</f>
        <v>1519.3258619064379</v>
      </c>
      <c r="DC8" s="2">
        <f t="shared" si="16"/>
        <v>1797.9806068493858</v>
      </c>
      <c r="DD8" s="2">
        <f t="shared" si="16"/>
        <v>3354.406284914096</v>
      </c>
      <c r="DE8" s="2">
        <f t="shared" si="16"/>
        <v>5659.8456081821523</v>
      </c>
      <c r="DF8" s="2">
        <f t="shared" si="16"/>
        <v>4403.1582061558338</v>
      </c>
      <c r="DG8" s="2">
        <f t="shared" si="16"/>
        <v>2021.0920180915298</v>
      </c>
      <c r="DH8" s="2"/>
      <c r="DI8" s="11">
        <f t="shared" ref="DI8:DI13" si="17">CZ8</f>
        <v>1999</v>
      </c>
      <c r="DJ8" s="2">
        <f t="shared" si="5"/>
        <v>22494.530343895407</v>
      </c>
      <c r="DK8">
        <f t="shared" ref="DK8:DK13" si="18">EXP(DO8)</f>
        <v>21940.907683092912</v>
      </c>
      <c r="DL8">
        <f t="shared" si="6"/>
        <v>10.021027462813061</v>
      </c>
      <c r="DM8">
        <v>2</v>
      </c>
      <c r="DN8">
        <f t="shared" si="7"/>
        <v>10.021027462813061</v>
      </c>
      <c r="DO8">
        <f t="shared" ref="DO8:DO13" si="19">$DR$7+DM8*$DQ$7</f>
        <v>9.9961081041262805</v>
      </c>
      <c r="DQ8">
        <v>8.4124492226718087E-3</v>
      </c>
      <c r="DR8">
        <v>6.0663034049160763E-2</v>
      </c>
      <c r="DU8" s="11">
        <v>1999</v>
      </c>
      <c r="DV8" s="2">
        <f>O21</f>
        <v>37.513102551499998</v>
      </c>
      <c r="DW8" s="2">
        <f t="shared" ref="DW8:EB8" si="20">P21</f>
        <v>16.261309679299998</v>
      </c>
      <c r="DX8" s="2">
        <f t="shared" si="20"/>
        <v>102.40729552607998</v>
      </c>
      <c r="DY8" s="2">
        <f t="shared" si="20"/>
        <v>601.58513447374332</v>
      </c>
      <c r="DZ8" s="2">
        <f t="shared" si="20"/>
        <v>2103.5987465911835</v>
      </c>
      <c r="EA8" s="2">
        <f t="shared" si="20"/>
        <v>1517.6772156534907</v>
      </c>
      <c r="EB8" s="2">
        <f t="shared" si="20"/>
        <v>2400.3862144058899</v>
      </c>
      <c r="EC8" s="2"/>
      <c r="ED8" s="11">
        <f t="shared" ref="ED8:ED13" si="21">DU8</f>
        <v>1999</v>
      </c>
      <c r="EE8" s="2">
        <f t="shared" si="9"/>
        <v>4379.0428044752971</v>
      </c>
      <c r="EF8">
        <f t="shared" ref="EF8:EF13" si="22">EXP(EJ8)</f>
        <v>4342.235577250005</v>
      </c>
      <c r="EG8">
        <f t="shared" si="10"/>
        <v>8.3845854416966006</v>
      </c>
      <c r="EH8">
        <v>2</v>
      </c>
      <c r="EI8">
        <f t="shared" si="11"/>
        <v>8.3845854416966006</v>
      </c>
      <c r="EJ8">
        <f t="shared" ref="EJ8:EJ13" si="23">$EM$7+EH8*$EL$7</f>
        <v>8.3761446044362931</v>
      </c>
      <c r="EL8">
        <v>9.8381984208710423E-3</v>
      </c>
      <c r="EM8">
        <v>7.0944257729278773E-2</v>
      </c>
    </row>
    <row r="9" spans="3:143" x14ac:dyDescent="0.2">
      <c r="C9" t="s">
        <v>9</v>
      </c>
      <c r="D9" s="2">
        <v>1996.4134368423317</v>
      </c>
      <c r="E9" s="2">
        <v>1672.9230047618762</v>
      </c>
      <c r="F9" s="2">
        <v>1770.2466473796451</v>
      </c>
      <c r="G9" s="2">
        <v>1855.6702679866166</v>
      </c>
      <c r="H9" s="2">
        <v>1874.4216643360774</v>
      </c>
      <c r="I9" s="2">
        <v>1965.2685700753784</v>
      </c>
      <c r="J9" s="2">
        <v>2094.2471199836855</v>
      </c>
      <c r="K9" s="2"/>
      <c r="L9" s="2">
        <v>1899.0270119536222</v>
      </c>
      <c r="N9" t="s">
        <v>9</v>
      </c>
      <c r="O9" s="2">
        <v>2059.0938049463925</v>
      </c>
      <c r="P9" s="2">
        <v>1679.9524293765876</v>
      </c>
      <c r="Q9" s="2">
        <v>1797.8980952481329</v>
      </c>
      <c r="R9" s="2">
        <v>1907.1695378386801</v>
      </c>
      <c r="S9" s="2">
        <v>1959.7477517471639</v>
      </c>
      <c r="T9" s="2">
        <v>2096.3273713069693</v>
      </c>
      <c r="U9" s="2">
        <v>2367.757699692243</v>
      </c>
      <c r="V9" s="2"/>
      <c r="W9" s="2">
        <v>2005.2287052455326</v>
      </c>
      <c r="Y9" t="s">
        <v>9</v>
      </c>
      <c r="Z9" s="2">
        <v>2100.4686210120335</v>
      </c>
      <c r="AA9" s="2">
        <v>1654.4578013063092</v>
      </c>
      <c r="AB9" s="2">
        <v>1771.7256309300935</v>
      </c>
      <c r="AC9" s="2">
        <v>1877.1108635156463</v>
      </c>
      <c r="AD9" s="2">
        <v>1938.0072126703781</v>
      </c>
      <c r="AE9" s="2">
        <v>2073.8805341206553</v>
      </c>
      <c r="AF9" s="2">
        <v>2310.6743095902211</v>
      </c>
      <c r="AG9" s="2">
        <v>2592.6430573000794</v>
      </c>
      <c r="AH9" s="2">
        <v>2002.6255448473948</v>
      </c>
      <c r="AJ9" t="s">
        <v>9</v>
      </c>
      <c r="AK9" s="2">
        <v>2118.1230345492231</v>
      </c>
      <c r="AL9" s="2">
        <v>1701.3897028925237</v>
      </c>
      <c r="AM9" s="2">
        <v>1823.3211982302635</v>
      </c>
      <c r="AN9" s="2">
        <v>1918.7847674231448</v>
      </c>
      <c r="AO9" s="2">
        <v>1965.4260815585794</v>
      </c>
      <c r="AP9" s="2">
        <v>2129.7777950114391</v>
      </c>
      <c r="AQ9" s="2">
        <v>2456.1232324063699</v>
      </c>
      <c r="AR9" s="2">
        <v>2691.6567429262032</v>
      </c>
      <c r="AS9" s="2">
        <v>2085.73786967662</v>
      </c>
      <c r="AU9" t="s">
        <v>9</v>
      </c>
      <c r="AV9" s="2">
        <v>2138.3093557354086</v>
      </c>
      <c r="AW9" s="2">
        <v>1732.607452429791</v>
      </c>
      <c r="AX9" s="2">
        <v>1823.3920213128958</v>
      </c>
      <c r="AY9" s="2">
        <v>1960.047925938241</v>
      </c>
      <c r="AZ9" s="2">
        <v>2047.793541619119</v>
      </c>
      <c r="BA9" s="2">
        <v>2214.778071152406</v>
      </c>
      <c r="BB9" s="2">
        <v>2518.8504399741851</v>
      </c>
      <c r="BC9" s="2">
        <v>2671.2523140541643</v>
      </c>
      <c r="BD9" s="2">
        <v>2141.0334624702964</v>
      </c>
      <c r="BF9" t="s">
        <v>9</v>
      </c>
      <c r="BG9" s="2">
        <v>2158.1765961374376</v>
      </c>
      <c r="BH9" s="2">
        <v>1710.3652050246358</v>
      </c>
      <c r="BI9" s="2">
        <v>1818.1344353006348</v>
      </c>
      <c r="BJ9" s="2">
        <v>1990.3683835292979</v>
      </c>
      <c r="BK9" s="2">
        <v>2030.43519568804</v>
      </c>
      <c r="BL9" s="2">
        <v>2173.30629449956</v>
      </c>
      <c r="BM9" s="2">
        <v>2413.7927401318448</v>
      </c>
      <c r="BN9" s="2">
        <v>2688.2596058476156</v>
      </c>
      <c r="BO9" s="2">
        <v>2144.1387372624781</v>
      </c>
      <c r="BQ9" t="s">
        <v>9</v>
      </c>
      <c r="BR9" s="2">
        <v>2150.0590074216625</v>
      </c>
      <c r="BS9" s="2">
        <v>1736.7146967541503</v>
      </c>
      <c r="BT9" s="2">
        <v>1789.7289991745522</v>
      </c>
      <c r="BU9" s="2">
        <v>2033.6498526214361</v>
      </c>
      <c r="BV9" s="2">
        <v>2063.753348675325</v>
      </c>
      <c r="BW9" s="2">
        <v>2158.4766802924005</v>
      </c>
      <c r="BX9" s="2">
        <v>2421.6003389707967</v>
      </c>
      <c r="BY9" s="2">
        <v>2640.3620226372905</v>
      </c>
      <c r="BZ9" s="2">
        <v>2157.5500543334942</v>
      </c>
      <c r="CC9" s="2"/>
      <c r="CD9" s="2"/>
      <c r="CE9" s="11">
        <v>2001</v>
      </c>
      <c r="CF9" s="2">
        <f t="shared" ref="CF9:CL9" si="24">Z18+Z19</f>
        <v>13789.339534451954</v>
      </c>
      <c r="CG9" s="2">
        <f t="shared" si="24"/>
        <v>5828.8465457168131</v>
      </c>
      <c r="CH9" s="2">
        <f t="shared" si="24"/>
        <v>10535.531481864553</v>
      </c>
      <c r="CI9" s="2">
        <f t="shared" si="24"/>
        <v>10345.51575882086</v>
      </c>
      <c r="CJ9" s="2">
        <f t="shared" si="24"/>
        <v>13273.609398621491</v>
      </c>
      <c r="CK9" s="2">
        <f t="shared" si="24"/>
        <v>8932.7566775058731</v>
      </c>
      <c r="CL9" s="2">
        <f t="shared" si="24"/>
        <v>9912.1062027953794</v>
      </c>
      <c r="CM9" s="2"/>
      <c r="CN9" s="11">
        <f t="shared" si="13"/>
        <v>2001</v>
      </c>
      <c r="CO9" s="2">
        <f t="shared" si="1"/>
        <v>62705.599396981546</v>
      </c>
      <c r="CP9">
        <f t="shared" si="14"/>
        <v>58725.146936374324</v>
      </c>
      <c r="CQ9">
        <f t="shared" si="2"/>
        <v>11.046206027210653</v>
      </c>
      <c r="CR9">
        <v>4</v>
      </c>
      <c r="CS9">
        <f t="shared" si="3"/>
        <v>11.046206027210653</v>
      </c>
      <c r="CT9">
        <f t="shared" si="15"/>
        <v>10.98062331163338</v>
      </c>
      <c r="CV9">
        <v>0.1359431710628127</v>
      </c>
      <c r="CW9">
        <v>8.2973032967001578E-2</v>
      </c>
      <c r="CZ9" s="11">
        <v>2001</v>
      </c>
      <c r="DA9" s="2">
        <f>Z20</f>
        <v>5375.390605161022</v>
      </c>
      <c r="DB9" s="2">
        <f t="shared" ref="DB9:DG9" si="25">AA20</f>
        <v>1425.8982580970769</v>
      </c>
      <c r="DC9" s="2">
        <f t="shared" si="25"/>
        <v>1864.9057159787992</v>
      </c>
      <c r="DD9" s="2">
        <f t="shared" si="25"/>
        <v>3456.4629761369074</v>
      </c>
      <c r="DE9" s="2">
        <f t="shared" si="25"/>
        <v>5550.1231868986506</v>
      </c>
      <c r="DF9" s="2">
        <f t="shared" si="25"/>
        <v>4365.8980092340289</v>
      </c>
      <c r="DG9" s="2">
        <f t="shared" si="25"/>
        <v>2190.3728615456898</v>
      </c>
      <c r="DH9" s="2"/>
      <c r="DI9" s="11">
        <f t="shared" si="17"/>
        <v>2001</v>
      </c>
      <c r="DJ9" s="2">
        <f t="shared" si="5"/>
        <v>22038.678751506486</v>
      </c>
      <c r="DK9">
        <f t="shared" si="18"/>
        <v>21642.444775185111</v>
      </c>
      <c r="DL9">
        <f t="shared" si="6"/>
        <v>10.000554313716123</v>
      </c>
      <c r="DM9">
        <v>4</v>
      </c>
      <c r="DN9">
        <f t="shared" si="7"/>
        <v>10.000554313716123</v>
      </c>
      <c r="DO9">
        <f t="shared" si="19"/>
        <v>9.9824117014029543</v>
      </c>
      <c r="DQ9">
        <v>0.1170268760436238</v>
      </c>
      <c r="DR9">
        <v>8.9028994240592949E-2</v>
      </c>
      <c r="DU9" s="11">
        <v>2001</v>
      </c>
      <c r="DV9" s="2">
        <f>Z21</f>
        <v>56.140796059100005</v>
      </c>
      <c r="DW9" s="2">
        <f t="shared" ref="DW9:EB9" si="26">AA21</f>
        <v>23.506495982300002</v>
      </c>
      <c r="DX9" s="2">
        <f t="shared" si="26"/>
        <v>100.69828062954001</v>
      </c>
      <c r="DY9" s="2">
        <f t="shared" si="26"/>
        <v>594.31925623098221</v>
      </c>
      <c r="DZ9" s="2">
        <f t="shared" si="26"/>
        <v>2093.3308423382309</v>
      </c>
      <c r="EA9" s="2">
        <f t="shared" si="26"/>
        <v>1530.4189350944616</v>
      </c>
      <c r="EB9" s="2">
        <f t="shared" si="26"/>
        <v>2439.2343082056095</v>
      </c>
      <c r="EC9" s="2"/>
      <c r="ED9" s="11">
        <f t="shared" si="21"/>
        <v>2001</v>
      </c>
      <c r="EE9" s="2">
        <f t="shared" si="9"/>
        <v>4398.4146063346143</v>
      </c>
      <c r="EF9">
        <f t="shared" si="22"/>
        <v>4076.6164014717979</v>
      </c>
      <c r="EG9">
        <f t="shared" si="10"/>
        <v>8.3889994382345456</v>
      </c>
      <c r="EH9">
        <v>4</v>
      </c>
      <c r="EI9">
        <f t="shared" si="11"/>
        <v>8.3889994382345456</v>
      </c>
      <c r="EJ9">
        <f t="shared" si="23"/>
        <v>8.3130226099628821</v>
      </c>
      <c r="EL9">
        <v>0.67301670361723642</v>
      </c>
      <c r="EM9">
        <v>0.10411770548213259</v>
      </c>
    </row>
    <row r="10" spans="3:143" x14ac:dyDescent="0.2">
      <c r="C10" t="s">
        <v>10</v>
      </c>
      <c r="D10" s="2">
        <v>1997.5851110151768</v>
      </c>
      <c r="E10" s="2">
        <v>1674.6055178593069</v>
      </c>
      <c r="F10" s="2">
        <v>1779.5066540512069</v>
      </c>
      <c r="G10" s="2">
        <v>1925.3997584605781</v>
      </c>
      <c r="H10" s="2">
        <v>2042.2658086580211</v>
      </c>
      <c r="I10" s="2">
        <v>2132.3891944693196</v>
      </c>
      <c r="J10" s="2">
        <v>2305.1821290917137</v>
      </c>
      <c r="K10" s="2"/>
      <c r="L10" s="2">
        <v>1979.4063440953928</v>
      </c>
      <c r="N10" t="s">
        <v>10</v>
      </c>
      <c r="O10" s="2">
        <v>2062.095493865781</v>
      </c>
      <c r="P10" s="2">
        <v>1682.1080828912261</v>
      </c>
      <c r="Q10" s="2">
        <v>1806.8204642347928</v>
      </c>
      <c r="R10" s="2">
        <v>1970.1094811246001</v>
      </c>
      <c r="S10" s="2">
        <v>2126.4913459739028</v>
      </c>
      <c r="T10" s="2">
        <v>2292.4067915645874</v>
      </c>
      <c r="U10" s="2">
        <v>2644.4967976712792</v>
      </c>
      <c r="V10" s="2"/>
      <c r="W10" s="2">
        <v>2094.1050292888108</v>
      </c>
      <c r="Y10" t="s">
        <v>10</v>
      </c>
      <c r="Z10" s="2">
        <v>2105.6902276496503</v>
      </c>
      <c r="AA10" s="2">
        <v>1657.7118386165193</v>
      </c>
      <c r="AB10" s="2">
        <v>1779.7452130337331</v>
      </c>
      <c r="AC10" s="2">
        <v>1935.3147504470812</v>
      </c>
      <c r="AD10" s="2">
        <v>2090.5783492918504</v>
      </c>
      <c r="AE10" s="2">
        <v>2257.6869388707464</v>
      </c>
      <c r="AF10" s="2">
        <v>2556.3547916629814</v>
      </c>
      <c r="AG10" s="2">
        <v>2744.0733890484944</v>
      </c>
      <c r="AH10" s="2">
        <v>2085.0245213630815</v>
      </c>
      <c r="AJ10" t="s">
        <v>10</v>
      </c>
      <c r="AK10" s="2">
        <v>2123.2381335051655</v>
      </c>
      <c r="AL10" s="2">
        <v>1704.6450772294058</v>
      </c>
      <c r="AM10" s="2">
        <v>1830.095363017153</v>
      </c>
      <c r="AN10" s="2">
        <v>1979.3414163446851</v>
      </c>
      <c r="AO10" s="2">
        <v>2114.9802753475524</v>
      </c>
      <c r="AP10" s="2">
        <v>2282.5442333666424</v>
      </c>
      <c r="AQ10" s="2">
        <v>2605.7201156330402</v>
      </c>
      <c r="AR10" s="2">
        <v>2803.2223731406375</v>
      </c>
      <c r="AS10" s="2">
        <v>2159.2911323366352</v>
      </c>
      <c r="AU10" t="s">
        <v>10</v>
      </c>
      <c r="AV10" s="2">
        <v>2142.6360631252337</v>
      </c>
      <c r="AW10" s="2">
        <v>1737.045420601399</v>
      </c>
      <c r="AX10" s="2">
        <v>1828.6893426067884</v>
      </c>
      <c r="AY10" s="2">
        <v>2003.1305718235642</v>
      </c>
      <c r="AZ10" s="2">
        <v>2145.0717434689009</v>
      </c>
      <c r="BA10" s="2">
        <v>2344.8224424623104</v>
      </c>
      <c r="BB10" s="2">
        <v>2667.8078231933164</v>
      </c>
      <c r="BC10" s="2">
        <v>2841.4157861050098</v>
      </c>
      <c r="BD10" s="2">
        <v>2201.6556729410304</v>
      </c>
      <c r="BF10" t="s">
        <v>10</v>
      </c>
      <c r="BG10" s="2">
        <v>2162.3018609288015</v>
      </c>
      <c r="BH10" s="2">
        <v>1716.7972605580189</v>
      </c>
      <c r="BI10" s="2">
        <v>1821.5274559185286</v>
      </c>
      <c r="BJ10" s="2">
        <v>2028.8721542690894</v>
      </c>
      <c r="BK10" s="2">
        <v>2132.0287181961885</v>
      </c>
      <c r="BL10" s="2">
        <v>2328.3959250928865</v>
      </c>
      <c r="BM10" s="2">
        <v>2625.3262535606955</v>
      </c>
      <c r="BN10" s="2">
        <v>2821.4566221808273</v>
      </c>
      <c r="BO10" s="2">
        <v>2214.3196937967141</v>
      </c>
      <c r="BQ10" t="s">
        <v>10</v>
      </c>
      <c r="BR10" s="2">
        <v>2153.0962964771411</v>
      </c>
      <c r="BS10" s="2">
        <v>1746.7204567882445</v>
      </c>
      <c r="BT10" s="2">
        <v>1793.2839151826611</v>
      </c>
      <c r="BU10" s="2">
        <v>2071.8993859042007</v>
      </c>
      <c r="BV10" s="2">
        <v>2164.3117402158668</v>
      </c>
      <c r="BW10" s="2">
        <v>2309.1220687940768</v>
      </c>
      <c r="BX10" s="2">
        <v>2605.8848284183741</v>
      </c>
      <c r="BY10" s="2">
        <v>2749.0056136092444</v>
      </c>
      <c r="BZ10" s="2">
        <v>2221.4490661673394</v>
      </c>
      <c r="CC10" s="2"/>
      <c r="CD10" s="2"/>
      <c r="CE10" s="11">
        <v>2003</v>
      </c>
      <c r="CF10" s="2">
        <f t="shared" ref="CF10:CL10" si="27">+AK18+AK19</f>
        <v>11401.696009983711</v>
      </c>
      <c r="CG10" s="2">
        <f t="shared" si="27"/>
        <v>4827.8687214986767</v>
      </c>
      <c r="CH10" s="2">
        <f t="shared" si="27"/>
        <v>8665.2082190328711</v>
      </c>
      <c r="CI10" s="2">
        <f t="shared" si="27"/>
        <v>8551.3783304057306</v>
      </c>
      <c r="CJ10" s="2">
        <f t="shared" si="27"/>
        <v>11094.551894367072</v>
      </c>
      <c r="CK10" s="2">
        <f t="shared" si="27"/>
        <v>7727.0187700456236</v>
      </c>
      <c r="CL10" s="2">
        <f t="shared" si="27"/>
        <v>10365.44176412544</v>
      </c>
      <c r="CM10" s="2"/>
      <c r="CN10" s="11">
        <f t="shared" si="13"/>
        <v>2003</v>
      </c>
      <c r="CO10" s="2">
        <f t="shared" si="1"/>
        <v>52267.72194533368</v>
      </c>
      <c r="CP10">
        <f t="shared" si="14"/>
        <v>57914.077336781775</v>
      </c>
      <c r="CQ10">
        <f t="shared" si="2"/>
        <v>10.864134288307133</v>
      </c>
      <c r="CR10">
        <v>6</v>
      </c>
      <c r="CS10">
        <f t="shared" si="3"/>
        <v>10.864134288307133</v>
      </c>
      <c r="CT10">
        <f t="shared" si="15"/>
        <v>10.966715765905375</v>
      </c>
      <c r="CV10">
        <v>0.7866564241499393</v>
      </c>
      <c r="CW10">
        <v>5</v>
      </c>
      <c r="CZ10" s="11">
        <v>2003</v>
      </c>
      <c r="DA10" s="2">
        <f>AK20</f>
        <v>4488.3721785049784</v>
      </c>
      <c r="DB10" s="2">
        <f t="shared" ref="DB10:DG10" si="28">AL20</f>
        <v>1249.9864695576634</v>
      </c>
      <c r="DC10" s="2">
        <f t="shared" si="28"/>
        <v>1553.3023987212409</v>
      </c>
      <c r="DD10" s="2">
        <f t="shared" si="28"/>
        <v>2918.2275341376289</v>
      </c>
      <c r="DE10" s="2">
        <f t="shared" si="28"/>
        <v>4959.0302202475896</v>
      </c>
      <c r="DF10" s="2">
        <f t="shared" si="28"/>
        <v>3518.266219058396</v>
      </c>
      <c r="DG10" s="2">
        <f t="shared" si="28"/>
        <v>2142.8868165171134</v>
      </c>
      <c r="DH10" s="2"/>
      <c r="DI10" s="11">
        <f t="shared" si="17"/>
        <v>2003</v>
      </c>
      <c r="DJ10" s="2">
        <f t="shared" si="5"/>
        <v>18687.185020227495</v>
      </c>
      <c r="DK10">
        <f t="shared" si="18"/>
        <v>21348.041868289278</v>
      </c>
      <c r="DL10">
        <f t="shared" si="6"/>
        <v>9.8355932748861097</v>
      </c>
      <c r="DM10">
        <v>6</v>
      </c>
      <c r="DN10">
        <f t="shared" si="7"/>
        <v>9.8355932748861097</v>
      </c>
      <c r="DO10">
        <f t="shared" si="19"/>
        <v>9.9687152986796281</v>
      </c>
      <c r="DQ10">
        <v>0.66268651258181199</v>
      </c>
      <c r="DR10">
        <v>5</v>
      </c>
      <c r="DU10" s="11">
        <v>2003</v>
      </c>
      <c r="DV10" s="2">
        <f>AK21</f>
        <v>39.075224819400006</v>
      </c>
      <c r="DW10" s="2">
        <f t="shared" ref="DW10:EB10" si="29">AL21</f>
        <v>15.46645241</v>
      </c>
      <c r="DX10" s="2">
        <f t="shared" si="29"/>
        <v>70.004623397520035</v>
      </c>
      <c r="DY10" s="2">
        <f t="shared" si="29"/>
        <v>473.69224433447806</v>
      </c>
      <c r="DZ10" s="2">
        <f t="shared" si="29"/>
        <v>1694.4636330132953</v>
      </c>
      <c r="EA10" s="2">
        <f t="shared" si="29"/>
        <v>1189.3580626043179</v>
      </c>
      <c r="EB10" s="2">
        <f t="shared" si="29"/>
        <v>1506.0685200909809</v>
      </c>
      <c r="EC10" s="2"/>
      <c r="ED10" s="11">
        <f t="shared" si="21"/>
        <v>2003</v>
      </c>
      <c r="EE10" s="2">
        <f t="shared" si="9"/>
        <v>3482.0602405790114</v>
      </c>
      <c r="EF10">
        <f t="shared" si="22"/>
        <v>3827.2454336237897</v>
      </c>
      <c r="EG10">
        <f t="shared" si="10"/>
        <v>8.1553794207468364</v>
      </c>
      <c r="EH10">
        <v>6</v>
      </c>
      <c r="EI10">
        <f t="shared" si="11"/>
        <v>8.1553794207468364</v>
      </c>
      <c r="EJ10">
        <f t="shared" si="23"/>
        <v>8.2499006154894694</v>
      </c>
      <c r="EL10">
        <v>10.2913009787113</v>
      </c>
      <c r="EM10">
        <v>5</v>
      </c>
    </row>
    <row r="11" spans="3:143" x14ac:dyDescent="0.2">
      <c r="C11" t="s">
        <v>11</v>
      </c>
      <c r="D11" s="2">
        <v>538.06117892948816</v>
      </c>
      <c r="E11" s="2">
        <v>750.92855174755925</v>
      </c>
      <c r="F11" s="2">
        <v>1163.1022358211421</v>
      </c>
      <c r="G11" s="2">
        <v>1419.7930885249157</v>
      </c>
      <c r="H11" s="2">
        <v>974.55809488613113</v>
      </c>
      <c r="I11" s="2">
        <v>1180.7178343515241</v>
      </c>
      <c r="J11" s="2">
        <v>1689.1173077997951</v>
      </c>
      <c r="K11" s="2"/>
      <c r="L11" s="2">
        <v>1303.4827358595273</v>
      </c>
      <c r="N11" t="s">
        <v>11</v>
      </c>
      <c r="O11" s="2">
        <v>1753.6036692418106</v>
      </c>
      <c r="P11" s="2">
        <v>1559.0484543884188</v>
      </c>
      <c r="Q11" s="2">
        <v>1512.2100777473995</v>
      </c>
      <c r="R11" s="2">
        <v>1329.0336353065341</v>
      </c>
      <c r="S11" s="2">
        <v>1365.7274645975081</v>
      </c>
      <c r="T11" s="2">
        <v>1444.156156716572</v>
      </c>
      <c r="U11" s="2">
        <v>1574.7126931010728</v>
      </c>
      <c r="V11" s="2"/>
      <c r="W11" s="2">
        <v>1489.0659136543168</v>
      </c>
      <c r="Y11" t="s">
        <v>11</v>
      </c>
      <c r="Z11" s="2">
        <v>1754.04228646571</v>
      </c>
      <c r="AA11" s="2">
        <v>1546.1083298064329</v>
      </c>
      <c r="AB11" s="2">
        <v>1457.2999890188535</v>
      </c>
      <c r="AC11" s="2">
        <v>1335.6706887951725</v>
      </c>
      <c r="AD11" s="2">
        <v>1372.5713508636825</v>
      </c>
      <c r="AE11" s="2">
        <v>1467.2982261625541</v>
      </c>
      <c r="AF11" s="2">
        <v>1553.283240901415</v>
      </c>
      <c r="AG11" s="2">
        <v>1635.7722242343009</v>
      </c>
      <c r="AH11" s="2">
        <v>1498.4133290324667</v>
      </c>
      <c r="AJ11" t="s">
        <v>11</v>
      </c>
      <c r="AK11" s="2">
        <v>1918.3172469592755</v>
      </c>
      <c r="AL11" s="2">
        <v>1903.3806782135496</v>
      </c>
      <c r="AM11" s="2">
        <v>1889.8446189384404</v>
      </c>
      <c r="AN11" s="2">
        <v>1558.2085198588738</v>
      </c>
      <c r="AO11" s="2">
        <v>1387.4115939567007</v>
      </c>
      <c r="AP11" s="2">
        <v>1607.580981040674</v>
      </c>
      <c r="AQ11" s="2">
        <v>1811.4856790300005</v>
      </c>
      <c r="AR11" s="2">
        <v>1749.2665396277841</v>
      </c>
      <c r="AS11" s="2">
        <v>1681.7445069088014</v>
      </c>
      <c r="AU11" t="s">
        <v>11</v>
      </c>
      <c r="AV11" s="2">
        <v>1947.8333623761441</v>
      </c>
      <c r="AW11" s="2">
        <v>1844.5742302051162</v>
      </c>
      <c r="AX11" s="2">
        <v>1905.0183486238554</v>
      </c>
      <c r="AY11" s="2">
        <v>1795.7675908107281</v>
      </c>
      <c r="AZ11" s="2">
        <v>1588.9334538479141</v>
      </c>
      <c r="BA11" s="2">
        <v>1652.3056526463197</v>
      </c>
      <c r="BB11" s="2">
        <v>1839.7090032833412</v>
      </c>
      <c r="BC11" s="2">
        <v>1879.3273340832341</v>
      </c>
      <c r="BD11" s="2">
        <v>1769.77336431868</v>
      </c>
      <c r="BF11" t="s">
        <v>11</v>
      </c>
      <c r="BG11" s="2">
        <v>1911.8400531794066</v>
      </c>
      <c r="BH11" s="2">
        <v>1622.7383611062628</v>
      </c>
      <c r="BI11" s="2">
        <v>2030.5619060142678</v>
      </c>
      <c r="BJ11" s="2">
        <v>1704.6785177317431</v>
      </c>
      <c r="BK11" s="2">
        <v>1620.0725900536811</v>
      </c>
      <c r="BL11" s="2">
        <v>1645.5357999010798</v>
      </c>
      <c r="BM11" s="2">
        <v>1862.9820164278312</v>
      </c>
      <c r="BN11" s="2">
        <v>1933.5840306662451</v>
      </c>
      <c r="BO11" s="2">
        <v>1777.7425710828145</v>
      </c>
      <c r="BQ11" t="s">
        <v>11</v>
      </c>
      <c r="BR11" s="2">
        <v>1899.721708959466</v>
      </c>
      <c r="BS11" s="2">
        <v>2073.8694203174637</v>
      </c>
      <c r="BT11" s="2">
        <v>2100.7569551850133</v>
      </c>
      <c r="BU11" s="2">
        <v>1738.3339642855244</v>
      </c>
      <c r="BV11" s="2">
        <v>1731.2913065938139</v>
      </c>
      <c r="BW11" s="2">
        <v>1797.7689130383758</v>
      </c>
      <c r="BX11" s="2">
        <v>1873.1143087476712</v>
      </c>
      <c r="BY11" s="2">
        <v>1816.4532637599295</v>
      </c>
      <c r="BZ11" s="2">
        <v>1836.7609121456085</v>
      </c>
      <c r="CC11" s="2"/>
      <c r="CD11" s="2"/>
      <c r="CE11" s="11">
        <v>2005</v>
      </c>
      <c r="CF11" s="2">
        <f t="shared" ref="CF11:CL11" si="30">AV18+AV19</f>
        <v>10753.951476837317</v>
      </c>
      <c r="CG11" s="2">
        <f t="shared" si="30"/>
        <v>4674.4401837973646</v>
      </c>
      <c r="CH11" s="2">
        <f t="shared" si="30"/>
        <v>8413.825297271027</v>
      </c>
      <c r="CI11" s="2">
        <f t="shared" si="30"/>
        <v>8345.6027434721782</v>
      </c>
      <c r="CJ11" s="2">
        <f t="shared" si="30"/>
        <v>11576.563220518887</v>
      </c>
      <c r="CK11" s="2">
        <f t="shared" si="30"/>
        <v>7327.6660439064726</v>
      </c>
      <c r="CL11" s="2">
        <f t="shared" si="30"/>
        <v>8829.9476182295457</v>
      </c>
      <c r="CM11" s="2"/>
      <c r="CN11" s="11">
        <f t="shared" si="13"/>
        <v>2005</v>
      </c>
      <c r="CO11" s="2">
        <f t="shared" si="1"/>
        <v>51092.048965803246</v>
      </c>
      <c r="CP11">
        <f t="shared" si="14"/>
        <v>57114.209648630946</v>
      </c>
      <c r="CQ11">
        <f t="shared" si="2"/>
        <v>10.841384166547146</v>
      </c>
      <c r="CR11">
        <v>8</v>
      </c>
      <c r="CS11">
        <f t="shared" si="3"/>
        <v>10.841384166547146</v>
      </c>
      <c r="CT11">
        <f t="shared" si="15"/>
        <v>10.952808220177371</v>
      </c>
      <c r="CV11">
        <v>5.4157551889436537E-3</v>
      </c>
      <c r="CW11">
        <v>3.4422620998715653E-2</v>
      </c>
      <c r="CZ11" s="11">
        <v>2005</v>
      </c>
      <c r="DA11" s="2">
        <f>AV20</f>
        <v>4388.1954489065183</v>
      </c>
      <c r="DB11" s="2">
        <f t="shared" ref="DB11:DG11" si="31">AW20</f>
        <v>1131.6410754208607</v>
      </c>
      <c r="DC11" s="2">
        <f t="shared" si="31"/>
        <v>1431.8067089736855</v>
      </c>
      <c r="DD11" s="2">
        <f t="shared" si="31"/>
        <v>2824.3241485444996</v>
      </c>
      <c r="DE11" s="9">
        <f>AZ20-DD$3</f>
        <v>5765.2767027017117</v>
      </c>
      <c r="DF11" s="2">
        <f t="shared" si="31"/>
        <v>3607.2213862492631</v>
      </c>
      <c r="DG11" s="2">
        <f t="shared" si="31"/>
        <v>1892.6034517285993</v>
      </c>
      <c r="DH11" s="2"/>
      <c r="DI11" s="11">
        <f t="shared" si="17"/>
        <v>2005</v>
      </c>
      <c r="DJ11" s="2">
        <f t="shared" si="5"/>
        <v>19148.465470796542</v>
      </c>
      <c r="DK11">
        <f t="shared" si="18"/>
        <v>21057.643734074547</v>
      </c>
      <c r="DL11">
        <f t="shared" si="6"/>
        <v>9.8599778593247578</v>
      </c>
      <c r="DM11">
        <v>8</v>
      </c>
      <c r="DN11">
        <f t="shared" si="7"/>
        <v>9.8599778593247578</v>
      </c>
      <c r="DO11">
        <f t="shared" si="19"/>
        <v>9.9550188959563002</v>
      </c>
      <c r="DQ11">
        <v>5.2525605316672067E-3</v>
      </c>
      <c r="DR11">
        <v>3.9630809077457654E-2</v>
      </c>
      <c r="DU11" s="11">
        <v>2005</v>
      </c>
      <c r="DV11" s="2">
        <f>AV21</f>
        <v>45.82645404940002</v>
      </c>
      <c r="DW11" s="2">
        <f t="shared" ref="DW11:EB11" si="32">AW21</f>
        <v>25.777420679999999</v>
      </c>
      <c r="DX11" s="2">
        <f t="shared" si="32"/>
        <v>43.947485479400015</v>
      </c>
      <c r="DY11" s="2">
        <f t="shared" si="32"/>
        <v>390.77311569023038</v>
      </c>
      <c r="DZ11" s="2">
        <f t="shared" si="32"/>
        <v>1434.3617260175499</v>
      </c>
      <c r="EA11" s="2">
        <f t="shared" si="32"/>
        <v>1099.2120434521973</v>
      </c>
      <c r="EB11" s="2">
        <f t="shared" si="32"/>
        <v>1380.6197396395621</v>
      </c>
      <c r="EC11" s="2"/>
      <c r="ED11" s="11">
        <f t="shared" si="21"/>
        <v>2005</v>
      </c>
      <c r="EE11" s="2">
        <f t="shared" si="9"/>
        <v>3039.8982453687777</v>
      </c>
      <c r="EF11">
        <f t="shared" si="22"/>
        <v>3593.1287535186757</v>
      </c>
      <c r="EG11">
        <f t="shared" si="10"/>
        <v>8.0195793219219045</v>
      </c>
      <c r="EH11">
        <v>8</v>
      </c>
      <c r="EI11">
        <f t="shared" si="11"/>
        <v>8.0195793219219045</v>
      </c>
      <c r="EJ11">
        <f t="shared" si="23"/>
        <v>8.1867786210160567</v>
      </c>
      <c r="EL11">
        <v>0.11156281321644146</v>
      </c>
      <c r="EM11">
        <v>5.4202482974320509E-2</v>
      </c>
    </row>
    <row r="12" spans="3:143" x14ac:dyDescent="0.2">
      <c r="C12" t="s">
        <v>12</v>
      </c>
      <c r="D12" s="2">
        <v>718.41718216968968</v>
      </c>
      <c r="E12" s="2">
        <v>617.30328634231284</v>
      </c>
      <c r="F12" s="2">
        <v>466.73840610892523</v>
      </c>
      <c r="G12" s="2">
        <v>771.43489445771968</v>
      </c>
      <c r="H12" s="2">
        <v>700.65805340256384</v>
      </c>
      <c r="I12" s="2">
        <v>942.38809243698074</v>
      </c>
      <c r="J12" s="2">
        <v>989.53142009997691</v>
      </c>
      <c r="K12" s="2"/>
      <c r="L12" s="2">
        <v>809.06447582775183</v>
      </c>
      <c r="N12" t="s">
        <v>12</v>
      </c>
      <c r="O12" s="2">
        <v>976.35041306580888</v>
      </c>
      <c r="P12" s="2">
        <v>957.51808431854727</v>
      </c>
      <c r="Q12" s="2">
        <v>826.9537206520331</v>
      </c>
      <c r="R12" s="2">
        <v>890.71319181891465</v>
      </c>
      <c r="S12" s="2">
        <v>916.8770379736975</v>
      </c>
      <c r="T12" s="2">
        <v>943.31866483615954</v>
      </c>
      <c r="U12" s="2">
        <v>1034.6515141564737</v>
      </c>
      <c r="V12" s="2"/>
      <c r="W12" s="2">
        <v>939.00179310083502</v>
      </c>
      <c r="Y12" t="s">
        <v>12</v>
      </c>
      <c r="Z12" s="2">
        <v>982.14060390002703</v>
      </c>
      <c r="AA12" s="2">
        <v>1015.779731035895</v>
      </c>
      <c r="AB12" s="2">
        <v>847.2170044863949</v>
      </c>
      <c r="AC12" s="2">
        <v>918.49908180635555</v>
      </c>
      <c r="AD12" s="2">
        <v>955.098492927866</v>
      </c>
      <c r="AE12" s="2">
        <v>993.02305443347632</v>
      </c>
      <c r="AF12" s="2">
        <v>1025.2990479519058</v>
      </c>
      <c r="AG12" s="2">
        <v>1012.7612094901859</v>
      </c>
      <c r="AH12" s="2">
        <v>966.64024447608335</v>
      </c>
      <c r="AJ12" t="s">
        <v>12</v>
      </c>
      <c r="AK12" s="2">
        <v>1039.9711016442113</v>
      </c>
      <c r="AL12" s="2">
        <v>999.34410548263736</v>
      </c>
      <c r="AM12" s="2">
        <v>883.26628862273196</v>
      </c>
      <c r="AN12" s="2">
        <v>941.42775567196486</v>
      </c>
      <c r="AO12" s="2">
        <v>997.66270415434053</v>
      </c>
      <c r="AP12" s="2">
        <v>982.85399508372768</v>
      </c>
      <c r="AQ12" s="2">
        <v>1083.0560557021056</v>
      </c>
      <c r="AR12" s="2">
        <v>1119.5445136633339</v>
      </c>
      <c r="AS12" s="2">
        <v>1001.0536837117711</v>
      </c>
      <c r="AU12" t="s">
        <v>12</v>
      </c>
      <c r="AV12" s="2">
        <v>1139.2996922620664</v>
      </c>
      <c r="AW12" s="2">
        <v>922.23429037462245</v>
      </c>
      <c r="AX12" s="2">
        <v>849.61487601119143</v>
      </c>
      <c r="AY12" s="2">
        <v>986.03587049904536</v>
      </c>
      <c r="AZ12" s="2">
        <v>978.84534822538239</v>
      </c>
      <c r="BA12" s="2">
        <v>976.0693572615321</v>
      </c>
      <c r="BB12" s="2">
        <v>1080.8658428582721</v>
      </c>
      <c r="BC12" s="2">
        <v>1162.698457235713</v>
      </c>
      <c r="BD12" s="2">
        <v>1016.3859365976912</v>
      </c>
      <c r="BF12" t="s">
        <v>12</v>
      </c>
      <c r="BG12" s="2">
        <v>1159.7487162049099</v>
      </c>
      <c r="BH12" s="2">
        <v>990.52376426116427</v>
      </c>
      <c r="BI12" s="2">
        <v>853.61236394795355</v>
      </c>
      <c r="BJ12" s="2">
        <v>982.8962449442771</v>
      </c>
      <c r="BK12" s="2">
        <v>962.44050632519827</v>
      </c>
      <c r="BL12" s="2">
        <v>998.19926043202474</v>
      </c>
      <c r="BM12" s="2">
        <v>1048.9864462429641</v>
      </c>
      <c r="BN12" s="2">
        <v>1171.8780711653335</v>
      </c>
      <c r="BO12" s="2">
        <v>1021.032830224587</v>
      </c>
      <c r="BQ12" t="s">
        <v>12</v>
      </c>
      <c r="BR12" s="2">
        <v>1129.7838852386815</v>
      </c>
      <c r="BS12" s="2">
        <v>1170.1585387470502</v>
      </c>
      <c r="BT12" s="2">
        <v>868.57403924110554</v>
      </c>
      <c r="BU12" s="2">
        <v>956.16850746383386</v>
      </c>
      <c r="BV12" s="2">
        <v>973.7869681719244</v>
      </c>
      <c r="BW12" s="2">
        <v>1024.5879920169527</v>
      </c>
      <c r="BX12" s="2">
        <v>1133.2582693661616</v>
      </c>
      <c r="BY12" s="2">
        <v>1210.9836100654754</v>
      </c>
      <c r="BZ12" s="2">
        <v>1042.6252707255142</v>
      </c>
      <c r="CC12" s="2"/>
      <c r="CD12" s="2"/>
      <c r="CE12" s="11">
        <v>2007</v>
      </c>
      <c r="CF12" s="2">
        <f t="shared" ref="CF12:CL12" si="33">BG18+BG19</f>
        <v>12078.063377388717</v>
      </c>
      <c r="CG12" s="2">
        <f t="shared" si="33"/>
        <v>5429.1595781670403</v>
      </c>
      <c r="CH12" s="2">
        <f t="shared" si="33"/>
        <v>9802.8829778502059</v>
      </c>
      <c r="CI12" s="2">
        <f t="shared" si="33"/>
        <v>9557.115396180654</v>
      </c>
      <c r="CJ12" s="2">
        <f t="shared" si="33"/>
        <v>13360.712287146218</v>
      </c>
      <c r="CK12" s="2">
        <f t="shared" si="33"/>
        <v>8673.202046190574</v>
      </c>
      <c r="CL12" s="2">
        <f t="shared" si="33"/>
        <v>9576.7934702747243</v>
      </c>
      <c r="CM12" s="2"/>
      <c r="CN12" s="11">
        <f t="shared" si="13"/>
        <v>2007</v>
      </c>
      <c r="CO12" s="2">
        <f t="shared" si="1"/>
        <v>58901.135662923407</v>
      </c>
      <c r="CP12">
        <f t="shared" si="14"/>
        <v>56325.389159157239</v>
      </c>
      <c r="CQ12">
        <f t="shared" si="2"/>
        <v>10.983615650657931</v>
      </c>
      <c r="CR12">
        <v>10</v>
      </c>
      <c r="CS12">
        <f t="shared" si="3"/>
        <v>10.983615650657931</v>
      </c>
      <c r="CT12">
        <f t="shared" si="15"/>
        <v>10.938900674449364</v>
      </c>
      <c r="CV12" t="e">
        <v>#N/A</v>
      </c>
      <c r="CW12" t="e">
        <v>#N/A</v>
      </c>
      <c r="CZ12" s="11">
        <v>2007</v>
      </c>
      <c r="DA12" s="2">
        <f>BG20</f>
        <v>5135.8761804665846</v>
      </c>
      <c r="DB12" s="2">
        <f t="shared" ref="DB12:DG12" si="34">BH20</f>
        <v>1352.8438240596797</v>
      </c>
      <c r="DC12" s="2">
        <f t="shared" si="34"/>
        <v>1652.183367812502</v>
      </c>
      <c r="DD12" s="2">
        <f t="shared" si="34"/>
        <v>3453.8515442937687</v>
      </c>
      <c r="DE12" s="9">
        <f>BK20-DD$3</f>
        <v>6890.5215294910695</v>
      </c>
      <c r="DF12" s="2">
        <f t="shared" si="34"/>
        <v>4017.0437280411384</v>
      </c>
      <c r="DG12" s="2">
        <f t="shared" si="34"/>
        <v>2099.5647129915405</v>
      </c>
      <c r="DH12" s="2"/>
      <c r="DI12" s="11">
        <f t="shared" si="17"/>
        <v>2007</v>
      </c>
      <c r="DJ12" s="2">
        <f t="shared" si="5"/>
        <v>22502.320174164743</v>
      </c>
      <c r="DK12">
        <f t="shared" si="18"/>
        <v>20771.195895483015</v>
      </c>
      <c r="DL12">
        <f t="shared" si="6"/>
        <v>10.021373701727894</v>
      </c>
      <c r="DM12">
        <v>10</v>
      </c>
      <c r="DN12">
        <f t="shared" si="7"/>
        <v>10.021373701727894</v>
      </c>
      <c r="DO12">
        <f t="shared" si="19"/>
        <v>9.941322493232974</v>
      </c>
      <c r="DQ12" t="e">
        <v>#N/A</v>
      </c>
      <c r="DR12" t="e">
        <v>#N/A</v>
      </c>
      <c r="DU12" s="11">
        <v>2007</v>
      </c>
      <c r="DV12" s="2">
        <f>BG21</f>
        <v>55.675212703299998</v>
      </c>
      <c r="DW12" s="2">
        <f t="shared" ref="DW12:EB12" si="35">BH21</f>
        <v>37.758586712099998</v>
      </c>
      <c r="DX12" s="2">
        <f t="shared" si="35"/>
        <v>41.692448847599998</v>
      </c>
      <c r="DY12" s="2">
        <f t="shared" si="35"/>
        <v>383.72673918330003</v>
      </c>
      <c r="DZ12" s="2">
        <f t="shared" si="35"/>
        <v>1585.1717941231875</v>
      </c>
      <c r="EA12" s="2">
        <f t="shared" si="35"/>
        <v>1496.448810304976</v>
      </c>
      <c r="EB12" s="2">
        <f t="shared" si="35"/>
        <v>2300.1157364831356</v>
      </c>
      <c r="EC12" s="2"/>
      <c r="ED12" s="11">
        <f t="shared" si="21"/>
        <v>2007</v>
      </c>
      <c r="EE12" s="2">
        <f t="shared" si="9"/>
        <v>3600.4735918744636</v>
      </c>
      <c r="EF12">
        <f t="shared" si="22"/>
        <v>3373.3332401257635</v>
      </c>
      <c r="EG12">
        <f t="shared" si="10"/>
        <v>8.1888206690902869</v>
      </c>
      <c r="EH12">
        <v>10</v>
      </c>
      <c r="EI12">
        <f t="shared" si="11"/>
        <v>8.1888206690902869</v>
      </c>
      <c r="EJ12">
        <f t="shared" si="23"/>
        <v>8.123656626542644</v>
      </c>
      <c r="EL12" t="e">
        <v>#N/A</v>
      </c>
      <c r="EM12" t="e">
        <v>#N/A</v>
      </c>
    </row>
    <row r="13" spans="3:143" x14ac:dyDescent="0.2">
      <c r="C13" t="s">
        <v>13</v>
      </c>
      <c r="D13" s="2">
        <v>1548.640617161725</v>
      </c>
      <c r="E13" s="2">
        <v>925.24341554579553</v>
      </c>
      <c r="F13" s="2">
        <v>944.61785941399421</v>
      </c>
      <c r="G13" s="2">
        <v>904.06422627421125</v>
      </c>
      <c r="H13" s="2">
        <v>1059.6616293438617</v>
      </c>
      <c r="I13" s="2">
        <v>1077.5107236375038</v>
      </c>
      <c r="J13" s="2">
        <v>1278.3695210803917</v>
      </c>
      <c r="K13" s="2"/>
      <c r="L13" s="2">
        <v>1104.2098786708018</v>
      </c>
      <c r="N13" t="s">
        <v>13</v>
      </c>
      <c r="O13" s="2">
        <v>1170.2910984937571</v>
      </c>
      <c r="P13" s="2">
        <v>932.7056114732859</v>
      </c>
      <c r="Q13" s="2">
        <v>909.05170863138255</v>
      </c>
      <c r="R13" s="2">
        <v>887.12291026797948</v>
      </c>
      <c r="S13" s="2">
        <v>1045.6646925154241</v>
      </c>
      <c r="T13" s="2">
        <v>1124.7558818674349</v>
      </c>
      <c r="U13" s="2">
        <v>1339.4562313417357</v>
      </c>
      <c r="V13" s="2"/>
      <c r="W13" s="2">
        <v>1149.6427179994562</v>
      </c>
      <c r="Y13" t="s">
        <v>13</v>
      </c>
      <c r="Z13" s="2">
        <v>1044.9087017327133</v>
      </c>
      <c r="AA13" s="2">
        <v>956.48786615979816</v>
      </c>
      <c r="AB13" s="2">
        <v>1003.5440144785798</v>
      </c>
      <c r="AC13" s="2">
        <v>914.30417180481527</v>
      </c>
      <c r="AD13" s="2">
        <v>1063.3781354460755</v>
      </c>
      <c r="AE13" s="2">
        <v>1170.7729231255341</v>
      </c>
      <c r="AF13" s="2">
        <v>1401.3466097406181</v>
      </c>
      <c r="AG13" s="2">
        <v>1936.6067222664299</v>
      </c>
      <c r="AH13" s="2">
        <v>1229.2074668695225</v>
      </c>
      <c r="AJ13" t="s">
        <v>13</v>
      </c>
      <c r="AK13" s="2">
        <v>864.59668378442245</v>
      </c>
      <c r="AL13" s="2">
        <v>809.55555558845822</v>
      </c>
      <c r="AM13" s="2">
        <v>1048.6889171626995</v>
      </c>
      <c r="AN13" s="2">
        <v>884.31371972143825</v>
      </c>
      <c r="AO13" s="2">
        <v>1081.2160373352938</v>
      </c>
      <c r="AP13" s="2">
        <v>1261.1313667937857</v>
      </c>
      <c r="AQ13" s="2">
        <v>1494.3399462231439</v>
      </c>
      <c r="AR13" s="2">
        <v>1498.0372751764583</v>
      </c>
      <c r="AS13" s="2">
        <v>1239.4779542682566</v>
      </c>
      <c r="AU13" t="s">
        <v>13</v>
      </c>
      <c r="AV13" s="2">
        <v>1074.4234508142604</v>
      </c>
      <c r="AW13" s="2">
        <v>786.88888888888891</v>
      </c>
      <c r="AX13" s="2">
        <v>901.13006592386864</v>
      </c>
      <c r="AY13" s="2">
        <v>945.56968532306303</v>
      </c>
      <c r="AZ13" s="2">
        <v>1207.2699921773956</v>
      </c>
      <c r="BA13" s="2">
        <v>1341.8239935605311</v>
      </c>
      <c r="BB13" s="2">
        <v>1488.3807424535437</v>
      </c>
      <c r="BC13" s="2">
        <v>1573.9392441020098</v>
      </c>
      <c r="BD13" s="2">
        <v>1342.1594208808458</v>
      </c>
      <c r="BF13" t="s">
        <v>13</v>
      </c>
      <c r="BG13" s="2">
        <v>1321.9760921654356</v>
      </c>
      <c r="BH13" s="2">
        <v>851.48512601226184</v>
      </c>
      <c r="BI13" s="2">
        <v>956.20029060142019</v>
      </c>
      <c r="BJ13" s="2">
        <v>1024.4471289754467</v>
      </c>
      <c r="BK13" s="2">
        <v>1157.1661345695616</v>
      </c>
      <c r="BL13" s="2">
        <v>1314.9764910305857</v>
      </c>
      <c r="BM13" s="2">
        <v>1537.5426672670626</v>
      </c>
      <c r="BN13" s="2">
        <v>1498.4049143695863</v>
      </c>
      <c r="BO13" s="2">
        <v>1359.370966205578</v>
      </c>
      <c r="BQ13" t="s">
        <v>13</v>
      </c>
      <c r="BR13" s="2">
        <v>1484.9669259024961</v>
      </c>
      <c r="BS13" s="2">
        <v>860.2873921253298</v>
      </c>
      <c r="BT13" s="2">
        <v>1219.31460971055</v>
      </c>
      <c r="BU13" s="2">
        <v>1155.5802177217247</v>
      </c>
      <c r="BV13" s="2">
        <v>1215.2556446784781</v>
      </c>
      <c r="BW13" s="2">
        <v>1291.1573982932471</v>
      </c>
      <c r="BX13" s="2">
        <v>1670.5330128388434</v>
      </c>
      <c r="BY13" s="2">
        <v>1698.3263086525528</v>
      </c>
      <c r="BZ13" s="2">
        <v>1456.4439457961514</v>
      </c>
      <c r="CC13" s="2"/>
      <c r="CD13" s="2"/>
      <c r="CE13" s="11">
        <v>2009</v>
      </c>
      <c r="CF13" s="2">
        <f t="shared" ref="CF13:CL13" si="36">BR18+BR19</f>
        <v>12070.971824672715</v>
      </c>
      <c r="CG13" s="2">
        <f t="shared" si="36"/>
        <v>5406.101715699635</v>
      </c>
      <c r="CH13" s="2">
        <f t="shared" si="36"/>
        <v>10035.850078851259</v>
      </c>
      <c r="CI13" s="2">
        <f t="shared" si="36"/>
        <v>9691.9670145747459</v>
      </c>
      <c r="CJ13" s="2">
        <f t="shared" si="36"/>
        <v>13131.638337768671</v>
      </c>
      <c r="CK13" s="2">
        <f t="shared" si="36"/>
        <v>8634.0608837270975</v>
      </c>
      <c r="CL13" s="2">
        <f t="shared" si="36"/>
        <v>9439.5839263324015</v>
      </c>
      <c r="CM13" s="2"/>
      <c r="CN13" s="11">
        <f t="shared" si="13"/>
        <v>2009</v>
      </c>
      <c r="CO13" s="2">
        <f t="shared" si="1"/>
        <v>58970.589855294129</v>
      </c>
      <c r="CP13">
        <f t="shared" si="14"/>
        <v>55547.463292378088</v>
      </c>
      <c r="CQ13">
        <f t="shared" si="2"/>
        <v>10.984794121577966</v>
      </c>
      <c r="CR13">
        <v>12</v>
      </c>
      <c r="CS13">
        <f t="shared" si="3"/>
        <v>10.984794121577966</v>
      </c>
      <c r="CT13">
        <f t="shared" si="15"/>
        <v>10.92499312872136</v>
      </c>
      <c r="CZ13" s="11">
        <v>2009</v>
      </c>
      <c r="DA13" s="2">
        <f>BR20</f>
        <v>4762.2398021134541</v>
      </c>
      <c r="DB13" s="2">
        <f t="shared" ref="DB13:DG13" si="37">BS20</f>
        <v>1285.1783581023469</v>
      </c>
      <c r="DC13" s="2">
        <f t="shared" si="37"/>
        <v>1679.7863224350169</v>
      </c>
      <c r="DD13" s="2">
        <f t="shared" si="37"/>
        <v>3232.2716333262219</v>
      </c>
      <c r="DE13" s="9">
        <f>BV20-$DD$3</f>
        <v>6620.0929300840835</v>
      </c>
      <c r="DF13" s="2">
        <f t="shared" si="37"/>
        <v>4024.5158034563065</v>
      </c>
      <c r="DG13" s="2">
        <f t="shared" si="37"/>
        <v>2109.8537334612402</v>
      </c>
      <c r="DH13" s="2"/>
      <c r="DI13" s="11">
        <f t="shared" si="17"/>
        <v>2009</v>
      </c>
      <c r="DJ13" s="2">
        <f t="shared" si="5"/>
        <v>21604.084849517429</v>
      </c>
      <c r="DK13">
        <f t="shared" si="18"/>
        <v>20488.644616509926</v>
      </c>
      <c r="DL13">
        <f t="shared" si="6"/>
        <v>9.9806376891961559</v>
      </c>
      <c r="DM13">
        <v>12</v>
      </c>
      <c r="DN13">
        <f t="shared" si="7"/>
        <v>9.9806376891961559</v>
      </c>
      <c r="DO13">
        <f t="shared" si="19"/>
        <v>9.9276260905096478</v>
      </c>
      <c r="DU13" s="11">
        <v>2009</v>
      </c>
      <c r="DV13" s="2">
        <f>BR21</f>
        <v>49.254241721900001</v>
      </c>
      <c r="DW13" s="2">
        <f t="shared" ref="DW13:EB13" si="38">BS21</f>
        <v>53.767133913800009</v>
      </c>
      <c r="DX13" s="2">
        <f t="shared" si="38"/>
        <v>55.596116218799999</v>
      </c>
      <c r="DY13" s="2">
        <f t="shared" si="38"/>
        <v>401.48034546477976</v>
      </c>
      <c r="DZ13" s="2">
        <f t="shared" si="38"/>
        <v>1496.2498974446548</v>
      </c>
      <c r="EA13" s="2">
        <f t="shared" si="38"/>
        <v>1366.4914081526813</v>
      </c>
      <c r="EB13" s="2">
        <f t="shared" si="38"/>
        <v>2270.1129433710662</v>
      </c>
      <c r="EC13" s="2"/>
      <c r="ED13" s="11">
        <f t="shared" si="21"/>
        <v>2009</v>
      </c>
      <c r="EE13" s="2">
        <f t="shared" si="9"/>
        <v>3422.8391429166159</v>
      </c>
      <c r="EF13">
        <f t="shared" si="22"/>
        <v>3166.9828524218115</v>
      </c>
      <c r="EG13">
        <f t="shared" si="10"/>
        <v>8.1382256444130121</v>
      </c>
      <c r="EH13">
        <v>12</v>
      </c>
      <c r="EI13">
        <f t="shared" si="11"/>
        <v>8.1382256444130121</v>
      </c>
      <c r="EJ13">
        <f t="shared" si="23"/>
        <v>8.060534632069233</v>
      </c>
    </row>
    <row r="14" spans="3:143" x14ac:dyDescent="0.2">
      <c r="C14" t="s">
        <v>14</v>
      </c>
      <c r="D14" s="2">
        <v>1960.2681001908206</v>
      </c>
      <c r="E14" s="2">
        <v>1653.8650020225355</v>
      </c>
      <c r="F14" s="2">
        <v>1759.3600342876555</v>
      </c>
      <c r="G14" s="2">
        <v>1838.6825077354094</v>
      </c>
      <c r="H14" s="2">
        <v>1839.5278752442225</v>
      </c>
      <c r="I14" s="2">
        <v>1936.1119473275953</v>
      </c>
      <c r="J14" s="2">
        <v>2024.9120715750084</v>
      </c>
      <c r="K14" s="2"/>
      <c r="L14" s="2">
        <v>1869.7184878258925</v>
      </c>
      <c r="N14" t="s">
        <v>14</v>
      </c>
      <c r="O14" s="2">
        <v>1860.0822206721032</v>
      </c>
      <c r="P14" s="2">
        <v>1592.6751773857204</v>
      </c>
      <c r="Q14" s="2">
        <v>1709.0052355790974</v>
      </c>
      <c r="R14" s="2">
        <v>1730.2023473479082</v>
      </c>
      <c r="S14" s="2">
        <v>1726.9633899695887</v>
      </c>
      <c r="T14" s="2">
        <v>1768.0021861344683</v>
      </c>
      <c r="U14" s="2">
        <v>2155.4225082994153</v>
      </c>
      <c r="V14" s="2"/>
      <c r="W14" s="2">
        <v>1808.115201015627</v>
      </c>
      <c r="Y14" t="s">
        <v>14</v>
      </c>
      <c r="Z14" s="2">
        <v>1849.3016418631371</v>
      </c>
      <c r="AA14" s="2">
        <v>1553.5904786123601</v>
      </c>
      <c r="AB14" s="2">
        <v>1661.1245855474874</v>
      </c>
      <c r="AC14" s="2">
        <v>1668.7096123708893</v>
      </c>
      <c r="AD14" s="2">
        <v>1675.8051807763632</v>
      </c>
      <c r="AE14" s="2">
        <v>1726.472398383323</v>
      </c>
      <c r="AF14" s="2">
        <v>2074.4211422034568</v>
      </c>
      <c r="AG14" s="2">
        <v>2308.9112093966219</v>
      </c>
      <c r="AH14" s="2">
        <v>1773.7177205856385</v>
      </c>
      <c r="AJ14" t="s">
        <v>14</v>
      </c>
      <c r="AK14" s="2">
        <v>1864.6971188940447</v>
      </c>
      <c r="AL14" s="2">
        <v>1594.4367677585997</v>
      </c>
      <c r="AM14" s="2">
        <v>1711.435906575465</v>
      </c>
      <c r="AN14" s="2">
        <v>1702.0317023502885</v>
      </c>
      <c r="AO14" s="2">
        <v>1688.0978806367555</v>
      </c>
      <c r="AP14" s="2">
        <v>1780.3038373744309</v>
      </c>
      <c r="AQ14" s="2">
        <v>2217.6022171893537</v>
      </c>
      <c r="AR14" s="2">
        <v>2388.998223731593</v>
      </c>
      <c r="AS14" s="2">
        <v>1844.9310749646886</v>
      </c>
      <c r="AU14" t="s">
        <v>14</v>
      </c>
      <c r="AV14" s="2">
        <v>1879.8769540652543</v>
      </c>
      <c r="AW14" s="2">
        <v>1602.5625950142494</v>
      </c>
      <c r="AX14" s="2">
        <v>1705.0860769564124</v>
      </c>
      <c r="AY14" s="2">
        <v>1743.8849316979213</v>
      </c>
      <c r="AZ14" s="2">
        <v>1719.4634004817228</v>
      </c>
      <c r="BA14" s="2">
        <v>1808.5610332872398</v>
      </c>
      <c r="BB14" s="2">
        <v>2260.9050381089005</v>
      </c>
      <c r="BC14" s="2">
        <v>2396.2156019913937</v>
      </c>
      <c r="BD14" s="2">
        <v>1877.1955222166389</v>
      </c>
      <c r="BF14" t="s">
        <v>14</v>
      </c>
      <c r="BG14" s="2">
        <v>1881.1585119103381</v>
      </c>
      <c r="BH14" s="2">
        <v>1582.0027628538021</v>
      </c>
      <c r="BI14" s="2">
        <v>1701.6921721657268</v>
      </c>
      <c r="BJ14" s="2">
        <v>1740.7439099171831</v>
      </c>
      <c r="BK14" s="2">
        <v>1686.2948609338323</v>
      </c>
      <c r="BL14" s="2">
        <v>1806.6789680603822</v>
      </c>
      <c r="BM14" s="2">
        <v>2183.4451763295901</v>
      </c>
      <c r="BN14" s="2">
        <v>2435.5666271174923</v>
      </c>
      <c r="BO14" s="2">
        <v>1876.7677125858224</v>
      </c>
      <c r="BP14" s="1"/>
      <c r="BQ14" t="s">
        <v>14</v>
      </c>
      <c r="BR14" s="2">
        <v>1879.3804620738099</v>
      </c>
      <c r="BS14" s="2">
        <v>1656.1175097422145</v>
      </c>
      <c r="BT14" s="2">
        <v>1682.1801462072763</v>
      </c>
      <c r="BU14" s="2">
        <v>1780.86743848116</v>
      </c>
      <c r="BV14" s="2">
        <v>1721.0010174133818</v>
      </c>
      <c r="BW14" s="2">
        <v>1811.4850316718716</v>
      </c>
      <c r="BX14" s="2">
        <v>2204.5915885776135</v>
      </c>
      <c r="BY14" s="2">
        <v>2370.2371387815738</v>
      </c>
      <c r="BZ14" s="2">
        <v>1899.4115614757236</v>
      </c>
      <c r="CC14" s="2"/>
      <c r="CD14" s="2"/>
      <c r="CE14" s="11"/>
      <c r="CF14" s="12">
        <f>CF13/CF8</f>
        <v>0.87905715534753193</v>
      </c>
      <c r="CG14" s="12">
        <f t="shared" ref="CG14:CL14" si="39">CG13/CG8</f>
        <v>0.91774584963670081</v>
      </c>
      <c r="CH14" s="12">
        <f t="shared" si="39"/>
        <v>0.96556472890028899</v>
      </c>
      <c r="CI14" s="12">
        <f t="shared" si="39"/>
        <v>0.94350342147944743</v>
      </c>
      <c r="CJ14" s="12">
        <f t="shared" si="39"/>
        <v>1.022026495787312</v>
      </c>
      <c r="CK14" s="12">
        <f t="shared" si="39"/>
        <v>0.9773507424531418</v>
      </c>
      <c r="CL14" s="12">
        <f t="shared" si="39"/>
        <v>0.99074125967519899</v>
      </c>
      <c r="CM14" s="12"/>
      <c r="CO14" s="2"/>
      <c r="CZ14" s="11"/>
      <c r="DA14" s="12">
        <f>DA13/DA8</f>
        <v>0.82680447448661898</v>
      </c>
      <c r="DB14" s="12">
        <f t="shared" ref="DB14:DG14" si="40">DB13/DB8</f>
        <v>0.84588723875845528</v>
      </c>
      <c r="DC14" s="12">
        <f t="shared" si="40"/>
        <v>0.93426275902859623</v>
      </c>
      <c r="DD14" s="12">
        <f t="shared" si="40"/>
        <v>0.9635897857283553</v>
      </c>
      <c r="DE14" s="12">
        <f t="shared" si="40"/>
        <v>1.1696596317952119</v>
      </c>
      <c r="DF14" s="12">
        <f t="shared" si="40"/>
        <v>0.91400663229175672</v>
      </c>
      <c r="DG14" s="12">
        <f t="shared" si="40"/>
        <v>1.0439177012106189</v>
      </c>
      <c r="DH14" s="12"/>
      <c r="DJ14" s="2"/>
      <c r="DU14" s="11"/>
      <c r="DV14" s="12">
        <f>DV13/DV8</f>
        <v>1.3129876862165997</v>
      </c>
      <c r="DW14" s="12">
        <f t="shared" ref="DW14:EB14" si="41">DW13/DW8</f>
        <v>3.3064454815864823</v>
      </c>
      <c r="DX14" s="12">
        <f t="shared" si="41"/>
        <v>0.54289214389653895</v>
      </c>
      <c r="DY14" s="12">
        <f t="shared" si="41"/>
        <v>0.66737078836894481</v>
      </c>
      <c r="DZ14" s="12">
        <f t="shared" si="41"/>
        <v>0.71128103678008048</v>
      </c>
      <c r="EA14" s="12">
        <f t="shared" si="41"/>
        <v>0.90038342412901617</v>
      </c>
      <c r="EB14" s="12">
        <f t="shared" si="41"/>
        <v>0.9457282039644328</v>
      </c>
      <c r="EC14" s="12"/>
      <c r="EE14" s="2"/>
    </row>
    <row r="15" spans="3:143" x14ac:dyDescent="0.2">
      <c r="D15" s="2"/>
      <c r="E15" s="2"/>
      <c r="F15" s="2"/>
      <c r="G15" s="2"/>
      <c r="H15" s="2"/>
      <c r="I15" s="2"/>
      <c r="J15" s="2"/>
      <c r="K15" s="2"/>
      <c r="L15" s="2"/>
      <c r="O15" s="2"/>
      <c r="P15" s="2"/>
      <c r="Q15" s="2"/>
      <c r="R15" s="2"/>
      <c r="S15" s="2"/>
      <c r="T15" s="2"/>
      <c r="U15" s="2"/>
      <c r="V15" s="2"/>
      <c r="W15" s="2"/>
      <c r="Z15" s="2"/>
      <c r="AA15" s="2"/>
      <c r="AB15" s="2"/>
      <c r="AC15" s="2"/>
      <c r="AD15" s="2"/>
      <c r="AE15" s="2"/>
      <c r="AF15" s="2"/>
      <c r="AG15" s="2"/>
      <c r="AH15" s="2"/>
      <c r="AK15" s="2"/>
      <c r="AL15" s="2"/>
      <c r="AM15" s="2"/>
      <c r="AN15" s="2"/>
      <c r="AO15" s="2"/>
      <c r="AP15" s="2"/>
      <c r="AQ15" s="2"/>
      <c r="AR15" s="2"/>
      <c r="AS15" s="2"/>
      <c r="AV15" s="2"/>
      <c r="AW15" s="2"/>
      <c r="AX15" s="2"/>
      <c r="AY15" s="2"/>
      <c r="AZ15" s="2"/>
      <c r="BA15" s="2"/>
      <c r="BB15" s="2"/>
      <c r="BC15" s="2"/>
      <c r="BD15" s="2"/>
      <c r="BG15" s="2"/>
      <c r="BH15" s="2"/>
      <c r="BI15" s="2"/>
      <c r="BJ15" s="2"/>
      <c r="BK15" s="2"/>
      <c r="BL15" s="2"/>
      <c r="BM15" s="2"/>
      <c r="BN15" s="2"/>
      <c r="BO15" s="2"/>
      <c r="BR15" s="2"/>
      <c r="BS15" s="2"/>
      <c r="BT15" s="2"/>
      <c r="BU15" s="2"/>
      <c r="BV15" s="2"/>
      <c r="BW15" s="2"/>
      <c r="BX15" s="2"/>
      <c r="BY15" s="2"/>
      <c r="BZ15" s="2"/>
      <c r="CC15" s="2"/>
      <c r="CD15" s="2"/>
      <c r="CE15" s="11"/>
      <c r="CF15" s="2"/>
      <c r="CG15" s="2"/>
      <c r="CH15" s="2"/>
      <c r="CI15" s="2"/>
      <c r="CJ15" s="2"/>
    </row>
    <row r="16" spans="3:143" x14ac:dyDescent="0.2">
      <c r="C16" s="1" t="s">
        <v>15</v>
      </c>
      <c r="D16" s="2"/>
      <c r="E16" s="2"/>
      <c r="F16" s="2"/>
      <c r="G16" s="2"/>
      <c r="H16" s="2"/>
      <c r="I16" s="2"/>
      <c r="J16" s="2"/>
      <c r="K16" s="2"/>
      <c r="L16" s="2"/>
      <c r="N16" s="1" t="s">
        <v>15</v>
      </c>
      <c r="O16" s="2"/>
      <c r="P16" s="2"/>
      <c r="Q16" s="2"/>
      <c r="R16" s="2"/>
      <c r="S16" s="2"/>
      <c r="T16" s="2"/>
      <c r="U16" s="2"/>
      <c r="V16" s="2"/>
      <c r="W16" s="2"/>
      <c r="Y16" s="1" t="s">
        <v>15</v>
      </c>
      <c r="Z16" s="2"/>
      <c r="AA16" s="2"/>
      <c r="AB16" s="2"/>
      <c r="AC16" s="2"/>
      <c r="AD16" s="2"/>
      <c r="AE16" s="2"/>
      <c r="AF16" s="2"/>
      <c r="AG16" s="2"/>
      <c r="AH16" s="2"/>
      <c r="AJ16" s="1" t="s">
        <v>15</v>
      </c>
      <c r="AK16" s="2"/>
      <c r="AL16" s="2"/>
      <c r="AM16" s="2"/>
      <c r="AN16" s="2"/>
      <c r="AO16" s="2"/>
      <c r="AP16" s="2"/>
      <c r="AQ16" s="2"/>
      <c r="AR16" s="2"/>
      <c r="AS16" s="2"/>
      <c r="AU16" s="1" t="s">
        <v>15</v>
      </c>
      <c r="AV16" s="2"/>
      <c r="AW16" s="2"/>
      <c r="AX16" s="2"/>
      <c r="AY16" s="2"/>
      <c r="AZ16" s="2"/>
      <c r="BA16" s="2"/>
      <c r="BB16" s="2"/>
      <c r="BC16" s="2"/>
      <c r="BD16" s="2"/>
      <c r="BF16" s="1" t="s">
        <v>15</v>
      </c>
      <c r="BG16" s="2"/>
      <c r="BH16" s="2"/>
      <c r="BI16" s="2"/>
      <c r="BJ16" s="2"/>
      <c r="BK16" s="2"/>
      <c r="BL16" s="2"/>
      <c r="BM16" s="2"/>
      <c r="BN16" s="2"/>
      <c r="BO16" s="2"/>
      <c r="BQ16" s="1" t="s">
        <v>15</v>
      </c>
      <c r="BR16" s="2"/>
      <c r="BS16" s="2"/>
      <c r="BT16" s="2"/>
      <c r="BU16" s="2"/>
      <c r="BV16" s="2"/>
      <c r="BW16" s="2"/>
      <c r="BX16" s="2"/>
      <c r="BY16" s="2"/>
      <c r="BZ16" s="2"/>
      <c r="CC16" s="2"/>
      <c r="CD16" s="2"/>
      <c r="CE16" s="11"/>
      <c r="CF16" s="2"/>
      <c r="CG16" s="2"/>
      <c r="CH16" s="2"/>
      <c r="CI16" s="2"/>
      <c r="CJ16" s="2"/>
    </row>
    <row r="17" spans="3:88" x14ac:dyDescent="0.2">
      <c r="C17" t="s">
        <v>9</v>
      </c>
      <c r="D17" s="2">
        <v>12210.949611737415</v>
      </c>
      <c r="E17" s="2">
        <v>5409.6681667092689</v>
      </c>
      <c r="F17" s="2">
        <v>10118.577129872763</v>
      </c>
      <c r="G17" s="2">
        <v>10185.682807411151</v>
      </c>
      <c r="H17" s="2">
        <v>13440.131581834245</v>
      </c>
      <c r="I17" s="2">
        <v>8995.5592289505839</v>
      </c>
      <c r="J17" s="2">
        <v>8283.4732059702601</v>
      </c>
      <c r="K17" s="2"/>
      <c r="L17" s="2">
        <v>68644.041732485552</v>
      </c>
      <c r="N17" t="s">
        <v>9</v>
      </c>
      <c r="O17" s="2">
        <v>12480.471395221679</v>
      </c>
      <c r="P17" s="2">
        <v>5468.3736234894159</v>
      </c>
      <c r="Q17" s="2">
        <v>10046.424264618665</v>
      </c>
      <c r="R17" s="2">
        <v>10155.943967778125</v>
      </c>
      <c r="S17" s="2">
        <v>13460.720489434883</v>
      </c>
      <c r="T17" s="2">
        <v>8893.0888182513172</v>
      </c>
      <c r="U17" s="2">
        <v>10810.243357285768</v>
      </c>
      <c r="V17" s="2"/>
      <c r="W17" s="2">
        <v>71315.266916274442</v>
      </c>
      <c r="Y17" t="s">
        <v>9</v>
      </c>
      <c r="Z17" s="2">
        <v>12531.409196073673</v>
      </c>
      <c r="AA17" s="2">
        <v>5459.9120093176234</v>
      </c>
      <c r="AB17" s="2">
        <v>10154.416087529649</v>
      </c>
      <c r="AC17" s="2">
        <v>10308.182952631474</v>
      </c>
      <c r="AD17" s="2">
        <v>13811.078575142339</v>
      </c>
      <c r="AE17" s="2">
        <v>8960.7766277221726</v>
      </c>
      <c r="AF17" s="2">
        <v>11181.862905355487</v>
      </c>
      <c r="AG17" s="2">
        <v>1939.8145794554994</v>
      </c>
      <c r="AH17" s="2">
        <v>74347.452933228298</v>
      </c>
      <c r="AJ17" t="s">
        <v>9</v>
      </c>
      <c r="AK17" s="2">
        <v>10507.884314487259</v>
      </c>
      <c r="AL17" s="2">
        <v>4555.2037923914195</v>
      </c>
      <c r="AM17" s="2">
        <v>8408.4038211946354</v>
      </c>
      <c r="AN17" s="2">
        <v>8608.766217818933</v>
      </c>
      <c r="AO17" s="2">
        <v>11702.422198929249</v>
      </c>
      <c r="AP17" s="2">
        <v>7801.3435936208944</v>
      </c>
      <c r="AQ17" s="2">
        <v>10863.071321719548</v>
      </c>
      <c r="AR17" s="2">
        <v>3426.7043009718768</v>
      </c>
      <c r="AS17" s="2">
        <v>65873.799561158085</v>
      </c>
      <c r="AU17" t="s">
        <v>9</v>
      </c>
      <c r="AV17" s="2">
        <v>9926.2605233617414</v>
      </c>
      <c r="AW17" s="2">
        <v>4442.7557340812727</v>
      </c>
      <c r="AX17" s="2">
        <v>8178.5173920504349</v>
      </c>
      <c r="AY17" s="2">
        <v>8381.3545946224822</v>
      </c>
      <c r="AZ17" s="2">
        <v>12011.670945938935</v>
      </c>
      <c r="BA17" s="2">
        <v>7378.043448740259</v>
      </c>
      <c r="BB17" s="2">
        <v>9402.4659642313418</v>
      </c>
      <c r="BC17" s="2">
        <v>5591.525808693701</v>
      </c>
      <c r="BD17" s="2">
        <v>65312.59441174486</v>
      </c>
      <c r="BF17" t="s">
        <v>9</v>
      </c>
      <c r="BG17" s="2">
        <v>11083.938524880847</v>
      </c>
      <c r="BH17" s="2">
        <v>5169.3969148777414</v>
      </c>
      <c r="BI17" s="2">
        <v>9522.599895689129</v>
      </c>
      <c r="BJ17" s="2">
        <v>9568.8832495697679</v>
      </c>
      <c r="BK17" s="2">
        <v>13819.905472823208</v>
      </c>
      <c r="BL17" s="2">
        <v>9009.6413943665011</v>
      </c>
      <c r="BM17" s="2">
        <v>11051.561353200568</v>
      </c>
      <c r="BN17" s="2">
        <v>9082.4918157589873</v>
      </c>
      <c r="BO17" s="2">
        <v>78308.418621165882</v>
      </c>
      <c r="BQ17" t="s">
        <v>9</v>
      </c>
      <c r="BR17" s="2">
        <v>11267.175521192939</v>
      </c>
      <c r="BS17" s="2">
        <v>5163.1768276991015</v>
      </c>
      <c r="BT17" s="2">
        <v>9739.6311379885083</v>
      </c>
      <c r="BU17" s="2">
        <v>9649.282851496806</v>
      </c>
      <c r="BV17" s="2">
        <v>13590.052454149289</v>
      </c>
      <c r="BW17" s="2">
        <v>8888.4191785365711</v>
      </c>
      <c r="BX17" s="2">
        <v>10894.868065978362</v>
      </c>
      <c r="BY17" s="2">
        <v>10725.360061079851</v>
      </c>
      <c r="BZ17" s="2">
        <v>79917.966098121789</v>
      </c>
      <c r="CB17">
        <v>79917.966098121411</v>
      </c>
      <c r="CC17" s="2"/>
      <c r="CD17" s="2"/>
      <c r="CE17" s="11"/>
      <c r="CF17" s="2"/>
      <c r="CG17" s="2"/>
      <c r="CH17" s="2"/>
      <c r="CI17" s="2"/>
      <c r="CJ17" s="2"/>
    </row>
    <row r="18" spans="3:88" x14ac:dyDescent="0.2">
      <c r="C18" t="s">
        <v>10</v>
      </c>
      <c r="D18" s="2">
        <v>12175.520174729125</v>
      </c>
      <c r="E18" s="2">
        <v>5393.4587752715706</v>
      </c>
      <c r="F18" s="2">
        <v>10000.767695596422</v>
      </c>
      <c r="G18" s="2">
        <v>9456.0313237751052</v>
      </c>
      <c r="H18" s="2">
        <v>11067.615367353501</v>
      </c>
      <c r="I18" s="2">
        <v>7479.9110218122369</v>
      </c>
      <c r="J18" s="2">
        <v>6538.0260547433199</v>
      </c>
      <c r="K18" s="2"/>
      <c r="L18" s="2">
        <v>62111.330413281285</v>
      </c>
      <c r="N18" t="s">
        <v>10</v>
      </c>
      <c r="O18" s="2">
        <v>12442.958292670177</v>
      </c>
      <c r="P18" s="2">
        <v>5452.1123138101166</v>
      </c>
      <c r="Q18" s="2">
        <v>9944.0169690925813</v>
      </c>
      <c r="R18" s="2">
        <v>9554.3588333043808</v>
      </c>
      <c r="S18" s="2">
        <v>11357.121742843723</v>
      </c>
      <c r="T18" s="2">
        <v>7375.411602597831</v>
      </c>
      <c r="U18" s="2">
        <v>8409.8571428798787</v>
      </c>
      <c r="V18" s="2"/>
      <c r="W18" s="2">
        <v>64535.836897198737</v>
      </c>
      <c r="Y18" t="s">
        <v>10</v>
      </c>
      <c r="Z18" s="2">
        <v>12475.268400014576</v>
      </c>
      <c r="AA18" s="2">
        <v>5436.4055133353231</v>
      </c>
      <c r="AB18" s="2">
        <v>10053.717806900113</v>
      </c>
      <c r="AC18" s="2">
        <v>9713.8636964004909</v>
      </c>
      <c r="AD18" s="2">
        <v>11717.747732804099</v>
      </c>
      <c r="AE18" s="2">
        <v>7430.3576926277083</v>
      </c>
      <c r="AF18" s="2">
        <v>8742.6285971499092</v>
      </c>
      <c r="AG18" s="2">
        <v>1558.7629783123193</v>
      </c>
      <c r="AH18" s="2">
        <v>67128.752417544601</v>
      </c>
      <c r="AJ18" t="s">
        <v>10</v>
      </c>
      <c r="AK18" s="2">
        <v>10468.809089667868</v>
      </c>
      <c r="AL18" s="2">
        <v>4539.7373399814169</v>
      </c>
      <c r="AM18" s="2">
        <v>8338.3991977971109</v>
      </c>
      <c r="AN18" s="2">
        <v>8135.0739734844401</v>
      </c>
      <c r="AO18" s="2">
        <v>10007.958565916237</v>
      </c>
      <c r="AP18" s="2">
        <v>6611.985531016333</v>
      </c>
      <c r="AQ18" s="2">
        <v>9357.0028016288379</v>
      </c>
      <c r="AR18" s="2">
        <v>3086.513571937719</v>
      </c>
      <c r="AS18" s="2">
        <v>60545.48007145166</v>
      </c>
      <c r="AU18" t="s">
        <v>10</v>
      </c>
      <c r="AV18" s="2">
        <v>9880.4340693123522</v>
      </c>
      <c r="AW18" s="2">
        <v>4416.9783134012678</v>
      </c>
      <c r="AX18" s="2">
        <v>8134.5699065710269</v>
      </c>
      <c r="AY18" s="2">
        <v>7990.5814789321785</v>
      </c>
      <c r="AZ18" s="2">
        <v>10577.309219921694</v>
      </c>
      <c r="BA18" s="2">
        <v>6278.8314052878459</v>
      </c>
      <c r="BB18" s="2">
        <v>8021.8462245919491</v>
      </c>
      <c r="BC18" s="2">
        <v>4697.7551214285313</v>
      </c>
      <c r="BD18" s="2">
        <v>59998.305739468837</v>
      </c>
      <c r="BF18" t="s">
        <v>10</v>
      </c>
      <c r="BG18" s="2">
        <v>11028.263312177547</v>
      </c>
      <c r="BH18" s="2">
        <v>5131.6383281656399</v>
      </c>
      <c r="BI18" s="2">
        <v>9480.9074468415256</v>
      </c>
      <c r="BJ18" s="2">
        <v>9185.1565103864541</v>
      </c>
      <c r="BK18" s="2">
        <v>12234.733678700048</v>
      </c>
      <c r="BL18" s="2">
        <v>7513.1925840615349</v>
      </c>
      <c r="BM18" s="2">
        <v>8751.4456167173848</v>
      </c>
      <c r="BN18" s="2">
        <v>8085.0393530176607</v>
      </c>
      <c r="BO18" s="2">
        <v>71410.376830066409</v>
      </c>
      <c r="BQ18" t="s">
        <v>10</v>
      </c>
      <c r="BR18" s="2">
        <v>11217.921279471035</v>
      </c>
      <c r="BS18" s="2">
        <v>5109.4096937853046</v>
      </c>
      <c r="BT18" s="2">
        <v>9684.0350217697087</v>
      </c>
      <c r="BU18" s="2">
        <v>9247.8025060320251</v>
      </c>
      <c r="BV18" s="2">
        <v>12093.802556704599</v>
      </c>
      <c r="BW18" s="2">
        <v>7521.9277703839061</v>
      </c>
      <c r="BX18" s="2">
        <v>8624.755122607181</v>
      </c>
      <c r="BY18" s="2">
        <v>9579.5368820813146</v>
      </c>
      <c r="BZ18" s="2">
        <v>73079.190832835448</v>
      </c>
      <c r="CB18">
        <v>73079.190832835069</v>
      </c>
      <c r="CC18" s="2"/>
      <c r="CD18" s="2"/>
      <c r="CE18" s="11"/>
      <c r="CF18" s="2"/>
      <c r="CG18" s="2"/>
      <c r="CH18" s="2"/>
      <c r="CI18" s="2"/>
      <c r="CJ18" s="2"/>
    </row>
    <row r="19" spans="3:88" x14ac:dyDescent="0.2">
      <c r="C19" t="s">
        <v>11</v>
      </c>
      <c r="D19" s="2">
        <v>1063.1553992361503</v>
      </c>
      <c r="E19" s="2">
        <v>303.56123991780004</v>
      </c>
      <c r="F19" s="2">
        <v>382.55761308927015</v>
      </c>
      <c r="G19" s="2">
        <v>588.11355870673026</v>
      </c>
      <c r="H19" s="2">
        <v>1316.5333729963897</v>
      </c>
      <c r="I19" s="2">
        <v>1397.0617212860409</v>
      </c>
      <c r="J19" s="2">
        <v>789.06903335986021</v>
      </c>
      <c r="K19" s="2"/>
      <c r="L19" s="2">
        <v>5840.0519385922453</v>
      </c>
      <c r="N19" t="s">
        <v>11</v>
      </c>
      <c r="O19" s="2">
        <v>1288.7675129180855</v>
      </c>
      <c r="P19" s="2">
        <v>438.51821079503014</v>
      </c>
      <c r="Q19" s="2">
        <v>449.74512522231004</v>
      </c>
      <c r="R19" s="2">
        <v>717.95899186830547</v>
      </c>
      <c r="S19" s="2">
        <v>1491.5063425297305</v>
      </c>
      <c r="T19" s="2">
        <v>1458.7361692201748</v>
      </c>
      <c r="U19" s="2">
        <v>1117.9422034671593</v>
      </c>
      <c r="V19" s="2"/>
      <c r="W19" s="2">
        <v>6963.1745560208055</v>
      </c>
      <c r="Y19" t="s">
        <v>11</v>
      </c>
      <c r="Z19" s="2">
        <v>1314.0711344373779</v>
      </c>
      <c r="AA19" s="2">
        <v>392.44103238149012</v>
      </c>
      <c r="AB19" s="2">
        <v>481.81367496443971</v>
      </c>
      <c r="AC19" s="2">
        <v>631.65206242037027</v>
      </c>
      <c r="AD19" s="2">
        <v>1555.8616658173917</v>
      </c>
      <c r="AE19" s="2">
        <v>1502.3989848781644</v>
      </c>
      <c r="AF19" s="2">
        <v>1169.4776056454705</v>
      </c>
      <c r="AG19" s="2">
        <v>257.36018112240009</v>
      </c>
      <c r="AH19" s="2">
        <v>7305.0763416670889</v>
      </c>
      <c r="AJ19" t="s">
        <v>11</v>
      </c>
      <c r="AK19" s="2">
        <v>932.88692031584287</v>
      </c>
      <c r="AL19" s="2">
        <v>288.13138151725946</v>
      </c>
      <c r="AM19" s="2">
        <v>326.80902123575964</v>
      </c>
      <c r="AN19" s="2">
        <v>416.30435692129021</v>
      </c>
      <c r="AO19" s="2">
        <v>1086.593328450836</v>
      </c>
      <c r="AP19" s="2">
        <v>1115.0332390292906</v>
      </c>
      <c r="AQ19" s="2">
        <v>1008.4389624966028</v>
      </c>
      <c r="AR19" s="2">
        <v>404.98040368459067</v>
      </c>
      <c r="AS19" s="2">
        <v>5579.1776136516946</v>
      </c>
      <c r="AU19" t="s">
        <v>11</v>
      </c>
      <c r="AV19" s="2">
        <v>873.51740752496517</v>
      </c>
      <c r="AW19" s="2">
        <v>257.46187039609651</v>
      </c>
      <c r="AX19" s="2">
        <v>279.25539069999957</v>
      </c>
      <c r="AY19" s="2">
        <v>355.02126454000029</v>
      </c>
      <c r="AZ19" s="2">
        <v>999.25400059719288</v>
      </c>
      <c r="BA19" s="2">
        <v>1048.8346386186272</v>
      </c>
      <c r="BB19" s="2">
        <v>808.10139363759663</v>
      </c>
      <c r="BC19" s="2">
        <v>552.60324102070103</v>
      </c>
      <c r="BD19" s="2">
        <v>5174.0492070353184</v>
      </c>
      <c r="BF19" t="s">
        <v>11</v>
      </c>
      <c r="BG19" s="2">
        <v>1049.8000652111693</v>
      </c>
      <c r="BH19" s="2">
        <v>297.52125000140001</v>
      </c>
      <c r="BI19" s="2">
        <v>321.97553100867987</v>
      </c>
      <c r="BJ19" s="2">
        <v>371.95888579420017</v>
      </c>
      <c r="BK19" s="2">
        <v>1125.9786084461696</v>
      </c>
      <c r="BL19" s="2">
        <v>1160.00946212904</v>
      </c>
      <c r="BM19" s="2">
        <v>825.34785355733902</v>
      </c>
      <c r="BN19" s="2">
        <v>927.98787531583014</v>
      </c>
      <c r="BO19" s="2">
        <v>6080.5795314638408</v>
      </c>
      <c r="BQ19" t="s">
        <v>11</v>
      </c>
      <c r="BR19" s="2">
        <v>853.05054520168005</v>
      </c>
      <c r="BS19" s="2">
        <v>296.69202191433016</v>
      </c>
      <c r="BT19" s="2">
        <v>351.81505708155026</v>
      </c>
      <c r="BU19" s="2">
        <v>444.16450854272011</v>
      </c>
      <c r="BV19" s="2">
        <v>1037.8357810640712</v>
      </c>
      <c r="BW19" s="2">
        <v>1112.1331133431909</v>
      </c>
      <c r="BX19" s="2">
        <v>814.82880372522015</v>
      </c>
      <c r="BY19" s="2">
        <v>1062.1422759664695</v>
      </c>
      <c r="BZ19" s="2">
        <v>5972.6621068392296</v>
      </c>
      <c r="CB19">
        <v>5972.6621068392324</v>
      </c>
      <c r="CC19" s="2"/>
      <c r="CD19" s="2"/>
      <c r="CE19" s="11"/>
      <c r="CF19" s="2"/>
      <c r="CG19" s="2"/>
      <c r="CH19" s="2"/>
      <c r="CI19" s="2"/>
      <c r="CJ19" s="2"/>
    </row>
    <row r="20" spans="3:88" x14ac:dyDescent="0.2">
      <c r="C20" t="s">
        <v>12</v>
      </c>
      <c r="D20" s="2">
        <v>6166.0808005615136</v>
      </c>
      <c r="E20" s="2">
        <v>1608.0287468728714</v>
      </c>
      <c r="F20" s="2">
        <v>1974.0038961175023</v>
      </c>
      <c r="G20" s="2">
        <v>3537.2808487035782</v>
      </c>
      <c r="H20" s="2">
        <v>5814.3768939900547</v>
      </c>
      <c r="I20" s="2">
        <v>4331.8750069505513</v>
      </c>
      <c r="J20" s="2">
        <v>1556.818229577101</v>
      </c>
      <c r="K20" s="2"/>
      <c r="L20" s="2">
        <v>24988.46442277309</v>
      </c>
      <c r="N20" t="s">
        <v>12</v>
      </c>
      <c r="O20" s="2">
        <v>5759.8137758875009</v>
      </c>
      <c r="P20" s="2">
        <v>1519.3258619064379</v>
      </c>
      <c r="Q20" s="2">
        <v>1797.9806068493858</v>
      </c>
      <c r="R20" s="2">
        <v>3354.406284914096</v>
      </c>
      <c r="S20" s="2">
        <v>5659.8456081821523</v>
      </c>
      <c r="T20" s="2">
        <v>4403.1582061558338</v>
      </c>
      <c r="U20" s="2">
        <v>2021.0920180915298</v>
      </c>
      <c r="V20" s="2"/>
      <c r="W20" s="2">
        <v>24515.622361986978</v>
      </c>
      <c r="Y20" t="s">
        <v>12</v>
      </c>
      <c r="Z20" s="2">
        <v>5375.390605161022</v>
      </c>
      <c r="AA20" s="2">
        <v>1425.8982580970769</v>
      </c>
      <c r="AB20" s="2">
        <v>1864.9057159787992</v>
      </c>
      <c r="AC20" s="2">
        <v>3456.4629761369074</v>
      </c>
      <c r="AD20" s="2">
        <v>5550.1231868986506</v>
      </c>
      <c r="AE20" s="2">
        <v>4365.8980092340289</v>
      </c>
      <c r="AF20" s="2">
        <v>2190.3728615456898</v>
      </c>
      <c r="AG20" s="2">
        <v>376.14570425010021</v>
      </c>
      <c r="AH20" s="2">
        <v>24605.197317302209</v>
      </c>
      <c r="AJ20" t="s">
        <v>12</v>
      </c>
      <c r="AK20" s="2">
        <v>4488.3721785049784</v>
      </c>
      <c r="AL20" s="2">
        <v>1249.9864695576634</v>
      </c>
      <c r="AM20" s="2">
        <v>1553.3023987212409</v>
      </c>
      <c r="AN20" s="2">
        <v>2918.2275341376289</v>
      </c>
      <c r="AO20" s="2">
        <v>4959.0302202475896</v>
      </c>
      <c r="AP20" s="2">
        <v>3518.266219058396</v>
      </c>
      <c r="AQ20" s="2">
        <v>2142.8868165171134</v>
      </c>
      <c r="AR20" s="2">
        <v>724.21788635730786</v>
      </c>
      <c r="AS20" s="2">
        <v>21554.289723103553</v>
      </c>
      <c r="AU20" t="s">
        <v>12</v>
      </c>
      <c r="AV20" s="2">
        <v>4388.1954489065183</v>
      </c>
      <c r="AW20" s="2">
        <v>1131.6410754208607</v>
      </c>
      <c r="AX20" s="2">
        <v>1431.8067089736855</v>
      </c>
      <c r="AY20" s="2">
        <v>2824.3241485444996</v>
      </c>
      <c r="AZ20" s="2">
        <v>5765.2767027017117</v>
      </c>
      <c r="BA20" s="2">
        <v>3607.2213862492631</v>
      </c>
      <c r="BB20" s="2">
        <v>1892.6034517285993</v>
      </c>
      <c r="BC20" s="2">
        <v>1154.9723707101912</v>
      </c>
      <c r="BD20" s="2">
        <v>22196.041293237253</v>
      </c>
      <c r="BF20" t="s">
        <v>12</v>
      </c>
      <c r="BG20" s="2">
        <v>5135.8761804665846</v>
      </c>
      <c r="BH20" s="2">
        <v>1352.8438240596797</v>
      </c>
      <c r="BI20" s="2">
        <v>1652.183367812502</v>
      </c>
      <c r="BJ20" s="2">
        <v>3453.8515442937687</v>
      </c>
      <c r="BK20" s="2">
        <v>6890.5215294910695</v>
      </c>
      <c r="BL20" s="2">
        <v>4017.0437280411384</v>
      </c>
      <c r="BM20" s="2">
        <v>2099.5647129915405</v>
      </c>
      <c r="BN20" s="2">
        <v>1654.8221537630734</v>
      </c>
      <c r="BO20" s="2">
        <v>26256.707040919373</v>
      </c>
      <c r="BQ20" t="s">
        <v>12</v>
      </c>
      <c r="BR20" s="2">
        <v>4762.2398021134541</v>
      </c>
      <c r="BS20" s="2">
        <v>1285.1783581023469</v>
      </c>
      <c r="BT20" s="2">
        <v>1679.7863224350169</v>
      </c>
      <c r="BU20" s="2">
        <v>3232.2716333262219</v>
      </c>
      <c r="BV20" s="2">
        <v>6620.0929300840835</v>
      </c>
      <c r="BW20" s="2">
        <v>4024.5158034563065</v>
      </c>
      <c r="BX20" s="2">
        <v>2109.8537334612402</v>
      </c>
      <c r="BY20" s="2">
        <v>2198.1878711299205</v>
      </c>
      <c r="BZ20" s="2">
        <v>25912.126454108671</v>
      </c>
      <c r="CB20">
        <v>25912.126454108591</v>
      </c>
      <c r="CC20" s="2"/>
      <c r="CD20" s="2"/>
      <c r="CE20" s="11"/>
      <c r="CF20" s="2"/>
      <c r="CG20" s="2"/>
      <c r="CH20" s="2"/>
      <c r="CI20" s="2"/>
      <c r="CJ20" s="2"/>
    </row>
    <row r="21" spans="3:88" x14ac:dyDescent="0.2">
      <c r="C21" t="s">
        <v>13</v>
      </c>
      <c r="D21" s="2">
        <v>35.429437008300006</v>
      </c>
      <c r="E21" s="2">
        <v>16.209391437699999</v>
      </c>
      <c r="F21" s="2">
        <v>117.80943427634</v>
      </c>
      <c r="G21" s="2">
        <v>729.65148363604442</v>
      </c>
      <c r="H21" s="2">
        <v>2372.5162144807373</v>
      </c>
      <c r="I21" s="2">
        <v>1515.6482071383475</v>
      </c>
      <c r="J21" s="2">
        <v>1745.4471512269556</v>
      </c>
      <c r="K21" s="2"/>
      <c r="L21" s="2">
        <v>6532.7113192044417</v>
      </c>
      <c r="N21" t="s">
        <v>13</v>
      </c>
      <c r="O21" s="2">
        <v>37.513102551499998</v>
      </c>
      <c r="P21" s="2">
        <v>16.261309679299998</v>
      </c>
      <c r="Q21" s="2">
        <v>102.40729552607998</v>
      </c>
      <c r="R21" s="2">
        <v>601.58513447374332</v>
      </c>
      <c r="S21" s="2">
        <v>2103.5987465911835</v>
      </c>
      <c r="T21" s="2">
        <v>1517.6772156534907</v>
      </c>
      <c r="U21" s="2">
        <v>2400.3862144058899</v>
      </c>
      <c r="V21" s="2"/>
      <c r="W21" s="2">
        <v>6779.4300190765834</v>
      </c>
      <c r="Y21" t="s">
        <v>13</v>
      </c>
      <c r="Z21" s="2">
        <v>56.140796059100005</v>
      </c>
      <c r="AA21" s="2">
        <v>23.506495982300002</v>
      </c>
      <c r="AB21" s="2">
        <v>100.69828062954001</v>
      </c>
      <c r="AC21" s="2">
        <v>594.31925623098221</v>
      </c>
      <c r="AD21" s="2">
        <v>2093.3308423382309</v>
      </c>
      <c r="AE21" s="2">
        <v>1530.4189350944616</v>
      </c>
      <c r="AF21" s="2">
        <v>2439.2343082056095</v>
      </c>
      <c r="AG21" s="2">
        <v>381.05160114317999</v>
      </c>
      <c r="AH21" s="2">
        <v>7218.7005156834057</v>
      </c>
      <c r="AJ21" t="s">
        <v>13</v>
      </c>
      <c r="AK21" s="2">
        <v>39.075224819400006</v>
      </c>
      <c r="AL21" s="2">
        <v>15.46645241</v>
      </c>
      <c r="AM21" s="2">
        <v>70.004623397520035</v>
      </c>
      <c r="AN21" s="2">
        <v>473.69224433447806</v>
      </c>
      <c r="AO21" s="2">
        <v>1694.4636330132953</v>
      </c>
      <c r="AP21" s="2">
        <v>1189.3580626043179</v>
      </c>
      <c r="AQ21" s="2">
        <v>1506.0685200909809</v>
      </c>
      <c r="AR21" s="2">
        <v>340.19072903416026</v>
      </c>
      <c r="AS21" s="2">
        <v>5328.3194897043295</v>
      </c>
      <c r="AU21" t="s">
        <v>13</v>
      </c>
      <c r="AV21" s="2">
        <v>45.82645404940002</v>
      </c>
      <c r="AW21" s="2">
        <v>25.777420679999999</v>
      </c>
      <c r="AX21" s="2">
        <v>43.947485479400015</v>
      </c>
      <c r="AY21" s="2">
        <v>390.77311569023038</v>
      </c>
      <c r="AZ21" s="2">
        <v>1434.3617260175499</v>
      </c>
      <c r="BA21" s="2">
        <v>1099.2120434521973</v>
      </c>
      <c r="BB21" s="2">
        <v>1380.6197396395621</v>
      </c>
      <c r="BC21" s="2">
        <v>893.77068726499397</v>
      </c>
      <c r="BD21" s="2">
        <v>5314.2886722735184</v>
      </c>
      <c r="BF21" t="s">
        <v>13</v>
      </c>
      <c r="BG21" s="2">
        <v>55.675212703299998</v>
      </c>
      <c r="BH21" s="2">
        <v>37.758586712099998</v>
      </c>
      <c r="BI21" s="2">
        <v>41.692448847599998</v>
      </c>
      <c r="BJ21" s="2">
        <v>383.72673918330003</v>
      </c>
      <c r="BK21" s="2">
        <v>1585.1717941231875</v>
      </c>
      <c r="BL21" s="2">
        <v>1496.448810304976</v>
      </c>
      <c r="BM21" s="2">
        <v>2300.1157364831356</v>
      </c>
      <c r="BN21" s="2">
        <v>997.45246274129966</v>
      </c>
      <c r="BO21" s="2">
        <v>6898.041791098909</v>
      </c>
      <c r="BQ21" t="s">
        <v>13</v>
      </c>
      <c r="BR21" s="2">
        <v>49.254241721900001</v>
      </c>
      <c r="BS21" s="2">
        <v>53.767133913800009</v>
      </c>
      <c r="BT21" s="2">
        <v>55.596116218799999</v>
      </c>
      <c r="BU21" s="2">
        <v>401.48034546477976</v>
      </c>
      <c r="BV21" s="2">
        <v>1496.2498974446548</v>
      </c>
      <c r="BW21" s="2">
        <v>1366.4914081526813</v>
      </c>
      <c r="BX21" s="2">
        <v>2270.1129433710662</v>
      </c>
      <c r="BY21" s="2">
        <v>1145.8231789985293</v>
      </c>
      <c r="BZ21" s="2">
        <v>6838.7752652862127</v>
      </c>
      <c r="CB21">
        <v>6838.7752652862109</v>
      </c>
      <c r="CE21" s="11"/>
    </row>
    <row r="22" spans="3:88" x14ac:dyDescent="0.2">
      <c r="C22" t="s">
        <v>14</v>
      </c>
      <c r="D22" s="2">
        <v>19440.185811535088</v>
      </c>
      <c r="E22" s="2">
        <v>7321.2581534999417</v>
      </c>
      <c r="F22" s="2">
        <v>12475.138639079536</v>
      </c>
      <c r="G22" s="2">
        <v>14311.077214821458</v>
      </c>
      <c r="H22" s="2">
        <v>20571.041848820678</v>
      </c>
      <c r="I22" s="2">
        <v>14724.495957187177</v>
      </c>
      <c r="J22" s="2">
        <v>10629.360468907238</v>
      </c>
      <c r="K22" s="2"/>
      <c r="L22" s="2">
        <v>99472.558093851068</v>
      </c>
      <c r="N22" t="s">
        <v>14</v>
      </c>
      <c r="O22" s="2">
        <v>19529.052684027265</v>
      </c>
      <c r="P22" s="2">
        <v>7426.2176961908845</v>
      </c>
      <c r="Q22" s="2">
        <v>12294.149996690358</v>
      </c>
      <c r="R22" s="2">
        <v>14228.309244560527</v>
      </c>
      <c r="S22" s="2">
        <v>20612.072440146789</v>
      </c>
      <c r="T22" s="2">
        <v>14754.983193627331</v>
      </c>
      <c r="U22" s="2">
        <v>13949.277578844458</v>
      </c>
      <c r="V22" s="2"/>
      <c r="W22" s="2">
        <v>102794.06383428312</v>
      </c>
      <c r="Y22" t="s">
        <v>14</v>
      </c>
      <c r="Z22" s="2">
        <v>19220.870935672079</v>
      </c>
      <c r="AA22" s="2">
        <v>7278.2512997961894</v>
      </c>
      <c r="AB22" s="2">
        <v>12501.13547847289</v>
      </c>
      <c r="AC22" s="2">
        <v>14396.297991188752</v>
      </c>
      <c r="AD22" s="2">
        <v>20917.063427858371</v>
      </c>
      <c r="AE22" s="2">
        <v>14829.073621834365</v>
      </c>
      <c r="AF22" s="2">
        <v>14541.713372546679</v>
      </c>
      <c r="AG22" s="2">
        <v>2573.3204648279993</v>
      </c>
      <c r="AH22" s="2">
        <v>106257.7265921973</v>
      </c>
      <c r="AJ22" t="s">
        <v>14</v>
      </c>
      <c r="AK22" s="2">
        <v>15929.143413308087</v>
      </c>
      <c r="AL22" s="2">
        <v>6093.3216434663409</v>
      </c>
      <c r="AM22" s="2">
        <v>10288.515241151632</v>
      </c>
      <c r="AN22" s="2">
        <v>11943.298108877838</v>
      </c>
      <c r="AO22" s="2">
        <v>17748.045747627959</v>
      </c>
      <c r="AP22" s="2">
        <v>12434.643051708337</v>
      </c>
      <c r="AQ22" s="2">
        <v>14014.397100733533</v>
      </c>
      <c r="AR22" s="2">
        <v>4555.9025910137771</v>
      </c>
      <c r="AS22" s="2">
        <v>93007.266897911235</v>
      </c>
      <c r="AU22" t="s">
        <v>14</v>
      </c>
      <c r="AV22" s="2">
        <v>15187.973379793237</v>
      </c>
      <c r="AW22" s="2">
        <v>5831.858679898226</v>
      </c>
      <c r="AX22" s="2">
        <v>9889.579491724111</v>
      </c>
      <c r="AY22" s="2">
        <v>11560.700007706911</v>
      </c>
      <c r="AZ22" s="2">
        <v>18776.201649238148</v>
      </c>
      <c r="BA22" s="2">
        <v>12034.099473607934</v>
      </c>
      <c r="BB22" s="2">
        <v>12103.170809597706</v>
      </c>
      <c r="BC22" s="2">
        <v>7299.1014204244175</v>
      </c>
      <c r="BD22" s="2">
        <v>92682.684912014927</v>
      </c>
      <c r="BF22" t="s">
        <v>14</v>
      </c>
      <c r="BG22" s="2">
        <v>17269.614770558601</v>
      </c>
      <c r="BH22" s="2">
        <v>6819.7619889388197</v>
      </c>
      <c r="BI22" s="2">
        <v>11496.758794510306</v>
      </c>
      <c r="BJ22" s="2">
        <v>13394.693679657723</v>
      </c>
      <c r="BK22" s="2">
        <v>21836.405610760474</v>
      </c>
      <c r="BL22" s="2">
        <v>14186.694584536688</v>
      </c>
      <c r="BM22" s="2">
        <v>13976.4739197494</v>
      </c>
      <c r="BN22" s="2">
        <v>11665.301844837864</v>
      </c>
      <c r="BO22" s="2">
        <v>110645.70519354855</v>
      </c>
      <c r="BP22" s="1"/>
      <c r="BQ22" t="s">
        <v>14</v>
      </c>
      <c r="BR22" s="2">
        <v>16882.465868508069</v>
      </c>
      <c r="BS22" s="2">
        <v>6745.047207715782</v>
      </c>
      <c r="BT22" s="2">
        <v>11771.232517505076</v>
      </c>
      <c r="BU22" s="2">
        <v>13325.718993365746</v>
      </c>
      <c r="BV22" s="2">
        <v>21247.981165297409</v>
      </c>
      <c r="BW22" s="2">
        <v>14025.068095336084</v>
      </c>
      <c r="BX22" s="2">
        <v>13819.550603164709</v>
      </c>
      <c r="BY22" s="2">
        <v>13985.690208176235</v>
      </c>
      <c r="BZ22" s="2">
        <v>111802.75465906956</v>
      </c>
      <c r="CB22">
        <v>111802.75465906912</v>
      </c>
      <c r="CE22" s="11"/>
    </row>
    <row r="23" spans="3:88" x14ac:dyDescent="0.2">
      <c r="CC23" s="2"/>
      <c r="CD23" s="2"/>
      <c r="CE23" s="11"/>
      <c r="CF23" s="2"/>
      <c r="CG23" s="2"/>
      <c r="CH23" s="2"/>
      <c r="CI23" s="2"/>
      <c r="CJ23" s="2"/>
    </row>
    <row r="24" spans="3:88" x14ac:dyDescent="0.2">
      <c r="C24" s="1" t="s">
        <v>16</v>
      </c>
      <c r="N24" s="1" t="s">
        <v>16</v>
      </c>
      <c r="Y24" s="1" t="s">
        <v>16</v>
      </c>
      <c r="AJ24" s="1" t="s">
        <v>16</v>
      </c>
      <c r="AU24" s="1" t="s">
        <v>16</v>
      </c>
      <c r="BF24" s="1" t="s">
        <v>16</v>
      </c>
      <c r="BQ24" s="1" t="s">
        <v>16</v>
      </c>
      <c r="CC24" s="2"/>
      <c r="CD24" s="2"/>
      <c r="CE24" s="11"/>
      <c r="CF24" s="2"/>
      <c r="CG24" s="2"/>
      <c r="CH24" s="2"/>
      <c r="CI24" s="2"/>
      <c r="CJ24" s="2"/>
    </row>
    <row r="25" spans="3:88" x14ac:dyDescent="0.2">
      <c r="C25" t="s">
        <v>9</v>
      </c>
      <c r="D25" s="2">
        <v>4435</v>
      </c>
      <c r="E25" s="2">
        <v>2049</v>
      </c>
      <c r="F25" s="2">
        <v>3819</v>
      </c>
      <c r="G25" s="2">
        <v>3863</v>
      </c>
      <c r="H25" s="2">
        <v>5054</v>
      </c>
      <c r="I25" s="2">
        <v>3230</v>
      </c>
      <c r="J25" s="2">
        <v>2630</v>
      </c>
      <c r="K25" s="2"/>
      <c r="L25" s="2">
        <v>25080</v>
      </c>
      <c r="N25" t="s">
        <v>9</v>
      </c>
      <c r="O25" s="2">
        <v>4935</v>
      </c>
      <c r="P25" s="2">
        <v>2298</v>
      </c>
      <c r="Q25" s="2">
        <v>4290</v>
      </c>
      <c r="R25" s="2">
        <v>4263</v>
      </c>
      <c r="S25" s="2">
        <v>5439</v>
      </c>
      <c r="T25" s="2">
        <v>3635</v>
      </c>
      <c r="U25" s="2">
        <v>4145</v>
      </c>
      <c r="V25" s="2"/>
      <c r="W25" s="2">
        <v>29007</v>
      </c>
      <c r="Y25" t="s">
        <v>9</v>
      </c>
      <c r="Z25" s="2">
        <v>4577</v>
      </c>
      <c r="AA25" s="2">
        <v>2028</v>
      </c>
      <c r="AB25" s="2">
        <v>3785</v>
      </c>
      <c r="AC25" s="2">
        <v>3889</v>
      </c>
      <c r="AD25" s="2">
        <v>5143</v>
      </c>
      <c r="AE25" s="2">
        <v>3443</v>
      </c>
      <c r="AF25" s="2">
        <v>4479</v>
      </c>
      <c r="AG25" s="2">
        <v>622</v>
      </c>
      <c r="AH25" s="2">
        <v>27966</v>
      </c>
      <c r="AJ25" t="s">
        <v>9</v>
      </c>
      <c r="AK25" s="2">
        <v>4837</v>
      </c>
      <c r="AL25" s="2">
        <v>2212</v>
      </c>
      <c r="AM25" s="2">
        <v>4150</v>
      </c>
      <c r="AN25" s="2">
        <v>4140</v>
      </c>
      <c r="AO25" s="2">
        <v>5333</v>
      </c>
      <c r="AP25" s="2">
        <v>3598</v>
      </c>
      <c r="AQ25" s="2">
        <v>4979</v>
      </c>
      <c r="AR25" s="2">
        <v>1588</v>
      </c>
      <c r="AS25" s="2">
        <v>30837</v>
      </c>
      <c r="AU25" t="s">
        <v>9</v>
      </c>
      <c r="AV25" s="2">
        <v>4264</v>
      </c>
      <c r="AW25" s="2">
        <v>1921</v>
      </c>
      <c r="AX25" s="2">
        <v>3568</v>
      </c>
      <c r="AY25" s="2">
        <v>3675</v>
      </c>
      <c r="AZ25" s="2">
        <v>5168</v>
      </c>
      <c r="BA25" s="2">
        <v>3226</v>
      </c>
      <c r="BB25" s="2">
        <v>4206</v>
      </c>
      <c r="BC25" s="2">
        <v>2514</v>
      </c>
      <c r="BD25" s="2">
        <v>28542</v>
      </c>
      <c r="BF25" t="s">
        <v>9</v>
      </c>
      <c r="BG25" s="2">
        <v>3593</v>
      </c>
      <c r="BH25" s="2">
        <v>1663</v>
      </c>
      <c r="BI25" s="2">
        <v>3118</v>
      </c>
      <c r="BJ25" s="2">
        <v>3172</v>
      </c>
      <c r="BK25" s="2">
        <v>4532</v>
      </c>
      <c r="BL25" s="2">
        <v>2866</v>
      </c>
      <c r="BM25" s="2">
        <v>3748</v>
      </c>
      <c r="BN25" s="2">
        <v>3128</v>
      </c>
      <c r="BO25" s="2">
        <v>25820</v>
      </c>
      <c r="BQ25" t="s">
        <v>9</v>
      </c>
      <c r="BR25" s="2">
        <v>3920</v>
      </c>
      <c r="BS25" s="2">
        <v>1819</v>
      </c>
      <c r="BT25" s="2">
        <v>3552</v>
      </c>
      <c r="BU25" s="2">
        <v>3472</v>
      </c>
      <c r="BV25" s="2">
        <v>4758</v>
      </c>
      <c r="BW25" s="2">
        <v>3138</v>
      </c>
      <c r="BX25" s="2">
        <v>4004</v>
      </c>
      <c r="BY25" s="2">
        <v>4126</v>
      </c>
      <c r="BZ25" s="2">
        <v>28789</v>
      </c>
      <c r="CB25">
        <v>28789</v>
      </c>
      <c r="CC25" s="2"/>
      <c r="CD25" s="2"/>
      <c r="CE25" s="2"/>
      <c r="CF25" s="2"/>
      <c r="CG25" s="2"/>
      <c r="CH25" s="2"/>
      <c r="CI25" s="2"/>
      <c r="CJ25" s="2"/>
    </row>
    <row r="26" spans="3:88" x14ac:dyDescent="0.2">
      <c r="C26" t="s">
        <v>10</v>
      </c>
      <c r="D26" s="2">
        <v>4424</v>
      </c>
      <c r="E26" s="2">
        <v>2044</v>
      </c>
      <c r="F26" s="2">
        <v>3777</v>
      </c>
      <c r="G26" s="2">
        <v>3588</v>
      </c>
      <c r="H26" s="2">
        <v>4177</v>
      </c>
      <c r="I26" s="2">
        <v>2713</v>
      </c>
      <c r="J26" s="2">
        <v>2321</v>
      </c>
      <c r="K26" s="2"/>
      <c r="L26" s="2">
        <v>23044</v>
      </c>
      <c r="N26" t="s">
        <v>10</v>
      </c>
      <c r="O26" s="2">
        <v>4920</v>
      </c>
      <c r="P26" s="2">
        <v>2291</v>
      </c>
      <c r="Q26" s="2">
        <v>4250</v>
      </c>
      <c r="R26" s="2">
        <v>4023</v>
      </c>
      <c r="S26" s="2">
        <v>4620</v>
      </c>
      <c r="T26" s="2">
        <v>3093</v>
      </c>
      <c r="U26" s="2">
        <v>3691</v>
      </c>
      <c r="V26" s="2"/>
      <c r="W26" s="2">
        <v>26888</v>
      </c>
      <c r="Y26" t="s">
        <v>10</v>
      </c>
      <c r="Z26" s="2">
        <v>4556</v>
      </c>
      <c r="AA26" s="2">
        <v>2017</v>
      </c>
      <c r="AB26" s="2">
        <v>3745</v>
      </c>
      <c r="AC26" s="2">
        <v>3655</v>
      </c>
      <c r="AD26" s="2">
        <v>4363</v>
      </c>
      <c r="AE26" s="2">
        <v>2924</v>
      </c>
      <c r="AF26" s="2">
        <v>3944</v>
      </c>
      <c r="AG26" s="2">
        <v>573</v>
      </c>
      <c r="AH26" s="2">
        <v>25777</v>
      </c>
      <c r="AJ26" t="s">
        <v>10</v>
      </c>
      <c r="AK26" s="2">
        <v>4820</v>
      </c>
      <c r="AL26" s="2">
        <v>2205</v>
      </c>
      <c r="AM26" s="2">
        <v>4116</v>
      </c>
      <c r="AN26" s="2">
        <v>3922</v>
      </c>
      <c r="AO26" s="2">
        <v>4586</v>
      </c>
      <c r="AP26" s="2">
        <v>3107</v>
      </c>
      <c r="AQ26" s="2">
        <v>4450</v>
      </c>
      <c r="AR26" s="2">
        <v>1471</v>
      </c>
      <c r="AS26" s="2">
        <v>28677</v>
      </c>
      <c r="AU26" t="s">
        <v>10</v>
      </c>
      <c r="AV26" s="2">
        <v>4248</v>
      </c>
      <c r="AW26" s="2">
        <v>1912</v>
      </c>
      <c r="AX26" s="2">
        <v>3549</v>
      </c>
      <c r="AY26" s="2">
        <v>3531</v>
      </c>
      <c r="AZ26" s="2">
        <v>4622</v>
      </c>
      <c r="BA26" s="2">
        <v>2824</v>
      </c>
      <c r="BB26" s="2">
        <v>3728</v>
      </c>
      <c r="BC26" s="2">
        <v>2210</v>
      </c>
      <c r="BD26" s="2">
        <v>26624</v>
      </c>
      <c r="BF26" t="s">
        <v>10</v>
      </c>
      <c r="BG26" s="2">
        <v>3575</v>
      </c>
      <c r="BH26" s="2">
        <v>1656</v>
      </c>
      <c r="BI26" s="2">
        <v>3105</v>
      </c>
      <c r="BJ26" s="2">
        <v>3057</v>
      </c>
      <c r="BK26" s="2">
        <v>4050</v>
      </c>
      <c r="BL26" s="2">
        <v>2471</v>
      </c>
      <c r="BM26" s="2">
        <v>3268</v>
      </c>
      <c r="BN26" s="2">
        <v>2840</v>
      </c>
      <c r="BO26" s="2">
        <v>24022</v>
      </c>
      <c r="BQ26" t="s">
        <v>10</v>
      </c>
      <c r="BR26" s="2">
        <v>3903</v>
      </c>
      <c r="BS26" s="2">
        <v>1806</v>
      </c>
      <c r="BT26" s="2">
        <v>3534</v>
      </c>
      <c r="BU26" s="2">
        <v>3345</v>
      </c>
      <c r="BV26" s="2">
        <v>4275</v>
      </c>
      <c r="BW26" s="2">
        <v>2739</v>
      </c>
      <c r="BX26" s="2">
        <v>3506</v>
      </c>
      <c r="BY26" s="2">
        <v>3802</v>
      </c>
      <c r="BZ26" s="2">
        <v>26910</v>
      </c>
      <c r="CB26">
        <v>26910</v>
      </c>
      <c r="CC26" s="2"/>
      <c r="CD26" s="2"/>
      <c r="CE26" s="2"/>
      <c r="CF26" s="2"/>
      <c r="CG26" s="2"/>
      <c r="CH26" s="2"/>
      <c r="CI26" s="2"/>
      <c r="CJ26" s="2"/>
    </row>
    <row r="27" spans="3:88" x14ac:dyDescent="0.2">
      <c r="C27" t="s">
        <v>11</v>
      </c>
      <c r="D27" s="2">
        <v>25</v>
      </c>
      <c r="E27" s="2">
        <v>6</v>
      </c>
      <c r="F27" s="2">
        <v>8</v>
      </c>
      <c r="G27" s="2">
        <v>14</v>
      </c>
      <c r="H27" s="2">
        <v>33</v>
      </c>
      <c r="I27" s="2">
        <v>32</v>
      </c>
      <c r="J27" s="2">
        <v>97</v>
      </c>
      <c r="K27" s="2"/>
      <c r="L27" s="2">
        <v>215</v>
      </c>
      <c r="N27" t="s">
        <v>11</v>
      </c>
      <c r="O27" s="2">
        <v>314</v>
      </c>
      <c r="P27" s="2">
        <v>124</v>
      </c>
      <c r="Q27" s="2">
        <v>127</v>
      </c>
      <c r="R27" s="2">
        <v>207</v>
      </c>
      <c r="S27" s="2">
        <v>474</v>
      </c>
      <c r="T27" s="2">
        <v>504</v>
      </c>
      <c r="U27" s="2">
        <v>430</v>
      </c>
      <c r="V27" s="2"/>
      <c r="W27" s="2">
        <v>2180</v>
      </c>
      <c r="Y27" t="s">
        <v>11</v>
      </c>
      <c r="Z27" s="2">
        <v>299</v>
      </c>
      <c r="AA27" s="2">
        <v>103</v>
      </c>
      <c r="AB27" s="2">
        <v>138</v>
      </c>
      <c r="AC27" s="2">
        <v>187</v>
      </c>
      <c r="AD27" s="2">
        <v>503</v>
      </c>
      <c r="AE27" s="2">
        <v>547</v>
      </c>
      <c r="AF27" s="2">
        <v>493</v>
      </c>
      <c r="AG27" s="2">
        <v>82</v>
      </c>
      <c r="AH27" s="2">
        <v>2352</v>
      </c>
      <c r="AJ27" t="s">
        <v>11</v>
      </c>
      <c r="AK27" s="2">
        <v>396</v>
      </c>
      <c r="AL27" s="2">
        <v>132</v>
      </c>
      <c r="AM27" s="2">
        <v>152</v>
      </c>
      <c r="AN27" s="2">
        <v>190</v>
      </c>
      <c r="AO27" s="2">
        <v>492</v>
      </c>
      <c r="AP27" s="2">
        <v>531</v>
      </c>
      <c r="AQ27" s="2">
        <v>472</v>
      </c>
      <c r="AR27" s="2">
        <v>173</v>
      </c>
      <c r="AS27" s="2">
        <v>2538</v>
      </c>
      <c r="AU27" t="s">
        <v>11</v>
      </c>
      <c r="AV27" s="2">
        <v>295</v>
      </c>
      <c r="AW27" s="2">
        <v>95</v>
      </c>
      <c r="AX27" s="2">
        <v>109</v>
      </c>
      <c r="AY27" s="2">
        <v>142</v>
      </c>
      <c r="AZ27" s="2">
        <v>403</v>
      </c>
      <c r="BA27" s="2">
        <v>453</v>
      </c>
      <c r="BB27" s="2">
        <v>357</v>
      </c>
      <c r="BC27" s="2">
        <v>233</v>
      </c>
      <c r="BD27" s="2">
        <v>2087</v>
      </c>
      <c r="BF27" t="s">
        <v>11</v>
      </c>
      <c r="BG27" s="2">
        <v>271</v>
      </c>
      <c r="BH27" s="2">
        <v>79</v>
      </c>
      <c r="BI27" s="2">
        <v>93</v>
      </c>
      <c r="BJ27" s="2">
        <v>112</v>
      </c>
      <c r="BK27" s="2">
        <v>353</v>
      </c>
      <c r="BL27" s="2">
        <v>372</v>
      </c>
      <c r="BM27" s="2">
        <v>290</v>
      </c>
      <c r="BN27" s="2">
        <v>288</v>
      </c>
      <c r="BO27" s="2">
        <v>1858</v>
      </c>
      <c r="BQ27" t="s">
        <v>11</v>
      </c>
      <c r="BR27" s="2">
        <v>358</v>
      </c>
      <c r="BS27" s="2">
        <v>108</v>
      </c>
      <c r="BT27" s="2">
        <v>128</v>
      </c>
      <c r="BU27" s="2">
        <v>156</v>
      </c>
      <c r="BV27" s="2">
        <v>393</v>
      </c>
      <c r="BW27" s="2">
        <v>431</v>
      </c>
      <c r="BX27" s="2">
        <v>343</v>
      </c>
      <c r="BY27" s="2">
        <v>440</v>
      </c>
      <c r="BZ27" s="2">
        <v>2357</v>
      </c>
      <c r="CB27">
        <v>2357</v>
      </c>
      <c r="CC27" s="2"/>
      <c r="CD27" s="2"/>
      <c r="CE27" s="2"/>
      <c r="CF27" s="2"/>
      <c r="CG27" s="2"/>
      <c r="CH27" s="2"/>
      <c r="CI27" s="2"/>
      <c r="CJ27" s="2"/>
    </row>
    <row r="28" spans="3:88" x14ac:dyDescent="0.2">
      <c r="C28" t="s">
        <v>12</v>
      </c>
      <c r="D28" s="2">
        <v>94</v>
      </c>
      <c r="E28" s="2">
        <v>27</v>
      </c>
      <c r="F28" s="2">
        <v>25</v>
      </c>
      <c r="G28" s="2">
        <v>52</v>
      </c>
      <c r="H28" s="2">
        <v>114</v>
      </c>
      <c r="I28" s="2">
        <v>65</v>
      </c>
      <c r="J28" s="2">
        <v>112</v>
      </c>
      <c r="K28" s="2"/>
      <c r="L28" s="2">
        <v>489</v>
      </c>
      <c r="N28" t="s">
        <v>12</v>
      </c>
      <c r="O28" s="2">
        <v>1243</v>
      </c>
      <c r="P28" s="2">
        <v>335</v>
      </c>
      <c r="Q28" s="2">
        <v>452</v>
      </c>
      <c r="R28" s="2">
        <v>895</v>
      </c>
      <c r="S28" s="2">
        <v>1469</v>
      </c>
      <c r="T28" s="2">
        <v>1207</v>
      </c>
      <c r="U28" s="2">
        <v>481</v>
      </c>
      <c r="V28" s="2"/>
      <c r="W28" s="2">
        <v>6082</v>
      </c>
      <c r="Y28" t="s">
        <v>12</v>
      </c>
      <c r="Z28" s="2">
        <v>1384</v>
      </c>
      <c r="AA28" s="2">
        <v>388</v>
      </c>
      <c r="AB28" s="2">
        <v>492</v>
      </c>
      <c r="AC28" s="2">
        <v>1033</v>
      </c>
      <c r="AD28" s="2">
        <v>1723</v>
      </c>
      <c r="AE28" s="2">
        <v>1321</v>
      </c>
      <c r="AF28" s="2">
        <v>598</v>
      </c>
      <c r="AG28" s="2">
        <v>61</v>
      </c>
      <c r="AH28" s="2">
        <v>7000</v>
      </c>
      <c r="AJ28" t="s">
        <v>12</v>
      </c>
      <c r="AK28" s="2">
        <v>1719</v>
      </c>
      <c r="AL28" s="2">
        <v>507</v>
      </c>
      <c r="AM28" s="2">
        <v>667</v>
      </c>
      <c r="AN28" s="2">
        <v>1269</v>
      </c>
      <c r="AO28" s="2">
        <v>2124</v>
      </c>
      <c r="AP28" s="2">
        <v>1577</v>
      </c>
      <c r="AQ28" s="2">
        <v>942</v>
      </c>
      <c r="AR28" s="2">
        <v>290</v>
      </c>
      <c r="AS28" s="2">
        <v>9095</v>
      </c>
      <c r="AU28" t="s">
        <v>12</v>
      </c>
      <c r="AV28" s="2">
        <v>1592</v>
      </c>
      <c r="AW28" s="2">
        <v>403</v>
      </c>
      <c r="AX28" s="2">
        <v>527</v>
      </c>
      <c r="AY28" s="2">
        <v>1080</v>
      </c>
      <c r="AZ28" s="2">
        <v>2265</v>
      </c>
      <c r="BA28" s="2">
        <v>1530</v>
      </c>
      <c r="BB28" s="2">
        <v>806</v>
      </c>
      <c r="BC28" s="2">
        <v>448</v>
      </c>
      <c r="BD28" s="2">
        <v>8651</v>
      </c>
      <c r="BF28" t="s">
        <v>12</v>
      </c>
      <c r="BG28" s="2">
        <v>1446</v>
      </c>
      <c r="BH28" s="2">
        <v>360</v>
      </c>
      <c r="BI28" s="2">
        <v>461</v>
      </c>
      <c r="BJ28" s="2">
        <v>1017</v>
      </c>
      <c r="BK28" s="2">
        <v>2059</v>
      </c>
      <c r="BL28" s="2">
        <v>1410</v>
      </c>
      <c r="BM28" s="2">
        <v>797</v>
      </c>
      <c r="BN28" s="2">
        <v>572</v>
      </c>
      <c r="BO28" s="2">
        <v>8122</v>
      </c>
      <c r="BQ28" t="s">
        <v>12</v>
      </c>
      <c r="BR28" s="2">
        <v>1655</v>
      </c>
      <c r="BS28" s="2">
        <v>419</v>
      </c>
      <c r="BT28" s="2">
        <v>560</v>
      </c>
      <c r="BU28" s="2">
        <v>1138</v>
      </c>
      <c r="BV28" s="2">
        <v>2286</v>
      </c>
      <c r="BW28" s="2">
        <v>1611</v>
      </c>
      <c r="BX28" s="2">
        <v>859</v>
      </c>
      <c r="BY28" s="2">
        <v>832</v>
      </c>
      <c r="BZ28" s="2">
        <v>9360</v>
      </c>
      <c r="CB28">
        <v>9360</v>
      </c>
      <c r="CC28" s="2"/>
      <c r="CD28" s="2"/>
      <c r="CE28" s="2"/>
      <c r="CF28" s="2"/>
      <c r="CG28" s="2"/>
      <c r="CH28" s="2"/>
      <c r="CI28" s="2"/>
      <c r="CJ28" s="2"/>
    </row>
    <row r="29" spans="3:88" x14ac:dyDescent="0.2">
      <c r="C29" t="s">
        <v>13</v>
      </c>
      <c r="D29" s="2">
        <v>11</v>
      </c>
      <c r="E29" s="2">
        <v>5</v>
      </c>
      <c r="F29" s="2">
        <v>42</v>
      </c>
      <c r="G29" s="2">
        <v>275</v>
      </c>
      <c r="H29" s="2">
        <v>877</v>
      </c>
      <c r="I29" s="2">
        <v>517</v>
      </c>
      <c r="J29" s="2">
        <v>309</v>
      </c>
      <c r="K29" s="2"/>
      <c r="L29" s="2">
        <v>2036</v>
      </c>
      <c r="N29" t="s">
        <v>13</v>
      </c>
      <c r="O29" s="2">
        <v>15</v>
      </c>
      <c r="P29" s="2">
        <v>7</v>
      </c>
      <c r="Q29" s="2">
        <v>40</v>
      </c>
      <c r="R29" s="2">
        <v>240</v>
      </c>
      <c r="S29" s="2">
        <v>819</v>
      </c>
      <c r="T29" s="2">
        <v>542</v>
      </c>
      <c r="U29" s="2">
        <v>454</v>
      </c>
      <c r="V29" s="2"/>
      <c r="W29" s="2">
        <v>2119</v>
      </c>
      <c r="Y29" t="s">
        <v>13</v>
      </c>
      <c r="Z29" s="2">
        <v>21</v>
      </c>
      <c r="AA29" s="2">
        <v>11</v>
      </c>
      <c r="AB29" s="2">
        <v>40</v>
      </c>
      <c r="AC29" s="2">
        <v>234</v>
      </c>
      <c r="AD29" s="2">
        <v>780</v>
      </c>
      <c r="AE29" s="2">
        <v>519</v>
      </c>
      <c r="AF29" s="2">
        <v>535</v>
      </c>
      <c r="AG29" s="2">
        <v>49</v>
      </c>
      <c r="AH29" s="2">
        <v>2189</v>
      </c>
      <c r="AJ29" t="s">
        <v>13</v>
      </c>
      <c r="AK29" s="2">
        <v>17</v>
      </c>
      <c r="AL29" s="2">
        <v>7</v>
      </c>
      <c r="AM29" s="2">
        <v>34</v>
      </c>
      <c r="AN29" s="2">
        <v>218</v>
      </c>
      <c r="AO29" s="2">
        <v>747</v>
      </c>
      <c r="AP29" s="2">
        <v>491</v>
      </c>
      <c r="AQ29" s="2">
        <v>529</v>
      </c>
      <c r="AR29" s="2">
        <v>117</v>
      </c>
      <c r="AS29" s="2">
        <v>2160</v>
      </c>
      <c r="AU29" t="s">
        <v>13</v>
      </c>
      <c r="AV29" s="2">
        <v>16</v>
      </c>
      <c r="AW29" s="2">
        <v>9</v>
      </c>
      <c r="AX29" s="2">
        <v>19</v>
      </c>
      <c r="AY29" s="2">
        <v>144</v>
      </c>
      <c r="AZ29" s="2">
        <v>546</v>
      </c>
      <c r="BA29" s="2">
        <v>402</v>
      </c>
      <c r="BB29" s="2">
        <v>478</v>
      </c>
      <c r="BC29" s="2">
        <v>304</v>
      </c>
      <c r="BD29" s="2">
        <v>1918</v>
      </c>
      <c r="BF29" t="s">
        <v>13</v>
      </c>
      <c r="BG29" s="2">
        <v>18</v>
      </c>
      <c r="BH29" s="2">
        <v>7</v>
      </c>
      <c r="BI29" s="2">
        <v>13</v>
      </c>
      <c r="BJ29" s="2">
        <v>115</v>
      </c>
      <c r="BK29" s="2">
        <v>482</v>
      </c>
      <c r="BL29" s="2">
        <v>395</v>
      </c>
      <c r="BM29" s="2">
        <v>480</v>
      </c>
      <c r="BN29" s="2">
        <v>288</v>
      </c>
      <c r="BO29" s="2">
        <v>1798</v>
      </c>
      <c r="BQ29" t="s">
        <v>13</v>
      </c>
      <c r="BR29" s="2">
        <v>17</v>
      </c>
      <c r="BS29" s="2">
        <v>13</v>
      </c>
      <c r="BT29" s="2">
        <v>18</v>
      </c>
      <c r="BU29" s="2">
        <v>127</v>
      </c>
      <c r="BV29" s="2">
        <v>483</v>
      </c>
      <c r="BW29" s="2">
        <v>399</v>
      </c>
      <c r="BX29" s="2">
        <v>498</v>
      </c>
      <c r="BY29" s="2">
        <v>324</v>
      </c>
      <c r="BZ29" s="2">
        <v>1879</v>
      </c>
      <c r="CB29">
        <v>1879</v>
      </c>
    </row>
    <row r="30" spans="3:88" x14ac:dyDescent="0.2">
      <c r="C30" t="s">
        <v>14</v>
      </c>
      <c r="D30" s="2">
        <v>4554</v>
      </c>
      <c r="E30" s="2">
        <v>2082</v>
      </c>
      <c r="F30" s="2">
        <v>3852</v>
      </c>
      <c r="G30" s="2">
        <v>3930</v>
      </c>
      <c r="H30" s="2">
        <v>5201</v>
      </c>
      <c r="I30" s="2">
        <v>3327</v>
      </c>
      <c r="J30" s="2">
        <v>2839</v>
      </c>
      <c r="K30" s="2"/>
      <c r="L30" s="2">
        <v>25785</v>
      </c>
      <c r="N30" t="s">
        <v>14</v>
      </c>
      <c r="O30" s="2">
        <v>6492</v>
      </c>
      <c r="P30" s="2">
        <v>2757</v>
      </c>
      <c r="Q30" s="2">
        <v>4870</v>
      </c>
      <c r="R30" s="2">
        <v>5365</v>
      </c>
      <c r="S30" s="2">
        <v>7383</v>
      </c>
      <c r="T30" s="2">
        <v>5347</v>
      </c>
      <c r="U30" s="2">
        <v>5056</v>
      </c>
      <c r="V30" s="2"/>
      <c r="W30" s="2">
        <v>37272</v>
      </c>
      <c r="Y30" t="s">
        <v>14</v>
      </c>
      <c r="Z30" s="2">
        <v>6260</v>
      </c>
      <c r="AA30" s="2">
        <v>2519</v>
      </c>
      <c r="AB30" s="2">
        <v>4415</v>
      </c>
      <c r="AC30" s="2">
        <v>5109</v>
      </c>
      <c r="AD30" s="2">
        <v>7369</v>
      </c>
      <c r="AE30" s="2">
        <v>5311</v>
      </c>
      <c r="AF30" s="2">
        <v>5570</v>
      </c>
      <c r="AG30" s="2">
        <v>765</v>
      </c>
      <c r="AH30" s="2">
        <v>37318</v>
      </c>
      <c r="AJ30" t="s">
        <v>14</v>
      </c>
      <c r="AK30" s="2">
        <v>6952</v>
      </c>
      <c r="AL30" s="2">
        <v>2851</v>
      </c>
      <c r="AM30" s="2">
        <v>4969</v>
      </c>
      <c r="AN30" s="2">
        <v>5599</v>
      </c>
      <c r="AO30" s="2">
        <v>7949</v>
      </c>
      <c r="AP30" s="2">
        <v>5706</v>
      </c>
      <c r="AQ30" s="2">
        <v>6393</v>
      </c>
      <c r="AR30" s="2">
        <v>2051</v>
      </c>
      <c r="AS30" s="2">
        <v>42470</v>
      </c>
      <c r="AU30" t="s">
        <v>14</v>
      </c>
      <c r="AV30" s="2">
        <v>6151</v>
      </c>
      <c r="AW30" s="2">
        <v>2419</v>
      </c>
      <c r="AX30" s="2">
        <v>4204</v>
      </c>
      <c r="AY30" s="2">
        <v>4897</v>
      </c>
      <c r="AZ30" s="2">
        <v>7836</v>
      </c>
      <c r="BA30" s="2">
        <v>5209</v>
      </c>
      <c r="BB30" s="2">
        <v>5369</v>
      </c>
      <c r="BC30" s="2">
        <v>3195</v>
      </c>
      <c r="BD30" s="2">
        <v>39280</v>
      </c>
      <c r="BF30" t="s">
        <v>14</v>
      </c>
      <c r="BG30" s="2">
        <v>5310</v>
      </c>
      <c r="BH30" s="2">
        <v>2102</v>
      </c>
      <c r="BI30" s="2">
        <v>3672</v>
      </c>
      <c r="BJ30" s="2">
        <v>4301</v>
      </c>
      <c r="BK30" s="2">
        <v>6944</v>
      </c>
      <c r="BL30" s="2">
        <v>4648</v>
      </c>
      <c r="BM30" s="2">
        <v>4835</v>
      </c>
      <c r="BN30" s="2">
        <v>3988</v>
      </c>
      <c r="BO30" s="2">
        <v>35800</v>
      </c>
      <c r="BQ30" t="s">
        <v>14</v>
      </c>
      <c r="BR30" s="2">
        <v>5933</v>
      </c>
      <c r="BS30" s="2">
        <v>2346</v>
      </c>
      <c r="BT30" s="2">
        <v>4240</v>
      </c>
      <c r="BU30" s="2">
        <v>4766</v>
      </c>
      <c r="BV30" s="2">
        <v>7437</v>
      </c>
      <c r="BW30" s="2">
        <v>5180</v>
      </c>
      <c r="BX30" s="2">
        <v>5206</v>
      </c>
      <c r="BY30" s="2">
        <v>5398</v>
      </c>
      <c r="BZ30" s="2">
        <v>40506</v>
      </c>
      <c r="CB30">
        <v>40506</v>
      </c>
      <c r="CC30" s="3"/>
    </row>
    <row r="31" spans="3:88" x14ac:dyDescent="0.2">
      <c r="BG31" t="s">
        <v>26</v>
      </c>
      <c r="BH31" t="s">
        <v>26</v>
      </c>
      <c r="BI31" t="s">
        <v>26</v>
      </c>
      <c r="BJ31" t="s">
        <v>26</v>
      </c>
      <c r="BK31" t="s">
        <v>26</v>
      </c>
    </row>
    <row r="32" spans="3:88" x14ac:dyDescent="0.2">
      <c r="C32" t="s">
        <v>17</v>
      </c>
      <c r="E32" s="3">
        <v>155.31503711616642</v>
      </c>
      <c r="G32" s="4"/>
      <c r="H32" s="5">
        <v>155.52714796107415</v>
      </c>
      <c r="I32" s="5"/>
      <c r="N32" t="s">
        <v>17</v>
      </c>
      <c r="P32" s="3">
        <v>176.19479111567</v>
      </c>
      <c r="R32" s="4"/>
      <c r="S32" s="5">
        <v>176.70580014707232</v>
      </c>
      <c r="T32" s="5"/>
      <c r="U32">
        <v>1.0424106047831494</v>
      </c>
      <c r="Y32" t="s">
        <v>17</v>
      </c>
      <c r="AA32" s="3">
        <v>183.55256114262977</v>
      </c>
      <c r="AC32" s="4"/>
      <c r="AD32" s="5">
        <v>184.15473261540313</v>
      </c>
      <c r="AE32" s="5"/>
      <c r="AJ32" t="s">
        <v>17</v>
      </c>
      <c r="AL32" s="3">
        <v>168.26491458442374</v>
      </c>
      <c r="AN32" s="4"/>
      <c r="AO32" s="5"/>
      <c r="AP32" s="5"/>
      <c r="AQ32">
        <v>137.37668680379019</v>
      </c>
      <c r="AU32" t="s">
        <v>17</v>
      </c>
      <c r="AW32" s="3">
        <v>170.82122159034682</v>
      </c>
      <c r="AY32" s="4"/>
      <c r="AZ32" s="5"/>
      <c r="BB32">
        <v>139.82140029918253</v>
      </c>
      <c r="BF32" t="s">
        <v>17</v>
      </c>
      <c r="BH32" s="3">
        <v>205.02638777257454</v>
      </c>
      <c r="BJ32" s="4"/>
      <c r="BK32" s="5">
        <v>200.34860682003577</v>
      </c>
      <c r="BQ32" t="s">
        <v>17</v>
      </c>
      <c r="BS32" s="3">
        <v>209.98551896804511</v>
      </c>
      <c r="BU32" s="4"/>
      <c r="BV32" s="5">
        <v>210.41965426574845</v>
      </c>
      <c r="BW32" s="5"/>
    </row>
    <row r="33" spans="3:91" x14ac:dyDescent="0.2">
      <c r="AV33" t="s">
        <v>26</v>
      </c>
      <c r="AW33" t="s">
        <v>26</v>
      </c>
      <c r="AX33" t="s">
        <v>26</v>
      </c>
      <c r="AY33" t="s">
        <v>26</v>
      </c>
      <c r="AZ33" t="s">
        <v>26</v>
      </c>
      <c r="BK33" t="s">
        <v>26</v>
      </c>
      <c r="BP33" s="1"/>
    </row>
    <row r="34" spans="3:91" x14ac:dyDescent="0.2">
      <c r="C34" s="1" t="s">
        <v>20</v>
      </c>
      <c r="N34" s="1" t="s">
        <v>20</v>
      </c>
      <c r="Y34" s="1" t="s">
        <v>20</v>
      </c>
      <c r="AJ34" s="1" t="s">
        <v>20</v>
      </c>
      <c r="AV34" t="s">
        <v>26</v>
      </c>
      <c r="AW34" t="s">
        <v>26</v>
      </c>
      <c r="AX34" t="s">
        <v>26</v>
      </c>
      <c r="AY34" t="s">
        <v>26</v>
      </c>
      <c r="AZ34" t="s">
        <v>26</v>
      </c>
      <c r="BK34" t="s">
        <v>26</v>
      </c>
      <c r="BQ34" s="1" t="s">
        <v>20</v>
      </c>
      <c r="CE34" t="s">
        <v>27</v>
      </c>
      <c r="CG34" t="s">
        <v>20</v>
      </c>
    </row>
    <row r="35" spans="3:91" x14ac:dyDescent="0.2">
      <c r="D35" t="s">
        <v>0</v>
      </c>
      <c r="E35" t="s">
        <v>1</v>
      </c>
      <c r="F35" t="s">
        <v>2</v>
      </c>
      <c r="G35" t="s">
        <v>3</v>
      </c>
      <c r="H35" t="s">
        <v>4</v>
      </c>
      <c r="I35" t="s">
        <v>5</v>
      </c>
      <c r="J35" t="s">
        <v>6</v>
      </c>
      <c r="K35" t="s">
        <v>7</v>
      </c>
      <c r="O35" t="s">
        <v>0</v>
      </c>
      <c r="P35" t="s">
        <v>1</v>
      </c>
      <c r="Q35" t="s">
        <v>2</v>
      </c>
      <c r="R35" t="s">
        <v>3</v>
      </c>
      <c r="S35" t="s">
        <v>4</v>
      </c>
      <c r="T35" t="s">
        <v>5</v>
      </c>
      <c r="U35" t="s">
        <v>6</v>
      </c>
      <c r="V35" t="s">
        <v>7</v>
      </c>
      <c r="Z35" t="s">
        <v>0</v>
      </c>
      <c r="AA35" t="s">
        <v>1</v>
      </c>
      <c r="AB35" t="s">
        <v>2</v>
      </c>
      <c r="AC35" t="s">
        <v>3</v>
      </c>
      <c r="AD35" t="s">
        <v>4</v>
      </c>
      <c r="AE35" t="s">
        <v>5</v>
      </c>
      <c r="AF35" t="s">
        <v>6</v>
      </c>
      <c r="AG35" t="s">
        <v>7</v>
      </c>
      <c r="AK35" t="s">
        <v>0</v>
      </c>
      <c r="AL35" t="s">
        <v>1</v>
      </c>
      <c r="AM35" t="s">
        <v>2</v>
      </c>
      <c r="AN35" t="s">
        <v>3</v>
      </c>
      <c r="AO35" t="s">
        <v>4</v>
      </c>
      <c r="AP35" t="s">
        <v>5</v>
      </c>
      <c r="AQ35" t="s">
        <v>6</v>
      </c>
      <c r="AR35" t="s">
        <v>7</v>
      </c>
      <c r="AV35" t="s">
        <v>26</v>
      </c>
      <c r="AW35" t="s">
        <v>26</v>
      </c>
      <c r="AX35" t="s">
        <v>26</v>
      </c>
      <c r="AY35" t="s">
        <v>26</v>
      </c>
      <c r="AZ35" t="s">
        <v>26</v>
      </c>
      <c r="BK35" t="s">
        <v>26</v>
      </c>
      <c r="BR35" t="s">
        <v>0</v>
      </c>
      <c r="BS35" t="s">
        <v>1</v>
      </c>
      <c r="BT35" t="s">
        <v>2</v>
      </c>
      <c r="BU35" t="s">
        <v>3</v>
      </c>
      <c r="BV35" t="s">
        <v>4</v>
      </c>
      <c r="BW35" t="s">
        <v>5</v>
      </c>
      <c r="BX35" t="s">
        <v>6</v>
      </c>
      <c r="BY35" t="s">
        <v>7</v>
      </c>
      <c r="CF35" t="s">
        <v>0</v>
      </c>
      <c r="CG35" t="s">
        <v>1</v>
      </c>
      <c r="CH35" t="s">
        <v>2</v>
      </c>
      <c r="CI35" t="s">
        <v>3</v>
      </c>
      <c r="CJ35" t="s">
        <v>4</v>
      </c>
      <c r="CK35" t="s">
        <v>5</v>
      </c>
      <c r="CL35" t="s">
        <v>6</v>
      </c>
    </row>
    <row r="36" spans="3:91" x14ac:dyDescent="0.2">
      <c r="AV36" t="s">
        <v>26</v>
      </c>
      <c r="AW36" t="s">
        <v>26</v>
      </c>
      <c r="AX36" t="s">
        <v>26</v>
      </c>
      <c r="AY36" t="s">
        <v>26</v>
      </c>
      <c r="AZ36" t="s">
        <v>26</v>
      </c>
      <c r="BK36" t="s">
        <v>26</v>
      </c>
      <c r="BP36" s="1"/>
      <c r="CE36" s="11">
        <v>1997</v>
      </c>
      <c r="CF36" s="2">
        <f t="shared" ref="CF36:CL36" si="42">D47+D48</f>
        <v>3786.87273241923</v>
      </c>
      <c r="CG36" s="2">
        <f t="shared" si="42"/>
        <v>1002.4242913353402</v>
      </c>
      <c r="CH36" s="2">
        <f t="shared" si="42"/>
        <v>1946.3896333156838</v>
      </c>
      <c r="CI36" s="2">
        <f t="shared" si="42"/>
        <v>1531.2687476290018</v>
      </c>
      <c r="CJ36" s="2">
        <f t="shared" si="42"/>
        <v>1476.6582773849591</v>
      </c>
      <c r="CK36" s="2">
        <f t="shared" si="42"/>
        <v>1278.3892978621991</v>
      </c>
      <c r="CL36" s="2">
        <f t="shared" si="42"/>
        <v>802.17490612294</v>
      </c>
    </row>
    <row r="37" spans="3:91" x14ac:dyDescent="0.2">
      <c r="C37" s="1" t="s">
        <v>8</v>
      </c>
      <c r="L37" s="2"/>
      <c r="N37" s="1" t="s">
        <v>8</v>
      </c>
      <c r="W37" s="2"/>
      <c r="Y37" s="1" t="s">
        <v>8</v>
      </c>
      <c r="AH37" s="2"/>
      <c r="AJ37" s="1" t="s">
        <v>8</v>
      </c>
      <c r="AS37" s="2"/>
      <c r="AV37">
        <v>1800</v>
      </c>
      <c r="AW37" t="s">
        <v>26</v>
      </c>
      <c r="AX37" t="s">
        <v>26</v>
      </c>
      <c r="AY37" t="s">
        <v>26</v>
      </c>
      <c r="AZ37">
        <v>1800</v>
      </c>
      <c r="BG37">
        <v>1600</v>
      </c>
      <c r="BH37">
        <v>1600</v>
      </c>
      <c r="BI37" t="s">
        <v>26</v>
      </c>
      <c r="BJ37" t="s">
        <v>26</v>
      </c>
      <c r="BK37" t="s">
        <v>26</v>
      </c>
      <c r="BQ37" s="1" t="s">
        <v>8</v>
      </c>
      <c r="BZ37" s="2"/>
      <c r="CC37" s="2"/>
      <c r="CD37" s="2"/>
      <c r="CE37" s="11">
        <v>1999</v>
      </c>
      <c r="CF37" s="2">
        <f t="shared" ref="CF37:CL37" si="43">O47+O48</f>
        <v>4059.0696512611194</v>
      </c>
      <c r="CG37" s="2">
        <f t="shared" si="43"/>
        <v>1058.855917476709</v>
      </c>
      <c r="CH37" s="2">
        <f t="shared" si="43"/>
        <v>1995.0834441528034</v>
      </c>
      <c r="CI37" s="2">
        <f t="shared" si="43"/>
        <v>1595.9661420064015</v>
      </c>
      <c r="CJ37" s="2">
        <f t="shared" si="43"/>
        <v>1542.1731790027802</v>
      </c>
      <c r="CK37" s="2">
        <f t="shared" si="43"/>
        <v>1294.0171240738291</v>
      </c>
      <c r="CL37" s="2">
        <f t="shared" si="43"/>
        <v>1026.5197074223097</v>
      </c>
    </row>
    <row r="38" spans="3:91" x14ac:dyDescent="0.2">
      <c r="C38" t="s">
        <v>9</v>
      </c>
      <c r="D38" s="2">
        <v>2369.4325575287439</v>
      </c>
      <c r="E38" s="2">
        <v>2112.1265499538704</v>
      </c>
      <c r="F38" s="2">
        <v>2178.0281683743583</v>
      </c>
      <c r="G38" s="2">
        <v>2233.3198490716036</v>
      </c>
      <c r="H38" s="2">
        <v>2145.0302343397047</v>
      </c>
      <c r="I38" s="2">
        <v>2259.351796871922</v>
      </c>
      <c r="J38" s="2">
        <v>2378.2962181580206</v>
      </c>
      <c r="K38" s="2"/>
      <c r="L38" s="2">
        <v>2251.1290880680922</v>
      </c>
      <c r="N38" t="s">
        <v>9</v>
      </c>
      <c r="O38" s="2">
        <v>2435.7509655121116</v>
      </c>
      <c r="P38" s="2">
        <v>2121.7979661948916</v>
      </c>
      <c r="Q38" s="2">
        <v>2244.1347720261956</v>
      </c>
      <c r="R38" s="2">
        <v>2228.3766538640102</v>
      </c>
      <c r="S38" s="2">
        <v>2131.2228798603219</v>
      </c>
      <c r="T38" s="2">
        <v>2402.4097260593931</v>
      </c>
      <c r="U38" s="2">
        <v>2609.8193051187282</v>
      </c>
      <c r="V38" s="2"/>
      <c r="W38" s="2">
        <v>2319.5873913011374</v>
      </c>
      <c r="Y38" t="s">
        <v>9</v>
      </c>
      <c r="Z38" s="2">
        <v>2545.0037851227316</v>
      </c>
      <c r="AA38" s="2">
        <v>1994.0465074365184</v>
      </c>
      <c r="AB38" s="2">
        <v>2180.5538469843264</v>
      </c>
      <c r="AC38" s="2">
        <v>2242.0494294058849</v>
      </c>
      <c r="AD38" s="2">
        <v>2215.0862640516407</v>
      </c>
      <c r="AE38" s="2">
        <v>2409.4405142199234</v>
      </c>
      <c r="AF38" s="2">
        <v>2460.6116378851034</v>
      </c>
      <c r="AG38" s="2">
        <v>2823.5344158024245</v>
      </c>
      <c r="AH38" s="2">
        <v>2333.7622821183695</v>
      </c>
      <c r="AJ38" t="s">
        <v>9</v>
      </c>
      <c r="AK38" s="2">
        <v>2569.6710548023148</v>
      </c>
      <c r="AL38" s="2">
        <v>2104.6822447738732</v>
      </c>
      <c r="AM38" s="2">
        <v>2209.4296722004747</v>
      </c>
      <c r="AN38" s="2">
        <v>2284.5320544645274</v>
      </c>
      <c r="AO38" s="2">
        <v>2240.4876569664152</v>
      </c>
      <c r="AP38" s="2">
        <v>2378.5917837233183</v>
      </c>
      <c r="AQ38" s="2">
        <v>2517.6254356567683</v>
      </c>
      <c r="AR38" s="2">
        <v>2926.4875077432948</v>
      </c>
      <c r="AS38" s="2">
        <v>2376.4750048634455</v>
      </c>
      <c r="AV38" s="2">
        <v>2570.7507063877974</v>
      </c>
      <c r="AW38" s="2">
        <v>2182.0935286561944</v>
      </c>
      <c r="AX38" s="2">
        <v>2192.552948395064</v>
      </c>
      <c r="AY38" s="2">
        <v>2266.0323496570918</v>
      </c>
      <c r="AZ38" s="2">
        <v>2290.6971736152482</v>
      </c>
      <c r="BA38" s="2">
        <v>2485.1880838328916</v>
      </c>
      <c r="BB38" s="2">
        <v>2664.2879305209008</v>
      </c>
      <c r="BC38" s="2">
        <v>3181.3059570695495</v>
      </c>
      <c r="BD38" s="2">
        <v>2427.5281283471154</v>
      </c>
      <c r="BG38" s="2">
        <v>2570.7507063877974</v>
      </c>
      <c r="BH38" s="2">
        <v>2182.0935286561944</v>
      </c>
      <c r="BI38" s="2">
        <v>2192.552948395064</v>
      </c>
      <c r="BJ38" s="2">
        <v>2266.0323496570918</v>
      </c>
      <c r="BK38" s="2">
        <v>2290.6971736152482</v>
      </c>
      <c r="BL38" s="2">
        <v>2485.1880838328916</v>
      </c>
      <c r="BM38" s="2">
        <v>2664.2879305209008</v>
      </c>
      <c r="BN38" s="2">
        <v>3181.3059570695495</v>
      </c>
      <c r="BO38" s="2">
        <v>2427.5281283471154</v>
      </c>
      <c r="BQ38" t="s">
        <v>9</v>
      </c>
      <c r="BR38" s="2">
        <v>2385.9132374267942</v>
      </c>
      <c r="BS38" s="2">
        <v>2268.4319531984384</v>
      </c>
      <c r="BT38" s="2">
        <v>2012.4885627089611</v>
      </c>
      <c r="BU38" s="2">
        <v>2263.992852955661</v>
      </c>
      <c r="BV38" s="2">
        <v>2339.4476204827188</v>
      </c>
      <c r="BW38" s="2">
        <v>2568.2213322221096</v>
      </c>
      <c r="BX38" s="2">
        <v>2865.4960858857726</v>
      </c>
      <c r="BY38" s="2">
        <v>2698.9742859802996</v>
      </c>
      <c r="BZ38" s="2">
        <v>2380.5122669081384</v>
      </c>
      <c r="CC38" s="2"/>
      <c r="CD38" s="2"/>
      <c r="CE38" s="11">
        <v>2001</v>
      </c>
      <c r="CF38" s="2">
        <f t="shared" ref="CF38:CL38" si="44">Z47+Z48</f>
        <v>4170.6985467701788</v>
      </c>
      <c r="CG38" s="2">
        <f t="shared" si="44"/>
        <v>1105.0327297999993</v>
      </c>
      <c r="CH38" s="2">
        <f t="shared" si="44"/>
        <v>2058.7405874561714</v>
      </c>
      <c r="CI38" s="2">
        <f t="shared" si="44"/>
        <v>1614.8841818329004</v>
      </c>
      <c r="CJ38" s="2">
        <f t="shared" si="44"/>
        <v>1583.6221944732015</v>
      </c>
      <c r="CK38" s="2">
        <f t="shared" si="44"/>
        <v>1294.2490823078595</v>
      </c>
      <c r="CL38" s="2">
        <f t="shared" si="44"/>
        <v>1040.4414185974997</v>
      </c>
    </row>
    <row r="39" spans="3:91" x14ac:dyDescent="0.2">
      <c r="C39" t="s">
        <v>10</v>
      </c>
      <c r="D39" s="2">
        <v>2366.2156332944414</v>
      </c>
      <c r="E39" s="2">
        <v>2112.1265499538704</v>
      </c>
      <c r="F39" s="2">
        <v>2194.5802967418708</v>
      </c>
      <c r="G39" s="2">
        <v>2282.2564166375028</v>
      </c>
      <c r="H39" s="2">
        <v>2330.0799557280293</v>
      </c>
      <c r="I39" s="2">
        <v>2426.8178413213018</v>
      </c>
      <c r="J39" s="2">
        <v>2559.4315267824268</v>
      </c>
      <c r="K39" s="2"/>
      <c r="L39" s="2">
        <v>2313.7984992955489</v>
      </c>
      <c r="N39" t="s">
        <v>10</v>
      </c>
      <c r="O39" s="2">
        <v>2435.7509655121116</v>
      </c>
      <c r="P39" s="2">
        <v>2126.09049776661</v>
      </c>
      <c r="Q39" s="2">
        <v>2263.2732405116722</v>
      </c>
      <c r="R39" s="2">
        <v>2284.5682626391431</v>
      </c>
      <c r="S39" s="2">
        <v>2288.2602491194884</v>
      </c>
      <c r="T39" s="2">
        <v>2612.5426174835025</v>
      </c>
      <c r="U39" s="2">
        <v>2826.3681091285334</v>
      </c>
      <c r="V39" s="2"/>
      <c r="W39" s="2">
        <v>2388.5336051773975</v>
      </c>
      <c r="Y39" t="s">
        <v>10</v>
      </c>
      <c r="Z39" s="2">
        <v>2545.0037851227316</v>
      </c>
      <c r="AA39" s="2">
        <v>1997.2288850737425</v>
      </c>
      <c r="AB39" s="2">
        <v>2195.5549972577587</v>
      </c>
      <c r="AC39" s="2">
        <v>2295.8206866272012</v>
      </c>
      <c r="AD39" s="2">
        <v>2380.5715943443288</v>
      </c>
      <c r="AE39" s="2">
        <v>2602.3476688583564</v>
      </c>
      <c r="AF39" s="2">
        <v>2667.5631669985873</v>
      </c>
      <c r="AG39" s="2">
        <v>2928.3955628250505</v>
      </c>
      <c r="AH39" s="2">
        <v>2400.213827253981</v>
      </c>
      <c r="AJ39" t="s">
        <v>10</v>
      </c>
      <c r="AK39" s="2">
        <v>2569.6710548023148</v>
      </c>
      <c r="AL39" s="2">
        <v>2104.6822447738732</v>
      </c>
      <c r="AM39" s="2">
        <v>2221.9180532533319</v>
      </c>
      <c r="AN39" s="2">
        <v>2343.9462527050259</v>
      </c>
      <c r="AO39" s="2">
        <v>2387.7415600781187</v>
      </c>
      <c r="AP39" s="2">
        <v>2556.3181767235387</v>
      </c>
      <c r="AQ39" s="2">
        <v>2712.6498017193148</v>
      </c>
      <c r="AR39" s="2">
        <v>3114.5533075572225</v>
      </c>
      <c r="AS39" s="2">
        <v>2441.3786678710876</v>
      </c>
      <c r="AV39" s="2">
        <v>2572.8708919484516</v>
      </c>
      <c r="AW39" s="2">
        <v>2182.0935286561944</v>
      </c>
      <c r="AX39" s="2">
        <v>2202.7197023190997</v>
      </c>
      <c r="AY39" s="2">
        <v>2295.8486165765621</v>
      </c>
      <c r="AZ39" s="2">
        <v>2370.7239405299338</v>
      </c>
      <c r="BA39" s="2">
        <v>2632.4541807165419</v>
      </c>
      <c r="BB39" s="2">
        <v>2782.1959814530569</v>
      </c>
      <c r="BC39" s="2">
        <v>3370.3998355281865</v>
      </c>
      <c r="BD39" s="2">
        <v>2471.0333449329528</v>
      </c>
      <c r="BG39" s="2">
        <v>2572.8708919484516</v>
      </c>
      <c r="BH39" s="2">
        <v>2182.0935286561944</v>
      </c>
      <c r="BI39" s="2">
        <v>2202.7197023190997</v>
      </c>
      <c r="BJ39" s="2">
        <v>2295.8486165765621</v>
      </c>
      <c r="BK39" s="2">
        <v>2370.7239405299338</v>
      </c>
      <c r="BL39" s="2">
        <v>2632.4541807165419</v>
      </c>
      <c r="BM39" s="2">
        <v>2782.1959814530569</v>
      </c>
      <c r="BN39" s="2">
        <v>3370.3998355281865</v>
      </c>
      <c r="BO39" s="2">
        <v>2471.0333449329528</v>
      </c>
      <c r="BQ39" t="s">
        <v>10</v>
      </c>
      <c r="BR39" s="2">
        <v>2388.3338176518932</v>
      </c>
      <c r="BS39" s="2">
        <v>2268.4319531984384</v>
      </c>
      <c r="BT39" s="2">
        <v>2018.413702851595</v>
      </c>
      <c r="BU39" s="2">
        <v>2314.9466836821189</v>
      </c>
      <c r="BV39" s="2">
        <v>2430.9705942646688</v>
      </c>
      <c r="BW39" s="2">
        <v>2696.3738498427006</v>
      </c>
      <c r="BX39" s="2">
        <v>3015.8776799327638</v>
      </c>
      <c r="BY39" s="2">
        <v>2909.8432611136323</v>
      </c>
      <c r="BZ39" s="2">
        <v>2427.6450488971718</v>
      </c>
      <c r="CC39" s="2"/>
      <c r="CD39" s="2"/>
      <c r="CE39" s="11">
        <v>2003</v>
      </c>
      <c r="CF39" s="2">
        <f t="shared" ref="CF39:CL39" si="45">+AK47+AK48</f>
        <v>3952.0801250583518</v>
      </c>
      <c r="CG39" s="2">
        <f t="shared" si="45"/>
        <v>1050.1968396302289</v>
      </c>
      <c r="CH39" s="2">
        <f t="shared" si="45"/>
        <v>2007.868930397442</v>
      </c>
      <c r="CI39" s="2">
        <f t="shared" si="45"/>
        <v>1541.817621832912</v>
      </c>
      <c r="CJ39" s="2">
        <f t="shared" si="45"/>
        <v>1631.7741238111209</v>
      </c>
      <c r="CK39" s="2">
        <f t="shared" si="45"/>
        <v>1258.7987117941766</v>
      </c>
      <c r="CL39" s="2">
        <f t="shared" si="45"/>
        <v>1019.3699046644313</v>
      </c>
    </row>
    <row r="40" spans="3:91" x14ac:dyDescent="0.2">
      <c r="C40" t="s">
        <v>11</v>
      </c>
      <c r="D40" s="2">
        <v>569.66612943971893</v>
      </c>
      <c r="E40" s="2">
        <v>1000</v>
      </c>
      <c r="F40" s="2">
        <v>1652.6839744023978</v>
      </c>
      <c r="G40" s="2">
        <v>1044.0925214760912</v>
      </c>
      <c r="H40" s="2">
        <v>1086.1157134393454</v>
      </c>
      <c r="I40" s="2">
        <v>1036.7341753399519</v>
      </c>
      <c r="J40" s="2">
        <v>1963.859675601703</v>
      </c>
      <c r="K40" s="2"/>
      <c r="L40" s="2">
        <v>1403.206735468015</v>
      </c>
      <c r="N40" t="s">
        <v>11</v>
      </c>
      <c r="O40" s="2">
        <v>1921.7670081651272</v>
      </c>
      <c r="P40" s="2">
        <v>2052.680884835378</v>
      </c>
      <c r="Q40" s="2">
        <v>2194.2044939276047</v>
      </c>
      <c r="R40" s="2">
        <v>1905.4109552276498</v>
      </c>
      <c r="S40" s="2">
        <v>1342.4423475239992</v>
      </c>
      <c r="T40" s="2">
        <v>2026.6614813336591</v>
      </c>
      <c r="U40" s="2">
        <v>1944.7026530374189</v>
      </c>
      <c r="V40" s="2"/>
      <c r="W40" s="2">
        <v>1899.2893925318444</v>
      </c>
      <c r="Y40" t="s">
        <v>11</v>
      </c>
      <c r="Z40" s="2">
        <v>1860.0931002167501</v>
      </c>
      <c r="AA40" s="2">
        <v>2491.8182200312103</v>
      </c>
      <c r="AB40" s="2">
        <v>2388.9293841524432</v>
      </c>
      <c r="AC40" s="2">
        <v>1787.2633473440887</v>
      </c>
      <c r="AD40" s="2">
        <v>1330.5675720615639</v>
      </c>
      <c r="AE40" s="2">
        <v>1766.4491308992499</v>
      </c>
      <c r="AF40" s="2">
        <v>2066.39652552798</v>
      </c>
      <c r="AG40" s="2">
        <v>1509.1734708160209</v>
      </c>
      <c r="AH40" s="2">
        <v>1868.9150363476845</v>
      </c>
      <c r="AJ40" t="s">
        <v>11</v>
      </c>
      <c r="AK40" s="2">
        <v>2045.9251597922307</v>
      </c>
      <c r="AL40" s="2">
        <v>2998.1391753988814</v>
      </c>
      <c r="AM40" s="2">
        <v>2667.6161539954669</v>
      </c>
      <c r="AN40" s="2">
        <v>1946.7298641972382</v>
      </c>
      <c r="AO40" s="2">
        <v>1361.2666376631598</v>
      </c>
      <c r="AP40" s="2">
        <v>1855.938143760756</v>
      </c>
      <c r="AQ40" s="2">
        <v>2277.1477302699741</v>
      </c>
      <c r="AR40" s="2">
        <v>1699.2000086480855</v>
      </c>
      <c r="AS40" s="2">
        <v>2045.9414256332182</v>
      </c>
      <c r="AV40" s="2">
        <v>2114.7419154253771</v>
      </c>
      <c r="AW40" s="2">
        <v>2783.1440033161198</v>
      </c>
      <c r="AX40" s="2">
        <v>2107.4484541909246</v>
      </c>
      <c r="AY40" s="2">
        <v>2607.3704678834765</v>
      </c>
      <c r="AZ40" s="2">
        <v>2023.0348964361619</v>
      </c>
      <c r="BA40" s="2">
        <v>1947.4416123972064</v>
      </c>
      <c r="BB40" s="2">
        <v>2324.698192258264</v>
      </c>
      <c r="BC40" s="2">
        <v>2024.6216569233452</v>
      </c>
      <c r="BD40" s="2">
        <v>2160.8410615194007</v>
      </c>
      <c r="BG40" s="2">
        <v>2114.7419154253771</v>
      </c>
      <c r="BH40" s="2">
        <v>2783.1440033161198</v>
      </c>
      <c r="BI40" s="2">
        <v>2107.4484541909246</v>
      </c>
      <c r="BJ40" s="2">
        <v>2607.3704678834765</v>
      </c>
      <c r="BK40" s="2">
        <v>2023.0348964361619</v>
      </c>
      <c r="BL40" s="2">
        <v>1947.4416123972064</v>
      </c>
      <c r="BM40" s="2">
        <v>2324.698192258264</v>
      </c>
      <c r="BN40" s="2">
        <v>2024.6216569233452</v>
      </c>
      <c r="BO40" s="2">
        <v>2160.8410615194007</v>
      </c>
      <c r="BQ40" t="s">
        <v>11</v>
      </c>
      <c r="BR40" s="2">
        <v>1910.6521501876539</v>
      </c>
      <c r="BS40" s="2">
        <v>2370.0373906186428</v>
      </c>
      <c r="BT40" s="2">
        <v>2502.1683176987353</v>
      </c>
      <c r="BU40" s="2">
        <v>1848.9950430005067</v>
      </c>
      <c r="BV40" s="2">
        <v>2072.4271464382059</v>
      </c>
      <c r="BW40" s="2">
        <v>2241.2273296777353</v>
      </c>
      <c r="BX40" s="2">
        <v>1670.2688171600535</v>
      </c>
      <c r="BY40" s="2">
        <v>1969.7503745904223</v>
      </c>
      <c r="BZ40" s="2">
        <v>2033.6896289018155</v>
      </c>
      <c r="CC40" s="2"/>
      <c r="CD40" s="2"/>
      <c r="CE40" s="11">
        <v>2005</v>
      </c>
      <c r="CF40" s="2">
        <f t="shared" ref="CF40:CL40" si="46">AV47+AV48</f>
        <v>3837.5597019804004</v>
      </c>
      <c r="CG40" s="2">
        <f t="shared" si="46"/>
        <v>1076.1962966029996</v>
      </c>
      <c r="CH40" s="2">
        <f t="shared" si="46"/>
        <v>1966.7296659490255</v>
      </c>
      <c r="CI40" s="2">
        <f t="shared" si="46"/>
        <v>1573.9074047468864</v>
      </c>
      <c r="CJ40" s="2">
        <f t="shared" si="46"/>
        <v>1582.641625937438</v>
      </c>
      <c r="CK40" s="2">
        <f t="shared" si="46"/>
        <v>1253.6771078849401</v>
      </c>
      <c r="CL40" s="2">
        <f t="shared" si="46"/>
        <v>1021.4593680488304</v>
      </c>
    </row>
    <row r="41" spans="3:91" x14ac:dyDescent="0.2">
      <c r="C41" t="s">
        <v>12</v>
      </c>
      <c r="D41" s="2">
        <v>398.54619078395547</v>
      </c>
      <c r="E41" s="2">
        <v>643.79230126477398</v>
      </c>
      <c r="F41" s="9">
        <v>571.52443804956965</v>
      </c>
      <c r="G41" s="2">
        <v>411.35572895975235</v>
      </c>
      <c r="H41" s="2">
        <v>879.97628878351281</v>
      </c>
      <c r="I41" s="9">
        <v>1494.7708936169854</v>
      </c>
      <c r="J41" s="2">
        <v>1003.2881146985171</v>
      </c>
      <c r="K41" s="2"/>
      <c r="L41" s="2">
        <v>604.72277629057885</v>
      </c>
      <c r="N41" t="s">
        <v>12</v>
      </c>
      <c r="O41" s="2">
        <v>1029.222826983287</v>
      </c>
      <c r="P41" s="2">
        <v>1252.1560606501989</v>
      </c>
      <c r="Q41" s="9">
        <v>847.0435276179029</v>
      </c>
      <c r="R41" s="2">
        <v>834.80608273530891</v>
      </c>
      <c r="S41" s="2">
        <v>887.8167361507609</v>
      </c>
      <c r="T41" s="9">
        <v>1112.0832790721031</v>
      </c>
      <c r="U41" s="2">
        <v>963.82584946065754</v>
      </c>
      <c r="V41" s="2"/>
      <c r="W41" s="2">
        <v>990.88623916643144</v>
      </c>
      <c r="Y41" t="s">
        <v>12</v>
      </c>
      <c r="Z41" s="2">
        <v>1029.8637171927305</v>
      </c>
      <c r="AA41" s="2">
        <v>1302.3793517392135</v>
      </c>
      <c r="AB41" s="9">
        <v>856.87470175282465</v>
      </c>
      <c r="AC41" s="2">
        <v>933.80967103881756</v>
      </c>
      <c r="AD41" s="2">
        <v>1011.2931093605507</v>
      </c>
      <c r="AE41" s="9">
        <v>1340.7660316708968</v>
      </c>
      <c r="AF41" s="2">
        <v>1122.7551918675035</v>
      </c>
      <c r="AG41" s="2">
        <v>1095.495987001156</v>
      </c>
      <c r="AH41" s="2">
        <v>1050.9509896070183</v>
      </c>
      <c r="AJ41" t="s">
        <v>12</v>
      </c>
      <c r="AK41" s="2">
        <v>1072.2646930223402</v>
      </c>
      <c r="AL41" s="2">
        <v>1185.8042126330611</v>
      </c>
      <c r="AM41" s="9">
        <v>910.60037524665108</v>
      </c>
      <c r="AN41" s="2">
        <v>1027.7542232058356</v>
      </c>
      <c r="AO41" s="2">
        <v>1074.8776853918357</v>
      </c>
      <c r="AP41" s="9">
        <v>1183.4497209094943</v>
      </c>
      <c r="AQ41" s="2">
        <v>1147.0126538468376</v>
      </c>
      <c r="AR41" s="2">
        <v>1398.5458959977441</v>
      </c>
      <c r="AS41" s="2">
        <v>1077.9719147620899</v>
      </c>
      <c r="AV41" s="2">
        <v>1146.2609903257658</v>
      </c>
      <c r="AW41" s="2">
        <v>994.85936772908622</v>
      </c>
      <c r="AX41" s="2">
        <v>888.36663654213748</v>
      </c>
      <c r="AY41" s="2">
        <v>988.97889920819262</v>
      </c>
      <c r="AZ41" s="2">
        <v>1004.6649336068803</v>
      </c>
      <c r="BA41" s="2">
        <v>1129.9235544962462</v>
      </c>
      <c r="BB41" s="2">
        <v>1139.7546294469105</v>
      </c>
      <c r="BC41" s="2">
        <v>1146.8028766024927</v>
      </c>
      <c r="BD41" s="2">
        <v>1071.2828122143608</v>
      </c>
      <c r="BG41" s="2">
        <v>1146.2609903257658</v>
      </c>
      <c r="BH41" s="2">
        <v>994.85936772908622</v>
      </c>
      <c r="BI41" s="2">
        <v>888.36663654213748</v>
      </c>
      <c r="BJ41" s="2">
        <v>988.97889920819262</v>
      </c>
      <c r="BK41" s="2">
        <v>1004.6649336068803</v>
      </c>
      <c r="BL41" s="2">
        <v>1129.9235544962462</v>
      </c>
      <c r="BM41" s="2">
        <v>1139.7546294469105</v>
      </c>
      <c r="BN41" s="2">
        <v>1146.8028766024927</v>
      </c>
      <c r="BO41" s="2">
        <v>1071.2828122143608</v>
      </c>
      <c r="BQ41" t="s">
        <v>12</v>
      </c>
      <c r="BR41" s="2">
        <v>1169.5087221504559</v>
      </c>
      <c r="BS41" s="2">
        <v>934.18195841603699</v>
      </c>
      <c r="BT41" s="9">
        <v>999.58389064870335</v>
      </c>
      <c r="BU41" s="2">
        <v>1027.5300655564793</v>
      </c>
      <c r="BV41" s="2">
        <v>1110.2173256828071</v>
      </c>
      <c r="BW41" s="9">
        <v>1054.0660479428582</v>
      </c>
      <c r="BX41" s="2">
        <v>1519.9254339333606</v>
      </c>
      <c r="BY41" s="2">
        <v>1656.4762081689112</v>
      </c>
      <c r="BZ41" s="2">
        <v>1134.9234553996093</v>
      </c>
      <c r="CC41" s="2"/>
      <c r="CD41" s="2"/>
      <c r="CE41" s="11">
        <v>2007</v>
      </c>
      <c r="CF41" s="2">
        <f t="shared" ref="CF41:CL41" si="47">BG47+BG48</f>
        <v>3837.5597019804004</v>
      </c>
      <c r="CG41" s="2">
        <f t="shared" si="47"/>
        <v>1076.1962966029996</v>
      </c>
      <c r="CH41" s="2">
        <f t="shared" si="47"/>
        <v>1966.7296659490255</v>
      </c>
      <c r="CI41" s="2">
        <f t="shared" si="47"/>
        <v>1573.9074047468864</v>
      </c>
      <c r="CJ41" s="2">
        <f t="shared" si="47"/>
        <v>1582.641625937438</v>
      </c>
      <c r="CK41" s="2">
        <f t="shared" si="47"/>
        <v>1253.6771078849401</v>
      </c>
      <c r="CL41" s="2">
        <f t="shared" si="47"/>
        <v>1021.4593680488304</v>
      </c>
    </row>
    <row r="42" spans="3:91" x14ac:dyDescent="0.2">
      <c r="C42" t="s">
        <v>13</v>
      </c>
      <c r="D42" s="2">
        <v>3911.2198634309675</v>
      </c>
      <c r="E42" s="2">
        <v>0</v>
      </c>
      <c r="F42" s="2">
        <v>875.74449152319369</v>
      </c>
      <c r="G42" s="2">
        <v>1019.6131167326884</v>
      </c>
      <c r="H42" s="2">
        <v>1071.1578038197849</v>
      </c>
      <c r="I42" s="2">
        <v>1107.0319753704032</v>
      </c>
      <c r="J42" s="2">
        <v>1240.1946670735426</v>
      </c>
      <c r="K42" s="2"/>
      <c r="L42" s="2">
        <v>1127.9319573968608</v>
      </c>
      <c r="N42" t="s">
        <v>13</v>
      </c>
      <c r="O42" s="2">
        <v>0</v>
      </c>
      <c r="P42" s="2">
        <v>455</v>
      </c>
      <c r="Q42" s="2">
        <v>585.16723788644947</v>
      </c>
      <c r="R42" s="2">
        <v>944.83387556221032</v>
      </c>
      <c r="S42" s="2">
        <v>1019.0334057520248</v>
      </c>
      <c r="T42" s="2">
        <v>1067.8283683405405</v>
      </c>
      <c r="U42" s="2">
        <v>1333.6965587211043</v>
      </c>
      <c r="V42" s="2"/>
      <c r="W42" s="2">
        <v>1084.9488020130298</v>
      </c>
      <c r="Y42" t="s">
        <v>13</v>
      </c>
      <c r="Z42" s="2">
        <v>0</v>
      </c>
      <c r="AA42" s="2">
        <v>455</v>
      </c>
      <c r="AB42" s="2">
        <v>656.08548400309098</v>
      </c>
      <c r="AC42" s="2">
        <v>1057.3520879950761</v>
      </c>
      <c r="AD42" s="2">
        <v>1118.3834770760263</v>
      </c>
      <c r="AE42" s="2">
        <v>1065.9251343853036</v>
      </c>
      <c r="AF42" s="2">
        <v>1309.8327746359671</v>
      </c>
      <c r="AG42" s="2">
        <v>1000</v>
      </c>
      <c r="AH42" s="2">
        <v>1128.1798328257446</v>
      </c>
      <c r="AJ42" t="s">
        <v>13</v>
      </c>
      <c r="AK42" s="2">
        <v>0</v>
      </c>
      <c r="AL42" s="2">
        <v>0</v>
      </c>
      <c r="AM42" s="2">
        <v>842.71697399387278</v>
      </c>
      <c r="AN42" s="2">
        <v>770.58986947374478</v>
      </c>
      <c r="AO42" s="2">
        <v>1167.9732448515122</v>
      </c>
      <c r="AP42" s="2">
        <v>1111.7255046047135</v>
      </c>
      <c r="AQ42" s="2">
        <v>1339.2261356407914</v>
      </c>
      <c r="AR42" s="2">
        <v>1212.1149093051079</v>
      </c>
      <c r="AS42" s="2">
        <v>1147.7561169149653</v>
      </c>
      <c r="AV42" s="2">
        <v>1069.301781243711</v>
      </c>
      <c r="AW42" s="2">
        <v>0</v>
      </c>
      <c r="AX42" s="2">
        <v>633.76683216231868</v>
      </c>
      <c r="AY42" s="2">
        <v>814.09742386597281</v>
      </c>
      <c r="AZ42" s="2">
        <v>1407.1604979987492</v>
      </c>
      <c r="BA42" s="2">
        <v>1169.0061005364164</v>
      </c>
      <c r="BB42" s="2">
        <v>1785.701869677182</v>
      </c>
      <c r="BC42" s="2">
        <v>1019.1219597025703</v>
      </c>
      <c r="BD42" s="2">
        <v>1344.8769310665832</v>
      </c>
      <c r="BG42" s="2">
        <v>1069.301781243711</v>
      </c>
      <c r="BH42" s="2">
        <v>0</v>
      </c>
      <c r="BI42" s="2">
        <v>633.76683216231868</v>
      </c>
      <c r="BJ42" s="2">
        <v>814.09742386597281</v>
      </c>
      <c r="BK42" s="2">
        <v>1407.1604979987492</v>
      </c>
      <c r="BL42" s="2">
        <v>1169.0061005364164</v>
      </c>
      <c r="BM42" s="2">
        <v>1785.701869677182</v>
      </c>
      <c r="BN42" s="2">
        <v>1019.1219597025703</v>
      </c>
      <c r="BO42" s="2">
        <v>1344.8769310665832</v>
      </c>
      <c r="BQ42" t="s">
        <v>13</v>
      </c>
      <c r="BR42" s="2">
        <v>1143.3329051336095</v>
      </c>
      <c r="BS42" s="2">
        <v>0</v>
      </c>
      <c r="BT42" s="2">
        <v>816.00192275361235</v>
      </c>
      <c r="BU42" s="2">
        <v>885.68985234591355</v>
      </c>
      <c r="BV42" s="2">
        <v>1399.4768775502416</v>
      </c>
      <c r="BW42" s="2">
        <v>1515.0515226991904</v>
      </c>
      <c r="BX42" s="2">
        <v>1890.4838121483313</v>
      </c>
      <c r="BY42" s="2">
        <v>1115.203497592024</v>
      </c>
      <c r="BZ42" s="2">
        <v>1435.2578677670426</v>
      </c>
      <c r="CC42" s="2"/>
      <c r="CD42" s="2"/>
      <c r="CE42" s="11">
        <v>2009</v>
      </c>
      <c r="CF42" s="2">
        <f t="shared" ref="CF42:CL42" si="48">BR47+BR48</f>
        <v>3762.345614003124</v>
      </c>
      <c r="CG42" s="2">
        <f t="shared" si="48"/>
        <v>1077.8683946548497</v>
      </c>
      <c r="CH42" s="2">
        <f t="shared" si="48"/>
        <v>2020.6937320146315</v>
      </c>
      <c r="CI42" s="2">
        <f t="shared" si="48"/>
        <v>1636.8857329182306</v>
      </c>
      <c r="CJ42" s="2">
        <f t="shared" si="48"/>
        <v>1640.5573725734723</v>
      </c>
      <c r="CK42" s="2">
        <f t="shared" si="48"/>
        <v>1242.4398017930905</v>
      </c>
      <c r="CL42" s="2">
        <f t="shared" si="48"/>
        <v>993.90140449153012</v>
      </c>
    </row>
    <row r="43" spans="3:91" x14ac:dyDescent="0.2">
      <c r="C43" t="s">
        <v>14</v>
      </c>
      <c r="D43" s="2">
        <v>2272.982218927224</v>
      </c>
      <c r="E43" s="2">
        <v>2061.4428630257266</v>
      </c>
      <c r="F43" s="2">
        <v>2164.4829437205967</v>
      </c>
      <c r="G43" s="2">
        <v>2182.5110101062619</v>
      </c>
      <c r="H43" s="2">
        <v>2115.8127951908577</v>
      </c>
      <c r="I43" s="2">
        <v>2241.5694430771669</v>
      </c>
      <c r="J43" s="2">
        <v>2295.2990866123559</v>
      </c>
      <c r="K43" s="2"/>
      <c r="L43" s="2">
        <v>2199.7881097701138</v>
      </c>
      <c r="N43" t="s">
        <v>14</v>
      </c>
      <c r="O43" s="2">
        <v>1998.6268118158755</v>
      </c>
      <c r="P43" s="2">
        <v>1950.4438118680862</v>
      </c>
      <c r="Q43" s="2">
        <v>2113.0831657638837</v>
      </c>
      <c r="R43" s="2">
        <v>1952.2967517350062</v>
      </c>
      <c r="S43" s="2">
        <v>1811.5953193071007</v>
      </c>
      <c r="T43" s="2">
        <v>2182.4266724971635</v>
      </c>
      <c r="U43" s="2">
        <v>2381.9108156434704</v>
      </c>
      <c r="V43" s="2"/>
      <c r="W43" s="2">
        <v>2029.2482985305569</v>
      </c>
      <c r="Y43" t="s">
        <v>14</v>
      </c>
      <c r="Z43" s="2">
        <v>1985.7516210001581</v>
      </c>
      <c r="AA43" s="2">
        <v>1850.2619987073876</v>
      </c>
      <c r="AB43" s="2">
        <v>2011.9630405511798</v>
      </c>
      <c r="AC43" s="2">
        <v>1900.9846761695651</v>
      </c>
      <c r="AD43" s="2">
        <v>1846.8736892705158</v>
      </c>
      <c r="AE43" s="2">
        <v>2134.7004418293759</v>
      </c>
      <c r="AF43" s="2">
        <v>2263.7044251127772</v>
      </c>
      <c r="AG43" s="2">
        <v>2499.4969548729587</v>
      </c>
      <c r="AH43" s="2">
        <v>1989.026853406293</v>
      </c>
      <c r="AJ43" t="s">
        <v>14</v>
      </c>
      <c r="AK43" s="2">
        <v>1981.2760499670626</v>
      </c>
      <c r="AL43" s="2">
        <v>1918.0170686414676</v>
      </c>
      <c r="AM43" s="2">
        <v>2032.7888235829487</v>
      </c>
      <c r="AN43" s="2">
        <v>1922.1956498566042</v>
      </c>
      <c r="AO43" s="2">
        <v>1844.3245056552898</v>
      </c>
      <c r="AP43" s="2">
        <v>2082.9937500470155</v>
      </c>
      <c r="AQ43" s="2">
        <v>2345.1487848959537</v>
      </c>
      <c r="AR43" s="2">
        <v>2560.9678187024829</v>
      </c>
      <c r="AS43" s="2">
        <v>2006.8390557639086</v>
      </c>
      <c r="AV43" s="2">
        <v>1965.8801226099583</v>
      </c>
      <c r="AW43" s="2">
        <v>1876.699391947139</v>
      </c>
      <c r="AX43" s="2">
        <v>1984.4174645261664</v>
      </c>
      <c r="AY43" s="2">
        <v>1905.2615546778495</v>
      </c>
      <c r="AZ43" s="2">
        <v>1816.5650651412777</v>
      </c>
      <c r="BA43" s="2">
        <v>2152.8270129856937</v>
      </c>
      <c r="BB43" s="2">
        <v>2455.6938971538139</v>
      </c>
      <c r="BC43" s="2">
        <v>2706.1144139220878</v>
      </c>
      <c r="BD43" s="2">
        <v>2013.1909920073026</v>
      </c>
      <c r="BG43" s="2">
        <v>1965.8801226099583</v>
      </c>
      <c r="BH43" s="2">
        <v>1876.699391947139</v>
      </c>
      <c r="BI43" s="2">
        <v>1984.4174645261664</v>
      </c>
      <c r="BJ43" s="2">
        <v>1905.2615546778495</v>
      </c>
      <c r="BK43" s="2">
        <v>1816.5650651412777</v>
      </c>
      <c r="BL43" s="2">
        <v>2152.8270129856937</v>
      </c>
      <c r="BM43" s="2">
        <v>2455.6938971538139</v>
      </c>
      <c r="BN43" s="2">
        <v>2706.1144139220878</v>
      </c>
      <c r="BO43" s="2">
        <v>2013.1909920073026</v>
      </c>
      <c r="BQ43" t="s">
        <v>14</v>
      </c>
      <c r="BR43" s="2">
        <v>1869.4890409895447</v>
      </c>
      <c r="BS43" s="2">
        <v>1870.1172557883594</v>
      </c>
      <c r="BT43" s="2">
        <v>1851.4798823490094</v>
      </c>
      <c r="BU43" s="2">
        <v>1917.766469607523</v>
      </c>
      <c r="BV43" s="2">
        <v>1886.9316261243905</v>
      </c>
      <c r="BW43" s="2">
        <v>2208.7113206838239</v>
      </c>
      <c r="BX43" s="2">
        <v>2596.4399351784214</v>
      </c>
      <c r="BY43" s="2">
        <v>2400.7890653987879</v>
      </c>
      <c r="BZ43" s="2">
        <v>1991.4041534246026</v>
      </c>
      <c r="CC43" s="2"/>
      <c r="CD43" s="2"/>
      <c r="CE43" s="11"/>
      <c r="CF43" s="12">
        <f>CF42/CF37</f>
        <v>0.92689851055751027</v>
      </c>
      <c r="CG43" s="12">
        <f t="shared" ref="CG43:CL43" si="49">CG42/CG37</f>
        <v>1.0179556792046345</v>
      </c>
      <c r="CH43" s="12">
        <f t="shared" si="49"/>
        <v>1.0128367001073999</v>
      </c>
      <c r="CI43" s="12">
        <f t="shared" si="49"/>
        <v>1.0256393853445953</v>
      </c>
      <c r="CJ43" s="12">
        <f t="shared" si="49"/>
        <v>1.063795814186258</v>
      </c>
      <c r="CK43" s="12">
        <f t="shared" si="49"/>
        <v>0.96014170035218493</v>
      </c>
      <c r="CL43" s="12">
        <f t="shared" si="49"/>
        <v>0.96822437728673783</v>
      </c>
    </row>
    <row r="44" spans="3:91" x14ac:dyDescent="0.2">
      <c r="D44" s="2"/>
      <c r="E44" s="2"/>
      <c r="F44" s="2"/>
      <c r="G44" s="2"/>
      <c r="H44" s="2"/>
      <c r="I44" s="2"/>
      <c r="J44" s="2"/>
      <c r="K44" s="2"/>
      <c r="L44" s="2"/>
      <c r="O44" s="2"/>
      <c r="P44" s="2"/>
      <c r="Q44" s="2"/>
      <c r="R44" s="2"/>
      <c r="S44" s="2"/>
      <c r="T44" s="2"/>
      <c r="U44" s="2"/>
      <c r="V44" s="2"/>
      <c r="W44" s="2"/>
      <c r="Z44" s="2"/>
      <c r="AA44" s="2"/>
      <c r="AB44" s="2"/>
      <c r="AC44" s="2"/>
      <c r="AD44" s="2"/>
      <c r="AE44" s="2"/>
      <c r="AF44" s="2"/>
      <c r="AG44" s="2"/>
      <c r="AH44" s="2"/>
      <c r="AK44" s="2"/>
      <c r="AL44" s="2"/>
      <c r="AM44" s="2"/>
      <c r="AN44" s="2"/>
      <c r="AO44" s="2"/>
      <c r="AP44" s="2"/>
      <c r="AQ44" s="2"/>
      <c r="AR44" s="2"/>
      <c r="AS44" s="2"/>
      <c r="AV44" s="2"/>
      <c r="AW44" s="2"/>
      <c r="AX44" s="2"/>
      <c r="AY44" s="2"/>
      <c r="AZ44" s="2"/>
      <c r="BA44" s="2"/>
      <c r="BB44" s="2"/>
      <c r="BC44" s="2"/>
      <c r="BD44" s="2"/>
      <c r="BG44" s="2"/>
      <c r="BH44" s="2"/>
      <c r="BI44" s="2"/>
      <c r="BJ44" s="2"/>
      <c r="BK44" s="2"/>
      <c r="BL44" s="2"/>
      <c r="BM44" s="2"/>
      <c r="BN44" s="2"/>
      <c r="BO44" s="2"/>
      <c r="BP44" s="1"/>
      <c r="BR44" s="2"/>
      <c r="BS44" s="2"/>
      <c r="BT44" s="2"/>
      <c r="BU44" s="2"/>
      <c r="BV44" s="2"/>
      <c r="BW44" s="2"/>
      <c r="BX44" s="2"/>
      <c r="BY44" s="2"/>
      <c r="BZ44" s="2"/>
      <c r="CC44" s="2"/>
      <c r="CD44" s="2"/>
    </row>
    <row r="45" spans="3:91" x14ac:dyDescent="0.2">
      <c r="C45" s="1" t="s">
        <v>15</v>
      </c>
      <c r="D45" s="2"/>
      <c r="E45" s="2"/>
      <c r="F45" s="2"/>
      <c r="G45" s="2"/>
      <c r="H45" s="2"/>
      <c r="I45" s="2"/>
      <c r="J45" s="2"/>
      <c r="K45" s="2"/>
      <c r="L45" s="2"/>
      <c r="N45" s="1" t="s">
        <v>15</v>
      </c>
      <c r="O45" s="2"/>
      <c r="P45" s="2"/>
      <c r="Q45" s="2"/>
      <c r="R45" s="2"/>
      <c r="S45" s="2"/>
      <c r="T45" s="2"/>
      <c r="U45" s="2"/>
      <c r="V45" s="2"/>
      <c r="W45" s="2"/>
      <c r="Y45" s="1" t="s">
        <v>15</v>
      </c>
      <c r="Z45" s="2"/>
      <c r="AA45" s="2"/>
      <c r="AB45" s="2"/>
      <c r="AC45" s="2"/>
      <c r="AD45" s="2"/>
      <c r="AE45" s="2"/>
      <c r="AF45" s="2"/>
      <c r="AG45" s="2"/>
      <c r="AH45" s="2"/>
      <c r="AJ45" s="1" t="s">
        <v>15</v>
      </c>
      <c r="AK45" s="2"/>
      <c r="AL45" s="2"/>
      <c r="AM45" s="2"/>
      <c r="AN45" s="2"/>
      <c r="AO45" s="2"/>
      <c r="AP45" s="2"/>
      <c r="AQ45" s="2"/>
      <c r="AR45" s="2"/>
      <c r="AS45" s="2"/>
      <c r="AV45" s="2"/>
      <c r="AW45" s="2"/>
      <c r="AX45" s="2"/>
      <c r="AY45" s="2"/>
      <c r="AZ45" s="2"/>
      <c r="BA45" s="2"/>
      <c r="BB45" s="2"/>
      <c r="BC45" s="2"/>
      <c r="BD45" s="2"/>
      <c r="BG45" s="2"/>
      <c r="BH45" s="2"/>
      <c r="BI45" s="2"/>
      <c r="BJ45" s="2"/>
      <c r="BK45" s="2"/>
      <c r="BL45" s="2"/>
      <c r="BM45" s="2"/>
      <c r="BN45" s="2"/>
      <c r="BO45" s="2"/>
      <c r="BQ45" s="1" t="s">
        <v>15</v>
      </c>
      <c r="BR45" s="2"/>
      <c r="BS45" s="2"/>
      <c r="BT45" s="2"/>
      <c r="BU45" s="2"/>
      <c r="BV45" s="2"/>
      <c r="BW45" s="2"/>
      <c r="BX45" s="2"/>
      <c r="BY45" s="2"/>
      <c r="BZ45" s="2"/>
      <c r="CC45" s="2"/>
      <c r="CD45" s="2"/>
    </row>
    <row r="46" spans="3:91" x14ac:dyDescent="0.2">
      <c r="C46" t="s">
        <v>9</v>
      </c>
      <c r="D46" s="2">
        <v>3120.7420977488505</v>
      </c>
      <c r="E46" s="2">
        <v>905.21898368234019</v>
      </c>
      <c r="F46" s="2">
        <v>1851.4827163799832</v>
      </c>
      <c r="G46" s="2">
        <v>1508.3438074994024</v>
      </c>
      <c r="H46" s="2">
        <v>1539.8980204730497</v>
      </c>
      <c r="I46" s="2">
        <v>1150.1912921570593</v>
      </c>
      <c r="J46" s="2">
        <v>753.96967396435207</v>
      </c>
      <c r="K46" s="2"/>
      <c r="L46" s="2">
        <v>10829.846591905032</v>
      </c>
      <c r="N46" t="s">
        <v>9</v>
      </c>
      <c r="O46" s="2">
        <v>3244.5886189150201</v>
      </c>
      <c r="P46" s="2">
        <v>903.35470855006895</v>
      </c>
      <c r="Q46" s="2">
        <v>1862.1629403678733</v>
      </c>
      <c r="R46" s="2">
        <v>1520.3298077927327</v>
      </c>
      <c r="S46" s="2">
        <v>1506.9625338963663</v>
      </c>
      <c r="T46" s="2">
        <v>1168.7538600320192</v>
      </c>
      <c r="U46" s="2">
        <v>980.21330427975033</v>
      </c>
      <c r="V46" s="2"/>
      <c r="W46" s="2">
        <v>11186.365773833848</v>
      </c>
      <c r="Y46" t="s">
        <v>9</v>
      </c>
      <c r="Z46" s="2">
        <v>3335.7066718034694</v>
      </c>
      <c r="AA46" s="2">
        <v>981.53240605429926</v>
      </c>
      <c r="AB46" s="2">
        <v>1938.9035966827912</v>
      </c>
      <c r="AC46" s="2">
        <v>1568.5744311545004</v>
      </c>
      <c r="AD46" s="2">
        <v>1569.2521657369764</v>
      </c>
      <c r="AE46" s="2">
        <v>1156.3158833485825</v>
      </c>
      <c r="AF46" s="2">
        <v>1001.6404973684585</v>
      </c>
      <c r="AG46" s="2">
        <v>153.26424682634999</v>
      </c>
      <c r="AH46" s="2">
        <v>11705.18989897545</v>
      </c>
      <c r="AJ46" t="s">
        <v>9</v>
      </c>
      <c r="AK46" s="2">
        <v>3233.927376888752</v>
      </c>
      <c r="AL46" s="2">
        <v>914.89501444079895</v>
      </c>
      <c r="AM46" s="2">
        <v>1892.5742991213024</v>
      </c>
      <c r="AN46" s="2">
        <v>1499.0759526933125</v>
      </c>
      <c r="AO46" s="2">
        <v>1592.4842439781924</v>
      </c>
      <c r="AP46" s="2">
        <v>1133.661820048663</v>
      </c>
      <c r="AQ46" s="2">
        <v>963.55204778110567</v>
      </c>
      <c r="AR46" s="2">
        <v>327.20459295492964</v>
      </c>
      <c r="AS46" s="2">
        <v>11557.375347907044</v>
      </c>
      <c r="AV46" s="2">
        <v>3107.7212922003209</v>
      </c>
      <c r="AW46" s="2">
        <v>959.20980348370961</v>
      </c>
      <c r="AX46" s="2">
        <v>1861.9523722697254</v>
      </c>
      <c r="AY46" s="2">
        <v>1517.0741855501863</v>
      </c>
      <c r="AZ46" s="2">
        <v>1508.4934929510771</v>
      </c>
      <c r="BA46" s="2">
        <v>1127.5404564884004</v>
      </c>
      <c r="BB46" s="2">
        <v>961.17044611533061</v>
      </c>
      <c r="BC46" s="2">
        <v>495.26127762506962</v>
      </c>
      <c r="BD46" s="2">
        <v>11538.423326683882</v>
      </c>
      <c r="BG46" s="2">
        <v>3107.7212922003209</v>
      </c>
      <c r="BH46" s="2">
        <v>959.20980348370961</v>
      </c>
      <c r="BI46" s="2">
        <v>1861.9523722697254</v>
      </c>
      <c r="BJ46" s="2">
        <v>1517.0741855501863</v>
      </c>
      <c r="BK46" s="2">
        <v>1508.4934929510771</v>
      </c>
      <c r="BL46" s="2">
        <v>1127.5404564884004</v>
      </c>
      <c r="BM46" s="2">
        <v>961.17044611533061</v>
      </c>
      <c r="BN46" s="2">
        <v>495.26127762506962</v>
      </c>
      <c r="BO46" s="2">
        <v>11538.423326683882</v>
      </c>
      <c r="BQ46" t="s">
        <v>9</v>
      </c>
      <c r="BR46" s="2">
        <v>3178.0971715811229</v>
      </c>
      <c r="BS46" s="2">
        <v>943.19966798267978</v>
      </c>
      <c r="BT46" s="2">
        <v>1883.1886051939618</v>
      </c>
      <c r="BU46" s="2">
        <v>1540.9355776537407</v>
      </c>
      <c r="BV46" s="2">
        <v>1540.5319031701204</v>
      </c>
      <c r="BW46" s="2">
        <v>1108.7573138176808</v>
      </c>
      <c r="BX46" s="2">
        <v>971.44700651606047</v>
      </c>
      <c r="BY46" s="2">
        <v>805.05156168164876</v>
      </c>
      <c r="BZ46" s="2">
        <v>11971.208807597</v>
      </c>
      <c r="CB46">
        <v>11971.208807597015</v>
      </c>
      <c r="CC46" s="2"/>
      <c r="CD46" s="2"/>
    </row>
    <row r="47" spans="3:91" x14ac:dyDescent="0.2">
      <c r="C47" t="s">
        <v>10</v>
      </c>
      <c r="D47" s="2">
        <v>3109.9595131363503</v>
      </c>
      <c r="E47" s="2">
        <v>902.50388742114012</v>
      </c>
      <c r="F47" s="2">
        <v>1830.9232037357838</v>
      </c>
      <c r="G47" s="2">
        <v>1445.0417165490019</v>
      </c>
      <c r="H47" s="2">
        <v>1310.8853747046592</v>
      </c>
      <c r="I47" s="2">
        <v>997.62108611169924</v>
      </c>
      <c r="J47" s="2">
        <v>641.07118889423998</v>
      </c>
      <c r="K47" s="2"/>
      <c r="L47" s="2">
        <v>10238.005970552878</v>
      </c>
      <c r="N47" t="s">
        <v>10</v>
      </c>
      <c r="O47" s="2">
        <v>3244.5886189150201</v>
      </c>
      <c r="P47" s="2">
        <v>901.27998479946893</v>
      </c>
      <c r="Q47" s="2">
        <v>1843.2449262804735</v>
      </c>
      <c r="R47" s="2">
        <v>1460.0884640795314</v>
      </c>
      <c r="S47" s="2">
        <v>1329.4797335523403</v>
      </c>
      <c r="T47" s="2">
        <v>1008.1102157096092</v>
      </c>
      <c r="U47" s="2">
        <v>836.97683915870971</v>
      </c>
      <c r="V47" s="2"/>
      <c r="W47" s="2">
        <v>10623.76878249517</v>
      </c>
      <c r="Y47" t="s">
        <v>10</v>
      </c>
      <c r="Z47" s="2">
        <v>3335.7066718034694</v>
      </c>
      <c r="AA47" s="2">
        <v>979.71094633029918</v>
      </c>
      <c r="AB47" s="2">
        <v>1922.0084329447914</v>
      </c>
      <c r="AC47" s="2">
        <v>1499.1736674859003</v>
      </c>
      <c r="AD47" s="2">
        <v>1370.2335956485315</v>
      </c>
      <c r="AE47" s="2">
        <v>1014.8582657848995</v>
      </c>
      <c r="AF47" s="2">
        <v>852.95919035834959</v>
      </c>
      <c r="AG47" s="2">
        <v>146.25443392314997</v>
      </c>
      <c r="AH47" s="2">
        <v>11120.905204279412</v>
      </c>
      <c r="AJ47" t="s">
        <v>10</v>
      </c>
      <c r="AK47" s="2">
        <v>3233.927376888752</v>
      </c>
      <c r="AL47" s="2">
        <v>914.89501444079895</v>
      </c>
      <c r="AM47" s="2">
        <v>1877.0558694049021</v>
      </c>
      <c r="AN47" s="2">
        <v>1441.649228146812</v>
      </c>
      <c r="AO47" s="2">
        <v>1409.5838573336109</v>
      </c>
      <c r="AP47" s="2">
        <v>995.30576274780049</v>
      </c>
      <c r="AQ47" s="2">
        <v>824.4432204160413</v>
      </c>
      <c r="AR47" s="2">
        <v>292.81166547572985</v>
      </c>
      <c r="AS47" s="2">
        <v>10989.671994854443</v>
      </c>
      <c r="AV47" s="2">
        <v>3103.7569618195207</v>
      </c>
      <c r="AW47" s="2">
        <v>959.20980348370961</v>
      </c>
      <c r="AX47" s="2">
        <v>1850.9771365972256</v>
      </c>
      <c r="AY47" s="2">
        <v>1481.4216933310863</v>
      </c>
      <c r="AZ47" s="2">
        <v>1373.9586002399778</v>
      </c>
      <c r="BA47" s="2">
        <v>988.21935470380026</v>
      </c>
      <c r="BB47" s="2">
        <v>839.55178877446031</v>
      </c>
      <c r="BC47" s="2">
        <v>446.73830566196972</v>
      </c>
      <c r="BD47" s="2">
        <v>11043.833644611805</v>
      </c>
      <c r="BG47" s="2">
        <v>3103.7569618195207</v>
      </c>
      <c r="BH47" s="2">
        <v>959.20980348370961</v>
      </c>
      <c r="BI47" s="2">
        <v>1850.9771365972256</v>
      </c>
      <c r="BJ47" s="2">
        <v>1481.4216933310863</v>
      </c>
      <c r="BK47" s="2">
        <v>1373.9586002399778</v>
      </c>
      <c r="BL47" s="2">
        <v>988.21935470380026</v>
      </c>
      <c r="BM47" s="2">
        <v>839.55178877446031</v>
      </c>
      <c r="BN47" s="2">
        <v>446.73830566196972</v>
      </c>
      <c r="BO47" s="2">
        <v>11043.833644611805</v>
      </c>
      <c r="BQ47" t="s">
        <v>10</v>
      </c>
      <c r="BR47" s="2">
        <v>3172.6464098523234</v>
      </c>
      <c r="BS47" s="2">
        <v>943.19966798267978</v>
      </c>
      <c r="BT47" s="2">
        <v>1875.4124365243615</v>
      </c>
      <c r="BU47" s="2">
        <v>1492.4317005281407</v>
      </c>
      <c r="BV47" s="2">
        <v>1409.0349213165423</v>
      </c>
      <c r="BW47" s="2">
        <v>989.55391550578042</v>
      </c>
      <c r="BX47" s="2">
        <v>839.53655834831011</v>
      </c>
      <c r="BY47" s="2">
        <v>708.92615908777907</v>
      </c>
      <c r="BZ47" s="2">
        <v>11430.741769145907</v>
      </c>
      <c r="CB47">
        <v>11430.74176914592</v>
      </c>
      <c r="CC47" s="2"/>
      <c r="CD47" s="2"/>
    </row>
    <row r="48" spans="3:91" x14ac:dyDescent="0.2">
      <c r="C48" t="s">
        <v>11</v>
      </c>
      <c r="D48" s="2">
        <v>676.91321928287971</v>
      </c>
      <c r="E48" s="2">
        <v>99.920403914200008</v>
      </c>
      <c r="F48" s="2">
        <v>115.46642957990001</v>
      </c>
      <c r="G48" s="2">
        <v>86.227031080000003</v>
      </c>
      <c r="H48" s="2">
        <v>165.77290268030001</v>
      </c>
      <c r="I48" s="2">
        <v>280.76821175049986</v>
      </c>
      <c r="J48" s="2">
        <v>161.10371722870002</v>
      </c>
      <c r="K48" s="2"/>
      <c r="L48" s="2">
        <v>1586.1719155164826</v>
      </c>
      <c r="N48" t="s">
        <v>11</v>
      </c>
      <c r="O48" s="2">
        <v>814.48103234609937</v>
      </c>
      <c r="P48" s="2">
        <v>157.57593267724002</v>
      </c>
      <c r="Q48" s="2">
        <v>151.83851787232996</v>
      </c>
      <c r="R48" s="2">
        <v>135.87767792687001</v>
      </c>
      <c r="S48" s="2">
        <v>212.69344545043995</v>
      </c>
      <c r="T48" s="2">
        <v>285.90690836421999</v>
      </c>
      <c r="U48" s="2">
        <v>189.5428682635999</v>
      </c>
      <c r="V48" s="2"/>
      <c r="W48" s="2">
        <v>1947.9163829007998</v>
      </c>
      <c r="Y48" t="s">
        <v>11</v>
      </c>
      <c r="Z48" s="2">
        <v>834.99187496670982</v>
      </c>
      <c r="AA48" s="2">
        <v>125.32178346970002</v>
      </c>
      <c r="AB48" s="2">
        <v>136.73215451137997</v>
      </c>
      <c r="AC48" s="2">
        <v>115.710514347</v>
      </c>
      <c r="AD48" s="2">
        <v>213.38859882467005</v>
      </c>
      <c r="AE48" s="2">
        <v>279.39081652296005</v>
      </c>
      <c r="AF48" s="2">
        <v>187.48222823915003</v>
      </c>
      <c r="AG48" s="2">
        <v>26.997095974199997</v>
      </c>
      <c r="AH48" s="2">
        <v>1920.015066855769</v>
      </c>
      <c r="AJ48" t="s">
        <v>11</v>
      </c>
      <c r="AK48" s="2">
        <v>718.15274816959982</v>
      </c>
      <c r="AL48" s="2">
        <v>135.30182518942999</v>
      </c>
      <c r="AM48" s="2">
        <v>130.81306099254002</v>
      </c>
      <c r="AN48" s="2">
        <v>100.16839368609999</v>
      </c>
      <c r="AO48" s="2">
        <v>222.19026647750994</v>
      </c>
      <c r="AP48" s="2">
        <v>263.492949046376</v>
      </c>
      <c r="AQ48" s="2">
        <v>194.9266842483899</v>
      </c>
      <c r="AR48" s="2">
        <v>63.281710146270008</v>
      </c>
      <c r="AS48" s="2">
        <v>1828.3276379562194</v>
      </c>
      <c r="AV48" s="2">
        <v>733.80274016087981</v>
      </c>
      <c r="AW48" s="2">
        <v>116.98649311929002</v>
      </c>
      <c r="AX48" s="2">
        <v>115.75252935180001</v>
      </c>
      <c r="AY48" s="2">
        <v>92.485711415799997</v>
      </c>
      <c r="AZ48" s="2">
        <v>208.6830256974601</v>
      </c>
      <c r="BA48" s="2">
        <v>265.45775318113994</v>
      </c>
      <c r="BB48" s="2">
        <v>181.90757927436999</v>
      </c>
      <c r="BC48" s="2">
        <v>109.72354116529003</v>
      </c>
      <c r="BD48" s="2">
        <v>1824.7993733660301</v>
      </c>
      <c r="BG48" s="2">
        <v>733.80274016087981</v>
      </c>
      <c r="BH48" s="2">
        <v>116.98649311929002</v>
      </c>
      <c r="BI48" s="2">
        <v>115.75252935180001</v>
      </c>
      <c r="BJ48" s="2">
        <v>92.485711415799997</v>
      </c>
      <c r="BK48" s="2">
        <v>208.6830256974601</v>
      </c>
      <c r="BL48" s="2">
        <v>265.45775318113994</v>
      </c>
      <c r="BM48" s="2">
        <v>181.90757927436999</v>
      </c>
      <c r="BN48" s="2">
        <v>109.72354116529003</v>
      </c>
      <c r="BO48" s="2">
        <v>1824.7993733660301</v>
      </c>
      <c r="BQ48" t="s">
        <v>11</v>
      </c>
      <c r="BR48" s="2">
        <v>589.69920415080048</v>
      </c>
      <c r="BS48" s="2">
        <v>134.66872667216998</v>
      </c>
      <c r="BT48" s="2">
        <v>145.28129549026991</v>
      </c>
      <c r="BU48" s="2">
        <v>144.45403239008999</v>
      </c>
      <c r="BV48" s="2">
        <v>231.52245125693011</v>
      </c>
      <c r="BW48" s="2">
        <v>252.88588628731011</v>
      </c>
      <c r="BX48" s="2">
        <v>154.36484614322003</v>
      </c>
      <c r="BY48" s="2">
        <v>156.62830566326994</v>
      </c>
      <c r="BZ48" s="2">
        <v>1809.5047480540604</v>
      </c>
      <c r="CB48">
        <v>1809.5047480540607</v>
      </c>
      <c r="CC48" s="2"/>
      <c r="CD48" s="2"/>
      <c r="CM48" s="2"/>
    </row>
    <row r="49" spans="3:91" x14ac:dyDescent="0.2">
      <c r="C49" t="s">
        <v>12</v>
      </c>
      <c r="D49" s="2">
        <v>3458.7007751021774</v>
      </c>
      <c r="E49" s="2">
        <v>660.1686994789203</v>
      </c>
      <c r="F49" s="2">
        <v>628.83147800065001</v>
      </c>
      <c r="G49" s="2">
        <v>857.24373512570071</v>
      </c>
      <c r="H49" s="2">
        <v>887.87522682551855</v>
      </c>
      <c r="I49" s="2">
        <v>447.38002331920012</v>
      </c>
      <c r="J49" s="2">
        <v>125.66076035609997</v>
      </c>
      <c r="K49" s="2"/>
      <c r="L49" s="2">
        <v>7065.8606982082611</v>
      </c>
      <c r="N49" t="s">
        <v>12</v>
      </c>
      <c r="O49" s="2">
        <v>3311.0764187217374</v>
      </c>
      <c r="P49" s="2">
        <v>633.88184452733935</v>
      </c>
      <c r="Q49" s="2">
        <v>556.17704827736998</v>
      </c>
      <c r="R49" s="2">
        <v>797.21164916180965</v>
      </c>
      <c r="S49" s="2">
        <v>923.25688819898915</v>
      </c>
      <c r="T49" s="2">
        <v>433.51474677361421</v>
      </c>
      <c r="U49" s="2">
        <v>167.29226084333004</v>
      </c>
      <c r="V49" s="2"/>
      <c r="W49" s="2">
        <v>6822.4108565041834</v>
      </c>
      <c r="Y49" t="s">
        <v>12</v>
      </c>
      <c r="Z49" s="2">
        <v>3112.7553243204288</v>
      </c>
      <c r="AA49" s="2">
        <v>587.1540960767303</v>
      </c>
      <c r="AB49" s="2">
        <v>589.58562405654993</v>
      </c>
      <c r="AC49" s="2">
        <v>873.64048926074963</v>
      </c>
      <c r="AD49" s="2">
        <v>877.49380224076947</v>
      </c>
      <c r="AE49" s="2">
        <v>437.08024855670709</v>
      </c>
      <c r="AF49" s="2">
        <v>186.44204541958996</v>
      </c>
      <c r="AG49" s="2">
        <v>31.540433230500007</v>
      </c>
      <c r="AH49" s="2">
        <v>6695.6920631620333</v>
      </c>
      <c r="AJ49" t="s">
        <v>12</v>
      </c>
      <c r="AK49" s="2">
        <v>3042.1208697112206</v>
      </c>
      <c r="AL49" s="2">
        <v>602.04620639720952</v>
      </c>
      <c r="AM49" s="2">
        <v>586.9134345245501</v>
      </c>
      <c r="AN49" s="2">
        <v>880.75522525875056</v>
      </c>
      <c r="AO49" s="2">
        <v>952.63679719430013</v>
      </c>
      <c r="AP49" s="2">
        <v>419.50105119425785</v>
      </c>
      <c r="AQ49" s="2">
        <v>173.17627678654097</v>
      </c>
      <c r="AR49" s="2">
        <v>90.001118065460005</v>
      </c>
      <c r="AS49" s="2">
        <v>6747.1509791322851</v>
      </c>
      <c r="AV49" s="2">
        <v>3073.4315769503951</v>
      </c>
      <c r="AW49" s="2">
        <v>578.40995353467054</v>
      </c>
      <c r="AX49" s="2">
        <v>550.2259116207307</v>
      </c>
      <c r="AY49" s="2">
        <v>858.24550343009992</v>
      </c>
      <c r="AZ49" s="2">
        <v>1186.1644655895586</v>
      </c>
      <c r="BA49" s="2">
        <v>404.24036317577009</v>
      </c>
      <c r="BB49" s="2">
        <v>168.24714511258995</v>
      </c>
      <c r="BC49" s="2">
        <v>149.49012152385004</v>
      </c>
      <c r="BD49" s="2">
        <v>6968.4550409376579</v>
      </c>
      <c r="BG49" s="2">
        <v>3073.4315769503951</v>
      </c>
      <c r="BH49" s="2">
        <v>578.40995353467054</v>
      </c>
      <c r="BI49" s="2">
        <v>550.2259116207307</v>
      </c>
      <c r="BJ49" s="2">
        <v>858.24550343009992</v>
      </c>
      <c r="BK49" s="2">
        <v>1186.1644655895586</v>
      </c>
      <c r="BL49" s="2">
        <v>404.24036317577009</v>
      </c>
      <c r="BM49" s="2">
        <v>168.24714511258995</v>
      </c>
      <c r="BN49" s="2">
        <v>149.49012152385004</v>
      </c>
      <c r="BO49" s="2">
        <v>6968.4550409376579</v>
      </c>
      <c r="BQ49" t="s">
        <v>12</v>
      </c>
      <c r="BR49" s="2">
        <v>2806.0962141658624</v>
      </c>
      <c r="BS49" s="2">
        <v>566.63343438049822</v>
      </c>
      <c r="BT49" s="2">
        <v>580.97535162764984</v>
      </c>
      <c r="BU49" s="2">
        <v>765.66528302425013</v>
      </c>
      <c r="BV49" s="2">
        <v>1092.346070266909</v>
      </c>
      <c r="BW49" s="2">
        <v>396.65023092010023</v>
      </c>
      <c r="BX49" s="2">
        <v>171.61853781095004</v>
      </c>
      <c r="BY49" s="2">
        <v>290.5169871585</v>
      </c>
      <c r="BZ49" s="2">
        <v>6670.5021093547202</v>
      </c>
      <c r="CB49">
        <v>6670.5021093547211</v>
      </c>
      <c r="CC49" s="2"/>
      <c r="CD49" s="2"/>
      <c r="CM49" s="2"/>
    </row>
    <row r="50" spans="3:91" x14ac:dyDescent="0.2">
      <c r="C50" t="s">
        <v>13</v>
      </c>
      <c r="D50" s="2">
        <v>10.782584612499999</v>
      </c>
      <c r="E50" s="2">
        <v>2.7150962611999998</v>
      </c>
      <c r="F50" s="2">
        <v>20.559512644200002</v>
      </c>
      <c r="G50" s="2">
        <v>63.302090950399986</v>
      </c>
      <c r="H50" s="2">
        <v>229.01264576839003</v>
      </c>
      <c r="I50" s="2">
        <v>152.57020604535995</v>
      </c>
      <c r="J50" s="2">
        <v>112.898485070112</v>
      </c>
      <c r="K50" s="2"/>
      <c r="L50" s="2">
        <v>591.84062135216209</v>
      </c>
      <c r="N50" t="s">
        <v>13</v>
      </c>
      <c r="O50" s="2">
        <v>0</v>
      </c>
      <c r="P50" s="2">
        <v>2.0747237506</v>
      </c>
      <c r="Q50" s="2">
        <v>18.9180140874</v>
      </c>
      <c r="R50" s="2">
        <v>60.241343713200003</v>
      </c>
      <c r="S50" s="2">
        <v>177.48280034402603</v>
      </c>
      <c r="T50" s="2">
        <v>160.64364432240995</v>
      </c>
      <c r="U50" s="2">
        <v>143.23646512104</v>
      </c>
      <c r="V50" s="2"/>
      <c r="W50" s="2">
        <v>562.59699133867605</v>
      </c>
      <c r="Y50" t="s">
        <v>13</v>
      </c>
      <c r="Z50" s="2">
        <v>0</v>
      </c>
      <c r="AA50" s="2">
        <v>1.8214597240000001</v>
      </c>
      <c r="AB50" s="2">
        <v>16.895163738000001</v>
      </c>
      <c r="AC50" s="2">
        <v>69.400763668599993</v>
      </c>
      <c r="AD50" s="2">
        <v>199.01857008844502</v>
      </c>
      <c r="AE50" s="2">
        <v>141.45761756368302</v>
      </c>
      <c r="AF50" s="2">
        <v>148.68130701010907</v>
      </c>
      <c r="AG50" s="2">
        <v>7.0098129032000003</v>
      </c>
      <c r="AH50" s="2">
        <v>584.28469469603715</v>
      </c>
      <c r="AJ50" t="s">
        <v>13</v>
      </c>
      <c r="AK50" s="2">
        <v>0</v>
      </c>
      <c r="AL50" s="2">
        <v>0</v>
      </c>
      <c r="AM50" s="2">
        <v>15.5184297164</v>
      </c>
      <c r="AN50" s="2">
        <v>57.426724546499997</v>
      </c>
      <c r="AO50" s="2">
        <v>182.90038664458001</v>
      </c>
      <c r="AP50" s="2">
        <v>138.356057300863</v>
      </c>
      <c r="AQ50" s="2">
        <v>139.10882736506397</v>
      </c>
      <c r="AR50" s="2">
        <v>34.392927479199997</v>
      </c>
      <c r="AS50" s="2">
        <v>567.70335305260733</v>
      </c>
      <c r="AV50" s="2">
        <v>3.9643303808000003</v>
      </c>
      <c r="AW50" s="2">
        <v>0</v>
      </c>
      <c r="AX50" s="2">
        <v>10.975235672499998</v>
      </c>
      <c r="AY50" s="2">
        <v>35.652492219099997</v>
      </c>
      <c r="AZ50" s="2">
        <v>134.53489271110001</v>
      </c>
      <c r="BA50" s="2">
        <v>139.32110178460002</v>
      </c>
      <c r="BB50" s="2">
        <v>121.61865734086999</v>
      </c>
      <c r="BC50" s="2">
        <v>48.522971963099991</v>
      </c>
      <c r="BD50" s="2">
        <v>494.58968207207022</v>
      </c>
      <c r="BG50" s="2">
        <v>3.9643303808000003</v>
      </c>
      <c r="BH50" s="2">
        <v>0</v>
      </c>
      <c r="BI50" s="2">
        <v>10.975235672499998</v>
      </c>
      <c r="BJ50" s="2">
        <v>35.652492219099997</v>
      </c>
      <c r="BK50" s="2">
        <v>134.53489271110001</v>
      </c>
      <c r="BL50" s="2">
        <v>139.32110178460002</v>
      </c>
      <c r="BM50" s="2">
        <v>121.61865734086999</v>
      </c>
      <c r="BN50" s="2">
        <v>48.522971963099991</v>
      </c>
      <c r="BO50" s="2">
        <v>494.58968207207022</v>
      </c>
      <c r="BQ50" t="s">
        <v>13</v>
      </c>
      <c r="BR50" s="2">
        <v>5.4507617287999999</v>
      </c>
      <c r="BS50" s="2">
        <v>0</v>
      </c>
      <c r="BT50" s="2">
        <v>7.7761686695999996</v>
      </c>
      <c r="BU50" s="2">
        <v>48.503877125599999</v>
      </c>
      <c r="BV50" s="2">
        <v>131.49698185357997</v>
      </c>
      <c r="BW50" s="2">
        <v>119.20339831189999</v>
      </c>
      <c r="BX50" s="2">
        <v>131.91044816774999</v>
      </c>
      <c r="BY50" s="2">
        <v>96.125402593870021</v>
      </c>
      <c r="BZ50" s="2">
        <v>540.46703845110005</v>
      </c>
      <c r="CB50">
        <v>540.46703845109994</v>
      </c>
      <c r="CC50" s="2"/>
      <c r="CD50" s="2"/>
      <c r="CM50" s="2"/>
    </row>
    <row r="51" spans="3:91" x14ac:dyDescent="0.2">
      <c r="C51" t="s">
        <v>14</v>
      </c>
      <c r="D51" s="2">
        <v>7256.3560921339076</v>
      </c>
      <c r="E51" s="2">
        <v>1665.3080870754604</v>
      </c>
      <c r="F51" s="2">
        <v>2595.7806239605338</v>
      </c>
      <c r="G51" s="2">
        <v>2451.8145737051027</v>
      </c>
      <c r="H51" s="2">
        <v>2593.5461499788676</v>
      </c>
      <c r="I51" s="2">
        <v>1878.3395272267592</v>
      </c>
      <c r="J51" s="2">
        <v>1040.7341515491521</v>
      </c>
      <c r="K51" s="2"/>
      <c r="L51" s="2">
        <v>19481.879205629786</v>
      </c>
      <c r="N51" t="s">
        <v>14</v>
      </c>
      <c r="O51" s="2">
        <v>7370.1460699828567</v>
      </c>
      <c r="P51" s="2">
        <v>1694.8124857546482</v>
      </c>
      <c r="Q51" s="2">
        <v>2570.1785065175732</v>
      </c>
      <c r="R51" s="2">
        <v>2453.4191348814111</v>
      </c>
      <c r="S51" s="2">
        <v>2642.9128675457955</v>
      </c>
      <c r="T51" s="2">
        <v>1888.1755151698537</v>
      </c>
      <c r="U51" s="2">
        <v>1337.0484333866798</v>
      </c>
      <c r="V51" s="2"/>
      <c r="W51" s="2">
        <v>19956.693013238833</v>
      </c>
      <c r="Y51" t="s">
        <v>14</v>
      </c>
      <c r="Z51" s="2">
        <v>7283.4538710906081</v>
      </c>
      <c r="AA51" s="2">
        <v>1694.0082856007296</v>
      </c>
      <c r="AB51" s="2">
        <v>2665.2213752507214</v>
      </c>
      <c r="AC51" s="2">
        <v>2557.92543476225</v>
      </c>
      <c r="AD51" s="2">
        <v>2660.1345668024164</v>
      </c>
      <c r="AE51" s="2">
        <v>1872.7869484282496</v>
      </c>
      <c r="AF51" s="2">
        <v>1375.5647710271985</v>
      </c>
      <c r="AG51" s="2">
        <v>211.80177603104997</v>
      </c>
      <c r="AH51" s="2">
        <v>20320.897028993248</v>
      </c>
      <c r="AJ51" t="s">
        <v>14</v>
      </c>
      <c r="AK51" s="2">
        <v>6994.2009947695733</v>
      </c>
      <c r="AL51" s="2">
        <v>1652.2430460274386</v>
      </c>
      <c r="AM51" s="2">
        <v>2610.3007946383923</v>
      </c>
      <c r="AN51" s="2">
        <v>2479.9995716381623</v>
      </c>
      <c r="AO51" s="2">
        <v>2767.3113076500008</v>
      </c>
      <c r="AP51" s="2">
        <v>1816.6558202892973</v>
      </c>
      <c r="AQ51" s="2">
        <v>1331.6550088160361</v>
      </c>
      <c r="AR51" s="2">
        <v>480.48742116665989</v>
      </c>
      <c r="AS51" s="2">
        <v>20132.853964995556</v>
      </c>
      <c r="AV51" s="2">
        <v>6914.9556093115953</v>
      </c>
      <c r="AW51" s="2">
        <v>1654.60625013767</v>
      </c>
      <c r="AX51" s="2">
        <v>2527.9308132422561</v>
      </c>
      <c r="AY51" s="2">
        <v>2467.8054003960865</v>
      </c>
      <c r="AZ51" s="2">
        <v>2903.3409842380966</v>
      </c>
      <c r="BA51" s="2">
        <v>1797.2385728453103</v>
      </c>
      <c r="BB51" s="2">
        <v>1311.3251705022903</v>
      </c>
      <c r="BC51" s="2">
        <v>754.47494031420979</v>
      </c>
      <c r="BD51" s="2">
        <v>20331.677740987561</v>
      </c>
      <c r="BG51" s="2">
        <v>6914.9556093115953</v>
      </c>
      <c r="BH51" s="2">
        <v>1654.60625013767</v>
      </c>
      <c r="BI51" s="2">
        <v>2527.9308132422561</v>
      </c>
      <c r="BJ51" s="2">
        <v>2467.8054003960865</v>
      </c>
      <c r="BK51" s="2">
        <v>2903.3409842380966</v>
      </c>
      <c r="BL51" s="2">
        <v>1797.2385728453103</v>
      </c>
      <c r="BM51" s="2">
        <v>1311.3251705022903</v>
      </c>
      <c r="BN51" s="2">
        <v>754.47494031420979</v>
      </c>
      <c r="BO51" s="2">
        <v>20331.677740987561</v>
      </c>
      <c r="BQ51" t="s">
        <v>14</v>
      </c>
      <c r="BR51" s="2">
        <v>6573.8925898977868</v>
      </c>
      <c r="BS51" s="2">
        <v>1644.501829035348</v>
      </c>
      <c r="BT51" s="2">
        <v>2609.4452523118812</v>
      </c>
      <c r="BU51" s="2">
        <v>2451.0548930680802</v>
      </c>
      <c r="BV51" s="2">
        <v>2864.4004246939617</v>
      </c>
      <c r="BW51" s="2">
        <v>1758.2934310250907</v>
      </c>
      <c r="BX51" s="2">
        <v>1297.4303904702301</v>
      </c>
      <c r="BY51" s="2">
        <v>1252.196854503419</v>
      </c>
      <c r="BZ51" s="2">
        <v>20451.215665005788</v>
      </c>
      <c r="CB51">
        <v>20451.215665005795</v>
      </c>
      <c r="CM51" s="2"/>
    </row>
    <row r="52" spans="3:91" x14ac:dyDescent="0.2">
      <c r="BP52" s="1"/>
      <c r="CM52" s="2"/>
    </row>
    <row r="53" spans="3:91" x14ac:dyDescent="0.2">
      <c r="C53" s="1" t="s">
        <v>16</v>
      </c>
      <c r="N53" s="1" t="s">
        <v>16</v>
      </c>
      <c r="Y53" s="1" t="s">
        <v>16</v>
      </c>
      <c r="AJ53" s="1" t="s">
        <v>16</v>
      </c>
      <c r="BQ53" s="1" t="s">
        <v>16</v>
      </c>
      <c r="CC53" s="2"/>
      <c r="CD53" s="2"/>
      <c r="CM53" s="2"/>
    </row>
    <row r="54" spans="3:91" x14ac:dyDescent="0.2">
      <c r="C54" t="s">
        <v>9</v>
      </c>
      <c r="D54" s="2">
        <v>1098</v>
      </c>
      <c r="E54" s="2">
        <v>338</v>
      </c>
      <c r="F54" s="2">
        <v>689</v>
      </c>
      <c r="G54" s="2">
        <v>582</v>
      </c>
      <c r="H54" s="2">
        <v>574</v>
      </c>
      <c r="I54" s="2">
        <v>407</v>
      </c>
      <c r="J54" s="2">
        <v>273</v>
      </c>
      <c r="K54" s="2"/>
      <c r="L54" s="2">
        <v>3961</v>
      </c>
      <c r="N54" t="s">
        <v>9</v>
      </c>
      <c r="O54" s="2">
        <v>1202</v>
      </c>
      <c r="P54" s="2">
        <v>360</v>
      </c>
      <c r="Q54" s="2">
        <v>740</v>
      </c>
      <c r="R54" s="2">
        <v>634</v>
      </c>
      <c r="S54" s="2">
        <v>609</v>
      </c>
      <c r="T54" s="2">
        <v>468</v>
      </c>
      <c r="U54" s="2">
        <v>434</v>
      </c>
      <c r="V54" s="2"/>
      <c r="W54" s="2">
        <v>4447</v>
      </c>
      <c r="Y54" t="s">
        <v>9</v>
      </c>
      <c r="Z54" s="2">
        <v>1149</v>
      </c>
      <c r="AA54" s="2">
        <v>354</v>
      </c>
      <c r="AB54" s="2">
        <v>693</v>
      </c>
      <c r="AC54" s="2">
        <v>578</v>
      </c>
      <c r="AD54" s="2">
        <v>570</v>
      </c>
      <c r="AE54" s="2">
        <v>445</v>
      </c>
      <c r="AF54" s="2">
        <v>456</v>
      </c>
      <c r="AG54" s="2">
        <v>52</v>
      </c>
      <c r="AH54" s="2">
        <v>4297</v>
      </c>
      <c r="AJ54" t="s">
        <v>9</v>
      </c>
      <c r="AK54" s="2">
        <v>1210</v>
      </c>
      <c r="AL54" s="2">
        <v>366</v>
      </c>
      <c r="AM54" s="2">
        <v>752</v>
      </c>
      <c r="AN54" s="2">
        <v>620</v>
      </c>
      <c r="AO54" s="2">
        <v>623</v>
      </c>
      <c r="AP54" s="2">
        <v>480</v>
      </c>
      <c r="AQ54" s="2">
        <v>538</v>
      </c>
      <c r="AR54" s="2">
        <v>153</v>
      </c>
      <c r="AS54" s="2">
        <v>4742</v>
      </c>
      <c r="AV54" s="2">
        <v>1126</v>
      </c>
      <c r="AW54" s="2">
        <v>357</v>
      </c>
      <c r="AX54" s="2">
        <v>678</v>
      </c>
      <c r="AY54" s="2">
        <v>559</v>
      </c>
      <c r="AZ54" s="2">
        <v>555</v>
      </c>
      <c r="BA54" s="2">
        <v>413</v>
      </c>
      <c r="BB54" s="2">
        <v>414</v>
      </c>
      <c r="BC54" s="2">
        <v>224</v>
      </c>
      <c r="BD54" s="2">
        <v>4326</v>
      </c>
      <c r="BG54" s="2">
        <v>1126</v>
      </c>
      <c r="BH54" s="2">
        <v>357</v>
      </c>
      <c r="BI54" s="2">
        <v>678</v>
      </c>
      <c r="BJ54" s="2">
        <v>559</v>
      </c>
      <c r="BK54" s="2">
        <v>555</v>
      </c>
      <c r="BL54" s="2">
        <v>413</v>
      </c>
      <c r="BM54" s="2">
        <v>414</v>
      </c>
      <c r="BN54" s="2">
        <v>224</v>
      </c>
      <c r="BO54" s="2">
        <v>4326</v>
      </c>
      <c r="BQ54" t="s">
        <v>9</v>
      </c>
      <c r="BR54" s="2">
        <v>1145</v>
      </c>
      <c r="BS54" s="2">
        <v>346</v>
      </c>
      <c r="BT54" s="2">
        <v>739</v>
      </c>
      <c r="BU54" s="2">
        <v>611</v>
      </c>
      <c r="BV54" s="2">
        <v>588</v>
      </c>
      <c r="BW54" s="2">
        <v>460</v>
      </c>
      <c r="BX54" s="2">
        <v>477</v>
      </c>
      <c r="BY54" s="2">
        <v>433</v>
      </c>
      <c r="BZ54" s="2">
        <v>4799</v>
      </c>
      <c r="CB54">
        <v>4799</v>
      </c>
      <c r="CC54" s="2"/>
      <c r="CD54" s="2"/>
      <c r="CM54" s="2"/>
    </row>
    <row r="55" spans="3:91" x14ac:dyDescent="0.2">
      <c r="C55" t="s">
        <v>10</v>
      </c>
      <c r="D55" s="2">
        <v>1096</v>
      </c>
      <c r="E55" s="2">
        <v>338</v>
      </c>
      <c r="F55" s="2">
        <v>682</v>
      </c>
      <c r="G55" s="2">
        <v>557</v>
      </c>
      <c r="H55" s="2">
        <v>483</v>
      </c>
      <c r="I55" s="2">
        <v>351</v>
      </c>
      <c r="J55" s="2">
        <v>247</v>
      </c>
      <c r="K55" s="2"/>
      <c r="L55" s="2">
        <v>3754</v>
      </c>
      <c r="N55" t="s">
        <v>10</v>
      </c>
      <c r="O55" s="2">
        <v>1202</v>
      </c>
      <c r="P55" s="2">
        <v>359</v>
      </c>
      <c r="Q55" s="2">
        <v>733</v>
      </c>
      <c r="R55" s="2">
        <v>608</v>
      </c>
      <c r="S55" s="2">
        <v>529</v>
      </c>
      <c r="T55" s="2">
        <v>407</v>
      </c>
      <c r="U55" s="2">
        <v>401</v>
      </c>
      <c r="V55" s="2"/>
      <c r="W55" s="2">
        <v>4239</v>
      </c>
      <c r="Y55" t="s">
        <v>10</v>
      </c>
      <c r="Z55" s="2">
        <v>1149</v>
      </c>
      <c r="AA55" s="2">
        <v>353</v>
      </c>
      <c r="AB55" s="2">
        <v>687</v>
      </c>
      <c r="AC55" s="2">
        <v>551</v>
      </c>
      <c r="AD55" s="2">
        <v>488</v>
      </c>
      <c r="AE55" s="2">
        <v>386</v>
      </c>
      <c r="AF55" s="2">
        <v>404</v>
      </c>
      <c r="AG55" s="2">
        <v>51</v>
      </c>
      <c r="AH55" s="2">
        <v>4069</v>
      </c>
      <c r="AJ55" t="s">
        <v>10</v>
      </c>
      <c r="AK55" s="2">
        <v>1210</v>
      </c>
      <c r="AL55" s="2">
        <v>366</v>
      </c>
      <c r="AM55" s="2">
        <v>747</v>
      </c>
      <c r="AN55" s="2">
        <v>598</v>
      </c>
      <c r="AO55" s="2">
        <v>540</v>
      </c>
      <c r="AP55" s="2">
        <v>426</v>
      </c>
      <c r="AQ55" s="2">
        <v>491</v>
      </c>
      <c r="AR55" s="2">
        <v>148</v>
      </c>
      <c r="AS55" s="2">
        <v>4526</v>
      </c>
      <c r="AV55" s="2">
        <v>1124</v>
      </c>
      <c r="AW55" s="2">
        <v>357</v>
      </c>
      <c r="AX55" s="2">
        <v>674</v>
      </c>
      <c r="AY55" s="2">
        <v>546</v>
      </c>
      <c r="AZ55" s="2">
        <v>504</v>
      </c>
      <c r="BA55" s="2">
        <v>387</v>
      </c>
      <c r="BB55" s="2">
        <v>380</v>
      </c>
      <c r="BC55" s="2">
        <v>202</v>
      </c>
      <c r="BD55" s="2">
        <v>4174</v>
      </c>
      <c r="BG55" s="2">
        <v>1124</v>
      </c>
      <c r="BH55" s="2">
        <v>357</v>
      </c>
      <c r="BI55" s="2">
        <v>674</v>
      </c>
      <c r="BJ55" s="2">
        <v>546</v>
      </c>
      <c r="BK55" s="2">
        <v>504</v>
      </c>
      <c r="BL55" s="2">
        <v>387</v>
      </c>
      <c r="BM55" s="2">
        <v>380</v>
      </c>
      <c r="BN55" s="2">
        <v>202</v>
      </c>
      <c r="BO55" s="2">
        <v>4174</v>
      </c>
      <c r="BQ55" t="s">
        <v>10</v>
      </c>
      <c r="BR55" s="2">
        <v>1143</v>
      </c>
      <c r="BS55" s="2">
        <v>346</v>
      </c>
      <c r="BT55" s="2">
        <v>736</v>
      </c>
      <c r="BU55" s="2">
        <v>593</v>
      </c>
      <c r="BV55" s="2">
        <v>543</v>
      </c>
      <c r="BW55" s="2">
        <v>434</v>
      </c>
      <c r="BX55" s="2">
        <v>442</v>
      </c>
      <c r="BY55" s="2">
        <v>407</v>
      </c>
      <c r="BZ55" s="2">
        <v>4644</v>
      </c>
      <c r="CB55">
        <v>4644</v>
      </c>
      <c r="CC55" s="2"/>
      <c r="CD55" s="2"/>
      <c r="CM55" s="12"/>
    </row>
    <row r="56" spans="3:91" x14ac:dyDescent="0.2">
      <c r="C56" t="s">
        <v>11</v>
      </c>
      <c r="D56" s="2">
        <v>12</v>
      </c>
      <c r="E56" s="2">
        <v>1</v>
      </c>
      <c r="F56" s="2">
        <v>2</v>
      </c>
      <c r="G56" s="2">
        <v>3</v>
      </c>
      <c r="H56" s="2">
        <v>3</v>
      </c>
      <c r="I56" s="2">
        <v>3</v>
      </c>
      <c r="J56" s="2">
        <v>21</v>
      </c>
      <c r="K56" s="2"/>
      <c r="L56" s="2">
        <v>45</v>
      </c>
      <c r="N56" t="s">
        <v>11</v>
      </c>
      <c r="O56" s="2">
        <v>206</v>
      </c>
      <c r="P56" s="2">
        <v>52</v>
      </c>
      <c r="Q56" s="2">
        <v>49</v>
      </c>
      <c r="R56" s="2">
        <v>41</v>
      </c>
      <c r="S56" s="2">
        <v>65</v>
      </c>
      <c r="T56" s="2">
        <v>78</v>
      </c>
      <c r="U56" s="2">
        <v>67</v>
      </c>
      <c r="V56" s="2"/>
      <c r="W56" s="2">
        <v>558</v>
      </c>
      <c r="Y56" t="s">
        <v>11</v>
      </c>
      <c r="Z56" s="2">
        <v>165</v>
      </c>
      <c r="AA56" s="2">
        <v>27</v>
      </c>
      <c r="AB56" s="2">
        <v>36</v>
      </c>
      <c r="AC56" s="2">
        <v>30</v>
      </c>
      <c r="AD56" s="2">
        <v>57</v>
      </c>
      <c r="AE56" s="2">
        <v>77</v>
      </c>
      <c r="AF56" s="2">
        <v>59</v>
      </c>
      <c r="AG56" s="2">
        <v>5</v>
      </c>
      <c r="AH56" s="2">
        <v>456</v>
      </c>
      <c r="AJ56" t="s">
        <v>11</v>
      </c>
      <c r="AK56" s="2">
        <v>245</v>
      </c>
      <c r="AL56" s="2">
        <v>55</v>
      </c>
      <c r="AM56" s="2">
        <v>59</v>
      </c>
      <c r="AN56" s="2">
        <v>41</v>
      </c>
      <c r="AO56" s="2">
        <v>79</v>
      </c>
      <c r="AP56" s="2">
        <v>106</v>
      </c>
      <c r="AQ56" s="2">
        <v>102</v>
      </c>
      <c r="AR56" s="2">
        <v>23</v>
      </c>
      <c r="AS56" s="2">
        <v>710</v>
      </c>
      <c r="AV56" s="2">
        <v>186</v>
      </c>
      <c r="AW56" s="2">
        <v>31</v>
      </c>
      <c r="AX56" s="2">
        <v>36</v>
      </c>
      <c r="AY56" s="2">
        <v>28</v>
      </c>
      <c r="AZ56" s="2">
        <v>67</v>
      </c>
      <c r="BA56" s="2">
        <v>88</v>
      </c>
      <c r="BB56" s="2">
        <v>68</v>
      </c>
      <c r="BC56" s="2">
        <v>30</v>
      </c>
      <c r="BD56" s="2">
        <v>534</v>
      </c>
      <c r="BG56" s="2">
        <v>186</v>
      </c>
      <c r="BH56" s="2">
        <v>31</v>
      </c>
      <c r="BI56" s="2">
        <v>36</v>
      </c>
      <c r="BJ56" s="2">
        <v>28</v>
      </c>
      <c r="BK56" s="2">
        <v>67</v>
      </c>
      <c r="BL56" s="2">
        <v>88</v>
      </c>
      <c r="BM56" s="2">
        <v>68</v>
      </c>
      <c r="BN56" s="2">
        <v>30</v>
      </c>
      <c r="BO56" s="2">
        <v>534</v>
      </c>
      <c r="BQ56" t="s">
        <v>11</v>
      </c>
      <c r="BR56" s="2">
        <v>273</v>
      </c>
      <c r="BS56" s="2">
        <v>56</v>
      </c>
      <c r="BT56" s="2">
        <v>65</v>
      </c>
      <c r="BU56" s="2">
        <v>59</v>
      </c>
      <c r="BV56" s="2">
        <v>105</v>
      </c>
      <c r="BW56" s="2">
        <v>122</v>
      </c>
      <c r="BX56" s="2">
        <v>76</v>
      </c>
      <c r="BY56" s="2">
        <v>87</v>
      </c>
      <c r="BZ56" s="2">
        <v>843</v>
      </c>
      <c r="CB56">
        <v>843</v>
      </c>
      <c r="CC56" s="2"/>
      <c r="CD56" s="2"/>
    </row>
    <row r="57" spans="3:91" x14ac:dyDescent="0.2">
      <c r="C57" t="s">
        <v>12</v>
      </c>
      <c r="D57" s="2">
        <v>43</v>
      </c>
      <c r="E57" s="2">
        <v>10</v>
      </c>
      <c r="F57" s="2">
        <v>5</v>
      </c>
      <c r="G57" s="2">
        <v>13</v>
      </c>
      <c r="H57" s="2">
        <v>11</v>
      </c>
      <c r="I57" s="2">
        <v>5</v>
      </c>
      <c r="J57" s="2">
        <v>7</v>
      </c>
      <c r="K57" s="2"/>
      <c r="L57" s="2">
        <v>94</v>
      </c>
      <c r="N57" t="s">
        <v>12</v>
      </c>
      <c r="O57" s="2">
        <v>584</v>
      </c>
      <c r="P57" s="2">
        <v>94</v>
      </c>
      <c r="Q57" s="2">
        <v>82</v>
      </c>
      <c r="R57" s="2">
        <v>163</v>
      </c>
      <c r="S57" s="2">
        <v>188</v>
      </c>
      <c r="T57" s="2">
        <v>81</v>
      </c>
      <c r="U57" s="2">
        <v>39</v>
      </c>
      <c r="V57" s="2"/>
      <c r="W57" s="2">
        <v>1231</v>
      </c>
      <c r="Y57" t="s">
        <v>12</v>
      </c>
      <c r="Z57" s="2">
        <v>713</v>
      </c>
      <c r="AA57" s="2">
        <v>126</v>
      </c>
      <c r="AB57" s="2">
        <v>113</v>
      </c>
      <c r="AC57" s="2">
        <v>207</v>
      </c>
      <c r="AD57" s="2">
        <v>225</v>
      </c>
      <c r="AE57" s="2">
        <v>120</v>
      </c>
      <c r="AF57" s="2">
        <v>56</v>
      </c>
      <c r="AG57" s="2">
        <v>5</v>
      </c>
      <c r="AH57" s="2">
        <v>1565</v>
      </c>
      <c r="AJ57" t="s">
        <v>12</v>
      </c>
      <c r="AK57" s="2">
        <v>837</v>
      </c>
      <c r="AL57" s="2">
        <v>152</v>
      </c>
      <c r="AM57" s="2">
        <v>154</v>
      </c>
      <c r="AN57" s="2">
        <v>267</v>
      </c>
      <c r="AO57" s="2">
        <v>296</v>
      </c>
      <c r="AP57" s="2">
        <v>128</v>
      </c>
      <c r="AQ57" s="2">
        <v>113</v>
      </c>
      <c r="AR57" s="2">
        <v>28</v>
      </c>
      <c r="AS57" s="2">
        <v>1975</v>
      </c>
      <c r="AV57" s="2">
        <v>929</v>
      </c>
      <c r="AW57" s="2">
        <v>150</v>
      </c>
      <c r="AX57" s="2">
        <v>139</v>
      </c>
      <c r="AY57" s="2">
        <v>245</v>
      </c>
      <c r="AZ57" s="2">
        <v>344</v>
      </c>
      <c r="BA57" s="2">
        <v>143</v>
      </c>
      <c r="BB57" s="2">
        <v>63</v>
      </c>
      <c r="BC57" s="2">
        <v>50</v>
      </c>
      <c r="BD57" s="2">
        <v>2063</v>
      </c>
      <c r="BG57" s="2">
        <v>929</v>
      </c>
      <c r="BH57" s="2">
        <v>150</v>
      </c>
      <c r="BI57" s="2">
        <v>139</v>
      </c>
      <c r="BJ57" s="2">
        <v>245</v>
      </c>
      <c r="BK57" s="2">
        <v>344</v>
      </c>
      <c r="BL57" s="2">
        <v>143</v>
      </c>
      <c r="BM57" s="2">
        <v>63</v>
      </c>
      <c r="BN57" s="2">
        <v>50</v>
      </c>
      <c r="BO57" s="2">
        <v>2063</v>
      </c>
      <c r="BQ57" t="s">
        <v>12</v>
      </c>
      <c r="BR57" s="2">
        <v>981</v>
      </c>
      <c r="BS57" s="2">
        <v>191</v>
      </c>
      <c r="BT57" s="2">
        <v>195</v>
      </c>
      <c r="BU57" s="2">
        <v>282</v>
      </c>
      <c r="BV57" s="2">
        <v>400</v>
      </c>
      <c r="BW57" s="2">
        <v>214</v>
      </c>
      <c r="BX57" s="2">
        <v>98</v>
      </c>
      <c r="BY57" s="2">
        <v>111</v>
      </c>
      <c r="BZ57" s="2">
        <v>2472</v>
      </c>
      <c r="CB57">
        <v>2472</v>
      </c>
      <c r="CC57" s="2"/>
      <c r="CD57" s="2"/>
    </row>
    <row r="58" spans="3:91" x14ac:dyDescent="0.2">
      <c r="C58" t="s">
        <v>13</v>
      </c>
      <c r="D58" s="2">
        <v>2</v>
      </c>
      <c r="E58" s="2">
        <v>0</v>
      </c>
      <c r="F58" s="2">
        <v>7</v>
      </c>
      <c r="G58" s="2">
        <v>25</v>
      </c>
      <c r="H58" s="2">
        <v>91</v>
      </c>
      <c r="I58" s="2">
        <v>56</v>
      </c>
      <c r="J58" s="2">
        <v>26</v>
      </c>
      <c r="K58" s="2"/>
      <c r="L58" s="2">
        <v>207</v>
      </c>
      <c r="N58" t="s">
        <v>13</v>
      </c>
      <c r="O58" s="2">
        <v>0</v>
      </c>
      <c r="P58" s="2">
        <v>1</v>
      </c>
      <c r="Q58" s="2">
        <v>7</v>
      </c>
      <c r="R58" s="2">
        <v>26</v>
      </c>
      <c r="S58" s="2">
        <v>80</v>
      </c>
      <c r="T58" s="2">
        <v>61</v>
      </c>
      <c r="U58" s="2">
        <v>33</v>
      </c>
      <c r="V58" s="2"/>
      <c r="W58" s="2">
        <v>208</v>
      </c>
      <c r="Y58" t="s">
        <v>13</v>
      </c>
      <c r="Z58" s="2">
        <v>0</v>
      </c>
      <c r="AA58" s="2">
        <v>1</v>
      </c>
      <c r="AB58" s="2">
        <v>6</v>
      </c>
      <c r="AC58" s="2">
        <v>27</v>
      </c>
      <c r="AD58" s="2">
        <v>82</v>
      </c>
      <c r="AE58" s="2">
        <v>59</v>
      </c>
      <c r="AF58" s="2">
        <v>52</v>
      </c>
      <c r="AG58" s="2">
        <v>1</v>
      </c>
      <c r="AH58" s="2">
        <v>228</v>
      </c>
      <c r="AJ58" t="s">
        <v>13</v>
      </c>
      <c r="AK58" s="2">
        <v>0</v>
      </c>
      <c r="AL58" s="2">
        <v>0</v>
      </c>
      <c r="AM58" s="2">
        <v>5</v>
      </c>
      <c r="AN58" s="2">
        <v>22</v>
      </c>
      <c r="AO58" s="2">
        <v>83</v>
      </c>
      <c r="AP58" s="2">
        <v>54</v>
      </c>
      <c r="AQ58" s="2">
        <v>47</v>
      </c>
      <c r="AR58" s="2">
        <v>5</v>
      </c>
      <c r="AS58" s="2">
        <v>216</v>
      </c>
      <c r="AV58" s="2">
        <v>2</v>
      </c>
      <c r="AW58" s="2">
        <v>0</v>
      </c>
      <c r="AX58" s="2">
        <v>4</v>
      </c>
      <c r="AY58" s="2">
        <v>13</v>
      </c>
      <c r="AZ58" s="2">
        <v>51</v>
      </c>
      <c r="BA58" s="2">
        <v>26</v>
      </c>
      <c r="BB58" s="2">
        <v>34</v>
      </c>
      <c r="BC58" s="2">
        <v>22</v>
      </c>
      <c r="BD58" s="2">
        <v>152</v>
      </c>
      <c r="BG58" s="2">
        <v>2</v>
      </c>
      <c r="BH58" s="2">
        <v>0</v>
      </c>
      <c r="BI58" s="2">
        <v>4</v>
      </c>
      <c r="BJ58" s="2">
        <v>13</v>
      </c>
      <c r="BK58" s="2">
        <v>51</v>
      </c>
      <c r="BL58" s="2">
        <v>26</v>
      </c>
      <c r="BM58" s="2">
        <v>34</v>
      </c>
      <c r="BN58" s="2">
        <v>22</v>
      </c>
      <c r="BO58" s="2">
        <v>152</v>
      </c>
      <c r="BQ58" t="s">
        <v>13</v>
      </c>
      <c r="BR58" s="2">
        <v>2</v>
      </c>
      <c r="BS58" s="2">
        <v>0</v>
      </c>
      <c r="BT58" s="2">
        <v>3</v>
      </c>
      <c r="BU58" s="2">
        <v>18</v>
      </c>
      <c r="BV58" s="2">
        <v>45</v>
      </c>
      <c r="BW58" s="2">
        <v>26</v>
      </c>
      <c r="BX58" s="2">
        <v>35</v>
      </c>
      <c r="BY58" s="2">
        <v>26</v>
      </c>
      <c r="BZ58" s="2">
        <v>155</v>
      </c>
      <c r="CB58">
        <v>155</v>
      </c>
      <c r="CC58" s="2"/>
      <c r="CD58" s="2"/>
      <c r="CE58" s="2"/>
      <c r="CF58" s="2"/>
      <c r="CG58" s="2"/>
      <c r="CH58" s="2"/>
      <c r="CI58" s="2"/>
      <c r="CJ58" s="2"/>
    </row>
    <row r="59" spans="3:91" x14ac:dyDescent="0.2">
      <c r="C59" t="s">
        <v>14</v>
      </c>
      <c r="D59" s="2">
        <v>1153</v>
      </c>
      <c r="E59" s="2">
        <v>349</v>
      </c>
      <c r="F59" s="2">
        <v>696</v>
      </c>
      <c r="G59" s="2">
        <v>598</v>
      </c>
      <c r="H59" s="2">
        <v>588</v>
      </c>
      <c r="I59" s="2">
        <v>415</v>
      </c>
      <c r="J59" s="2">
        <v>301</v>
      </c>
      <c r="K59" s="2"/>
      <c r="L59" s="2">
        <v>4100</v>
      </c>
      <c r="N59" t="s">
        <v>14</v>
      </c>
      <c r="O59" s="2">
        <v>1992</v>
      </c>
      <c r="P59" s="2">
        <v>506</v>
      </c>
      <c r="Q59" s="2">
        <v>871</v>
      </c>
      <c r="R59" s="2">
        <v>838</v>
      </c>
      <c r="S59" s="2">
        <v>862</v>
      </c>
      <c r="T59" s="2">
        <v>628</v>
      </c>
      <c r="U59" s="2">
        <v>540</v>
      </c>
      <c r="V59" s="2"/>
      <c r="W59" s="2">
        <v>6237</v>
      </c>
      <c r="Y59" t="s">
        <v>14</v>
      </c>
      <c r="Z59" s="2">
        <v>2027</v>
      </c>
      <c r="AA59" s="2">
        <v>507</v>
      </c>
      <c r="AB59" s="2">
        <v>842</v>
      </c>
      <c r="AC59" s="2">
        <v>815</v>
      </c>
      <c r="AD59" s="2">
        <v>852</v>
      </c>
      <c r="AE59" s="2">
        <v>642</v>
      </c>
      <c r="AF59" s="2">
        <v>571</v>
      </c>
      <c r="AG59" s="2">
        <v>62</v>
      </c>
      <c r="AH59" s="2">
        <v>6318</v>
      </c>
      <c r="AJ59" t="s">
        <v>14</v>
      </c>
      <c r="AK59" s="2">
        <v>2292</v>
      </c>
      <c r="AL59" s="2">
        <v>573</v>
      </c>
      <c r="AM59" s="2">
        <v>965</v>
      </c>
      <c r="AN59" s="2">
        <v>928</v>
      </c>
      <c r="AO59" s="2">
        <v>998</v>
      </c>
      <c r="AP59" s="2">
        <v>714</v>
      </c>
      <c r="AQ59" s="2">
        <v>753</v>
      </c>
      <c r="AR59" s="2">
        <v>204</v>
      </c>
      <c r="AS59" s="2">
        <v>7427</v>
      </c>
      <c r="AV59" s="2">
        <v>2241</v>
      </c>
      <c r="AW59" s="2">
        <v>538</v>
      </c>
      <c r="AX59" s="2">
        <v>853</v>
      </c>
      <c r="AY59" s="2">
        <v>832</v>
      </c>
      <c r="AZ59" s="2">
        <v>966</v>
      </c>
      <c r="BA59" s="2">
        <v>644</v>
      </c>
      <c r="BB59" s="2">
        <v>545</v>
      </c>
      <c r="BC59" s="2">
        <v>304</v>
      </c>
      <c r="BD59" s="2">
        <v>6923</v>
      </c>
      <c r="BG59" s="2">
        <v>2241</v>
      </c>
      <c r="BH59" s="2">
        <v>538</v>
      </c>
      <c r="BI59" s="2">
        <v>853</v>
      </c>
      <c r="BJ59" s="2">
        <v>832</v>
      </c>
      <c r="BK59" s="2">
        <v>966</v>
      </c>
      <c r="BL59" s="2">
        <v>644</v>
      </c>
      <c r="BM59" s="2">
        <v>545</v>
      </c>
      <c r="BN59" s="2">
        <v>304</v>
      </c>
      <c r="BO59" s="2">
        <v>6923</v>
      </c>
      <c r="BQ59" t="s">
        <v>14</v>
      </c>
      <c r="BR59" s="2">
        <v>2399</v>
      </c>
      <c r="BS59" s="2">
        <v>593</v>
      </c>
      <c r="BT59" s="2">
        <v>999</v>
      </c>
      <c r="BU59" s="2">
        <v>952</v>
      </c>
      <c r="BV59" s="2">
        <v>1093</v>
      </c>
      <c r="BW59" s="2">
        <v>796</v>
      </c>
      <c r="BX59" s="2">
        <v>651</v>
      </c>
      <c r="BY59" s="2">
        <v>631</v>
      </c>
      <c r="BZ59" s="2">
        <v>8114</v>
      </c>
      <c r="CB59">
        <v>8114</v>
      </c>
    </row>
    <row r="60" spans="3:91" x14ac:dyDescent="0.2">
      <c r="AV60" t="s">
        <v>26</v>
      </c>
      <c r="AW60" t="s">
        <v>26</v>
      </c>
      <c r="AX60" t="s">
        <v>26</v>
      </c>
      <c r="AY60" t="s">
        <v>26</v>
      </c>
      <c r="AZ60" t="s">
        <v>26</v>
      </c>
      <c r="BI60" t="s">
        <v>26</v>
      </c>
      <c r="BJ60" t="s">
        <v>26</v>
      </c>
      <c r="BK60" t="s">
        <v>26</v>
      </c>
      <c r="CC60" s="3"/>
      <c r="CE60" s="4"/>
      <c r="CG60" s="5"/>
    </row>
    <row r="61" spans="3:91" x14ac:dyDescent="0.2">
      <c r="C61" t="s">
        <v>17</v>
      </c>
      <c r="E61" s="3">
        <v>30.021848674421783</v>
      </c>
      <c r="N61" t="s">
        <v>17</v>
      </c>
      <c r="P61" s="3">
        <v>36.49608845069227</v>
      </c>
      <c r="Y61" t="s">
        <v>17</v>
      </c>
      <c r="AA61" s="3">
        <v>37.988020022647262</v>
      </c>
      <c r="AJ61" t="s">
        <v>17</v>
      </c>
      <c r="AL61" s="3">
        <v>38.518938120519941</v>
      </c>
      <c r="AU61" t="s">
        <v>17</v>
      </c>
      <c r="AW61" s="3">
        <v>39.310463648962283</v>
      </c>
      <c r="AX61" t="s">
        <v>26</v>
      </c>
      <c r="AY61" t="s">
        <v>26</v>
      </c>
      <c r="AZ61" t="s">
        <v>26</v>
      </c>
      <c r="BF61" t="s">
        <v>17</v>
      </c>
      <c r="BH61" s="3">
        <v>39.310463648962283</v>
      </c>
      <c r="BI61" t="s">
        <v>26</v>
      </c>
      <c r="BJ61" t="s">
        <v>26</v>
      </c>
      <c r="BK61" t="s">
        <v>26</v>
      </c>
      <c r="BQ61" t="s">
        <v>17</v>
      </c>
      <c r="BS61" s="3">
        <v>39.66317131376389</v>
      </c>
    </row>
    <row r="62" spans="3:91" x14ac:dyDescent="0.2">
      <c r="AV62" t="s">
        <v>26</v>
      </c>
      <c r="AW62" t="s">
        <v>26</v>
      </c>
      <c r="AX62" t="s">
        <v>26</v>
      </c>
      <c r="AY62" t="s">
        <v>26</v>
      </c>
      <c r="AZ62" t="s">
        <v>26</v>
      </c>
      <c r="BG62" t="s">
        <v>26</v>
      </c>
      <c r="BH62" t="s">
        <v>26</v>
      </c>
      <c r="BI62" t="s">
        <v>26</v>
      </c>
      <c r="BJ62" t="s">
        <v>26</v>
      </c>
      <c r="BK62" t="s">
        <v>26</v>
      </c>
      <c r="BP62" s="1"/>
    </row>
    <row r="63" spans="3:91" ht="15.75" x14ac:dyDescent="0.25">
      <c r="C63" s="6" t="s">
        <v>21</v>
      </c>
      <c r="N63" s="6" t="s">
        <v>21</v>
      </c>
      <c r="Y63" s="6" t="s">
        <v>21</v>
      </c>
      <c r="AJ63" s="6" t="s">
        <v>21</v>
      </c>
      <c r="AU63" s="6" t="s">
        <v>21</v>
      </c>
      <c r="BF63" s="6" t="s">
        <v>21</v>
      </c>
      <c r="BQ63" s="6" t="s">
        <v>21</v>
      </c>
      <c r="CE63" t="s">
        <v>27</v>
      </c>
    </row>
    <row r="64" spans="3:91" x14ac:dyDescent="0.2">
      <c r="D64" t="s">
        <v>0</v>
      </c>
      <c r="E64" t="s">
        <v>1</v>
      </c>
      <c r="F64" t="s">
        <v>2</v>
      </c>
      <c r="G64" t="s">
        <v>3</v>
      </c>
      <c r="H64" t="s">
        <v>4</v>
      </c>
      <c r="I64" t="s">
        <v>5</v>
      </c>
      <c r="J64" t="s">
        <v>6</v>
      </c>
      <c r="K64" t="s">
        <v>7</v>
      </c>
      <c r="O64" t="s">
        <v>0</v>
      </c>
      <c r="P64" t="s">
        <v>1</v>
      </c>
      <c r="Q64" t="s">
        <v>2</v>
      </c>
      <c r="R64" t="s">
        <v>3</v>
      </c>
      <c r="S64" t="s">
        <v>4</v>
      </c>
      <c r="T64" t="s">
        <v>5</v>
      </c>
      <c r="U64" t="s">
        <v>6</v>
      </c>
      <c r="V64" t="s">
        <v>7</v>
      </c>
      <c r="Z64" t="s">
        <v>0</v>
      </c>
      <c r="AA64" t="s">
        <v>1</v>
      </c>
      <c r="AB64" t="s">
        <v>2</v>
      </c>
      <c r="AC64" t="s">
        <v>3</v>
      </c>
      <c r="AD64" t="s">
        <v>4</v>
      </c>
      <c r="AE64" t="s">
        <v>5</v>
      </c>
      <c r="AF64" t="s">
        <v>6</v>
      </c>
      <c r="AG64" t="s">
        <v>7</v>
      </c>
      <c r="AK64" t="s">
        <v>0</v>
      </c>
      <c r="AL64" t="s">
        <v>1</v>
      </c>
      <c r="AM64" t="s">
        <v>2</v>
      </c>
      <c r="AN64" t="s">
        <v>3</v>
      </c>
      <c r="AO64" t="s">
        <v>4</v>
      </c>
      <c r="AP64" t="s">
        <v>5</v>
      </c>
      <c r="AQ64" t="s">
        <v>6</v>
      </c>
      <c r="AR64" t="s">
        <v>7</v>
      </c>
      <c r="AV64" t="s">
        <v>0</v>
      </c>
      <c r="AW64" t="s">
        <v>1</v>
      </c>
      <c r="AX64" t="s">
        <v>2</v>
      </c>
      <c r="AY64" t="s">
        <v>3</v>
      </c>
      <c r="AZ64" t="s">
        <v>4</v>
      </c>
      <c r="BA64" t="s">
        <v>5</v>
      </c>
      <c r="BB64" t="s">
        <v>6</v>
      </c>
      <c r="BC64" t="s">
        <v>7</v>
      </c>
      <c r="BG64" t="s">
        <v>0</v>
      </c>
      <c r="BH64" t="s">
        <v>1</v>
      </c>
      <c r="BI64" t="s">
        <v>2</v>
      </c>
      <c r="BJ64" t="s">
        <v>3</v>
      </c>
      <c r="BK64" t="s">
        <v>4</v>
      </c>
      <c r="BL64" t="s">
        <v>5</v>
      </c>
      <c r="BM64" t="s">
        <v>6</v>
      </c>
      <c r="BN64" t="s">
        <v>7</v>
      </c>
      <c r="BR64" t="s">
        <v>0</v>
      </c>
      <c r="BS64" t="s">
        <v>1</v>
      </c>
      <c r="BT64" t="s">
        <v>2</v>
      </c>
      <c r="BU64" t="s">
        <v>3</v>
      </c>
      <c r="BV64" t="s">
        <v>4</v>
      </c>
      <c r="BW64" t="s">
        <v>5</v>
      </c>
      <c r="BX64" t="s">
        <v>6</v>
      </c>
      <c r="BY64" t="s">
        <v>7</v>
      </c>
      <c r="CF64" t="s">
        <v>0</v>
      </c>
      <c r="CG64" t="s">
        <v>1</v>
      </c>
      <c r="CH64" t="s">
        <v>2</v>
      </c>
      <c r="CI64" t="s">
        <v>3</v>
      </c>
      <c r="CJ64" t="s">
        <v>4</v>
      </c>
      <c r="CK64" t="s">
        <v>5</v>
      </c>
      <c r="CL64" t="s">
        <v>6</v>
      </c>
    </row>
    <row r="65" spans="3:90" x14ac:dyDescent="0.2">
      <c r="AV65" t="s">
        <v>26</v>
      </c>
      <c r="AW65" t="s">
        <v>26</v>
      </c>
      <c r="AX65" t="s">
        <v>26</v>
      </c>
      <c r="AY65" t="s">
        <v>26</v>
      </c>
      <c r="AZ65" t="s">
        <v>26</v>
      </c>
      <c r="BG65" t="s">
        <v>26</v>
      </c>
      <c r="BH65" t="s">
        <v>26</v>
      </c>
      <c r="BI65">
        <v>2500</v>
      </c>
      <c r="BJ65" t="s">
        <v>26</v>
      </c>
      <c r="BK65" t="s">
        <v>26</v>
      </c>
      <c r="BP65" s="1"/>
      <c r="CE65" s="11">
        <v>1997</v>
      </c>
      <c r="CF65" s="2">
        <f t="shared" ref="CF65:CL65" si="50">D76+D77</f>
        <v>4746.9247126156097</v>
      </c>
      <c r="CG65" s="2">
        <f t="shared" si="50"/>
        <v>1469.2028504061</v>
      </c>
      <c r="CH65" s="2">
        <f t="shared" si="50"/>
        <v>2933.6710019213924</v>
      </c>
      <c r="CI65" s="2">
        <f t="shared" si="50"/>
        <v>2384.2965733228034</v>
      </c>
      <c r="CJ65" s="2">
        <f t="shared" si="50"/>
        <v>2821.1537071789471</v>
      </c>
      <c r="CK65" s="2">
        <f t="shared" si="50"/>
        <v>1512.766496820801</v>
      </c>
      <c r="CL65" s="2">
        <f t="shared" si="50"/>
        <v>1608.9042574617868</v>
      </c>
    </row>
    <row r="66" spans="3:90" x14ac:dyDescent="0.2">
      <c r="C66" s="1" t="s">
        <v>8</v>
      </c>
      <c r="L66" s="2"/>
      <c r="N66" s="1" t="s">
        <v>8</v>
      </c>
      <c r="W66" s="2"/>
      <c r="Y66" s="1" t="s">
        <v>8</v>
      </c>
      <c r="AH66" s="2"/>
      <c r="AJ66" s="1" t="s">
        <v>8</v>
      </c>
      <c r="AS66" s="2"/>
      <c r="AU66" s="1" t="s">
        <v>8</v>
      </c>
      <c r="AV66" t="s">
        <v>26</v>
      </c>
      <c r="AW66" t="s">
        <v>26</v>
      </c>
      <c r="AX66" t="s">
        <v>26</v>
      </c>
      <c r="AY66" t="s">
        <v>26</v>
      </c>
      <c r="AZ66" t="s">
        <v>26</v>
      </c>
      <c r="BF66" s="1" t="s">
        <v>8</v>
      </c>
      <c r="BG66" t="s">
        <v>26</v>
      </c>
      <c r="BH66" t="s">
        <v>26</v>
      </c>
      <c r="BI66" t="s">
        <v>26</v>
      </c>
      <c r="BJ66" t="s">
        <v>26</v>
      </c>
      <c r="BK66" t="s">
        <v>26</v>
      </c>
      <c r="BQ66" s="1" t="s">
        <v>8</v>
      </c>
      <c r="BZ66" s="2"/>
      <c r="CC66" s="2"/>
      <c r="CD66" s="2"/>
      <c r="CE66" s="11">
        <v>1999</v>
      </c>
      <c r="CF66" s="2">
        <f t="shared" ref="CF66:CL66" si="51">O76+O77</f>
        <v>4870.2523062469982</v>
      </c>
      <c r="CG66" s="2">
        <f t="shared" si="51"/>
        <v>1494.8147389057528</v>
      </c>
      <c r="CH66" s="2">
        <f t="shared" si="51"/>
        <v>2875.3135017073623</v>
      </c>
      <c r="CI66" s="2">
        <f t="shared" si="51"/>
        <v>2408.5186732274856</v>
      </c>
      <c r="CJ66" s="2">
        <f t="shared" si="51"/>
        <v>2879.4337593009936</v>
      </c>
      <c r="CK66" s="2">
        <f t="shared" si="51"/>
        <v>1494.2408158839989</v>
      </c>
      <c r="CL66" s="2">
        <f t="shared" si="51"/>
        <v>2088.4248089016896</v>
      </c>
    </row>
    <row r="67" spans="3:90" x14ac:dyDescent="0.2">
      <c r="C67" t="s">
        <v>9</v>
      </c>
      <c r="D67" s="2">
        <v>2059.8233339062663</v>
      </c>
      <c r="E67" s="2">
        <v>1818.0395998289418</v>
      </c>
      <c r="F67" s="2">
        <v>1849.1734758798764</v>
      </c>
      <c r="G67" s="2">
        <v>1962.956519430403</v>
      </c>
      <c r="H67" s="2">
        <v>2048.8704418560069</v>
      </c>
      <c r="I67" s="2">
        <v>2188.0282216828873</v>
      </c>
      <c r="J67" s="2">
        <v>2221.4269519840018</v>
      </c>
      <c r="K67" s="2"/>
      <c r="L67" s="2">
        <v>2016.3781142967264</v>
      </c>
      <c r="N67" t="s">
        <v>9</v>
      </c>
      <c r="O67" s="2">
        <v>2043.2120060557932</v>
      </c>
      <c r="P67" s="2">
        <v>1744.9199130022425</v>
      </c>
      <c r="Q67" s="2">
        <v>1745.1779129667557</v>
      </c>
      <c r="R67" s="2">
        <v>1857.1450906590876</v>
      </c>
      <c r="S67" s="2">
        <v>2067.4736167614415</v>
      </c>
      <c r="T67" s="2">
        <v>2275.9306973051694</v>
      </c>
      <c r="U67" s="2">
        <v>2593.489269852781</v>
      </c>
      <c r="V67" s="2"/>
      <c r="W67" s="2">
        <v>2043.0950500678771</v>
      </c>
      <c r="Y67" t="s">
        <v>9</v>
      </c>
      <c r="Z67" s="2">
        <v>2048.259609915056</v>
      </c>
      <c r="AA67" s="2">
        <v>1690.1406502047789</v>
      </c>
      <c r="AB67" s="2">
        <v>1730.9652740381264</v>
      </c>
      <c r="AC67" s="2">
        <v>1870.4983966761874</v>
      </c>
      <c r="AD67" s="2">
        <v>1986.7418285315289</v>
      </c>
      <c r="AE67" s="2">
        <v>2233.7215795216057</v>
      </c>
      <c r="AF67" s="2">
        <v>2554.8238853655021</v>
      </c>
      <c r="AG67" s="2">
        <v>2739.323944343018</v>
      </c>
      <c r="AH67" s="2">
        <v>2032.7145442457579</v>
      </c>
      <c r="AJ67" t="s">
        <v>9</v>
      </c>
      <c r="AK67" s="2">
        <v>2061.5846054235458</v>
      </c>
      <c r="AL67" s="2">
        <v>1812.4423989939733</v>
      </c>
      <c r="AM67" s="2">
        <v>1786.8715742667912</v>
      </c>
      <c r="AN67" s="2">
        <v>1942.4045115915942</v>
      </c>
      <c r="AO67" s="2">
        <v>2016.3401637860029</v>
      </c>
      <c r="AP67" s="2">
        <v>2317.870882349705</v>
      </c>
      <c r="AQ67" s="2">
        <v>2635.195656459457</v>
      </c>
      <c r="AR67" s="2">
        <v>2741.6701055545527</v>
      </c>
      <c r="AS67" s="2">
        <v>2103.2380645946528</v>
      </c>
      <c r="AU67" t="s">
        <v>9</v>
      </c>
      <c r="AV67" s="2">
        <v>2067.5642072534647</v>
      </c>
      <c r="AW67" s="2">
        <v>1757.6907070540574</v>
      </c>
      <c r="AX67" s="2">
        <v>1803.2271695100419</v>
      </c>
      <c r="AY67" s="2">
        <v>1947.7473839704303</v>
      </c>
      <c r="AZ67" s="2">
        <v>2086.246451362782</v>
      </c>
      <c r="BA67" s="2">
        <v>2326.5558737742454</v>
      </c>
      <c r="BB67" s="2">
        <v>2700.7249026739655</v>
      </c>
      <c r="BC67" s="2">
        <v>2914.6929655635927</v>
      </c>
      <c r="BD67" s="2">
        <v>2153.1181164443478</v>
      </c>
      <c r="BF67" t="s">
        <v>9</v>
      </c>
      <c r="BG67" s="2">
        <v>2067.5642072534647</v>
      </c>
      <c r="BH67" s="2">
        <v>1757.6907070540574</v>
      </c>
      <c r="BI67" s="2">
        <v>1803.2271695100419</v>
      </c>
      <c r="BJ67" s="2">
        <v>1947.7473839704303</v>
      </c>
      <c r="BK67" s="2">
        <v>2086.246451362782</v>
      </c>
      <c r="BL67" s="2">
        <v>2326.5558737742454</v>
      </c>
      <c r="BM67" s="2">
        <v>2700.7249026739655</v>
      </c>
      <c r="BN67" s="2">
        <v>2914.6929655635927</v>
      </c>
      <c r="BO67" s="2">
        <v>2153.1181164443478</v>
      </c>
      <c r="BQ67" t="s">
        <v>9</v>
      </c>
      <c r="BR67" s="2">
        <v>2065.2888170062406</v>
      </c>
      <c r="BS67" s="2">
        <v>1778.0649626593322</v>
      </c>
      <c r="BT67" s="2">
        <v>1787.6421186228758</v>
      </c>
      <c r="BU67" s="2">
        <v>1940.0903975990425</v>
      </c>
      <c r="BV67" s="2">
        <v>2112.9442726380939</v>
      </c>
      <c r="BW67" s="2">
        <v>2162.2819355710776</v>
      </c>
      <c r="BX67" s="2">
        <v>2656.7785855859643</v>
      </c>
      <c r="BY67" s="2">
        <v>2807.5926527689635</v>
      </c>
      <c r="BZ67" s="2">
        <v>2157.3100838639425</v>
      </c>
      <c r="CC67" s="2"/>
      <c r="CD67" s="2"/>
      <c r="CE67" s="11">
        <v>2001</v>
      </c>
      <c r="CF67" s="2">
        <f t="shared" ref="CF67:CL67" si="52">Z76+Z77</f>
        <v>4752.0131489246342</v>
      </c>
      <c r="CG67" s="2">
        <f t="shared" si="52"/>
        <v>1461.3482153053919</v>
      </c>
      <c r="CH67" s="2">
        <f t="shared" si="52"/>
        <v>2836.0369570029643</v>
      </c>
      <c r="CI67" s="2">
        <f t="shared" si="52"/>
        <v>2462.6868582323987</v>
      </c>
      <c r="CJ67" s="2">
        <f t="shared" si="52"/>
        <v>2913.0489199557605</v>
      </c>
      <c r="CK67" s="2">
        <f t="shared" si="52"/>
        <v>1497.9911488418993</v>
      </c>
      <c r="CL67" s="2">
        <f t="shared" si="52"/>
        <v>2153.6945025628388</v>
      </c>
    </row>
    <row r="68" spans="3:90" x14ac:dyDescent="0.2">
      <c r="C68" t="s">
        <v>10</v>
      </c>
      <c r="D68" s="2">
        <v>2062.0902496404901</v>
      </c>
      <c r="E68" s="2">
        <v>1818.0395998289418</v>
      </c>
      <c r="F68" s="2">
        <v>1854.4036820301665</v>
      </c>
      <c r="G68" s="2">
        <v>2049.8774882571033</v>
      </c>
      <c r="H68" s="2">
        <v>2210.0897248094129</v>
      </c>
      <c r="I68" s="2">
        <v>2368.5558117644459</v>
      </c>
      <c r="J68" s="2">
        <v>2450.0101748976899</v>
      </c>
      <c r="K68" s="2"/>
      <c r="L68" s="2">
        <v>2082.867024175297</v>
      </c>
      <c r="N68" t="s">
        <v>10</v>
      </c>
      <c r="O68" s="2">
        <v>2044.5897921767846</v>
      </c>
      <c r="P68" s="2">
        <v>1744.9199130022425</v>
      </c>
      <c r="Q68" s="2">
        <v>1750.9066073544843</v>
      </c>
      <c r="R68" s="2">
        <v>1918.3180640780524</v>
      </c>
      <c r="S68" s="2">
        <v>2207.5561274417314</v>
      </c>
      <c r="T68" s="2">
        <v>2475.2053530434982</v>
      </c>
      <c r="U68" s="2">
        <v>2887.6717905318742</v>
      </c>
      <c r="V68" s="2"/>
      <c r="W68" s="2">
        <v>2108.0561271949673</v>
      </c>
      <c r="Y68" t="s">
        <v>10</v>
      </c>
      <c r="Z68" s="2">
        <v>2051.2523799844889</v>
      </c>
      <c r="AA68" s="2">
        <v>1690.1406502047789</v>
      </c>
      <c r="AB68" s="2">
        <v>1739.8147779697083</v>
      </c>
      <c r="AC68" s="2">
        <v>1924.534645641595</v>
      </c>
      <c r="AD68" s="2">
        <v>2116.7834477641932</v>
      </c>
      <c r="AE68" s="2">
        <v>2443.0649964698264</v>
      </c>
      <c r="AF68" s="2">
        <v>2808.4016007877062</v>
      </c>
      <c r="AG68" s="2">
        <v>2964.6298184455463</v>
      </c>
      <c r="AH68" s="2">
        <v>2096.9234766653108</v>
      </c>
      <c r="AJ68" t="s">
        <v>10</v>
      </c>
      <c r="AK68" s="2">
        <v>2064.7476111684541</v>
      </c>
      <c r="AL68" s="2">
        <v>1812.4423989939733</v>
      </c>
      <c r="AM68" s="2">
        <v>1789.6120449286427</v>
      </c>
      <c r="AN68" s="2">
        <v>2005.890332366371</v>
      </c>
      <c r="AO68" s="2">
        <v>2141.2528351380106</v>
      </c>
      <c r="AP68" s="2">
        <v>2522.6593277731972</v>
      </c>
      <c r="AQ68" s="2">
        <v>2840.2586152837721</v>
      </c>
      <c r="AR68" s="2">
        <v>2917.3994791562191</v>
      </c>
      <c r="AS68" s="2">
        <v>2164.5646784829905</v>
      </c>
      <c r="AU68" t="s">
        <v>10</v>
      </c>
      <c r="AV68" s="2">
        <v>2069.9954458175557</v>
      </c>
      <c r="AW68" s="2">
        <v>1758.4847027958231</v>
      </c>
      <c r="AX68" s="2">
        <v>1807.0214510313979</v>
      </c>
      <c r="AY68" s="2">
        <v>1982.345851428388</v>
      </c>
      <c r="AZ68" s="2">
        <v>2170.2282267254809</v>
      </c>
      <c r="BA68" s="2">
        <v>2510.249527836967</v>
      </c>
      <c r="BB68" s="2">
        <v>2943.3570989390291</v>
      </c>
      <c r="BC68" s="2">
        <v>3042.99495402003</v>
      </c>
      <c r="BD68" s="2">
        <v>2207.4946592819542</v>
      </c>
      <c r="BF68" t="s">
        <v>10</v>
      </c>
      <c r="BG68" s="2">
        <v>2069.9954458175557</v>
      </c>
      <c r="BH68" s="2">
        <v>1758.4847027958231</v>
      </c>
      <c r="BI68" s="2">
        <v>1807.0214510313979</v>
      </c>
      <c r="BJ68" s="2">
        <v>1982.345851428388</v>
      </c>
      <c r="BK68" s="2">
        <v>2170.2282267254809</v>
      </c>
      <c r="BL68" s="2">
        <v>2510.249527836967</v>
      </c>
      <c r="BM68" s="2">
        <v>2943.3570989390291</v>
      </c>
      <c r="BN68" s="2">
        <v>3042.99495402003</v>
      </c>
      <c r="BO68" s="2">
        <v>2207.4946592819542</v>
      </c>
      <c r="BQ68" t="s">
        <v>10</v>
      </c>
      <c r="BR68" s="2">
        <v>2067.475618800233</v>
      </c>
      <c r="BS68" s="2">
        <v>1780.979130977719</v>
      </c>
      <c r="BT68" s="2">
        <v>1788.280709533117</v>
      </c>
      <c r="BU68" s="2">
        <v>1972.0322274890175</v>
      </c>
      <c r="BV68" s="2">
        <v>2225.04584262761</v>
      </c>
      <c r="BW68" s="2">
        <v>2354.2296469770099</v>
      </c>
      <c r="BX68" s="2">
        <v>2882.8814007802334</v>
      </c>
      <c r="BY68" s="2">
        <v>2921.2786634643771</v>
      </c>
      <c r="BZ68" s="2">
        <v>2215.8986864646108</v>
      </c>
      <c r="CC68" s="2"/>
      <c r="CD68" s="2"/>
      <c r="CE68" s="11">
        <v>2003</v>
      </c>
      <c r="CF68" s="2">
        <f t="shared" ref="CF68:CL68" si="53">+AK76+AK77</f>
        <v>4576.0975534971212</v>
      </c>
      <c r="CG68" s="2">
        <f t="shared" si="53"/>
        <v>1380.6747248787692</v>
      </c>
      <c r="CH68" s="2">
        <f t="shared" si="53"/>
        <v>2721.9503076370579</v>
      </c>
      <c r="CI68" s="2">
        <f t="shared" si="53"/>
        <v>2424.5750895556876</v>
      </c>
      <c r="CJ68" s="2">
        <f t="shared" si="53"/>
        <v>2806.4933774827314</v>
      </c>
      <c r="CK68" s="2">
        <f t="shared" si="53"/>
        <v>1491.0905315168677</v>
      </c>
      <c r="CL68" s="2">
        <f t="shared" si="53"/>
        <v>2147.0856032089059</v>
      </c>
    </row>
    <row r="69" spans="3:90" x14ac:dyDescent="0.2">
      <c r="C69" t="s">
        <v>11</v>
      </c>
      <c r="D69" s="9">
        <v>1000</v>
      </c>
      <c r="E69" s="2">
        <v>1056</v>
      </c>
      <c r="F69" s="2">
        <v>800</v>
      </c>
      <c r="G69" s="2">
        <v>1900.0000000000002</v>
      </c>
      <c r="H69" s="2">
        <v>1074.0260866145852</v>
      </c>
      <c r="I69" s="2">
        <v>1098.6918929654071</v>
      </c>
      <c r="J69" s="2">
        <v>1872.8153401762468</v>
      </c>
      <c r="K69" s="2"/>
      <c r="L69" s="2">
        <v>1546.9287229619113</v>
      </c>
      <c r="N69" t="s">
        <v>11</v>
      </c>
      <c r="O69" s="9">
        <v>1662.9638736486108</v>
      </c>
      <c r="P69" s="2">
        <v>1032.0395840107421</v>
      </c>
      <c r="Q69" s="2">
        <v>1328.8167144230601</v>
      </c>
      <c r="R69" s="2">
        <v>1175.3424577400506</v>
      </c>
      <c r="S69" s="2">
        <v>1344.3004665676826</v>
      </c>
      <c r="T69" s="2">
        <v>1467.8326183808172</v>
      </c>
      <c r="U69" s="2">
        <v>1609.510929082277</v>
      </c>
      <c r="V69" s="2"/>
      <c r="W69" s="2">
        <v>1439.5428202801716</v>
      </c>
      <c r="Y69" t="s">
        <v>11</v>
      </c>
      <c r="Z69" s="10">
        <v>1233.822555503104</v>
      </c>
      <c r="AA69" s="2">
        <v>969.95899021198409</v>
      </c>
      <c r="AB69" s="2">
        <v>1150.5076644144067</v>
      </c>
      <c r="AC69" s="2">
        <v>1216.9271864794787</v>
      </c>
      <c r="AD69" s="2">
        <v>1564.4511859131203</v>
      </c>
      <c r="AE69" s="2">
        <v>1480.7759467419348</v>
      </c>
      <c r="AF69" s="2">
        <v>1570.361454449938</v>
      </c>
      <c r="AG69" s="2">
        <v>1589.05914658913</v>
      </c>
      <c r="AH69" s="2">
        <v>1459.1769800730776</v>
      </c>
      <c r="AJ69" t="s">
        <v>11</v>
      </c>
      <c r="AK69" s="10">
        <v>1341.179017003986</v>
      </c>
      <c r="AL69" s="2">
        <v>1290.0860705416032</v>
      </c>
      <c r="AM69" s="2">
        <v>1288.7565595032781</v>
      </c>
      <c r="AN69" s="2">
        <v>1217.0572547860631</v>
      </c>
      <c r="AO69" s="2">
        <v>1430.7529046480081</v>
      </c>
      <c r="AP69" s="2">
        <v>1748.1248142834268</v>
      </c>
      <c r="AQ69" s="2">
        <v>1567.1336673708925</v>
      </c>
      <c r="AR69" s="2">
        <v>1873.8536980576696</v>
      </c>
      <c r="AS69" s="2">
        <v>1537.0444345791684</v>
      </c>
      <c r="AU69" t="s">
        <v>11</v>
      </c>
      <c r="AV69" s="2">
        <v>1579.0850453053763</v>
      </c>
      <c r="AW69" s="2">
        <v>980.61776033156502</v>
      </c>
      <c r="AX69" s="2">
        <v>1083.1704173051846</v>
      </c>
      <c r="AY69" s="2">
        <v>1170.7788249421674</v>
      </c>
      <c r="AZ69" s="2">
        <v>1359.3675578419109</v>
      </c>
      <c r="BA69" s="2">
        <v>1739.8810786121444</v>
      </c>
      <c r="BB69" s="2">
        <v>1598.7791854088655</v>
      </c>
      <c r="BC69" s="2">
        <v>1909.6744642380836</v>
      </c>
      <c r="BD69" s="2">
        <v>1567.0941596043795</v>
      </c>
      <c r="BF69" t="s">
        <v>11</v>
      </c>
      <c r="BG69" s="2">
        <v>1579.0850453053763</v>
      </c>
      <c r="BH69" s="2">
        <v>980.61776033156502</v>
      </c>
      <c r="BI69" s="2">
        <v>1083.1704173051846</v>
      </c>
      <c r="BJ69" s="2">
        <v>1170.7788249421674</v>
      </c>
      <c r="BK69" s="2">
        <v>1359.3675578419109</v>
      </c>
      <c r="BL69" s="2">
        <v>1739.8810786121444</v>
      </c>
      <c r="BM69" s="2">
        <v>1598.7791854088655</v>
      </c>
      <c r="BN69" s="2">
        <v>1909.6744642380836</v>
      </c>
      <c r="BO69" s="2">
        <v>1567.0941596043795</v>
      </c>
      <c r="BQ69" t="s">
        <v>11</v>
      </c>
      <c r="BR69" s="9">
        <v>1692.2453923506291</v>
      </c>
      <c r="BS69" s="2">
        <v>1056.5137578869435</v>
      </c>
      <c r="BT69" s="2">
        <v>1118.6041683046872</v>
      </c>
      <c r="BU69" s="2">
        <v>1244.8320268918183</v>
      </c>
      <c r="BV69" s="2">
        <v>1228.3791891447486</v>
      </c>
      <c r="BW69" s="2">
        <v>1784.6566051949135</v>
      </c>
      <c r="BX69" s="2">
        <v>1661.7208350418657</v>
      </c>
      <c r="BY69" s="2">
        <v>1777.8526738118305</v>
      </c>
      <c r="BZ69" s="2">
        <v>1582.6055508778657</v>
      </c>
      <c r="CC69" s="2"/>
      <c r="CD69" s="2"/>
      <c r="CE69" s="11">
        <v>2005</v>
      </c>
      <c r="CF69" s="2">
        <f t="shared" ref="CF69:CL69" si="54">AV76+AV77</f>
        <v>4316.7178581070366</v>
      </c>
      <c r="CG69" s="2">
        <f t="shared" si="54"/>
        <v>1301.6295837435998</v>
      </c>
      <c r="CH69" s="2">
        <f t="shared" si="54"/>
        <v>2729.6507418755759</v>
      </c>
      <c r="CI69" s="2">
        <f t="shared" si="54"/>
        <v>2321.3546606637879</v>
      </c>
      <c r="CJ69" s="2">
        <f t="shared" si="54"/>
        <v>3124.1549598890228</v>
      </c>
      <c r="CK69" s="2">
        <f t="shared" si="54"/>
        <v>1464.276817791598</v>
      </c>
      <c r="CL69" s="2">
        <f t="shared" si="54"/>
        <v>2140.3181804646642</v>
      </c>
    </row>
    <row r="70" spans="3:90" x14ac:dyDescent="0.2">
      <c r="C70" t="s">
        <v>12</v>
      </c>
      <c r="D70" s="2">
        <v>1232.284483546299</v>
      </c>
      <c r="E70" s="2">
        <v>905.11368403204233</v>
      </c>
      <c r="F70" s="2">
        <v>449.30460826457676</v>
      </c>
      <c r="G70" s="2">
        <v>709.57077077526242</v>
      </c>
      <c r="H70" s="2">
        <v>575.06776263604559</v>
      </c>
      <c r="I70" s="2">
        <v>907.28570730821548</v>
      </c>
      <c r="J70" s="2">
        <v>884.6327135527365</v>
      </c>
      <c r="K70" s="2"/>
      <c r="L70" s="2">
        <v>871.2680171202046</v>
      </c>
      <c r="N70" t="s">
        <v>12</v>
      </c>
      <c r="O70" s="2">
        <v>1044.2638276026366</v>
      </c>
      <c r="P70" s="2">
        <v>793.8113714249389</v>
      </c>
      <c r="Q70" s="2">
        <v>886.1765888732557</v>
      </c>
      <c r="R70" s="2">
        <v>1049.6459686122987</v>
      </c>
      <c r="S70" s="2">
        <v>821.13756056679244</v>
      </c>
      <c r="T70" s="2">
        <v>967.34853971623124</v>
      </c>
      <c r="U70" s="2">
        <v>1039.2150990058342</v>
      </c>
      <c r="V70" s="2"/>
      <c r="W70" s="2">
        <v>955.81770178314844</v>
      </c>
      <c r="Y70" t="s">
        <v>12</v>
      </c>
      <c r="Z70" s="2">
        <v>1034.3440977668215</v>
      </c>
      <c r="AA70" s="2">
        <v>798.41795667744725</v>
      </c>
      <c r="AB70" s="2">
        <v>860.5375961400191</v>
      </c>
      <c r="AC70" s="2">
        <v>974.81635166498017</v>
      </c>
      <c r="AD70" s="2">
        <v>850.47270916001719</v>
      </c>
      <c r="AE70" s="2">
        <v>1113.406128244799</v>
      </c>
      <c r="AF70" s="2">
        <v>1040.5896774890512</v>
      </c>
      <c r="AG70" s="2">
        <v>794.60837733466326</v>
      </c>
      <c r="AH70" s="2">
        <v>967.08496329105196</v>
      </c>
      <c r="AJ70" t="s">
        <v>12</v>
      </c>
      <c r="AK70" s="2">
        <v>1097.7334247572287</v>
      </c>
      <c r="AL70" s="2">
        <v>1023.3381052863764</v>
      </c>
      <c r="AM70" s="2">
        <v>1007.5764016313831</v>
      </c>
      <c r="AN70" s="2">
        <v>917.55617254167828</v>
      </c>
      <c r="AO70" s="2">
        <v>917.37098486660523</v>
      </c>
      <c r="AP70" s="2">
        <v>1074.1231976995059</v>
      </c>
      <c r="AQ70" s="2">
        <v>1102.9785647786371</v>
      </c>
      <c r="AR70" s="2">
        <v>947.27350134534731</v>
      </c>
      <c r="AS70" s="2">
        <v>1012.3673313569964</v>
      </c>
      <c r="AU70" t="s">
        <v>12</v>
      </c>
      <c r="AV70" s="2">
        <v>1220.2909927396249</v>
      </c>
      <c r="AW70" s="2">
        <v>980.04232242592877</v>
      </c>
      <c r="AX70" s="2">
        <v>749.30866401707635</v>
      </c>
      <c r="AY70" s="2">
        <v>1031.1845607719549</v>
      </c>
      <c r="AZ70" s="2">
        <v>883.83806665113775</v>
      </c>
      <c r="BA70" s="2">
        <v>1028.2829047115426</v>
      </c>
      <c r="BB70" s="2">
        <v>1103.9364085660602</v>
      </c>
      <c r="BC70" s="2">
        <v>1134.5961759973991</v>
      </c>
      <c r="BD70" s="2">
        <v>1023.7918418871722</v>
      </c>
      <c r="BF70" t="s">
        <v>12</v>
      </c>
      <c r="BG70" s="2">
        <v>1220.2909927396249</v>
      </c>
      <c r="BH70" s="2">
        <v>980.04232242592877</v>
      </c>
      <c r="BI70" s="2">
        <v>749.30866401707635</v>
      </c>
      <c r="BJ70" s="2">
        <v>1031.1845607719549</v>
      </c>
      <c r="BK70" s="2">
        <v>883.83806665113775</v>
      </c>
      <c r="BL70" s="2">
        <v>1028.2829047115426</v>
      </c>
      <c r="BM70" s="2">
        <v>1103.9364085660602</v>
      </c>
      <c r="BN70" s="2">
        <v>1134.5961759973991</v>
      </c>
      <c r="BO70" s="2">
        <v>1023.7918418871722</v>
      </c>
      <c r="BQ70" t="s">
        <v>12</v>
      </c>
      <c r="BR70" s="2">
        <v>1214.1275498532336</v>
      </c>
      <c r="BS70" s="2">
        <v>1542.0488293648198</v>
      </c>
      <c r="BT70" s="2">
        <v>795.10110190338071</v>
      </c>
      <c r="BU70" s="2">
        <v>919.70352910358633</v>
      </c>
      <c r="BV70" s="2">
        <v>861.18445685708446</v>
      </c>
      <c r="BW70" s="2">
        <v>1342.8820560602062</v>
      </c>
      <c r="BX70" s="2">
        <v>1256.4009770650146</v>
      </c>
      <c r="BY70" s="2">
        <v>1236.0358184790798</v>
      </c>
      <c r="BZ70" s="2">
        <v>1081.8057205677383</v>
      </c>
      <c r="CC70" s="2"/>
      <c r="CD70" s="2"/>
      <c r="CE70" s="11">
        <v>2007</v>
      </c>
      <c r="CF70" s="2">
        <f t="shared" ref="CF70:CL70" si="55">BG76+BG77</f>
        <v>4316.7178581070366</v>
      </c>
      <c r="CG70" s="2">
        <f t="shared" si="55"/>
        <v>1301.6295837435998</v>
      </c>
      <c r="CH70" s="2">
        <f t="shared" si="55"/>
        <v>2729.6507418755759</v>
      </c>
      <c r="CI70" s="2">
        <f t="shared" si="55"/>
        <v>2321.3546606637879</v>
      </c>
      <c r="CJ70" s="2">
        <f t="shared" si="55"/>
        <v>3124.1549598890228</v>
      </c>
      <c r="CK70" s="2">
        <f t="shared" si="55"/>
        <v>1464.276817791598</v>
      </c>
      <c r="CL70" s="2">
        <f t="shared" si="55"/>
        <v>2140.3181804646642</v>
      </c>
    </row>
    <row r="71" spans="3:90" x14ac:dyDescent="0.2">
      <c r="C71" t="s">
        <v>13</v>
      </c>
      <c r="D71" s="2">
        <v>683.20310219576652</v>
      </c>
      <c r="E71" s="9">
        <v>800</v>
      </c>
      <c r="F71" s="2">
        <v>1023.8258555903082</v>
      </c>
      <c r="G71" s="2">
        <v>833.03952683504838</v>
      </c>
      <c r="H71" s="2">
        <v>993.22958798931529</v>
      </c>
      <c r="I71" s="2">
        <v>1108.7932466003838</v>
      </c>
      <c r="J71" s="2">
        <v>1187.4628699511718</v>
      </c>
      <c r="K71" s="2"/>
      <c r="L71" s="2">
        <v>1042.4134915379782</v>
      </c>
      <c r="N71" t="s">
        <v>13</v>
      </c>
      <c r="O71" s="2">
        <v>1538.5258649353425</v>
      </c>
      <c r="P71" s="9">
        <v>0</v>
      </c>
      <c r="Q71" s="2">
        <v>729.10819294610235</v>
      </c>
      <c r="R71" s="2">
        <v>876.45935750863782</v>
      </c>
      <c r="S71" s="2">
        <v>997.84275393243865</v>
      </c>
      <c r="T71" s="2">
        <v>1189.0947285725608</v>
      </c>
      <c r="U71" s="2">
        <v>1194.2312103928848</v>
      </c>
      <c r="V71" s="2"/>
      <c r="W71" s="2">
        <v>1092.5521763888612</v>
      </c>
      <c r="Y71" t="s">
        <v>13</v>
      </c>
      <c r="Z71" s="2">
        <v>1162.6525268320245</v>
      </c>
      <c r="AA71" s="10">
        <v>0</v>
      </c>
      <c r="AB71" s="2">
        <v>760.2551138940064</v>
      </c>
      <c r="AC71" s="2">
        <v>873.91610203358778</v>
      </c>
      <c r="AD71" s="2">
        <v>972.61395193546775</v>
      </c>
      <c r="AE71" s="2">
        <v>1083.2182397357674</v>
      </c>
      <c r="AF71" s="2">
        <v>1279.2712590824688</v>
      </c>
      <c r="AG71" s="2">
        <v>1401.7728171366089</v>
      </c>
      <c r="AH71" s="2">
        <v>1100.3633576539869</v>
      </c>
      <c r="AJ71" t="s">
        <v>13</v>
      </c>
      <c r="AK71" s="2">
        <v>1082.9032342604496</v>
      </c>
      <c r="AL71" s="10">
        <v>0</v>
      </c>
      <c r="AM71" s="2">
        <v>604.82244155753835</v>
      </c>
      <c r="AN71" s="2">
        <v>877.20013416426434</v>
      </c>
      <c r="AO71" s="2">
        <v>968.4721934321708</v>
      </c>
      <c r="AP71" s="2">
        <v>1139.1475102942547</v>
      </c>
      <c r="AQ71" s="2">
        <v>1398.1021034289008</v>
      </c>
      <c r="AR71" s="2">
        <v>1488.8091755238768</v>
      </c>
      <c r="AS71" s="2">
        <v>1160.6985786627852</v>
      </c>
      <c r="AU71" t="s">
        <v>13</v>
      </c>
      <c r="AV71" s="2">
        <v>1100.9663204759356</v>
      </c>
      <c r="AW71" s="2">
        <v>1296</v>
      </c>
      <c r="AX71" s="2">
        <v>792.03773789022046</v>
      </c>
      <c r="AY71" s="2">
        <v>978.25760722386337</v>
      </c>
      <c r="AZ71" s="2">
        <v>1097.4413859718272</v>
      </c>
      <c r="BA71" s="2">
        <v>1074.3819014186308</v>
      </c>
      <c r="BB71" s="2">
        <v>1233.4354335501241</v>
      </c>
      <c r="BC71" s="2">
        <v>1476.8565231872165</v>
      </c>
      <c r="BD71" s="2">
        <v>1166.0738641994612</v>
      </c>
      <c r="BF71" t="s">
        <v>13</v>
      </c>
      <c r="BG71" s="2">
        <v>1100.9663204759356</v>
      </c>
      <c r="BH71" s="2">
        <v>1296</v>
      </c>
      <c r="BI71" s="2">
        <v>792.03773789022046</v>
      </c>
      <c r="BJ71" s="2">
        <v>978.25760722386337</v>
      </c>
      <c r="BK71" s="2">
        <v>1097.4413859718272</v>
      </c>
      <c r="BL71" s="2">
        <v>1074.3819014186308</v>
      </c>
      <c r="BM71" s="2">
        <v>1233.4354335501241</v>
      </c>
      <c r="BN71" s="2">
        <v>1476.8565231872165</v>
      </c>
      <c r="BO71" s="2">
        <v>1166.0738641994612</v>
      </c>
      <c r="BQ71" t="s">
        <v>13</v>
      </c>
      <c r="BR71" s="2">
        <v>1557.1045495629426</v>
      </c>
      <c r="BS71" s="9">
        <v>1110.5032736770697</v>
      </c>
      <c r="BT71" s="2">
        <v>1158</v>
      </c>
      <c r="BU71" s="2">
        <v>1135.5591950626242</v>
      </c>
      <c r="BV71" s="2">
        <v>1046.2223610154888</v>
      </c>
      <c r="BW71" s="2">
        <v>1024.6755170113927</v>
      </c>
      <c r="BX71" s="2">
        <v>1382.9519327501171</v>
      </c>
      <c r="BY71" s="2">
        <v>1518.5502010674861</v>
      </c>
      <c r="BZ71" s="2">
        <v>1227.1946403719021</v>
      </c>
      <c r="CC71" s="2"/>
      <c r="CD71" s="2"/>
      <c r="CE71" s="11">
        <v>2009</v>
      </c>
      <c r="CF71" s="2">
        <f t="shared" ref="CF71:CL71" si="56">BR76+BR77</f>
        <v>4226.5360205252755</v>
      </c>
      <c r="CG71" s="2">
        <f t="shared" si="56"/>
        <v>1313.1541093479304</v>
      </c>
      <c r="CH71" s="2">
        <f t="shared" si="56"/>
        <v>2693.9368741453118</v>
      </c>
      <c r="CI71" s="2">
        <f t="shared" si="56"/>
        <v>2248.2090991686196</v>
      </c>
      <c r="CJ71" s="2">
        <f t="shared" si="56"/>
        <v>2880.2134877261615</v>
      </c>
      <c r="CK71" s="2">
        <f t="shared" si="56"/>
        <v>1471.5642095565011</v>
      </c>
      <c r="CL71" s="2">
        <f t="shared" si="56"/>
        <v>2097.3871756296821</v>
      </c>
    </row>
    <row r="72" spans="3:90" x14ac:dyDescent="0.2">
      <c r="C72" t="s">
        <v>14</v>
      </c>
      <c r="D72" s="2">
        <v>2046.5465521281021</v>
      </c>
      <c r="E72" s="2">
        <v>1811.5087689397178</v>
      </c>
      <c r="F72" s="2">
        <v>1842.8181968213944</v>
      </c>
      <c r="G72" s="2">
        <v>1954.5852538635647</v>
      </c>
      <c r="H72" s="2">
        <v>2007.3494452978966</v>
      </c>
      <c r="I72" s="2">
        <v>2154.1933154937278</v>
      </c>
      <c r="J72" s="2">
        <v>2155.0975652290986</v>
      </c>
      <c r="K72" s="2"/>
      <c r="L72" s="2">
        <v>1995.4037964966674</v>
      </c>
      <c r="N72" t="s">
        <v>14</v>
      </c>
      <c r="O72" s="2">
        <v>1920.1565564629716</v>
      </c>
      <c r="P72" s="2">
        <v>1671.2982469336469</v>
      </c>
      <c r="Q72" s="2">
        <v>1683.903880586427</v>
      </c>
      <c r="R72" s="2">
        <v>1741.0252480776578</v>
      </c>
      <c r="S72" s="2">
        <v>1816.0913724460183</v>
      </c>
      <c r="T72" s="2">
        <v>1934.0624772981489</v>
      </c>
      <c r="U72" s="2">
        <v>2351.8173229801619</v>
      </c>
      <c r="V72" s="2"/>
      <c r="W72" s="2">
        <v>1884.9152886061934</v>
      </c>
      <c r="Y72" t="s">
        <v>14</v>
      </c>
      <c r="Z72" s="2">
        <v>1881.9979031151959</v>
      </c>
      <c r="AA72" s="2">
        <v>1580.297882476608</v>
      </c>
      <c r="AB72" s="2">
        <v>1643.5711682033191</v>
      </c>
      <c r="AC72" s="2">
        <v>1691.1103657037047</v>
      </c>
      <c r="AD72" s="2">
        <v>1712.688204353999</v>
      </c>
      <c r="AE72" s="2">
        <v>1890.3177096273223</v>
      </c>
      <c r="AF72" s="2">
        <v>2264.6039771635228</v>
      </c>
      <c r="AG72" s="2">
        <v>2326.145227861683</v>
      </c>
      <c r="AH72" s="2">
        <v>1832.8216784330016</v>
      </c>
      <c r="AJ72" t="s">
        <v>14</v>
      </c>
      <c r="AK72" s="2">
        <v>1892.7454002916975</v>
      </c>
      <c r="AL72" s="2">
        <v>1705.5438469540472</v>
      </c>
      <c r="AM72" s="2">
        <v>1706.4130587769582</v>
      </c>
      <c r="AN72" s="2">
        <v>1754.7017000072626</v>
      </c>
      <c r="AO72" s="2">
        <v>1720.4350438828471</v>
      </c>
      <c r="AP72" s="2">
        <v>1959.1596428265486</v>
      </c>
      <c r="AQ72" s="2">
        <v>2335.6526215066019</v>
      </c>
      <c r="AR72" s="2">
        <v>2408.4685680352154</v>
      </c>
      <c r="AS72" s="2">
        <v>1893.3038062322962</v>
      </c>
      <c r="AU72" t="s">
        <v>14</v>
      </c>
      <c r="AV72" s="2">
        <v>1908.8575039118632</v>
      </c>
      <c r="AW72" s="2">
        <v>1670.3134364263688</v>
      </c>
      <c r="AX72" s="2">
        <v>1707.6249287393969</v>
      </c>
      <c r="AY72" s="2">
        <v>1769.8017691445805</v>
      </c>
      <c r="AZ72" s="2">
        <v>1727.2747541973119</v>
      </c>
      <c r="BA72" s="2">
        <v>1926.6523508009295</v>
      </c>
      <c r="BB72" s="2">
        <v>2388.8036923834188</v>
      </c>
      <c r="BC72" s="2">
        <v>2581.0652950639328</v>
      </c>
      <c r="BD72" s="2">
        <v>1924.8589534002567</v>
      </c>
      <c r="BF72" t="s">
        <v>14</v>
      </c>
      <c r="BG72" s="2">
        <v>1908.8575039118632</v>
      </c>
      <c r="BH72" s="2">
        <v>1670.3134364263688</v>
      </c>
      <c r="BI72" s="2">
        <v>1707.6249287393969</v>
      </c>
      <c r="BJ72" s="2">
        <v>1769.8017691445805</v>
      </c>
      <c r="BK72" s="2">
        <v>1727.2747541973119</v>
      </c>
      <c r="BL72" s="2">
        <v>1926.6523508009295</v>
      </c>
      <c r="BM72" s="2">
        <v>2388.8036923834188</v>
      </c>
      <c r="BN72" s="2">
        <v>2581.0652950639328</v>
      </c>
      <c r="BO72" s="2">
        <v>1924.8589534002567</v>
      </c>
      <c r="BQ72" t="s">
        <v>14</v>
      </c>
      <c r="BR72" s="2">
        <v>1913.2838866623601</v>
      </c>
      <c r="BS72" s="2">
        <v>1748.4443026637255</v>
      </c>
      <c r="BT72" s="2">
        <v>1696.2964726735529</v>
      </c>
      <c r="BU72" s="2">
        <v>1734.6629321786554</v>
      </c>
      <c r="BV72" s="2">
        <v>1695.5885597225838</v>
      </c>
      <c r="BW72" s="2">
        <v>1917.6384861383622</v>
      </c>
      <c r="BX72" s="2">
        <v>2362.4268793009078</v>
      </c>
      <c r="BY72" s="2">
        <v>2505.5918401187519</v>
      </c>
      <c r="BZ72" s="2">
        <v>1933.5063323790789</v>
      </c>
      <c r="CC72" s="2"/>
      <c r="CD72" s="2"/>
      <c r="CE72" s="2"/>
      <c r="CF72" s="12">
        <f>CF71/CF66</f>
        <v>0.86782691219178976</v>
      </c>
      <c r="CG72" s="12">
        <f t="shared" ref="CG72:CL72" si="57">CG71/CG66</f>
        <v>0.87847281350008422</v>
      </c>
      <c r="CH72" s="12">
        <f t="shared" si="57"/>
        <v>0.93691935594002218</v>
      </c>
      <c r="CI72" s="12">
        <f t="shared" si="57"/>
        <v>0.93344059324063844</v>
      </c>
      <c r="CJ72" s="12">
        <f t="shared" si="57"/>
        <v>1.0002707922773528</v>
      </c>
      <c r="CK72" s="12">
        <f t="shared" si="57"/>
        <v>0.98482399484310545</v>
      </c>
      <c r="CL72" s="12">
        <f t="shared" si="57"/>
        <v>1.0042914481238641</v>
      </c>
    </row>
    <row r="73" spans="3:90" x14ac:dyDescent="0.2">
      <c r="D73" s="2"/>
      <c r="E73" s="2"/>
      <c r="F73" s="2"/>
      <c r="G73" s="2"/>
      <c r="H73" s="2"/>
      <c r="I73" s="2"/>
      <c r="J73" s="2"/>
      <c r="K73" s="2"/>
      <c r="L73" s="2"/>
      <c r="O73" s="2"/>
      <c r="P73" s="2"/>
      <c r="Q73" s="2"/>
      <c r="R73" s="2"/>
      <c r="S73" s="2"/>
      <c r="T73" s="2"/>
      <c r="U73" s="2"/>
      <c r="V73" s="2"/>
      <c r="W73" s="2"/>
      <c r="Z73" s="2"/>
      <c r="AA73" s="2"/>
      <c r="AB73" s="2"/>
      <c r="AC73" s="2"/>
      <c r="AD73" s="2"/>
      <c r="AE73" s="2"/>
      <c r="AF73" s="2"/>
      <c r="AG73" s="2"/>
      <c r="AH73" s="2"/>
      <c r="AK73" s="2"/>
      <c r="AL73" s="2"/>
      <c r="AM73" s="2"/>
      <c r="AN73" s="2"/>
      <c r="AO73" s="2"/>
      <c r="AP73" s="2"/>
      <c r="AQ73" s="2"/>
      <c r="AR73" s="2"/>
      <c r="AS73" s="2"/>
      <c r="AV73" s="2"/>
      <c r="AW73" s="2"/>
      <c r="AX73" s="2"/>
      <c r="AY73" s="2"/>
      <c r="AZ73" s="2"/>
      <c r="BA73" s="2"/>
      <c r="BB73" s="2"/>
      <c r="BC73" s="2"/>
      <c r="BD73" s="2"/>
      <c r="BG73" s="2"/>
      <c r="BH73" s="2"/>
      <c r="BI73" s="2"/>
      <c r="BJ73" s="2"/>
      <c r="BK73" s="2"/>
      <c r="BL73" s="2"/>
      <c r="BM73" s="2"/>
      <c r="BN73" s="2"/>
      <c r="BO73" s="2"/>
      <c r="BP73" s="1"/>
      <c r="BR73" s="2"/>
      <c r="BS73" s="2"/>
      <c r="BT73" s="2"/>
      <c r="BU73" s="2"/>
      <c r="BV73" s="2"/>
      <c r="BW73" s="2"/>
      <c r="BX73" s="2"/>
      <c r="BY73" s="2"/>
      <c r="BZ73" s="2"/>
      <c r="CC73" s="2"/>
      <c r="CD73" s="2"/>
      <c r="CE73" s="2"/>
      <c r="CF73" s="2"/>
      <c r="CG73" s="2"/>
      <c r="CH73" s="2"/>
      <c r="CI73" s="2"/>
      <c r="CJ73" s="2"/>
    </row>
    <row r="74" spans="3:90" x14ac:dyDescent="0.2">
      <c r="C74" s="1" t="s">
        <v>15</v>
      </c>
      <c r="D74" s="2"/>
      <c r="E74" s="2"/>
      <c r="F74" s="2"/>
      <c r="G74" s="2"/>
      <c r="H74" s="2"/>
      <c r="I74" s="2"/>
      <c r="J74" s="2"/>
      <c r="K74" s="2"/>
      <c r="L74" s="2"/>
      <c r="N74" s="1" t="s">
        <v>15</v>
      </c>
      <c r="O74" s="2"/>
      <c r="P74" s="2"/>
      <c r="Q74" s="2"/>
      <c r="R74" s="2"/>
      <c r="S74" s="2"/>
      <c r="T74" s="2"/>
      <c r="U74" s="2"/>
      <c r="V74" s="2"/>
      <c r="W74" s="2"/>
      <c r="Y74" s="1" t="s">
        <v>15</v>
      </c>
      <c r="Z74" s="2"/>
      <c r="AA74" s="2"/>
      <c r="AB74" s="2"/>
      <c r="AC74" s="2"/>
      <c r="AD74" s="2"/>
      <c r="AE74" s="2"/>
      <c r="AF74" s="2"/>
      <c r="AG74" s="2"/>
      <c r="AH74" s="2"/>
      <c r="AJ74" s="1" t="s">
        <v>15</v>
      </c>
      <c r="AK74" s="2"/>
      <c r="AL74" s="2"/>
      <c r="AM74" s="2"/>
      <c r="AN74" s="2"/>
      <c r="AO74" s="2"/>
      <c r="AP74" s="2"/>
      <c r="AQ74" s="2"/>
      <c r="AR74" s="2"/>
      <c r="AS74" s="2"/>
      <c r="AU74" s="1" t="s">
        <v>15</v>
      </c>
      <c r="AV74" s="2"/>
      <c r="AW74" s="2"/>
      <c r="AX74" s="2"/>
      <c r="AY74" s="2"/>
      <c r="AZ74" s="2"/>
      <c r="BA74" s="2"/>
      <c r="BB74" s="2"/>
      <c r="BC74" s="2"/>
      <c r="BD74" s="2"/>
      <c r="BF74" s="1" t="s">
        <v>15</v>
      </c>
      <c r="BG74" s="2"/>
      <c r="BH74" s="2"/>
      <c r="BI74" s="2"/>
      <c r="BJ74" s="2"/>
      <c r="BK74" s="2"/>
      <c r="BL74" s="2"/>
      <c r="BM74" s="2"/>
      <c r="BN74" s="2"/>
      <c r="BO74" s="2"/>
      <c r="BQ74" s="1" t="s">
        <v>15</v>
      </c>
      <c r="BR74" s="2"/>
      <c r="BS74" s="2"/>
      <c r="BT74" s="2"/>
      <c r="BU74" s="2"/>
      <c r="BV74" s="2"/>
      <c r="BW74" s="2"/>
      <c r="BX74" s="2"/>
      <c r="BY74" s="2"/>
      <c r="BZ74" s="2"/>
      <c r="CC74" s="2"/>
      <c r="CD74" s="2"/>
      <c r="CE74" s="2"/>
      <c r="CF74" s="2"/>
      <c r="CG74" s="2"/>
      <c r="CH74" s="2"/>
      <c r="CI74" s="2"/>
      <c r="CJ74" s="2"/>
    </row>
    <row r="75" spans="3:90" x14ac:dyDescent="0.2">
      <c r="C75" t="s">
        <v>9</v>
      </c>
      <c r="D75" s="2">
        <v>4647.1615761419198</v>
      </c>
      <c r="E75" s="2">
        <v>1441.6235049115</v>
      </c>
      <c r="F75" s="2">
        <v>2877.8565184682921</v>
      </c>
      <c r="G75" s="2">
        <v>2448.8108474737005</v>
      </c>
      <c r="H75" s="2">
        <v>2898.2811471614341</v>
      </c>
      <c r="I75" s="2">
        <v>1512.5264744910928</v>
      </c>
      <c r="J75" s="2">
        <v>1745.589242424177</v>
      </c>
      <c r="K75" s="2"/>
      <c r="L75" s="2">
        <v>17571.849311072183</v>
      </c>
      <c r="N75" t="s">
        <v>9</v>
      </c>
      <c r="O75" s="2">
        <v>4768.3579186291181</v>
      </c>
      <c r="P75" s="2">
        <v>1447.924684183793</v>
      </c>
      <c r="Q75" s="2">
        <v>2799.090588502112</v>
      </c>
      <c r="R75" s="2">
        <v>2442.5991456056527</v>
      </c>
      <c r="S75" s="2">
        <v>2941.6829587451498</v>
      </c>
      <c r="T75" s="2">
        <v>1527.0793064255406</v>
      </c>
      <c r="U75" s="2">
        <v>2258.1632866556706</v>
      </c>
      <c r="V75" s="2"/>
      <c r="W75" s="2">
        <v>18184.897888747193</v>
      </c>
      <c r="Y75" t="s">
        <v>9</v>
      </c>
      <c r="Z75" s="2">
        <v>4658.2836861402648</v>
      </c>
      <c r="AA75" s="2">
        <v>1413.4507639000019</v>
      </c>
      <c r="AB75" s="2">
        <v>2781.8254266848044</v>
      </c>
      <c r="AC75" s="2">
        <v>2483.9281762572391</v>
      </c>
      <c r="AD75" s="2">
        <v>2950.7780883204341</v>
      </c>
      <c r="AE75" s="2">
        <v>1546.0651189300229</v>
      </c>
      <c r="AF75" s="2">
        <v>2299.0147706594653</v>
      </c>
      <c r="AG75" s="2">
        <v>390.07617581743983</v>
      </c>
      <c r="AH75" s="2">
        <v>18523.422206709518</v>
      </c>
      <c r="AJ75" t="s">
        <v>9</v>
      </c>
      <c r="AK75" s="2">
        <v>4494.4443305745899</v>
      </c>
      <c r="AL75" s="2">
        <v>1343.7117314187192</v>
      </c>
      <c r="AM75" s="2">
        <v>2669.8458853979278</v>
      </c>
      <c r="AN75" s="2">
        <v>2467.7316263402677</v>
      </c>
      <c r="AO75" s="2">
        <v>2873.1052900537443</v>
      </c>
      <c r="AP75" s="2">
        <v>1541.5662204626635</v>
      </c>
      <c r="AQ75" s="2">
        <v>2275.7851121532876</v>
      </c>
      <c r="AR75" s="2">
        <v>808.12412463082046</v>
      </c>
      <c r="AS75" s="2">
        <v>18474.314321031929</v>
      </c>
      <c r="AU75" t="s">
        <v>9</v>
      </c>
      <c r="AV75" s="2">
        <v>4259.2807608615576</v>
      </c>
      <c r="AW75" s="2">
        <v>1290.6580182694997</v>
      </c>
      <c r="AX75" s="2">
        <v>2685.1420574199765</v>
      </c>
      <c r="AY75" s="2">
        <v>2347.5617399750868</v>
      </c>
      <c r="AZ75" s="2">
        <v>3185.3697903124084</v>
      </c>
      <c r="BA75" s="2">
        <v>1507.7096057001982</v>
      </c>
      <c r="BB75" s="2">
        <v>2282.5195501672401</v>
      </c>
      <c r="BC75" s="2">
        <v>1303.2287403934906</v>
      </c>
      <c r="BD75" s="2">
        <v>18861.470263099382</v>
      </c>
      <c r="BF75" t="s">
        <v>9</v>
      </c>
      <c r="BG75" s="2">
        <v>4259.2807608615576</v>
      </c>
      <c r="BH75" s="2">
        <v>1290.6580182694997</v>
      </c>
      <c r="BI75" s="2">
        <v>2685.1420574199765</v>
      </c>
      <c r="BJ75" s="2">
        <v>2347.5617399750868</v>
      </c>
      <c r="BK75" s="2">
        <v>3185.3697903124084</v>
      </c>
      <c r="BL75" s="2">
        <v>1507.7096057001982</v>
      </c>
      <c r="BM75" s="2">
        <v>2282.5195501672401</v>
      </c>
      <c r="BN75" s="2">
        <v>1303.2287403934906</v>
      </c>
      <c r="BO75" s="2">
        <v>18861.470263099382</v>
      </c>
      <c r="BQ75" t="s">
        <v>9</v>
      </c>
      <c r="BR75" s="2">
        <v>4172.8317296487958</v>
      </c>
      <c r="BS75" s="2">
        <v>1297.0916134743704</v>
      </c>
      <c r="BT75" s="2">
        <v>2651.8316240687318</v>
      </c>
      <c r="BU75" s="2">
        <v>2271.8331621878092</v>
      </c>
      <c r="BV75" s="2">
        <v>2976.0583564577514</v>
      </c>
      <c r="BW75" s="2">
        <v>1530.1685297202214</v>
      </c>
      <c r="BX75" s="2">
        <v>2201.9628463114836</v>
      </c>
      <c r="BY75" s="2">
        <v>1986.4645116493384</v>
      </c>
      <c r="BZ75" s="2">
        <v>19088.242373518609</v>
      </c>
      <c r="CB75">
        <v>19088.2423735185</v>
      </c>
      <c r="CC75" s="2"/>
      <c r="CD75" s="2"/>
      <c r="CE75" s="2"/>
      <c r="CF75" s="2"/>
      <c r="CG75" s="2"/>
      <c r="CH75" s="2"/>
      <c r="CI75" s="2"/>
      <c r="CJ75" s="2"/>
    </row>
    <row r="76" spans="3:90" x14ac:dyDescent="0.2">
      <c r="C76" t="s">
        <v>10</v>
      </c>
      <c r="D76" s="2">
        <v>4640.3574186517199</v>
      </c>
      <c r="E76" s="2">
        <v>1441.6235049115</v>
      </c>
      <c r="F76" s="2">
        <v>2856.3275759765925</v>
      </c>
      <c r="G76" s="2">
        <v>2264.7115084563034</v>
      </c>
      <c r="H76" s="2">
        <v>2505.558315824157</v>
      </c>
      <c r="I76" s="2">
        <v>1281.1897590258011</v>
      </c>
      <c r="J76" s="2">
        <v>1425.9320911633267</v>
      </c>
      <c r="K76" s="2"/>
      <c r="L76" s="2">
        <v>16415.700174009424</v>
      </c>
      <c r="N76" t="s">
        <v>10</v>
      </c>
      <c r="O76" s="2">
        <v>4756.7718640622179</v>
      </c>
      <c r="P76" s="2">
        <v>1446.0334776919929</v>
      </c>
      <c r="Q76" s="2">
        <v>2781.9480839929024</v>
      </c>
      <c r="R76" s="2">
        <v>2294.1154533871154</v>
      </c>
      <c r="S76" s="2">
        <v>2598.1084954470434</v>
      </c>
      <c r="T76" s="2">
        <v>1287.895810531149</v>
      </c>
      <c r="U76" s="2">
        <v>1841.4873820056098</v>
      </c>
      <c r="V76" s="2"/>
      <c r="W76" s="2">
        <v>17006.360567118216</v>
      </c>
      <c r="Y76" t="s">
        <v>10</v>
      </c>
      <c r="Z76" s="2">
        <v>4643.9411980090645</v>
      </c>
      <c r="AA76" s="2">
        <v>1413.4507639000019</v>
      </c>
      <c r="AB76" s="2">
        <v>2755.8649183203042</v>
      </c>
      <c r="AC76" s="2">
        <v>2359.2794591387988</v>
      </c>
      <c r="AD76" s="2">
        <v>2616.0642229994405</v>
      </c>
      <c r="AE76" s="2">
        <v>1301.7665127459993</v>
      </c>
      <c r="AF76" s="2">
        <v>1894.2718844716787</v>
      </c>
      <c r="AG76" s="2">
        <v>322.27553387923984</v>
      </c>
      <c r="AH76" s="2">
        <v>17306.91449346441</v>
      </c>
      <c r="AJ76" t="s">
        <v>10</v>
      </c>
      <c r="AK76" s="2">
        <v>4481.2543088826915</v>
      </c>
      <c r="AL76" s="2">
        <v>1343.7117314187192</v>
      </c>
      <c r="AM76" s="2">
        <v>2662.3668069966479</v>
      </c>
      <c r="AN76" s="2">
        <v>2338.7649708884974</v>
      </c>
      <c r="AO76" s="2">
        <v>2576.5177559997514</v>
      </c>
      <c r="AP76" s="2">
        <v>1307.4956725396178</v>
      </c>
      <c r="AQ76" s="2">
        <v>1940.0846503358862</v>
      </c>
      <c r="AR76" s="2">
        <v>684.14397981612035</v>
      </c>
      <c r="AS76" s="2">
        <v>17334.339876877926</v>
      </c>
      <c r="AU76" t="s">
        <v>10</v>
      </c>
      <c r="AV76" s="2">
        <v>4246.597462329757</v>
      </c>
      <c r="AW76" s="2">
        <v>1288.5931213559998</v>
      </c>
      <c r="AX76" s="2">
        <v>2675.697599266176</v>
      </c>
      <c r="AY76" s="2">
        <v>2250.9466693226877</v>
      </c>
      <c r="AZ76" s="2">
        <v>2885.4299931176229</v>
      </c>
      <c r="BA76" s="2">
        <v>1275.8850703645981</v>
      </c>
      <c r="BB76" s="2">
        <v>1918.5991630172443</v>
      </c>
      <c r="BC76" s="2">
        <v>1162.5086952064019</v>
      </c>
      <c r="BD76" s="2">
        <v>17704.257773980447</v>
      </c>
      <c r="BF76" t="s">
        <v>10</v>
      </c>
      <c r="BG76" s="2">
        <v>4246.597462329757</v>
      </c>
      <c r="BH76" s="2">
        <v>1288.5931213559998</v>
      </c>
      <c r="BI76" s="2">
        <v>2675.697599266176</v>
      </c>
      <c r="BJ76" s="2">
        <v>2250.9466693226877</v>
      </c>
      <c r="BK76" s="2">
        <v>2885.4299931176229</v>
      </c>
      <c r="BL76" s="2">
        <v>1275.8850703645981</v>
      </c>
      <c r="BM76" s="2">
        <v>1918.5991630172443</v>
      </c>
      <c r="BN76" s="2">
        <v>1162.5086952064019</v>
      </c>
      <c r="BO76" s="2">
        <v>17704.257773980447</v>
      </c>
      <c r="BQ76" t="s">
        <v>10</v>
      </c>
      <c r="BR76" s="2">
        <v>4156.6897919313951</v>
      </c>
      <c r="BS76" s="2">
        <v>1291.9318798047705</v>
      </c>
      <c r="BT76" s="2">
        <v>2649.3456070558318</v>
      </c>
      <c r="BU76" s="2">
        <v>2184.7047595969898</v>
      </c>
      <c r="BV76" s="2">
        <v>2686.7486802809512</v>
      </c>
      <c r="BW76" s="2">
        <v>1296.161442947601</v>
      </c>
      <c r="BX76" s="2">
        <v>1865.184581598252</v>
      </c>
      <c r="BY76" s="2">
        <v>1812.7571032587787</v>
      </c>
      <c r="BZ76" s="2">
        <v>17943.523846474731</v>
      </c>
      <c r="CB76">
        <v>17943.523846474571</v>
      </c>
      <c r="CC76" s="2"/>
      <c r="CD76" s="2"/>
      <c r="CE76" s="2"/>
      <c r="CF76" s="2"/>
      <c r="CG76" s="2"/>
      <c r="CH76" s="2"/>
      <c r="CI76" s="2"/>
      <c r="CJ76" s="2"/>
    </row>
    <row r="77" spans="3:90" x14ac:dyDescent="0.2">
      <c r="C77" t="s">
        <v>11</v>
      </c>
      <c r="D77" s="2">
        <v>106.56729396389001</v>
      </c>
      <c r="E77" s="2">
        <v>27.579345494600002</v>
      </c>
      <c r="F77" s="2">
        <v>77.343425944800003</v>
      </c>
      <c r="G77" s="2">
        <v>119.58506486650001</v>
      </c>
      <c r="H77" s="2">
        <v>315.59539135479014</v>
      </c>
      <c r="I77" s="2">
        <v>231.57673779499987</v>
      </c>
      <c r="J77" s="2">
        <v>182.97216629846008</v>
      </c>
      <c r="K77" s="2"/>
      <c r="L77" s="2">
        <v>1061.2194257180395</v>
      </c>
      <c r="N77" t="s">
        <v>11</v>
      </c>
      <c r="O77" s="2">
        <v>113.48044218478</v>
      </c>
      <c r="P77" s="2">
        <v>48.781261213760004</v>
      </c>
      <c r="Q77" s="2">
        <v>93.365417714459994</v>
      </c>
      <c r="R77" s="2">
        <v>114.40321984036999</v>
      </c>
      <c r="S77" s="2">
        <v>281.3252638539501</v>
      </c>
      <c r="T77" s="2">
        <v>206.34500535285008</v>
      </c>
      <c r="U77" s="2">
        <v>246.93742689608004</v>
      </c>
      <c r="V77" s="2"/>
      <c r="W77" s="2">
        <v>1104.6380370562499</v>
      </c>
      <c r="Y77" t="s">
        <v>11</v>
      </c>
      <c r="Z77" s="2">
        <v>108.07195091557</v>
      </c>
      <c r="AA77" s="2">
        <v>47.897451405390001</v>
      </c>
      <c r="AB77" s="2">
        <v>80.172038682660016</v>
      </c>
      <c r="AC77" s="2">
        <v>103.40739909360002</v>
      </c>
      <c r="AD77" s="2">
        <v>296.98469695632002</v>
      </c>
      <c r="AE77" s="2">
        <v>196.22463609590002</v>
      </c>
      <c r="AF77" s="2">
        <v>259.42261809116007</v>
      </c>
      <c r="AG77" s="2">
        <v>73.268875219999984</v>
      </c>
      <c r="AH77" s="2">
        <v>1165.4496664606011</v>
      </c>
      <c r="AJ77" t="s">
        <v>11</v>
      </c>
      <c r="AK77" s="2">
        <v>94.84324461443002</v>
      </c>
      <c r="AL77" s="2">
        <v>36.962993460049994</v>
      </c>
      <c r="AM77" s="2">
        <v>59.583500640409987</v>
      </c>
      <c r="AN77" s="2">
        <v>85.810118667190011</v>
      </c>
      <c r="AO77" s="2">
        <v>229.97562148297999</v>
      </c>
      <c r="AP77" s="2">
        <v>183.59485897725</v>
      </c>
      <c r="AQ77" s="2">
        <v>207.00095287301994</v>
      </c>
      <c r="AR77" s="2">
        <v>122.19131472579004</v>
      </c>
      <c r="AS77" s="2">
        <v>1019.9626054411186</v>
      </c>
      <c r="AU77" t="s">
        <v>11</v>
      </c>
      <c r="AV77" s="2">
        <v>70.120395777279995</v>
      </c>
      <c r="AW77" s="2">
        <v>13.0364623876</v>
      </c>
      <c r="AX77" s="2">
        <v>53.95314260939999</v>
      </c>
      <c r="AY77" s="2">
        <v>70.407991341100001</v>
      </c>
      <c r="AZ77" s="2">
        <v>238.72496677140009</v>
      </c>
      <c r="BA77" s="2">
        <v>188.3917474269999</v>
      </c>
      <c r="BB77" s="2">
        <v>221.71901744742004</v>
      </c>
      <c r="BC77" s="2">
        <v>184.89542027354995</v>
      </c>
      <c r="BD77" s="2">
        <v>1041.2491440347503</v>
      </c>
      <c r="BF77" t="s">
        <v>11</v>
      </c>
      <c r="BG77" s="2">
        <v>70.120395777279995</v>
      </c>
      <c r="BH77" s="2">
        <v>13.0364623876</v>
      </c>
      <c r="BI77" s="2">
        <v>53.95314260939999</v>
      </c>
      <c r="BJ77" s="2">
        <v>70.407991341100001</v>
      </c>
      <c r="BK77" s="2">
        <v>238.72496677140009</v>
      </c>
      <c r="BL77" s="2">
        <v>188.3917474269999</v>
      </c>
      <c r="BM77" s="2">
        <v>221.71901744742004</v>
      </c>
      <c r="BN77" s="2">
        <v>184.89542027354995</v>
      </c>
      <c r="BO77" s="2">
        <v>1041.2491440347503</v>
      </c>
      <c r="BQ77" t="s">
        <v>11</v>
      </c>
      <c r="BR77" s="2">
        <v>69.846228593880014</v>
      </c>
      <c r="BS77" s="2">
        <v>21.222229543160005</v>
      </c>
      <c r="BT77" s="2">
        <v>44.591267089479992</v>
      </c>
      <c r="BU77" s="2">
        <v>63.504339571629991</v>
      </c>
      <c r="BV77" s="2">
        <v>193.46480744521</v>
      </c>
      <c r="BW77" s="2">
        <v>175.40276660890004</v>
      </c>
      <c r="BX77" s="2">
        <v>232.2025940314301</v>
      </c>
      <c r="BY77" s="2">
        <v>255.05659022963007</v>
      </c>
      <c r="BZ77" s="2">
        <v>1055.2908231133204</v>
      </c>
      <c r="CB77">
        <v>1055.2908231133201</v>
      </c>
      <c r="CC77" s="2"/>
      <c r="CD77" s="2"/>
      <c r="CE77" s="2"/>
      <c r="CF77" s="2"/>
      <c r="CG77" s="2"/>
      <c r="CH77" s="2"/>
      <c r="CI77" s="2"/>
      <c r="CJ77" s="2"/>
    </row>
    <row r="78" spans="3:90" x14ac:dyDescent="0.2">
      <c r="C78" t="s">
        <v>12</v>
      </c>
      <c r="D78" s="2">
        <v>1584.751822165468</v>
      </c>
      <c r="E78" s="2">
        <v>290.70564530517004</v>
      </c>
      <c r="F78" s="2">
        <v>344.32165910121006</v>
      </c>
      <c r="G78" s="2">
        <v>716.49980085671984</v>
      </c>
      <c r="H78" s="2">
        <v>1262.84868107801</v>
      </c>
      <c r="I78" s="2">
        <v>728.44092857884345</v>
      </c>
      <c r="J78" s="2">
        <v>390.56857513379998</v>
      </c>
      <c r="K78" s="2"/>
      <c r="L78" s="2">
        <v>5318.137112219204</v>
      </c>
      <c r="N78" t="s">
        <v>12</v>
      </c>
      <c r="O78" s="2">
        <v>1368.4193424320924</v>
      </c>
      <c r="P78" s="2">
        <v>251.334436443306</v>
      </c>
      <c r="Q78" s="2">
        <v>332.59355943005522</v>
      </c>
      <c r="R78" s="2">
        <v>684.05056642208046</v>
      </c>
      <c r="S78" s="2">
        <v>1243.0350086781784</v>
      </c>
      <c r="T78" s="2">
        <v>726.5514117515811</v>
      </c>
      <c r="U78" s="2">
        <v>464.13728304282989</v>
      </c>
      <c r="V78" s="2"/>
      <c r="W78" s="2">
        <v>5070.1216082001274</v>
      </c>
      <c r="Y78" t="s">
        <v>12</v>
      </c>
      <c r="Z78" s="2">
        <v>1268.8219135821209</v>
      </c>
      <c r="AA78" s="2">
        <v>232.22852407528006</v>
      </c>
      <c r="AB78" s="2">
        <v>347.04576673135006</v>
      </c>
      <c r="AC78" s="2">
        <v>728.85025089066971</v>
      </c>
      <c r="AD78" s="2">
        <v>1220.01974945706</v>
      </c>
      <c r="AE78" s="2">
        <v>711.66446768409617</v>
      </c>
      <c r="AF78" s="2">
        <v>496.65716160632019</v>
      </c>
      <c r="AG78" s="2">
        <v>63.8123048088</v>
      </c>
      <c r="AH78" s="2">
        <v>5069.1001388357045</v>
      </c>
      <c r="AJ78" t="s">
        <v>12</v>
      </c>
      <c r="AK78" s="2">
        <v>1223.2095254584879</v>
      </c>
      <c r="AL78" s="2">
        <v>263.50080827390684</v>
      </c>
      <c r="AM78" s="2">
        <v>330.60262394491008</v>
      </c>
      <c r="AN78" s="2">
        <v>634.68714869928044</v>
      </c>
      <c r="AO78" s="2">
        <v>1228.9420591955911</v>
      </c>
      <c r="AP78" s="2">
        <v>685.3685953369752</v>
      </c>
      <c r="AQ78" s="2">
        <v>477.95630245362997</v>
      </c>
      <c r="AR78" s="2">
        <v>149.69660817429997</v>
      </c>
      <c r="AS78" s="2">
        <v>4993.9636715370934</v>
      </c>
      <c r="AU78" t="s">
        <v>12</v>
      </c>
      <c r="AV78" s="2">
        <v>1134.1337634607396</v>
      </c>
      <c r="AW78" s="2">
        <v>193.39235876281995</v>
      </c>
      <c r="AX78" s="2">
        <v>285.60995431748006</v>
      </c>
      <c r="AY78" s="2">
        <v>601.0480554433301</v>
      </c>
      <c r="AZ78" s="2">
        <v>1429.8728685746203</v>
      </c>
      <c r="BA78" s="2">
        <v>687.76283767486689</v>
      </c>
      <c r="BB78" s="2">
        <v>478.62107019916994</v>
      </c>
      <c r="BC78" s="2">
        <v>242.22488642511996</v>
      </c>
      <c r="BD78" s="2">
        <v>5052.6657948581478</v>
      </c>
      <c r="BF78" t="s">
        <v>12</v>
      </c>
      <c r="BG78" s="2">
        <v>1134.1337634607396</v>
      </c>
      <c r="BH78" s="2">
        <v>193.39235876281995</v>
      </c>
      <c r="BI78" s="2">
        <v>285.60995431748006</v>
      </c>
      <c r="BJ78" s="2">
        <v>601.0480554433301</v>
      </c>
      <c r="BK78" s="2">
        <v>1429.8728685746203</v>
      </c>
      <c r="BL78" s="2">
        <v>687.76283767486689</v>
      </c>
      <c r="BM78" s="2">
        <v>478.62107019916994</v>
      </c>
      <c r="BN78" s="2">
        <v>242.22488642511996</v>
      </c>
      <c r="BO78" s="2">
        <v>5052.6657948581478</v>
      </c>
      <c r="BQ78" t="s">
        <v>12</v>
      </c>
      <c r="BR78" s="2">
        <v>1033.0533246046596</v>
      </c>
      <c r="BS78" s="2">
        <v>184.42322531575999</v>
      </c>
      <c r="BT78" s="2">
        <v>305.38358750981001</v>
      </c>
      <c r="BU78" s="2">
        <v>621.32321070081991</v>
      </c>
      <c r="BV78" s="2">
        <v>1511.8258653847031</v>
      </c>
      <c r="BW78" s="2">
        <v>675.31006750557981</v>
      </c>
      <c r="BX78" s="2">
        <v>506.40796914038981</v>
      </c>
      <c r="BY78" s="2">
        <v>387.11862920725008</v>
      </c>
      <c r="BZ78" s="2">
        <v>5224.8458793689606</v>
      </c>
      <c r="CB78">
        <v>5224.8458793689724</v>
      </c>
      <c r="CC78" s="2"/>
      <c r="CD78" s="2"/>
      <c r="CE78" s="2"/>
      <c r="CF78" s="2"/>
      <c r="CG78" s="2"/>
      <c r="CH78" s="2"/>
      <c r="CI78" s="2"/>
      <c r="CJ78" s="2"/>
    </row>
    <row r="79" spans="3:90" x14ac:dyDescent="0.2">
      <c r="C79" t="s">
        <v>13</v>
      </c>
      <c r="D79" s="2">
        <v>6.8041574901999997</v>
      </c>
      <c r="E79" s="2">
        <v>0</v>
      </c>
      <c r="F79" s="2">
        <v>21.528942491700001</v>
      </c>
      <c r="G79" s="2">
        <v>184.0993390174001</v>
      </c>
      <c r="H79" s="2">
        <v>392.72283133727797</v>
      </c>
      <c r="I79" s="2">
        <v>231.33671546529294</v>
      </c>
      <c r="J79" s="2">
        <v>319.6571512608499</v>
      </c>
      <c r="K79" s="2"/>
      <c r="L79" s="2">
        <v>1156.1491370627209</v>
      </c>
      <c r="N79" t="s">
        <v>13</v>
      </c>
      <c r="O79" s="2">
        <v>11.5860545669</v>
      </c>
      <c r="P79" s="2">
        <v>1.8912064918000002</v>
      </c>
      <c r="Q79" s="2">
        <v>17.142504509210003</v>
      </c>
      <c r="R79" s="2">
        <v>148.48369221853997</v>
      </c>
      <c r="S79" s="2">
        <v>343.57446329810722</v>
      </c>
      <c r="T79" s="2">
        <v>239.18349589438898</v>
      </c>
      <c r="U79" s="2">
        <v>416.67590465005992</v>
      </c>
      <c r="V79" s="2"/>
      <c r="W79" s="2">
        <v>1178.5373216290059</v>
      </c>
      <c r="Y79" t="s">
        <v>13</v>
      </c>
      <c r="Z79" s="2">
        <v>14.3424881312</v>
      </c>
      <c r="AA79" s="2">
        <v>0</v>
      </c>
      <c r="AB79" s="2">
        <v>25.960508364500001</v>
      </c>
      <c r="AC79" s="2">
        <v>124.64871711844002</v>
      </c>
      <c r="AD79" s="2">
        <v>334.71386532099092</v>
      </c>
      <c r="AE79" s="2">
        <v>244.298606184025</v>
      </c>
      <c r="AF79" s="2">
        <v>404.74288618778991</v>
      </c>
      <c r="AG79" s="2">
        <v>67.800641938200002</v>
      </c>
      <c r="AH79" s="2">
        <v>1216.5077132451479</v>
      </c>
      <c r="AJ79" t="s">
        <v>13</v>
      </c>
      <c r="AK79" s="2">
        <v>13.1900216919</v>
      </c>
      <c r="AL79" s="2">
        <v>0</v>
      </c>
      <c r="AM79" s="2">
        <v>7.4790784012799998</v>
      </c>
      <c r="AN79" s="2">
        <v>128.96665545176998</v>
      </c>
      <c r="AO79" s="2">
        <v>296.58753405399</v>
      </c>
      <c r="AP79" s="2">
        <v>234.07054792304606</v>
      </c>
      <c r="AQ79" s="2">
        <v>335.70046181740003</v>
      </c>
      <c r="AR79" s="2">
        <v>123.9801448147</v>
      </c>
      <c r="AS79" s="2">
        <v>1139.9744441540861</v>
      </c>
      <c r="AU79" t="s">
        <v>13</v>
      </c>
      <c r="AV79" s="2">
        <v>12.6832985318</v>
      </c>
      <c r="AW79" s="2">
        <v>2.0648969135000002</v>
      </c>
      <c r="AX79" s="2">
        <v>9.4444581538000012</v>
      </c>
      <c r="AY79" s="2">
        <v>96.61507065240005</v>
      </c>
      <c r="AZ79" s="2">
        <v>299.93979719478</v>
      </c>
      <c r="BA79" s="2">
        <v>231.82453533559999</v>
      </c>
      <c r="BB79" s="2">
        <v>363.9203871499999</v>
      </c>
      <c r="BC79" s="2">
        <v>140.72004518708997</v>
      </c>
      <c r="BD79" s="2">
        <v>1157.2124891189708</v>
      </c>
      <c r="BF79" t="s">
        <v>13</v>
      </c>
      <c r="BG79" s="2">
        <v>12.6832985318</v>
      </c>
      <c r="BH79" s="2">
        <v>2.0648969135000002</v>
      </c>
      <c r="BI79" s="2">
        <v>9.4444581538000012</v>
      </c>
      <c r="BJ79" s="2">
        <v>96.61507065240005</v>
      </c>
      <c r="BK79" s="2">
        <v>299.93979719478</v>
      </c>
      <c r="BL79" s="2">
        <v>231.82453533559999</v>
      </c>
      <c r="BM79" s="2">
        <v>363.9203871499999</v>
      </c>
      <c r="BN79" s="2">
        <v>140.72004518708997</v>
      </c>
      <c r="BO79" s="2">
        <v>1157.2124891189708</v>
      </c>
      <c r="BQ79" t="s">
        <v>13</v>
      </c>
      <c r="BR79" s="2">
        <v>16.141937717400001</v>
      </c>
      <c r="BS79" s="2">
        <v>5.1597336696000005</v>
      </c>
      <c r="BT79" s="2">
        <v>2.4860170129000001</v>
      </c>
      <c r="BU79" s="2">
        <v>87.128402590820031</v>
      </c>
      <c r="BV79" s="2">
        <v>289.30967617679988</v>
      </c>
      <c r="BW79" s="2">
        <v>234.00708677261994</v>
      </c>
      <c r="BX79" s="2">
        <v>336.77826471322999</v>
      </c>
      <c r="BY79" s="2">
        <v>173.70740839056006</v>
      </c>
      <c r="BZ79" s="2">
        <v>1144.7185270439293</v>
      </c>
      <c r="CB79">
        <v>1144.71852704393</v>
      </c>
      <c r="CC79" s="2"/>
      <c r="CD79" s="2"/>
      <c r="CE79" s="2"/>
      <c r="CF79" s="2"/>
      <c r="CG79" s="2"/>
      <c r="CH79" s="2"/>
      <c r="CI79" s="2"/>
      <c r="CJ79" s="2"/>
    </row>
    <row r="80" spans="3:90" x14ac:dyDescent="0.2">
      <c r="C80" t="s">
        <v>14</v>
      </c>
      <c r="D80" s="2">
        <v>6338.4806922712778</v>
      </c>
      <c r="E80" s="2">
        <v>1759.90849571127</v>
      </c>
      <c r="F80" s="2">
        <v>3299.5216035143026</v>
      </c>
      <c r="G80" s="2">
        <v>3284.8957131969232</v>
      </c>
      <c r="H80" s="2">
        <v>4476.7252195942347</v>
      </c>
      <c r="I80" s="2">
        <v>2472.5441408649372</v>
      </c>
      <c r="J80" s="2">
        <v>2319.1299838564369</v>
      </c>
      <c r="K80" s="2"/>
      <c r="L80" s="2">
        <v>23951.205849009388</v>
      </c>
      <c r="N80" t="s">
        <v>14</v>
      </c>
      <c r="O80" s="2">
        <v>6250.2577032459913</v>
      </c>
      <c r="P80" s="2">
        <v>1748.0403818408588</v>
      </c>
      <c r="Q80" s="2">
        <v>3225.0495656466273</v>
      </c>
      <c r="R80" s="2">
        <v>3241.0529318681056</v>
      </c>
      <c r="S80" s="2">
        <v>4466.0432312772791</v>
      </c>
      <c r="T80" s="2">
        <v>2459.9757235299689</v>
      </c>
      <c r="U80" s="2">
        <v>2969.2379965945797</v>
      </c>
      <c r="V80" s="2"/>
      <c r="W80" s="2">
        <v>24359.657534003596</v>
      </c>
      <c r="Y80" t="s">
        <v>14</v>
      </c>
      <c r="Z80" s="2">
        <v>6035.1775506379563</v>
      </c>
      <c r="AA80" s="2">
        <v>1693.5767393806716</v>
      </c>
      <c r="AB80" s="2">
        <v>3209.0432320988148</v>
      </c>
      <c r="AC80" s="2">
        <v>3316.185826241508</v>
      </c>
      <c r="AD80" s="2">
        <v>4467.7825347338112</v>
      </c>
      <c r="AE80" s="2">
        <v>2453.9542227100205</v>
      </c>
      <c r="AF80" s="2">
        <v>3055.0945503569487</v>
      </c>
      <c r="AG80" s="2">
        <v>527.15735584623985</v>
      </c>
      <c r="AH80" s="2">
        <v>24757.972012005859</v>
      </c>
      <c r="AJ80" t="s">
        <v>14</v>
      </c>
      <c r="AK80" s="2">
        <v>5812.497100647508</v>
      </c>
      <c r="AL80" s="2">
        <v>1644.1755331526761</v>
      </c>
      <c r="AM80" s="2">
        <v>3060.0320099832479</v>
      </c>
      <c r="AN80" s="2">
        <v>3188.2288937067378</v>
      </c>
      <c r="AO80" s="2">
        <v>4332.0229707323124</v>
      </c>
      <c r="AP80" s="2">
        <v>2410.5296747768889</v>
      </c>
      <c r="AQ80" s="2">
        <v>2960.7423674799361</v>
      </c>
      <c r="AR80" s="2">
        <v>1080.0120475309102</v>
      </c>
      <c r="AS80" s="2">
        <v>24488.240598010227</v>
      </c>
      <c r="AU80" t="s">
        <v>14</v>
      </c>
      <c r="AV80" s="2">
        <v>5463.534920099577</v>
      </c>
      <c r="AW80" s="2">
        <v>1497.0868394199199</v>
      </c>
      <c r="AX80" s="2">
        <v>3024.7051543468565</v>
      </c>
      <c r="AY80" s="2">
        <v>3019.017786759518</v>
      </c>
      <c r="AZ80" s="2">
        <v>4853.9676256584235</v>
      </c>
      <c r="BA80" s="2">
        <v>2383.864190802065</v>
      </c>
      <c r="BB80" s="2">
        <v>2982.8596378138345</v>
      </c>
      <c r="BC80" s="2">
        <v>1730.349047092162</v>
      </c>
      <c r="BD80" s="2">
        <v>24955.385201992314</v>
      </c>
      <c r="BF80" t="s">
        <v>14</v>
      </c>
      <c r="BG80" s="2">
        <v>5463.534920099577</v>
      </c>
      <c r="BH80" s="2">
        <v>1497.0868394199199</v>
      </c>
      <c r="BI80" s="2">
        <v>3024.7051543468565</v>
      </c>
      <c r="BJ80" s="2">
        <v>3019.017786759518</v>
      </c>
      <c r="BK80" s="2">
        <v>4853.9676256584235</v>
      </c>
      <c r="BL80" s="2">
        <v>2383.864190802065</v>
      </c>
      <c r="BM80" s="2">
        <v>2982.8596378138345</v>
      </c>
      <c r="BN80" s="2">
        <v>1730.349047092162</v>
      </c>
      <c r="BO80" s="2">
        <v>24955.385201992314</v>
      </c>
      <c r="BQ80" t="s">
        <v>14</v>
      </c>
      <c r="BR80" s="2">
        <v>5275.731282847335</v>
      </c>
      <c r="BS80" s="2">
        <v>1502.7370683332904</v>
      </c>
      <c r="BT80" s="2">
        <v>3001.806478668022</v>
      </c>
      <c r="BU80" s="2">
        <v>2956.6607124602601</v>
      </c>
      <c r="BV80" s="2">
        <v>4681.3490292876641</v>
      </c>
      <c r="BW80" s="2">
        <v>2380.8813638347006</v>
      </c>
      <c r="BX80" s="2">
        <v>2940.5734094833019</v>
      </c>
      <c r="BY80" s="2">
        <v>2628.6397310862189</v>
      </c>
      <c r="BZ80" s="2">
        <v>25368.379076000943</v>
      </c>
      <c r="CB80">
        <v>25368.379076000794</v>
      </c>
    </row>
    <row r="81" spans="3:90" x14ac:dyDescent="0.2">
      <c r="BP81" s="1"/>
    </row>
    <row r="82" spans="3:90" x14ac:dyDescent="0.2">
      <c r="C82" s="1" t="s">
        <v>16</v>
      </c>
      <c r="N82" s="1" t="s">
        <v>16</v>
      </c>
      <c r="Y82" s="1" t="s">
        <v>16</v>
      </c>
      <c r="AJ82" s="1" t="s">
        <v>16</v>
      </c>
      <c r="AU82" s="1" t="s">
        <v>16</v>
      </c>
      <c r="BF82" s="1" t="s">
        <v>16</v>
      </c>
      <c r="BQ82" s="1" t="s">
        <v>16</v>
      </c>
      <c r="CC82" s="2"/>
      <c r="CD82" s="2"/>
      <c r="CE82" s="2"/>
      <c r="CF82" s="2"/>
      <c r="CG82" s="2"/>
      <c r="CH82" s="2"/>
      <c r="CI82" s="2"/>
      <c r="CJ82" s="2"/>
    </row>
    <row r="83" spans="3:90" x14ac:dyDescent="0.2">
      <c r="C83" t="s">
        <v>9</v>
      </c>
      <c r="D83" s="2">
        <v>1722</v>
      </c>
      <c r="E83" s="2">
        <v>553</v>
      </c>
      <c r="F83" s="2">
        <v>1082</v>
      </c>
      <c r="G83" s="2">
        <v>942</v>
      </c>
      <c r="H83" s="2">
        <v>1112</v>
      </c>
      <c r="I83" s="2">
        <v>567</v>
      </c>
      <c r="J83" s="2">
        <v>571</v>
      </c>
      <c r="K83" s="2"/>
      <c r="L83" s="2">
        <v>6549</v>
      </c>
      <c r="N83" t="s">
        <v>9</v>
      </c>
      <c r="O83" s="2">
        <v>1944</v>
      </c>
      <c r="P83" s="2">
        <v>640</v>
      </c>
      <c r="Q83" s="2">
        <v>1269</v>
      </c>
      <c r="R83" s="2">
        <v>1123</v>
      </c>
      <c r="S83" s="2">
        <v>1301</v>
      </c>
      <c r="T83" s="2">
        <v>694</v>
      </c>
      <c r="U83" s="2">
        <v>983</v>
      </c>
      <c r="V83" s="2"/>
      <c r="W83" s="2">
        <v>7954</v>
      </c>
      <c r="Y83" t="s">
        <v>9</v>
      </c>
      <c r="Z83" s="2">
        <v>1758</v>
      </c>
      <c r="AA83" s="2">
        <v>527</v>
      </c>
      <c r="AB83" s="2">
        <v>1049</v>
      </c>
      <c r="AC83" s="2">
        <v>958</v>
      </c>
      <c r="AD83" s="2">
        <v>1156</v>
      </c>
      <c r="AE83" s="2">
        <v>600</v>
      </c>
      <c r="AF83" s="2">
        <v>979</v>
      </c>
      <c r="AG83" s="2">
        <v>134</v>
      </c>
      <c r="AH83" s="2">
        <v>7161</v>
      </c>
      <c r="AJ83" t="s">
        <v>9</v>
      </c>
      <c r="AK83" s="2">
        <v>1870</v>
      </c>
      <c r="AL83" s="2">
        <v>602</v>
      </c>
      <c r="AM83" s="2">
        <v>1219</v>
      </c>
      <c r="AN83" s="2">
        <v>1133</v>
      </c>
      <c r="AO83" s="2">
        <v>1276</v>
      </c>
      <c r="AP83" s="2">
        <v>693</v>
      </c>
      <c r="AQ83" s="2">
        <v>1205</v>
      </c>
      <c r="AR83" s="2">
        <v>342</v>
      </c>
      <c r="AS83" s="2">
        <v>8340</v>
      </c>
      <c r="AU83" t="s">
        <v>9</v>
      </c>
      <c r="AV83" s="2">
        <v>1609</v>
      </c>
      <c r="AW83" s="2">
        <v>483</v>
      </c>
      <c r="AX83" s="2">
        <v>1025</v>
      </c>
      <c r="AY83" s="2">
        <v>910</v>
      </c>
      <c r="AZ83" s="2">
        <v>1216</v>
      </c>
      <c r="BA83" s="2">
        <v>542</v>
      </c>
      <c r="BB83" s="2">
        <v>943</v>
      </c>
      <c r="BC83" s="2">
        <v>512</v>
      </c>
      <c r="BD83" s="2">
        <v>7240</v>
      </c>
      <c r="BF83" t="s">
        <v>9</v>
      </c>
      <c r="BG83" s="2">
        <v>1609</v>
      </c>
      <c r="BH83" s="2">
        <v>483</v>
      </c>
      <c r="BI83" s="2">
        <v>1025</v>
      </c>
      <c r="BJ83" s="2">
        <v>910</v>
      </c>
      <c r="BK83" s="2">
        <v>1216</v>
      </c>
      <c r="BL83" s="2">
        <v>542</v>
      </c>
      <c r="BM83" s="2">
        <v>943</v>
      </c>
      <c r="BN83" s="2">
        <v>512</v>
      </c>
      <c r="BO83" s="2">
        <v>7240</v>
      </c>
      <c r="BQ83" t="s">
        <v>9</v>
      </c>
      <c r="BR83" s="2">
        <v>1509</v>
      </c>
      <c r="BS83" s="2">
        <v>531</v>
      </c>
      <c r="BT83" s="2">
        <v>1140</v>
      </c>
      <c r="BU83" s="2">
        <v>945</v>
      </c>
      <c r="BV83" s="2">
        <v>1207</v>
      </c>
      <c r="BW83" s="2">
        <v>609</v>
      </c>
      <c r="BX83" s="2">
        <v>966</v>
      </c>
      <c r="BY83" s="2">
        <v>889</v>
      </c>
      <c r="BZ83" s="2">
        <v>7796</v>
      </c>
      <c r="CB83">
        <v>7796</v>
      </c>
      <c r="CC83" s="2"/>
      <c r="CD83" s="2"/>
      <c r="CE83" s="2"/>
      <c r="CF83" s="2"/>
      <c r="CG83" s="2"/>
      <c r="CH83" s="2"/>
      <c r="CI83" s="2"/>
      <c r="CJ83" s="2"/>
    </row>
    <row r="84" spans="3:90" x14ac:dyDescent="0.2">
      <c r="C84" t="s">
        <v>10</v>
      </c>
      <c r="D84" s="2">
        <v>1719</v>
      </c>
      <c r="E84" s="2">
        <v>553</v>
      </c>
      <c r="F84" s="2">
        <v>1075</v>
      </c>
      <c r="G84" s="2">
        <v>868</v>
      </c>
      <c r="H84" s="2">
        <v>955</v>
      </c>
      <c r="I84" s="2">
        <v>484</v>
      </c>
      <c r="J84" s="2">
        <v>520</v>
      </c>
      <c r="K84" s="2"/>
      <c r="L84" s="2">
        <v>6174</v>
      </c>
      <c r="N84" t="s">
        <v>10</v>
      </c>
      <c r="O84" s="2">
        <v>1939</v>
      </c>
      <c r="P84" s="2">
        <v>640</v>
      </c>
      <c r="Q84" s="2">
        <v>1262</v>
      </c>
      <c r="R84" s="2">
        <v>1059</v>
      </c>
      <c r="S84" s="2">
        <v>1149</v>
      </c>
      <c r="T84" s="2">
        <v>605</v>
      </c>
      <c r="U84" s="2">
        <v>902</v>
      </c>
      <c r="V84" s="2"/>
      <c r="W84" s="2">
        <v>7556</v>
      </c>
      <c r="Y84" t="s">
        <v>10</v>
      </c>
      <c r="Z84" s="2">
        <v>1752</v>
      </c>
      <c r="AA84" s="2">
        <v>527</v>
      </c>
      <c r="AB84" s="2">
        <v>1039</v>
      </c>
      <c r="AC84" s="2">
        <v>904</v>
      </c>
      <c r="AD84" s="2">
        <v>1008</v>
      </c>
      <c r="AE84" s="2">
        <v>513</v>
      </c>
      <c r="AF84" s="2">
        <v>882</v>
      </c>
      <c r="AG84" s="2">
        <v>126</v>
      </c>
      <c r="AH84" s="2">
        <v>6751</v>
      </c>
      <c r="AJ84" t="s">
        <v>10</v>
      </c>
      <c r="AK84" s="2">
        <v>1865</v>
      </c>
      <c r="AL84" s="2">
        <v>602</v>
      </c>
      <c r="AM84" s="2">
        <v>1216</v>
      </c>
      <c r="AN84" s="2">
        <v>1076</v>
      </c>
      <c r="AO84" s="2">
        <v>1135</v>
      </c>
      <c r="AP84" s="2">
        <v>606</v>
      </c>
      <c r="AQ84" s="2">
        <v>1109</v>
      </c>
      <c r="AR84" s="2">
        <v>316</v>
      </c>
      <c r="AS84" s="2">
        <v>7925</v>
      </c>
      <c r="AU84" t="s">
        <v>10</v>
      </c>
      <c r="AV84" s="2">
        <v>1605</v>
      </c>
      <c r="AW84" s="2">
        <v>482</v>
      </c>
      <c r="AX84" s="2">
        <v>1021</v>
      </c>
      <c r="AY84" s="2">
        <v>878</v>
      </c>
      <c r="AZ84" s="2">
        <v>1114</v>
      </c>
      <c r="BA84" s="2">
        <v>481</v>
      </c>
      <c r="BB84" s="2">
        <v>860</v>
      </c>
      <c r="BC84" s="2">
        <v>461</v>
      </c>
      <c r="BD84" s="2">
        <v>6902</v>
      </c>
      <c r="BF84" t="s">
        <v>10</v>
      </c>
      <c r="BG84" s="2">
        <v>1605</v>
      </c>
      <c r="BH84" s="2">
        <v>482</v>
      </c>
      <c r="BI84" s="2">
        <v>1021</v>
      </c>
      <c r="BJ84" s="2">
        <v>878</v>
      </c>
      <c r="BK84" s="2">
        <v>1114</v>
      </c>
      <c r="BL84" s="2">
        <v>481</v>
      </c>
      <c r="BM84" s="2">
        <v>860</v>
      </c>
      <c r="BN84" s="2">
        <v>461</v>
      </c>
      <c r="BO84" s="2">
        <v>6902</v>
      </c>
      <c r="BQ84" t="s">
        <v>10</v>
      </c>
      <c r="BR84" s="2">
        <v>1503</v>
      </c>
      <c r="BS84" s="2">
        <v>529</v>
      </c>
      <c r="BT84" s="2">
        <v>1139</v>
      </c>
      <c r="BU84" s="2">
        <v>916</v>
      </c>
      <c r="BV84" s="2">
        <v>1096</v>
      </c>
      <c r="BW84" s="2">
        <v>532</v>
      </c>
      <c r="BX84" s="2">
        <v>868</v>
      </c>
      <c r="BY84" s="2">
        <v>833</v>
      </c>
      <c r="BZ84" s="2">
        <v>7416</v>
      </c>
      <c r="CB84">
        <v>7416</v>
      </c>
      <c r="CC84" s="2"/>
      <c r="CD84" s="2"/>
      <c r="CE84" s="2"/>
      <c r="CF84" s="2"/>
      <c r="CG84" s="2"/>
      <c r="CH84" s="2"/>
      <c r="CI84" s="2"/>
      <c r="CJ84" s="2"/>
    </row>
    <row r="85" spans="3:90" x14ac:dyDescent="0.2">
      <c r="C85" t="s">
        <v>11</v>
      </c>
      <c r="D85" s="2">
        <v>0</v>
      </c>
      <c r="E85" s="2">
        <v>1</v>
      </c>
      <c r="F85" s="2">
        <v>1</v>
      </c>
      <c r="G85" s="2">
        <v>1</v>
      </c>
      <c r="H85" s="2">
        <v>7</v>
      </c>
      <c r="I85" s="2">
        <v>6</v>
      </c>
      <c r="J85" s="2">
        <v>21</v>
      </c>
      <c r="K85" s="2"/>
      <c r="L85" s="2">
        <v>37</v>
      </c>
      <c r="N85" t="s">
        <v>11</v>
      </c>
      <c r="O85" s="2">
        <v>34</v>
      </c>
      <c r="P85" s="2">
        <v>16</v>
      </c>
      <c r="Q85" s="2">
        <v>27</v>
      </c>
      <c r="R85" s="2">
        <v>43</v>
      </c>
      <c r="S85" s="2">
        <v>105</v>
      </c>
      <c r="T85" s="2">
        <v>93</v>
      </c>
      <c r="U85" s="2">
        <v>117</v>
      </c>
      <c r="V85" s="2"/>
      <c r="W85" s="2">
        <v>435</v>
      </c>
      <c r="Y85" t="s">
        <v>11</v>
      </c>
      <c r="Z85" s="2">
        <v>31</v>
      </c>
      <c r="AA85" s="2">
        <v>12</v>
      </c>
      <c r="AB85" s="2">
        <v>23</v>
      </c>
      <c r="AC85" s="2">
        <v>32</v>
      </c>
      <c r="AD85" s="2">
        <v>97</v>
      </c>
      <c r="AE85" s="2">
        <v>73</v>
      </c>
      <c r="AF85" s="2">
        <v>123</v>
      </c>
      <c r="AG85" s="2">
        <v>26</v>
      </c>
      <c r="AH85" s="2">
        <v>417</v>
      </c>
      <c r="AJ85" t="s">
        <v>11</v>
      </c>
      <c r="AK85" s="2">
        <v>42</v>
      </c>
      <c r="AL85" s="2">
        <v>16</v>
      </c>
      <c r="AM85" s="2">
        <v>23</v>
      </c>
      <c r="AN85" s="2">
        <v>39</v>
      </c>
      <c r="AO85" s="2">
        <v>105</v>
      </c>
      <c r="AP85" s="2">
        <v>91</v>
      </c>
      <c r="AQ85" s="2">
        <v>124</v>
      </c>
      <c r="AR85" s="2">
        <v>52</v>
      </c>
      <c r="AS85" s="2">
        <v>492</v>
      </c>
      <c r="AU85" t="s">
        <v>11</v>
      </c>
      <c r="AV85" s="2">
        <v>22</v>
      </c>
      <c r="AW85" s="2">
        <v>5</v>
      </c>
      <c r="AX85" s="2">
        <v>16</v>
      </c>
      <c r="AY85" s="2">
        <v>27</v>
      </c>
      <c r="AZ85" s="2">
        <v>89</v>
      </c>
      <c r="BA85" s="2">
        <v>71</v>
      </c>
      <c r="BB85" s="2">
        <v>93</v>
      </c>
      <c r="BC85" s="2">
        <v>71</v>
      </c>
      <c r="BD85" s="2">
        <v>394</v>
      </c>
      <c r="BF85" t="s">
        <v>11</v>
      </c>
      <c r="BG85" s="2">
        <v>22</v>
      </c>
      <c r="BH85" s="2">
        <v>5</v>
      </c>
      <c r="BI85" s="2">
        <v>16</v>
      </c>
      <c r="BJ85" s="2">
        <v>27</v>
      </c>
      <c r="BK85" s="2">
        <v>89</v>
      </c>
      <c r="BL85" s="2">
        <v>71</v>
      </c>
      <c r="BM85" s="2">
        <v>93</v>
      </c>
      <c r="BN85" s="2">
        <v>71</v>
      </c>
      <c r="BO85" s="2">
        <v>394</v>
      </c>
      <c r="BQ85" t="s">
        <v>11</v>
      </c>
      <c r="BR85" s="2">
        <v>27</v>
      </c>
      <c r="BS85" s="2">
        <v>8</v>
      </c>
      <c r="BT85" s="2">
        <v>19</v>
      </c>
      <c r="BU85" s="2">
        <v>28</v>
      </c>
      <c r="BV85" s="2">
        <v>91</v>
      </c>
      <c r="BW85" s="2">
        <v>74</v>
      </c>
      <c r="BX85" s="2">
        <v>115</v>
      </c>
      <c r="BY85" s="2">
        <v>120</v>
      </c>
      <c r="BZ85" s="2">
        <v>482</v>
      </c>
      <c r="CB85">
        <v>482</v>
      </c>
      <c r="CC85" s="2"/>
      <c r="CD85" s="2"/>
      <c r="CE85" s="2"/>
      <c r="CF85" s="2"/>
      <c r="CG85" s="2"/>
      <c r="CH85" s="2"/>
      <c r="CI85" s="2"/>
      <c r="CJ85" s="2"/>
    </row>
    <row r="86" spans="3:90" x14ac:dyDescent="0.2">
      <c r="C86" t="s">
        <v>12</v>
      </c>
      <c r="D86" s="2">
        <v>27</v>
      </c>
      <c r="E86" s="2">
        <v>3</v>
      </c>
      <c r="F86" s="2">
        <v>4</v>
      </c>
      <c r="G86" s="2">
        <v>6</v>
      </c>
      <c r="H86" s="2">
        <v>25</v>
      </c>
      <c r="I86" s="2">
        <v>9</v>
      </c>
      <c r="J86" s="2">
        <v>19</v>
      </c>
      <c r="K86" s="2"/>
      <c r="L86" s="2">
        <v>93</v>
      </c>
      <c r="N86" t="s">
        <v>12</v>
      </c>
      <c r="O86" s="2">
        <v>341</v>
      </c>
      <c r="P86" s="2">
        <v>65</v>
      </c>
      <c r="Q86" s="2">
        <v>101</v>
      </c>
      <c r="R86" s="2">
        <v>185</v>
      </c>
      <c r="S86" s="2">
        <v>323</v>
      </c>
      <c r="T86" s="2">
        <v>188</v>
      </c>
      <c r="U86" s="2">
        <v>99</v>
      </c>
      <c r="V86" s="2"/>
      <c r="W86" s="2">
        <v>1302</v>
      </c>
      <c r="Y86" t="s">
        <v>12</v>
      </c>
      <c r="Z86" s="2">
        <v>343</v>
      </c>
      <c r="AA86" s="2">
        <v>71</v>
      </c>
      <c r="AB86" s="2">
        <v>110</v>
      </c>
      <c r="AC86" s="2">
        <v>226</v>
      </c>
      <c r="AD86" s="2">
        <v>370</v>
      </c>
      <c r="AE86" s="2">
        <v>202</v>
      </c>
      <c r="AF86" s="2">
        <v>129</v>
      </c>
      <c r="AG86" s="2">
        <v>11</v>
      </c>
      <c r="AH86" s="2">
        <v>1462</v>
      </c>
      <c r="AJ86" t="s">
        <v>12</v>
      </c>
      <c r="AK86" s="2">
        <v>475</v>
      </c>
      <c r="AL86" s="2">
        <v>111</v>
      </c>
      <c r="AM86" s="2">
        <v>139</v>
      </c>
      <c r="AN86" s="2">
        <v>260</v>
      </c>
      <c r="AO86" s="2">
        <v>502</v>
      </c>
      <c r="AP86" s="2">
        <v>261</v>
      </c>
      <c r="AQ86" s="2">
        <v>212</v>
      </c>
      <c r="AR86" s="2">
        <v>46</v>
      </c>
      <c r="AS86" s="2">
        <v>2006</v>
      </c>
      <c r="AU86" t="s">
        <v>12</v>
      </c>
      <c r="AV86" s="2">
        <v>361</v>
      </c>
      <c r="AW86" s="2">
        <v>60</v>
      </c>
      <c r="AX86" s="2">
        <v>91</v>
      </c>
      <c r="AY86" s="2">
        <v>195</v>
      </c>
      <c r="AZ86" s="2">
        <v>496</v>
      </c>
      <c r="BA86" s="2">
        <v>246</v>
      </c>
      <c r="BB86" s="2">
        <v>160</v>
      </c>
      <c r="BC86" s="2">
        <v>75</v>
      </c>
      <c r="BD86" s="2">
        <v>1684</v>
      </c>
      <c r="BF86" t="s">
        <v>12</v>
      </c>
      <c r="BG86" s="2">
        <v>361</v>
      </c>
      <c r="BH86" s="2">
        <v>60</v>
      </c>
      <c r="BI86" s="2">
        <v>91</v>
      </c>
      <c r="BJ86" s="2">
        <v>195</v>
      </c>
      <c r="BK86" s="2">
        <v>496</v>
      </c>
      <c r="BL86" s="2">
        <v>246</v>
      </c>
      <c r="BM86" s="2">
        <v>160</v>
      </c>
      <c r="BN86" s="2">
        <v>75</v>
      </c>
      <c r="BO86" s="2">
        <v>1684</v>
      </c>
      <c r="BQ86" t="s">
        <v>12</v>
      </c>
      <c r="BR86" s="2">
        <v>369</v>
      </c>
      <c r="BS86" s="2">
        <v>62</v>
      </c>
      <c r="BT86" s="2">
        <v>107</v>
      </c>
      <c r="BU86" s="2">
        <v>233</v>
      </c>
      <c r="BV86" s="2">
        <v>567</v>
      </c>
      <c r="BW86" s="2">
        <v>279</v>
      </c>
      <c r="BX86" s="2">
        <v>196</v>
      </c>
      <c r="BY86" s="2">
        <v>162</v>
      </c>
      <c r="BZ86" s="2">
        <v>1975</v>
      </c>
      <c r="CB86">
        <v>1975</v>
      </c>
      <c r="CC86" s="2"/>
      <c r="CD86" s="2"/>
      <c r="CE86" s="2"/>
      <c r="CF86" s="2"/>
      <c r="CG86" s="2"/>
      <c r="CH86" s="2"/>
      <c r="CI86" s="2"/>
      <c r="CJ86" s="2"/>
    </row>
    <row r="87" spans="3:90" x14ac:dyDescent="0.2">
      <c r="C87" t="s">
        <v>13</v>
      </c>
      <c r="D87" s="2">
        <v>3</v>
      </c>
      <c r="E87" s="2">
        <v>0</v>
      </c>
      <c r="F87" s="2">
        <v>7</v>
      </c>
      <c r="G87" s="2">
        <v>74</v>
      </c>
      <c r="H87" s="2">
        <v>157</v>
      </c>
      <c r="I87" s="2">
        <v>83</v>
      </c>
      <c r="J87" s="2">
        <v>51</v>
      </c>
      <c r="K87" s="2"/>
      <c r="L87" s="2">
        <v>375</v>
      </c>
      <c r="N87" t="s">
        <v>13</v>
      </c>
      <c r="O87" s="2">
        <v>5</v>
      </c>
      <c r="P87" s="2">
        <v>0</v>
      </c>
      <c r="Q87" s="2">
        <v>7</v>
      </c>
      <c r="R87" s="2">
        <v>64</v>
      </c>
      <c r="S87" s="2">
        <v>152</v>
      </c>
      <c r="T87" s="2">
        <v>89</v>
      </c>
      <c r="U87" s="2">
        <v>81</v>
      </c>
      <c r="V87" s="2"/>
      <c r="W87" s="2">
        <v>398</v>
      </c>
      <c r="Y87" t="s">
        <v>13</v>
      </c>
      <c r="Z87" s="2">
        <v>6</v>
      </c>
      <c r="AA87" s="2">
        <v>0</v>
      </c>
      <c r="AB87" s="2">
        <v>10</v>
      </c>
      <c r="AC87" s="2">
        <v>54</v>
      </c>
      <c r="AD87" s="2">
        <v>148</v>
      </c>
      <c r="AE87" s="2">
        <v>87</v>
      </c>
      <c r="AF87" s="2">
        <v>97</v>
      </c>
      <c r="AG87" s="2">
        <v>8</v>
      </c>
      <c r="AH87" s="2">
        <v>410</v>
      </c>
      <c r="AJ87" t="s">
        <v>13</v>
      </c>
      <c r="AK87" s="2">
        <v>5</v>
      </c>
      <c r="AL87" s="2">
        <v>0</v>
      </c>
      <c r="AM87" s="2">
        <v>3</v>
      </c>
      <c r="AN87" s="2">
        <v>57</v>
      </c>
      <c r="AO87" s="2">
        <v>141</v>
      </c>
      <c r="AP87" s="2">
        <v>87</v>
      </c>
      <c r="AQ87" s="2">
        <v>96</v>
      </c>
      <c r="AR87" s="2">
        <v>26</v>
      </c>
      <c r="AS87" s="2">
        <v>415</v>
      </c>
      <c r="AU87" t="s">
        <v>13</v>
      </c>
      <c r="AV87" s="2">
        <v>4</v>
      </c>
      <c r="AW87" s="2">
        <v>1</v>
      </c>
      <c r="AX87" s="2">
        <v>4</v>
      </c>
      <c r="AY87" s="2">
        <v>32</v>
      </c>
      <c r="AZ87" s="2">
        <v>102</v>
      </c>
      <c r="BA87" s="2">
        <v>61</v>
      </c>
      <c r="BB87" s="2">
        <v>83</v>
      </c>
      <c r="BC87" s="2">
        <v>51</v>
      </c>
      <c r="BD87" s="2">
        <v>338</v>
      </c>
      <c r="BF87" t="s">
        <v>13</v>
      </c>
      <c r="BG87" s="2">
        <v>4</v>
      </c>
      <c r="BH87" s="2">
        <v>1</v>
      </c>
      <c r="BI87" s="2">
        <v>4</v>
      </c>
      <c r="BJ87" s="2">
        <v>32</v>
      </c>
      <c r="BK87" s="2">
        <v>102</v>
      </c>
      <c r="BL87" s="2">
        <v>61</v>
      </c>
      <c r="BM87" s="2">
        <v>83</v>
      </c>
      <c r="BN87" s="2">
        <v>51</v>
      </c>
      <c r="BO87" s="2">
        <v>338</v>
      </c>
      <c r="BQ87" t="s">
        <v>13</v>
      </c>
      <c r="BR87" s="2">
        <v>6</v>
      </c>
      <c r="BS87" s="2">
        <v>2</v>
      </c>
      <c r="BT87" s="2">
        <v>1</v>
      </c>
      <c r="BU87" s="2">
        <v>29</v>
      </c>
      <c r="BV87" s="2">
        <v>111</v>
      </c>
      <c r="BW87" s="2">
        <v>77</v>
      </c>
      <c r="BX87" s="2">
        <v>98</v>
      </c>
      <c r="BY87" s="2">
        <v>56</v>
      </c>
      <c r="BZ87" s="2">
        <v>380</v>
      </c>
      <c r="CB87">
        <v>380</v>
      </c>
      <c r="CC87" s="2"/>
      <c r="CD87" s="2"/>
      <c r="CE87" s="2"/>
      <c r="CF87" s="2"/>
      <c r="CG87" s="2"/>
      <c r="CH87" s="2"/>
      <c r="CI87" s="2"/>
      <c r="CJ87" s="2"/>
    </row>
    <row r="88" spans="3:90" x14ac:dyDescent="0.2">
      <c r="C88" t="s">
        <v>14</v>
      </c>
      <c r="D88" s="2">
        <v>1749</v>
      </c>
      <c r="E88" s="2">
        <v>557</v>
      </c>
      <c r="F88" s="2">
        <v>1087</v>
      </c>
      <c r="G88" s="2">
        <v>949</v>
      </c>
      <c r="H88" s="2">
        <v>1144</v>
      </c>
      <c r="I88" s="2">
        <v>582</v>
      </c>
      <c r="J88" s="2">
        <v>611</v>
      </c>
      <c r="K88" s="2"/>
      <c r="L88" s="2">
        <v>6679</v>
      </c>
      <c r="N88" t="s">
        <v>14</v>
      </c>
      <c r="O88" s="2">
        <v>2319</v>
      </c>
      <c r="P88" s="2">
        <v>721</v>
      </c>
      <c r="Q88" s="2">
        <v>1397</v>
      </c>
      <c r="R88" s="2">
        <v>1351</v>
      </c>
      <c r="S88" s="2">
        <v>1729</v>
      </c>
      <c r="T88" s="2">
        <v>975</v>
      </c>
      <c r="U88" s="2">
        <v>1199</v>
      </c>
      <c r="V88" s="2"/>
      <c r="W88" s="2">
        <v>9691</v>
      </c>
      <c r="Y88" t="s">
        <v>14</v>
      </c>
      <c r="Z88" s="2">
        <v>2132</v>
      </c>
      <c r="AA88" s="2">
        <v>610</v>
      </c>
      <c r="AB88" s="2">
        <v>1182</v>
      </c>
      <c r="AC88" s="2">
        <v>1216</v>
      </c>
      <c r="AD88" s="2">
        <v>1623</v>
      </c>
      <c r="AE88" s="2">
        <v>875</v>
      </c>
      <c r="AF88" s="2">
        <v>1231</v>
      </c>
      <c r="AG88" s="2">
        <v>171</v>
      </c>
      <c r="AH88" s="2">
        <v>9040</v>
      </c>
      <c r="AJ88" t="s">
        <v>14</v>
      </c>
      <c r="AK88" s="2">
        <v>2387</v>
      </c>
      <c r="AL88" s="2">
        <v>729</v>
      </c>
      <c r="AM88" s="2">
        <v>1381</v>
      </c>
      <c r="AN88" s="2">
        <v>1432</v>
      </c>
      <c r="AO88" s="2">
        <v>1883</v>
      </c>
      <c r="AP88" s="2">
        <v>1045</v>
      </c>
      <c r="AQ88" s="2">
        <v>1541</v>
      </c>
      <c r="AR88" s="2">
        <v>440</v>
      </c>
      <c r="AS88" s="2">
        <v>10838</v>
      </c>
      <c r="AU88" t="s">
        <v>14</v>
      </c>
      <c r="AV88" s="2">
        <v>1992</v>
      </c>
      <c r="AW88" s="2">
        <v>548</v>
      </c>
      <c r="AX88" s="2">
        <v>1132</v>
      </c>
      <c r="AY88" s="2">
        <v>1132</v>
      </c>
      <c r="AZ88" s="2">
        <v>1801</v>
      </c>
      <c r="BA88" s="2">
        <v>859</v>
      </c>
      <c r="BB88" s="2">
        <v>1196</v>
      </c>
      <c r="BC88" s="2">
        <v>658</v>
      </c>
      <c r="BD88" s="2">
        <v>9318</v>
      </c>
      <c r="BF88" t="s">
        <v>14</v>
      </c>
      <c r="BG88" s="2">
        <v>1992</v>
      </c>
      <c r="BH88" s="2">
        <v>548</v>
      </c>
      <c r="BI88" s="2">
        <v>1132</v>
      </c>
      <c r="BJ88" s="2">
        <v>1132</v>
      </c>
      <c r="BK88" s="2">
        <v>1801</v>
      </c>
      <c r="BL88" s="2">
        <v>859</v>
      </c>
      <c r="BM88" s="2">
        <v>1196</v>
      </c>
      <c r="BN88" s="2">
        <v>658</v>
      </c>
      <c r="BO88" s="2">
        <v>9318</v>
      </c>
      <c r="BQ88" t="s">
        <v>14</v>
      </c>
      <c r="BR88" s="2">
        <v>1905</v>
      </c>
      <c r="BS88" s="2">
        <v>601</v>
      </c>
      <c r="BT88" s="2">
        <v>1266</v>
      </c>
      <c r="BU88" s="2">
        <v>1206</v>
      </c>
      <c r="BV88" s="2">
        <v>1865</v>
      </c>
      <c r="BW88" s="2">
        <v>962</v>
      </c>
      <c r="BX88" s="2">
        <v>1277</v>
      </c>
      <c r="BY88" s="2">
        <v>1171</v>
      </c>
      <c r="BZ88" s="2">
        <v>10253</v>
      </c>
      <c r="CB88">
        <v>10253</v>
      </c>
    </row>
    <row r="89" spans="3:90" x14ac:dyDescent="0.2">
      <c r="AV89" t="s">
        <v>26</v>
      </c>
      <c r="AW89" t="s">
        <v>26</v>
      </c>
      <c r="AX89" t="s">
        <v>26</v>
      </c>
      <c r="AY89" t="s">
        <v>26</v>
      </c>
      <c r="AZ89" t="s">
        <v>26</v>
      </c>
      <c r="BG89" t="s">
        <v>26</v>
      </c>
      <c r="BH89" t="s">
        <v>26</v>
      </c>
      <c r="BI89" t="s">
        <v>26</v>
      </c>
      <c r="BJ89" t="s">
        <v>26</v>
      </c>
      <c r="BK89" t="s">
        <v>26</v>
      </c>
      <c r="CC89" s="3"/>
    </row>
    <row r="90" spans="3:90" x14ac:dyDescent="0.2">
      <c r="C90" t="s">
        <v>17</v>
      </c>
      <c r="E90" s="3">
        <v>41.373334652400906</v>
      </c>
      <c r="N90" t="s">
        <v>17</v>
      </c>
      <c r="P90" s="3">
        <v>43.470059713745066</v>
      </c>
      <c r="Y90" t="s">
        <v>17</v>
      </c>
      <c r="AA90" s="3">
        <v>44.172937449183635</v>
      </c>
      <c r="AJ90" t="s">
        <v>17</v>
      </c>
      <c r="AL90" s="3">
        <v>45.425200778172375</v>
      </c>
      <c r="AU90" t="s">
        <v>17</v>
      </c>
      <c r="AW90" s="3">
        <v>47.162372766176652</v>
      </c>
      <c r="AX90" t="s">
        <v>26</v>
      </c>
      <c r="AY90" t="s">
        <v>26</v>
      </c>
      <c r="AZ90" t="s">
        <v>26</v>
      </c>
      <c r="BF90" t="s">
        <v>17</v>
      </c>
      <c r="BH90" s="3">
        <v>47.162372766176652</v>
      </c>
      <c r="BI90" t="s">
        <v>26</v>
      </c>
      <c r="BJ90" t="s">
        <v>26</v>
      </c>
      <c r="BK90" t="s">
        <v>26</v>
      </c>
      <c r="BQ90" t="s">
        <v>17</v>
      </c>
      <c r="BS90" s="3">
        <v>48.383793918046777</v>
      </c>
    </row>
    <row r="91" spans="3:90" ht="15.75" x14ac:dyDescent="0.25">
      <c r="AV91" t="s">
        <v>26</v>
      </c>
      <c r="AW91" t="s">
        <v>26</v>
      </c>
      <c r="AX91" t="s">
        <v>26</v>
      </c>
      <c r="AY91" t="s">
        <v>26</v>
      </c>
      <c r="AZ91" t="s">
        <v>26</v>
      </c>
      <c r="BG91" t="s">
        <v>26</v>
      </c>
      <c r="BH91" t="s">
        <v>26</v>
      </c>
      <c r="BI91" t="s">
        <v>26</v>
      </c>
      <c r="BJ91" t="s">
        <v>26</v>
      </c>
      <c r="BK91" t="s">
        <v>26</v>
      </c>
      <c r="BP91" s="6"/>
    </row>
    <row r="92" spans="3:90" ht="15.75" x14ac:dyDescent="0.25">
      <c r="C92" s="6" t="s">
        <v>22</v>
      </c>
      <c r="N92" s="6" t="s">
        <v>22</v>
      </c>
      <c r="Y92" s="6" t="s">
        <v>22</v>
      </c>
      <c r="AJ92" s="6" t="s">
        <v>22</v>
      </c>
      <c r="AU92" s="6" t="s">
        <v>22</v>
      </c>
      <c r="BF92" s="6" t="s">
        <v>22</v>
      </c>
      <c r="BQ92" s="6" t="s">
        <v>22</v>
      </c>
      <c r="CE92" t="s">
        <v>27</v>
      </c>
    </row>
    <row r="93" spans="3:90" x14ac:dyDescent="0.2">
      <c r="D93" t="s">
        <v>0</v>
      </c>
      <c r="E93" t="s">
        <v>1</v>
      </c>
      <c r="F93" t="s">
        <v>2</v>
      </c>
      <c r="G93" t="s">
        <v>3</v>
      </c>
      <c r="H93" t="s">
        <v>4</v>
      </c>
      <c r="I93" t="s">
        <v>5</v>
      </c>
      <c r="J93" t="s">
        <v>6</v>
      </c>
      <c r="K93" t="s">
        <v>7</v>
      </c>
      <c r="O93" t="s">
        <v>0</v>
      </c>
      <c r="P93" t="s">
        <v>1</v>
      </c>
      <c r="Q93" t="s">
        <v>2</v>
      </c>
      <c r="R93" t="s">
        <v>3</v>
      </c>
      <c r="S93" t="s">
        <v>4</v>
      </c>
      <c r="T93" t="s">
        <v>5</v>
      </c>
      <c r="U93" t="s">
        <v>6</v>
      </c>
      <c r="V93" t="s">
        <v>7</v>
      </c>
      <c r="Z93" t="s">
        <v>0</v>
      </c>
      <c r="AA93" t="s">
        <v>1</v>
      </c>
      <c r="AB93" t="s">
        <v>2</v>
      </c>
      <c r="AC93" t="s">
        <v>3</v>
      </c>
      <c r="AD93" t="s">
        <v>4</v>
      </c>
      <c r="AE93" t="s">
        <v>5</v>
      </c>
      <c r="AF93" t="s">
        <v>6</v>
      </c>
      <c r="AG93" t="s">
        <v>7</v>
      </c>
      <c r="AK93" t="s">
        <v>0</v>
      </c>
      <c r="AL93" t="s">
        <v>1</v>
      </c>
      <c r="AM93" t="s">
        <v>2</v>
      </c>
      <c r="AN93" t="s">
        <v>3</v>
      </c>
      <c r="AO93" t="s">
        <v>4</v>
      </c>
      <c r="AP93" t="s">
        <v>5</v>
      </c>
      <c r="AQ93" t="s">
        <v>6</v>
      </c>
      <c r="AR93" t="s">
        <v>7</v>
      </c>
      <c r="AV93" t="s">
        <v>0</v>
      </c>
      <c r="AW93" t="s">
        <v>1</v>
      </c>
      <c r="AX93" t="s">
        <v>2</v>
      </c>
      <c r="AY93" t="s">
        <v>3</v>
      </c>
      <c r="AZ93" t="s">
        <v>4</v>
      </c>
      <c r="BA93" t="s">
        <v>5</v>
      </c>
      <c r="BB93" t="s">
        <v>6</v>
      </c>
      <c r="BC93" t="s">
        <v>7</v>
      </c>
      <c r="BG93" t="s">
        <v>0</v>
      </c>
      <c r="BH93" t="s">
        <v>1</v>
      </c>
      <c r="BI93" t="s">
        <v>2</v>
      </c>
      <c r="BJ93" t="s">
        <v>3</v>
      </c>
      <c r="BK93" t="s">
        <v>4</v>
      </c>
      <c r="BL93" t="s">
        <v>5</v>
      </c>
      <c r="BM93" t="s">
        <v>6</v>
      </c>
      <c r="BN93" t="s">
        <v>7</v>
      </c>
      <c r="BR93" t="s">
        <v>0</v>
      </c>
      <c r="BS93" t="s">
        <v>1</v>
      </c>
      <c r="BT93" t="s">
        <v>2</v>
      </c>
      <c r="BU93" t="s">
        <v>3</v>
      </c>
      <c r="BV93" t="s">
        <v>4</v>
      </c>
      <c r="BW93" t="s">
        <v>5</v>
      </c>
      <c r="BX93" t="s">
        <v>6</v>
      </c>
      <c r="BY93" t="s">
        <v>7</v>
      </c>
      <c r="CF93" t="s">
        <v>0</v>
      </c>
      <c r="CG93" t="s">
        <v>1</v>
      </c>
      <c r="CH93" t="s">
        <v>2</v>
      </c>
      <c r="CI93" t="s">
        <v>3</v>
      </c>
      <c r="CJ93" t="s">
        <v>4</v>
      </c>
      <c r="CK93" t="s">
        <v>5</v>
      </c>
      <c r="CL93" t="s">
        <v>6</v>
      </c>
    </row>
    <row r="94" spans="3:90" x14ac:dyDescent="0.2">
      <c r="AV94" t="s">
        <v>26</v>
      </c>
      <c r="AW94" t="s">
        <v>26</v>
      </c>
      <c r="AX94" t="s">
        <v>26</v>
      </c>
      <c r="AY94" t="s">
        <v>26</v>
      </c>
      <c r="AZ94" t="s">
        <v>26</v>
      </c>
      <c r="BG94" t="s">
        <v>26</v>
      </c>
      <c r="BH94" t="s">
        <v>26</v>
      </c>
      <c r="BI94" t="s">
        <v>26</v>
      </c>
      <c r="BJ94" t="s">
        <v>26</v>
      </c>
      <c r="BK94" t="s">
        <v>26</v>
      </c>
      <c r="BP94" s="1"/>
      <c r="CE94" s="11">
        <v>1997</v>
      </c>
      <c r="CF94" s="2">
        <f t="shared" ref="CF94:CL94" si="58">D105+D106</f>
        <v>3017.3098668594812</v>
      </c>
      <c r="CG94" s="2">
        <f t="shared" si="58"/>
        <v>2010.7858624488297</v>
      </c>
      <c r="CH94" s="2">
        <f t="shared" si="58"/>
        <v>3356.6002977465646</v>
      </c>
      <c r="CI94" s="2">
        <f t="shared" si="58"/>
        <v>3938.5725922285283</v>
      </c>
      <c r="CJ94" s="2">
        <f t="shared" si="58"/>
        <v>5146.9849748113993</v>
      </c>
      <c r="CK94" s="2">
        <f t="shared" si="58"/>
        <v>4046.1559557485216</v>
      </c>
      <c r="CL94" s="2">
        <f t="shared" si="58"/>
        <v>3153.9176729028545</v>
      </c>
    </row>
    <row r="95" spans="3:90" x14ac:dyDescent="0.2">
      <c r="C95" s="1" t="s">
        <v>8</v>
      </c>
      <c r="L95" s="2"/>
      <c r="N95" s="1" t="s">
        <v>8</v>
      </c>
      <c r="W95" s="2"/>
      <c r="Y95" s="1" t="s">
        <v>8</v>
      </c>
      <c r="AH95" s="2"/>
      <c r="AJ95" s="1" t="s">
        <v>8</v>
      </c>
      <c r="AS95" s="2"/>
      <c r="AU95" s="1" t="s">
        <v>8</v>
      </c>
      <c r="AV95" t="s">
        <v>26</v>
      </c>
      <c r="AW95" t="s">
        <v>26</v>
      </c>
      <c r="AX95" t="s">
        <v>26</v>
      </c>
      <c r="AY95" t="s">
        <v>26</v>
      </c>
      <c r="AZ95" t="s">
        <v>26</v>
      </c>
      <c r="BF95" s="1" t="s">
        <v>8</v>
      </c>
      <c r="BG95" t="s">
        <v>26</v>
      </c>
      <c r="BH95" t="s">
        <v>26</v>
      </c>
      <c r="BI95" t="s">
        <v>26</v>
      </c>
      <c r="BJ95" t="s">
        <v>26</v>
      </c>
      <c r="BK95" t="s">
        <v>26</v>
      </c>
      <c r="BQ95" s="1" t="s">
        <v>8</v>
      </c>
      <c r="BZ95" s="2"/>
      <c r="CC95" s="2"/>
      <c r="CD95" s="2"/>
      <c r="CE95" s="11">
        <v>1999</v>
      </c>
      <c r="CF95" s="2">
        <f t="shared" ref="CF95:CL95" si="59">O105+O106</f>
        <v>2952.2853013844137</v>
      </c>
      <c r="CG95" s="2">
        <f t="shared" si="59"/>
        <v>2060.0591599119098</v>
      </c>
      <c r="CH95" s="2">
        <f t="shared" si="59"/>
        <v>3369.6601592328175</v>
      </c>
      <c r="CI95" s="2">
        <f t="shared" si="59"/>
        <v>3954.5185724001071</v>
      </c>
      <c r="CJ95" s="2">
        <f t="shared" si="59"/>
        <v>5328.9616864243653</v>
      </c>
      <c r="CK95" s="2">
        <f t="shared" si="59"/>
        <v>4023.8460381952027</v>
      </c>
      <c r="CL95" s="2">
        <f t="shared" si="59"/>
        <v>4122.4460716395233</v>
      </c>
    </row>
    <row r="96" spans="3:90" x14ac:dyDescent="0.2">
      <c r="C96" t="s">
        <v>9</v>
      </c>
      <c r="D96" s="2">
        <v>1698.6354742800977</v>
      </c>
      <c r="E96" s="2">
        <v>1463.9068583026353</v>
      </c>
      <c r="F96" s="2">
        <v>1576.2938125516</v>
      </c>
      <c r="G96" s="2">
        <v>1696.0010905889189</v>
      </c>
      <c r="H96" s="2">
        <v>1746.0970797341129</v>
      </c>
      <c r="I96" s="2">
        <v>1831.5957945693058</v>
      </c>
      <c r="J96" s="2">
        <v>1992.7746193572873</v>
      </c>
      <c r="K96" s="2"/>
      <c r="L96" s="2">
        <v>1741.1160344309144</v>
      </c>
      <c r="N96" t="s">
        <v>9</v>
      </c>
      <c r="O96" s="2">
        <v>1909.7074197444665</v>
      </c>
      <c r="P96" s="2">
        <v>1533.2773933838273</v>
      </c>
      <c r="Q96" s="2">
        <v>1673.8834384430572</v>
      </c>
      <c r="R96" s="2">
        <v>1863.5850819441741</v>
      </c>
      <c r="S96" s="2">
        <v>1888.2999123378725</v>
      </c>
      <c r="T96" s="2">
        <v>1963.1145901869354</v>
      </c>
      <c r="U96" s="2">
        <v>2279.2558415549611</v>
      </c>
      <c r="V96" s="2"/>
      <c r="W96" s="2">
        <v>1922.1259400168688</v>
      </c>
      <c r="Y96" t="s">
        <v>9</v>
      </c>
      <c r="Z96" s="2">
        <v>1911.1038991586088</v>
      </c>
      <c r="AA96" s="2">
        <v>1500.9388271056164</v>
      </c>
      <c r="AB96" s="2">
        <v>1654.8650806221642</v>
      </c>
      <c r="AC96" s="2">
        <v>1779.1844851350281</v>
      </c>
      <c r="AD96" s="2">
        <v>1863.4605908988076</v>
      </c>
      <c r="AE96" s="2">
        <v>1958.8338753382588</v>
      </c>
      <c r="AF96" s="2">
        <v>2233.0717202309233</v>
      </c>
      <c r="AG96" s="2">
        <v>2565.140004407895</v>
      </c>
      <c r="AH96" s="2">
        <v>1917.0490635207045</v>
      </c>
      <c r="AJ96" t="s">
        <v>9</v>
      </c>
      <c r="AK96" s="2">
        <v>1926.7109037673708</v>
      </c>
      <c r="AL96" s="2">
        <v>1506.1801284031012</v>
      </c>
      <c r="AM96" s="2">
        <v>1695.391431951831</v>
      </c>
      <c r="AN96" s="2">
        <v>1807.3408861531839</v>
      </c>
      <c r="AO96" s="2">
        <v>1909.2284786006937</v>
      </c>
      <c r="AP96" s="2">
        <v>2014.5688167368905</v>
      </c>
      <c r="AQ96" s="2">
        <v>2279.5715113584756</v>
      </c>
      <c r="AR96" s="2">
        <v>2564.9578002166631</v>
      </c>
      <c r="AS96" s="2">
        <v>1976.1268752566209</v>
      </c>
      <c r="AU96" t="s">
        <v>9</v>
      </c>
      <c r="AV96" s="2">
        <v>1964.7164770384588</v>
      </c>
      <c r="AW96" s="2">
        <v>1520.10539924453</v>
      </c>
      <c r="AX96" s="2">
        <v>1676.0401643128521</v>
      </c>
      <c r="AY96" s="2">
        <v>1903.1600316647528</v>
      </c>
      <c r="AZ96" s="2">
        <v>1982.7997420242054</v>
      </c>
      <c r="BA96" s="2">
        <v>2080.3213335039568</v>
      </c>
      <c r="BB96" s="2">
        <v>2370.3618552284238</v>
      </c>
      <c r="BC96" s="2">
        <v>2630.0449815431703</v>
      </c>
      <c r="BD96" s="2">
        <v>2064.9635251160034</v>
      </c>
      <c r="BF96" t="s">
        <v>9</v>
      </c>
      <c r="BG96" s="2">
        <v>1964.7164770384588</v>
      </c>
      <c r="BH96" s="2">
        <v>1520.10539924453</v>
      </c>
      <c r="BI96" s="2">
        <v>1676.0401643128521</v>
      </c>
      <c r="BJ96" s="2">
        <v>1903.1600316647528</v>
      </c>
      <c r="BK96" s="2">
        <v>1982.7997420242054</v>
      </c>
      <c r="BL96" s="2">
        <v>2080.3213335039568</v>
      </c>
      <c r="BM96" s="2">
        <v>2370.3618552284238</v>
      </c>
      <c r="BN96" s="2">
        <v>2630.0449815431703</v>
      </c>
      <c r="BO96" s="2">
        <v>2064.9635251160034</v>
      </c>
      <c r="BQ96" t="s">
        <v>9</v>
      </c>
      <c r="BR96" s="2">
        <v>2015.4003114893458</v>
      </c>
      <c r="BS96" s="2">
        <v>1506.0924797979535</v>
      </c>
      <c r="BT96" s="2">
        <v>1687.8370829801995</v>
      </c>
      <c r="BU96" s="2">
        <v>2042.9821515164906</v>
      </c>
      <c r="BV96" s="2">
        <v>2006.1942095732427</v>
      </c>
      <c r="BW96" s="2">
        <v>2042.6760438192118</v>
      </c>
      <c r="BX96" s="2">
        <v>2362.0092177160996</v>
      </c>
      <c r="BY96" s="2">
        <v>2589.9987263537396</v>
      </c>
      <c r="BZ96" s="2">
        <v>2113.3041412708844</v>
      </c>
      <c r="CC96" s="2"/>
      <c r="CD96" s="2"/>
      <c r="CE96" s="11">
        <v>2001</v>
      </c>
      <c r="CF96" s="2">
        <f t="shared" ref="CF96:CL96" si="60">Z105+Z106</f>
        <v>3000.4376443645519</v>
      </c>
      <c r="CG96" s="2">
        <f t="shared" si="60"/>
        <v>1971.1586084102223</v>
      </c>
      <c r="CH96" s="2">
        <f t="shared" si="60"/>
        <v>3396.6412421275732</v>
      </c>
      <c r="CI96" s="2">
        <f t="shared" si="60"/>
        <v>3986.5682934368911</v>
      </c>
      <c r="CJ96" s="2">
        <f t="shared" si="60"/>
        <v>5560.9518721598006</v>
      </c>
      <c r="CK96" s="2">
        <f t="shared" si="60"/>
        <v>4094.1421093756953</v>
      </c>
      <c r="CL96" s="2">
        <f t="shared" si="60"/>
        <v>4288.977993948979</v>
      </c>
    </row>
    <row r="97" spans="3:90" x14ac:dyDescent="0.2">
      <c r="C97" t="s">
        <v>10</v>
      </c>
      <c r="D97" s="2">
        <v>1699.373653905493</v>
      </c>
      <c r="E97" s="2">
        <v>1467.2301152325122</v>
      </c>
      <c r="F97" s="2">
        <v>1582.4370019813787</v>
      </c>
      <c r="G97" s="2">
        <v>1753.4048967367876</v>
      </c>
      <c r="H97" s="2">
        <v>1915.729220315819</v>
      </c>
      <c r="I97" s="2">
        <v>2017.5885665794597</v>
      </c>
      <c r="J97" s="2">
        <v>2238.8237791783472</v>
      </c>
      <c r="K97" s="2"/>
      <c r="L97" s="2">
        <v>1832.2464543879171</v>
      </c>
      <c r="N97" t="s">
        <v>10</v>
      </c>
      <c r="O97" s="2">
        <v>1915.6645503871373</v>
      </c>
      <c r="P97" s="2">
        <v>1537.0417771349655</v>
      </c>
      <c r="Q97" s="2">
        <v>1678.1238363547782</v>
      </c>
      <c r="R97" s="2">
        <v>1926.8969221002831</v>
      </c>
      <c r="S97" s="2">
        <v>2073.730199703879</v>
      </c>
      <c r="T97" s="2">
        <v>2184.5549275474768</v>
      </c>
      <c r="U97" s="2">
        <v>2623.2150653012718</v>
      </c>
      <c r="V97" s="2"/>
      <c r="W97" s="2">
        <v>2038.2884447632766</v>
      </c>
      <c r="Y97" t="s">
        <v>10</v>
      </c>
      <c r="Z97" s="2">
        <v>1920.1025430001598</v>
      </c>
      <c r="AA97" s="2">
        <v>1508.0078095158974</v>
      </c>
      <c r="AB97" s="2">
        <v>1656.3449363604407</v>
      </c>
      <c r="AC97" s="2">
        <v>1830.7472762814855</v>
      </c>
      <c r="AD97" s="2">
        <v>2029.4452916086288</v>
      </c>
      <c r="AE97" s="2">
        <v>2155.5677749559709</v>
      </c>
      <c r="AF97" s="2">
        <v>2535.8549464478615</v>
      </c>
      <c r="AG97" s="2">
        <v>2679.8349277055199</v>
      </c>
      <c r="AH97" s="2">
        <v>2016.295796184012</v>
      </c>
      <c r="AJ97" t="s">
        <v>10</v>
      </c>
      <c r="AK97" s="2">
        <v>1936.9205912525626</v>
      </c>
      <c r="AL97" s="2">
        <v>1512.9632018218588</v>
      </c>
      <c r="AM97" s="2">
        <v>1699.0230427606889</v>
      </c>
      <c r="AN97" s="2">
        <v>1856.6757755908386</v>
      </c>
      <c r="AO97" s="2">
        <v>2076.4626159419413</v>
      </c>
      <c r="AP97" s="2">
        <v>2175.5218899015431</v>
      </c>
      <c r="AQ97" s="2">
        <v>2547.6996335090707</v>
      </c>
      <c r="AR97" s="2">
        <v>2725.6440112012287</v>
      </c>
      <c r="AS97" s="2">
        <v>2072.5353782654852</v>
      </c>
      <c r="AU97" t="s">
        <v>10</v>
      </c>
      <c r="AV97" s="2">
        <v>1971.4760648761323</v>
      </c>
      <c r="AW97" s="2">
        <v>1529.75533940482</v>
      </c>
      <c r="AX97" s="2">
        <v>1677.9062407751053</v>
      </c>
      <c r="AY97" s="2">
        <v>1940.710627662083</v>
      </c>
      <c r="AZ97" s="2">
        <v>2089.1313103779776</v>
      </c>
      <c r="BA97" s="2">
        <v>2216.5406790558454</v>
      </c>
      <c r="BB97" s="2">
        <v>2607.888191784064</v>
      </c>
      <c r="BC97" s="2">
        <v>2766.8806325378623</v>
      </c>
      <c r="BD97" s="2">
        <v>2142.6031556891285</v>
      </c>
      <c r="BF97" t="s">
        <v>10</v>
      </c>
      <c r="BG97" s="2">
        <v>1971.4760648761323</v>
      </c>
      <c r="BH97" s="2">
        <v>1529.75533940482</v>
      </c>
      <c r="BI97" s="2">
        <v>1677.9062407751053</v>
      </c>
      <c r="BJ97" s="2">
        <v>1940.710627662083</v>
      </c>
      <c r="BK97" s="2">
        <v>2089.1313103779776</v>
      </c>
      <c r="BL97" s="2">
        <v>2216.5406790558454</v>
      </c>
      <c r="BM97" s="2">
        <v>2607.888191784064</v>
      </c>
      <c r="BN97" s="2">
        <v>2766.8806325378623</v>
      </c>
      <c r="BO97" s="2">
        <v>2142.6031556891285</v>
      </c>
      <c r="BQ97" t="s">
        <v>10</v>
      </c>
      <c r="BR97" s="2">
        <v>2018.0399728069717</v>
      </c>
      <c r="BS97" s="2">
        <v>1526.0969586134638</v>
      </c>
      <c r="BT97" s="2">
        <v>1691.0633595165989</v>
      </c>
      <c r="BU97" s="2">
        <v>2070.0902648506308</v>
      </c>
      <c r="BV97" s="2">
        <v>2103.9115096194228</v>
      </c>
      <c r="BW97" s="2">
        <v>2212.3995552123461</v>
      </c>
      <c r="BX97" s="2">
        <v>2561.0092301952991</v>
      </c>
      <c r="BY97" s="2">
        <v>2719.5412649414898</v>
      </c>
      <c r="BZ97" s="2">
        <v>2190.7487612947184</v>
      </c>
      <c r="CC97" s="2"/>
      <c r="CD97" s="2"/>
      <c r="CE97" s="11">
        <v>2003</v>
      </c>
      <c r="CF97" s="2">
        <f t="shared" ref="CF97:CL97" si="61">+AK105+AK106</f>
        <v>2793.9665788578941</v>
      </c>
      <c r="CG97" s="2">
        <f t="shared" si="61"/>
        <v>1924.3685217511186</v>
      </c>
      <c r="CH97" s="2">
        <f t="shared" si="61"/>
        <v>3221.8438521417484</v>
      </c>
      <c r="CI97" s="2">
        <f t="shared" si="61"/>
        <v>3808.2682122286051</v>
      </c>
      <c r="CJ97" s="2">
        <f t="shared" si="61"/>
        <v>5277.1138726637064</v>
      </c>
      <c r="CK97" s="2">
        <f t="shared" si="61"/>
        <v>4022.9912471712978</v>
      </c>
      <c r="CL97" s="2">
        <f t="shared" si="61"/>
        <v>4261.4176484202926</v>
      </c>
    </row>
    <row r="98" spans="3:90" x14ac:dyDescent="0.2">
      <c r="C98" t="s">
        <v>11</v>
      </c>
      <c r="D98" s="2">
        <v>435.02586086596961</v>
      </c>
      <c r="E98" s="2">
        <v>630.797130361634</v>
      </c>
      <c r="F98" s="2">
        <v>900</v>
      </c>
      <c r="G98" s="2">
        <v>1653.4264163912098</v>
      </c>
      <c r="H98" s="2">
        <v>921.76782877253868</v>
      </c>
      <c r="I98" s="2">
        <v>1201.9319109589389</v>
      </c>
      <c r="J98" s="2">
        <v>1616.5671386279964</v>
      </c>
      <c r="K98" s="2"/>
      <c r="L98" s="2">
        <v>1284.6341684495931</v>
      </c>
      <c r="N98" t="s">
        <v>11</v>
      </c>
      <c r="O98" s="2">
        <v>1735.5765739000635</v>
      </c>
      <c r="P98" s="2">
        <v>1652.155068775543</v>
      </c>
      <c r="Q98" s="2">
        <v>944.28754189878077</v>
      </c>
      <c r="R98" s="2">
        <v>1306.3202580121429</v>
      </c>
      <c r="S98" s="2">
        <v>1401.3062078500398</v>
      </c>
      <c r="T98" s="2">
        <v>1306.66121778773</v>
      </c>
      <c r="U98" s="2">
        <v>1472.3347577138693</v>
      </c>
      <c r="V98" s="2"/>
      <c r="W98" s="2">
        <v>1396.7742439506687</v>
      </c>
      <c r="Y98" t="s">
        <v>11</v>
      </c>
      <c r="Z98" s="2">
        <v>2109.8911304341641</v>
      </c>
      <c r="AA98" s="2">
        <v>1359.7361069691046</v>
      </c>
      <c r="AB98" s="2">
        <v>1094.5913199766117</v>
      </c>
      <c r="AC98" s="2">
        <v>1371.6964671270073</v>
      </c>
      <c r="AD98" s="2">
        <v>1362.3601385308143</v>
      </c>
      <c r="AE98" s="2">
        <v>1458.6958591144528</v>
      </c>
      <c r="AF98" s="2">
        <v>1361.0367661842615</v>
      </c>
      <c r="AG98" s="2">
        <v>1663.6613632734116</v>
      </c>
      <c r="AH98" s="2">
        <v>1445.5679511061217</v>
      </c>
      <c r="AJ98" t="s">
        <v>11</v>
      </c>
      <c r="AK98" s="2">
        <v>2324.8624501054132</v>
      </c>
      <c r="AL98" s="2">
        <v>1528.8426000550244</v>
      </c>
      <c r="AM98" s="2">
        <v>2009.7524896294296</v>
      </c>
      <c r="AN98" s="2">
        <v>1664.3921981904207</v>
      </c>
      <c r="AO98" s="2">
        <v>1446.7797481484897</v>
      </c>
      <c r="AP98" s="2">
        <v>1532.4100073833995</v>
      </c>
      <c r="AQ98" s="2">
        <v>1667.1348226592502</v>
      </c>
      <c r="AR98" s="2">
        <v>1765.5243968615721</v>
      </c>
      <c r="AS98" s="2">
        <v>1656.9203459813041</v>
      </c>
      <c r="AU98" t="s">
        <v>11</v>
      </c>
      <c r="AV98" s="2">
        <v>2072.2841458880257</v>
      </c>
      <c r="AW98" s="2">
        <v>1893.914027981916</v>
      </c>
      <c r="AX98" s="2">
        <v>2659.1047407297037</v>
      </c>
      <c r="AY98" s="2">
        <v>1665.4747746594826</v>
      </c>
      <c r="AZ98" s="2">
        <v>1676.1812312902407</v>
      </c>
      <c r="BA98" s="2">
        <v>1617.7800708729521</v>
      </c>
      <c r="BB98" s="2">
        <v>1757.8045657757609</v>
      </c>
      <c r="BC98" s="2">
        <v>1930.3439785311448</v>
      </c>
      <c r="BD98" s="2">
        <v>1791.5497381832504</v>
      </c>
      <c r="BF98" t="s">
        <v>11</v>
      </c>
      <c r="BG98" s="2">
        <v>2072.2841458880257</v>
      </c>
      <c r="BH98" s="2">
        <v>1893.914027981916</v>
      </c>
      <c r="BI98" s="2">
        <v>2659.1047407297037</v>
      </c>
      <c r="BJ98" s="2">
        <v>1665.4747746594826</v>
      </c>
      <c r="BK98" s="2">
        <v>1676.1812312902407</v>
      </c>
      <c r="BL98" s="2">
        <v>1617.7800708729521</v>
      </c>
      <c r="BM98" s="2">
        <v>1757.8045657757609</v>
      </c>
      <c r="BN98" s="2">
        <v>1930.3439785311448</v>
      </c>
      <c r="BO98" s="2">
        <v>1791.5497381832504</v>
      </c>
      <c r="BQ98" t="s">
        <v>11</v>
      </c>
      <c r="BR98" s="2">
        <v>2348.6492610487785</v>
      </c>
      <c r="BS98" s="2">
        <v>2496.4725167865718</v>
      </c>
      <c r="BT98" s="2">
        <v>1961.185907299797</v>
      </c>
      <c r="BU98" s="2">
        <v>1363.86349169559</v>
      </c>
      <c r="BV98" s="2">
        <v>2168.6274283640109</v>
      </c>
      <c r="BW98" s="2">
        <v>1719.4042799962701</v>
      </c>
      <c r="BX98" s="2">
        <v>2125.6789073861883</v>
      </c>
      <c r="BY98" s="2">
        <v>1838.6625129254612</v>
      </c>
      <c r="BZ98" s="2">
        <v>1941.0269553384323</v>
      </c>
      <c r="CC98" s="2"/>
      <c r="CD98" s="2"/>
      <c r="CE98" s="11">
        <v>2005</v>
      </c>
      <c r="CF98" s="2">
        <f t="shared" ref="CF98:CL98" si="62">AV105+AV106</f>
        <v>2661.2851226273988</v>
      </c>
      <c r="CG98" s="2">
        <f t="shared" si="62"/>
        <v>1840.1507843438396</v>
      </c>
      <c r="CH98" s="2">
        <f t="shared" si="62"/>
        <v>3109.6767934511076</v>
      </c>
      <c r="CI98" s="2">
        <f t="shared" si="62"/>
        <v>3756.5140296501913</v>
      </c>
      <c r="CJ98" s="2">
        <f t="shared" si="62"/>
        <v>5548.4336718703889</v>
      </c>
      <c r="CK98" s="2">
        <f t="shared" si="62"/>
        <v>4075.5556682619854</v>
      </c>
      <c r="CL98" s="2">
        <f t="shared" si="62"/>
        <v>4268.0273759594638</v>
      </c>
    </row>
    <row r="99" spans="3:90" x14ac:dyDescent="0.2">
      <c r="C99" t="s">
        <v>12</v>
      </c>
      <c r="D99" s="2">
        <v>844.22215883841955</v>
      </c>
      <c r="E99" s="2">
        <v>936.05390631076239</v>
      </c>
      <c r="F99" s="2">
        <v>361.22330702436227</v>
      </c>
      <c r="G99" s="2">
        <v>699.01640943758116</v>
      </c>
      <c r="H99" s="2">
        <v>747.01252125884957</v>
      </c>
      <c r="I99" s="2">
        <v>910.92754021339192</v>
      </c>
      <c r="J99" s="2">
        <v>1064.3559745888522</v>
      </c>
      <c r="K99" s="2"/>
      <c r="L99" s="2">
        <v>875.39751600961642</v>
      </c>
      <c r="N99" t="s">
        <v>12</v>
      </c>
      <c r="O99" s="2">
        <v>973.22824801139916</v>
      </c>
      <c r="P99" s="2">
        <v>868.96838035293456</v>
      </c>
      <c r="Q99" s="2">
        <v>815.87794592071498</v>
      </c>
      <c r="R99" s="2">
        <v>886.39012694832059</v>
      </c>
      <c r="S99" s="2">
        <v>990.55969941981834</v>
      </c>
      <c r="T99" s="2">
        <v>939.50270316984393</v>
      </c>
      <c r="U99" s="2">
        <v>1092.3221108085761</v>
      </c>
      <c r="V99" s="2"/>
      <c r="W99" s="2">
        <v>961.25672761818601</v>
      </c>
      <c r="Y99" t="s">
        <v>12</v>
      </c>
      <c r="Z99" s="2">
        <v>967.74688406213124</v>
      </c>
      <c r="AA99" s="2">
        <v>986.48413176901136</v>
      </c>
      <c r="AB99" s="2">
        <v>853.63185590217813</v>
      </c>
      <c r="AC99" s="2">
        <v>959.66349087920378</v>
      </c>
      <c r="AD99" s="2">
        <v>1020.2012249907273</v>
      </c>
      <c r="AE99" s="2">
        <v>928.02942959369386</v>
      </c>
      <c r="AF99" s="2">
        <v>1046.9254576548526</v>
      </c>
      <c r="AG99" s="2">
        <v>1074.9547106253253</v>
      </c>
      <c r="AH99" s="2">
        <v>978.75417063767748</v>
      </c>
      <c r="AJ99" t="s">
        <v>12</v>
      </c>
      <c r="AK99" s="2">
        <v>1054.3604557840281</v>
      </c>
      <c r="AL99" s="2">
        <v>886.43774820573685</v>
      </c>
      <c r="AM99" s="2">
        <v>869.4868936815601</v>
      </c>
      <c r="AN99" s="2">
        <v>1032.6624208692513</v>
      </c>
      <c r="AO99" s="2">
        <v>1074.9530051703955</v>
      </c>
      <c r="AP99" s="2">
        <v>959.73695881111018</v>
      </c>
      <c r="AQ99" s="2">
        <v>1143.5305797561364</v>
      </c>
      <c r="AR99" s="2">
        <v>1133.8328586391301</v>
      </c>
      <c r="AS99" s="2">
        <v>1030.8866584195389</v>
      </c>
      <c r="AU99" t="s">
        <v>12</v>
      </c>
      <c r="AV99" s="2">
        <v>1215.4590244987369</v>
      </c>
      <c r="AW99" s="2">
        <v>767.68946229874427</v>
      </c>
      <c r="AX99" s="2">
        <v>974.05461705112123</v>
      </c>
      <c r="AY99" s="2">
        <v>1087.3584609103748</v>
      </c>
      <c r="AZ99" s="2">
        <v>1058.0566808056503</v>
      </c>
      <c r="BA99" s="2">
        <v>953.11336515014045</v>
      </c>
      <c r="BB99" s="2">
        <v>1096.4590291625716</v>
      </c>
      <c r="BC99" s="2">
        <v>1195.1080925793103</v>
      </c>
      <c r="BD99" s="2">
        <v>1041.8466251289619</v>
      </c>
      <c r="BF99" t="s">
        <v>12</v>
      </c>
      <c r="BG99" s="2">
        <v>1215.4590244987369</v>
      </c>
      <c r="BH99" s="2">
        <v>767.68946229874427</v>
      </c>
      <c r="BI99" s="2">
        <v>974.05461705112123</v>
      </c>
      <c r="BJ99" s="2">
        <v>1087.3584609103748</v>
      </c>
      <c r="BK99" s="2">
        <v>1058.0566808056503</v>
      </c>
      <c r="BL99" s="2">
        <v>953.11336515014045</v>
      </c>
      <c r="BM99" s="2">
        <v>1096.4590291625716</v>
      </c>
      <c r="BN99" s="2">
        <v>1195.1080925793103</v>
      </c>
      <c r="BO99" s="2">
        <v>1041.8466251289619</v>
      </c>
      <c r="BQ99" t="s">
        <v>12</v>
      </c>
      <c r="BR99" s="2">
        <v>1011.4910302903545</v>
      </c>
      <c r="BS99" s="2">
        <v>770.02935392727079</v>
      </c>
      <c r="BT99" s="2">
        <v>842.99292949624464</v>
      </c>
      <c r="BU99" s="2">
        <v>1040.4020276548379</v>
      </c>
      <c r="BV99" s="2">
        <v>1020.8617163342274</v>
      </c>
      <c r="BW99" s="2">
        <v>967.58786032736145</v>
      </c>
      <c r="BX99" s="2">
        <v>1120.9673121005217</v>
      </c>
      <c r="BY99" s="2">
        <v>1222.563976795662</v>
      </c>
      <c r="BZ99" s="2">
        <v>1029.3757397156458</v>
      </c>
      <c r="CC99" s="2"/>
      <c r="CD99" s="2"/>
      <c r="CE99" s="11">
        <v>2007</v>
      </c>
      <c r="CF99" s="2">
        <f t="shared" ref="CF99:CL99" si="63">BG105+BG106</f>
        <v>2661.2851226273988</v>
      </c>
      <c r="CG99" s="2">
        <f t="shared" si="63"/>
        <v>1840.1507843438396</v>
      </c>
      <c r="CH99" s="2">
        <f t="shared" si="63"/>
        <v>3109.6767934511076</v>
      </c>
      <c r="CI99" s="2">
        <f t="shared" si="63"/>
        <v>3756.5140296501913</v>
      </c>
      <c r="CJ99" s="2">
        <f t="shared" si="63"/>
        <v>5548.4336718703889</v>
      </c>
      <c r="CK99" s="2">
        <f t="shared" si="63"/>
        <v>4075.5556682619854</v>
      </c>
      <c r="CL99" s="2">
        <f t="shared" si="63"/>
        <v>4268.0273759594638</v>
      </c>
    </row>
    <row r="100" spans="3:90" x14ac:dyDescent="0.2">
      <c r="C100" t="s">
        <v>13</v>
      </c>
      <c r="D100" s="2">
        <v>1515.9720860641462</v>
      </c>
      <c r="E100" s="2">
        <v>870.17901181012598</v>
      </c>
      <c r="F100" s="2">
        <v>937.816038603675</v>
      </c>
      <c r="G100" s="2">
        <v>909.14309172101935</v>
      </c>
      <c r="H100" s="2">
        <v>1037.72442873047</v>
      </c>
      <c r="I100" s="2">
        <v>1058.0202789292077</v>
      </c>
      <c r="J100" s="2">
        <v>1313.9112592848194</v>
      </c>
      <c r="K100" s="2"/>
      <c r="L100" s="2">
        <v>1116.2079667582279</v>
      </c>
      <c r="N100" t="s">
        <v>13</v>
      </c>
      <c r="O100" s="2">
        <v>1094.0474436607415</v>
      </c>
      <c r="P100" s="2">
        <v>911.75468162718005</v>
      </c>
      <c r="Q100" s="2">
        <v>1238.3199717134748</v>
      </c>
      <c r="R100" s="2">
        <v>823.45588688874261</v>
      </c>
      <c r="S100" s="2">
        <v>1015.8660476660762</v>
      </c>
      <c r="T100" s="2">
        <v>1096.9244007553691</v>
      </c>
      <c r="U100" s="2">
        <v>1369.3183161312973</v>
      </c>
      <c r="V100" s="2"/>
      <c r="W100" s="2">
        <v>1164.1525975871859</v>
      </c>
      <c r="Y100" t="s">
        <v>13</v>
      </c>
      <c r="Z100" s="2">
        <v>1145.0891495474582</v>
      </c>
      <c r="AA100" s="2">
        <v>866.15352917679593</v>
      </c>
      <c r="AB100" s="2">
        <v>1503.8336015777068</v>
      </c>
      <c r="AC100" s="2">
        <v>844.87098784155796</v>
      </c>
      <c r="AD100" s="2">
        <v>1024.6813463517822</v>
      </c>
      <c r="AE100" s="2">
        <v>1216.4145373189126</v>
      </c>
      <c r="AF100" s="2">
        <v>1441.3011827536409</v>
      </c>
      <c r="AG100" s="2">
        <v>2203.3945343176088</v>
      </c>
      <c r="AH100" s="2">
        <v>1292.5791270711156</v>
      </c>
      <c r="AJ100" t="s">
        <v>13</v>
      </c>
      <c r="AK100" s="2">
        <v>869.75884373838915</v>
      </c>
      <c r="AL100" s="2">
        <v>798.64165725043802</v>
      </c>
      <c r="AM100" s="2">
        <v>1356.779885141405</v>
      </c>
      <c r="AN100" s="2">
        <v>886.02823193262691</v>
      </c>
      <c r="AO100" s="2">
        <v>1028.9160042677711</v>
      </c>
      <c r="AP100" s="2">
        <v>1324.9971954558409</v>
      </c>
      <c r="AQ100" s="2">
        <v>1545.5758119966436</v>
      </c>
      <c r="AR100" s="2">
        <v>1548.9108270525705</v>
      </c>
      <c r="AS100" s="2">
        <v>1324.6689927228588</v>
      </c>
      <c r="AU100" t="s">
        <v>13</v>
      </c>
      <c r="AV100" s="2">
        <v>1010.1524348913454</v>
      </c>
      <c r="AW100" s="2">
        <v>720.14502909988084</v>
      </c>
      <c r="AX100" s="2">
        <v>1342.7218655002766</v>
      </c>
      <c r="AY100" s="2">
        <v>1018.5967115687694</v>
      </c>
      <c r="AZ100" s="2">
        <v>1106.2194362433354</v>
      </c>
      <c r="BA100" s="2">
        <v>1457.5848382031272</v>
      </c>
      <c r="BB100" s="2">
        <v>1583.5931191746424</v>
      </c>
      <c r="BC100" s="2">
        <v>1659.1605112452696</v>
      </c>
      <c r="BD100" s="2">
        <v>1431.8014408754846</v>
      </c>
      <c r="BF100" t="s">
        <v>13</v>
      </c>
      <c r="BG100" s="2">
        <v>1010.1524348913454</v>
      </c>
      <c r="BH100" s="2">
        <v>720.14502909988084</v>
      </c>
      <c r="BI100" s="2">
        <v>1342.7218655002766</v>
      </c>
      <c r="BJ100" s="2">
        <v>1018.5967115687694</v>
      </c>
      <c r="BK100" s="2">
        <v>1106.2194362433354</v>
      </c>
      <c r="BL100" s="2">
        <v>1457.5848382031272</v>
      </c>
      <c r="BM100" s="2">
        <v>1583.5931191746424</v>
      </c>
      <c r="BN100" s="2">
        <v>1659.1605112452696</v>
      </c>
      <c r="BO100" s="2">
        <v>1431.8014408754846</v>
      </c>
      <c r="BQ100" t="s">
        <v>13</v>
      </c>
      <c r="BR100" s="2">
        <v>1646.629368228414</v>
      </c>
      <c r="BS100" s="2">
        <v>833.72667704439527</v>
      </c>
      <c r="BT100" s="2">
        <v>1429.8145033495259</v>
      </c>
      <c r="BU100" s="2">
        <v>1444.4064575664647</v>
      </c>
      <c r="BV100" s="2">
        <v>1179.4878291417103</v>
      </c>
      <c r="BW100" s="2">
        <v>1264.2251747968362</v>
      </c>
      <c r="BX100" s="2">
        <v>1791.1897069205934</v>
      </c>
      <c r="BY100" s="2">
        <v>1692.6236455450889</v>
      </c>
      <c r="BZ100" s="2">
        <v>1525.5005413809502</v>
      </c>
      <c r="CC100" s="2"/>
      <c r="CD100" s="2"/>
      <c r="CE100" s="11">
        <v>2009</v>
      </c>
      <c r="CF100" s="2">
        <f t="shared" ref="CF100:CL100" si="64">BR105+BR106</f>
        <v>2419.7702965789022</v>
      </c>
      <c r="CG100" s="2">
        <f t="shared" si="64"/>
        <v>1806.1918687899492</v>
      </c>
      <c r="CH100" s="2">
        <f t="shared" si="64"/>
        <v>3234.7821380255041</v>
      </c>
      <c r="CI100" s="2">
        <f t="shared" si="64"/>
        <v>3757.4534946170002</v>
      </c>
      <c r="CJ100" s="2">
        <f t="shared" si="64"/>
        <v>5675.7979995649284</v>
      </c>
      <c r="CK100" s="2">
        <f t="shared" si="64"/>
        <v>3965.0682638630992</v>
      </c>
      <c r="CL100" s="2">
        <f t="shared" si="64"/>
        <v>4073.1064684867938</v>
      </c>
    </row>
    <row r="101" spans="3:90" x14ac:dyDescent="0.2">
      <c r="C101" t="s">
        <v>14</v>
      </c>
      <c r="D101" s="2">
        <v>1687.4418916839318</v>
      </c>
      <c r="E101" s="2">
        <v>1453.5041794985407</v>
      </c>
      <c r="F101" s="2">
        <v>1563.6988704640796</v>
      </c>
      <c r="G101" s="2">
        <v>1687.9508044813535</v>
      </c>
      <c r="H101" s="2">
        <v>1722.68028903915</v>
      </c>
      <c r="I101" s="2">
        <v>1809.1414557717637</v>
      </c>
      <c r="J101" s="2">
        <v>1942.6642752908883</v>
      </c>
      <c r="K101" s="2"/>
      <c r="L101" s="2">
        <v>1722.1208700271573</v>
      </c>
      <c r="N101" t="s">
        <v>14</v>
      </c>
      <c r="O101" s="2">
        <v>1825.9341418013194</v>
      </c>
      <c r="P101" s="2">
        <v>1474.9573231597458</v>
      </c>
      <c r="Q101" s="2">
        <v>1610.3630600196327</v>
      </c>
      <c r="R101" s="2">
        <v>1730.3335087870003</v>
      </c>
      <c r="S101" s="2">
        <v>1712.8956586422762</v>
      </c>
      <c r="T101" s="2">
        <v>1676.6358508057288</v>
      </c>
      <c r="U101" s="2">
        <v>2112.362825900499</v>
      </c>
      <c r="V101" s="2"/>
      <c r="W101" s="2">
        <v>1765.8700493209039</v>
      </c>
      <c r="Y101" t="s">
        <v>14</v>
      </c>
      <c r="Z101" s="2">
        <v>1822.4806110823652</v>
      </c>
      <c r="AA101" s="2">
        <v>1434.9076076228037</v>
      </c>
      <c r="AB101" s="2">
        <v>1577.6109985223677</v>
      </c>
      <c r="AC101" s="2">
        <v>1650.2176031571817</v>
      </c>
      <c r="AD101" s="2">
        <v>1662.2595051668097</v>
      </c>
      <c r="AE101" s="2">
        <v>1652.71363264657</v>
      </c>
      <c r="AF101" s="2">
        <v>2034.8047387843028</v>
      </c>
      <c r="AG101" s="2">
        <v>2350.4212057127206</v>
      </c>
      <c r="AH101" s="2">
        <v>1740.2611675401226</v>
      </c>
      <c r="AJ101" t="s">
        <v>14</v>
      </c>
      <c r="AK101" s="2">
        <v>1849.0702789337115</v>
      </c>
      <c r="AL101" s="2">
        <v>1427.5158703619186</v>
      </c>
      <c r="AM101" s="2">
        <v>1631.8889844916964</v>
      </c>
      <c r="AN101" s="2">
        <v>1677.0942577775597</v>
      </c>
      <c r="AO101" s="2">
        <v>1690.0466792436289</v>
      </c>
      <c r="AP101" s="2">
        <v>1697.9225785945303</v>
      </c>
      <c r="AQ101" s="2">
        <v>2110.3711991679488</v>
      </c>
      <c r="AR101" s="2">
        <v>2322.0756572232099</v>
      </c>
      <c r="AS101" s="2">
        <v>1795.4420292808793</v>
      </c>
      <c r="AU101" t="s">
        <v>14</v>
      </c>
      <c r="AV101" s="2">
        <v>1886.6942655139089</v>
      </c>
      <c r="AW101" s="2">
        <v>1437.4223983779643</v>
      </c>
      <c r="AX101" s="2">
        <v>1633.3385368577226</v>
      </c>
      <c r="AY101" s="2">
        <v>1759.1838265694075</v>
      </c>
      <c r="AZ101" s="2">
        <v>1727.7989742378782</v>
      </c>
      <c r="BA101" s="2">
        <v>1749.3577226569553</v>
      </c>
      <c r="BB101" s="2">
        <v>2180.8914891235727</v>
      </c>
      <c r="BC101" s="2">
        <v>2399.2677878823902</v>
      </c>
      <c r="BD101" s="2">
        <v>1866.6846266304408</v>
      </c>
      <c r="BF101" t="s">
        <v>14</v>
      </c>
      <c r="BG101" s="2">
        <v>1886.6942655139089</v>
      </c>
      <c r="BH101" s="2">
        <v>1437.4223983779643</v>
      </c>
      <c r="BI101" s="2">
        <v>1633.3385368577226</v>
      </c>
      <c r="BJ101" s="2">
        <v>1759.1838265694075</v>
      </c>
      <c r="BK101" s="2">
        <v>1727.7989742378782</v>
      </c>
      <c r="BL101" s="2">
        <v>1749.3577226569553</v>
      </c>
      <c r="BM101" s="2">
        <v>2180.8914891235727</v>
      </c>
      <c r="BN101" s="2">
        <v>2399.2677878823902</v>
      </c>
      <c r="BO101" s="2">
        <v>1866.6846266304408</v>
      </c>
      <c r="BQ101" t="s">
        <v>14</v>
      </c>
      <c r="BR101" s="2">
        <v>1893.9771751069354</v>
      </c>
      <c r="BS101" s="2">
        <v>1462.9673472095089</v>
      </c>
      <c r="BT101" s="2">
        <v>1622.6361099660817</v>
      </c>
      <c r="BU101" s="2">
        <v>1843.4757711010675</v>
      </c>
      <c r="BV101" s="2">
        <v>1744.9998730315385</v>
      </c>
      <c r="BW101" s="2">
        <v>1739.0969831806317</v>
      </c>
      <c r="BX101" s="2">
        <v>2203.1646383072862</v>
      </c>
      <c r="BY101" s="2">
        <v>2360.9923451483842</v>
      </c>
      <c r="BZ101" s="2">
        <v>1909.3957157353384</v>
      </c>
      <c r="CC101" s="2"/>
      <c r="CD101" s="2"/>
      <c r="CE101" s="2"/>
      <c r="CF101" s="12">
        <f>CF100/CF95</f>
        <v>0.81962617076479716</v>
      </c>
      <c r="CG101" s="12">
        <f t="shared" ref="CG101:CL101" si="65">CG100/CG95</f>
        <v>0.87676698996701818</v>
      </c>
      <c r="CH101" s="12">
        <f t="shared" si="65"/>
        <v>0.95997281184639649</v>
      </c>
      <c r="CI101" s="12">
        <f t="shared" si="65"/>
        <v>0.95016711284187938</v>
      </c>
      <c r="CJ101" s="12">
        <f t="shared" si="65"/>
        <v>1.0650851579631611</v>
      </c>
      <c r="CK101" s="12">
        <f t="shared" si="65"/>
        <v>0.9853926383429753</v>
      </c>
      <c r="CL101" s="12">
        <f t="shared" si="65"/>
        <v>0.98803147396101487</v>
      </c>
    </row>
    <row r="102" spans="3:90" x14ac:dyDescent="0.2">
      <c r="D102" s="2"/>
      <c r="E102" s="2"/>
      <c r="F102" s="2"/>
      <c r="G102" s="2"/>
      <c r="H102" s="2"/>
      <c r="I102" s="2"/>
      <c r="J102" s="2"/>
      <c r="K102" s="2"/>
      <c r="L102" s="2"/>
      <c r="O102" s="2"/>
      <c r="P102" s="2"/>
      <c r="Q102" s="2"/>
      <c r="R102" s="2"/>
      <c r="S102" s="2"/>
      <c r="T102" s="2"/>
      <c r="U102" s="2"/>
      <c r="V102" s="2"/>
      <c r="W102" s="2"/>
      <c r="Z102" s="2"/>
      <c r="AA102" s="2"/>
      <c r="AB102" s="2"/>
      <c r="AC102" s="2"/>
      <c r="AD102" s="2"/>
      <c r="AE102" s="2"/>
      <c r="AF102" s="2"/>
      <c r="AG102" s="2"/>
      <c r="AH102" s="2"/>
      <c r="AK102" s="2"/>
      <c r="AL102" s="2"/>
      <c r="AM102" s="2"/>
      <c r="AN102" s="2"/>
      <c r="AO102" s="2"/>
      <c r="AP102" s="2"/>
      <c r="AQ102" s="2"/>
      <c r="AR102" s="2"/>
      <c r="AS102" s="2"/>
      <c r="AV102" s="2"/>
      <c r="AW102" s="2"/>
      <c r="AX102" s="2"/>
      <c r="AY102" s="2"/>
      <c r="AZ102" s="2"/>
      <c r="BA102" s="2"/>
      <c r="BB102" s="2"/>
      <c r="BC102" s="2"/>
      <c r="BD102" s="2"/>
      <c r="BG102" s="2"/>
      <c r="BH102" s="2"/>
      <c r="BI102" s="2"/>
      <c r="BJ102" s="2"/>
      <c r="BK102" s="2"/>
      <c r="BL102" s="2"/>
      <c r="BM102" s="2"/>
      <c r="BN102" s="2"/>
      <c r="BO102" s="2"/>
      <c r="BP102" s="1"/>
      <c r="BR102" s="2"/>
      <c r="BS102" s="2"/>
      <c r="BT102" s="2"/>
      <c r="BU102" s="2"/>
      <c r="BV102" s="2"/>
      <c r="BW102" s="2"/>
      <c r="BX102" s="2"/>
      <c r="BY102" s="2"/>
      <c r="BZ102" s="2"/>
      <c r="CC102" s="2"/>
      <c r="CD102" s="2"/>
      <c r="CE102" s="2"/>
      <c r="CF102" s="2"/>
      <c r="CG102" s="2"/>
      <c r="CH102" s="2"/>
      <c r="CI102" s="2"/>
      <c r="CJ102" s="2"/>
    </row>
    <row r="103" spans="3:90" x14ac:dyDescent="0.2">
      <c r="C103" s="1" t="s">
        <v>15</v>
      </c>
      <c r="D103" s="2"/>
      <c r="E103" s="2"/>
      <c r="F103" s="2"/>
      <c r="G103" s="2"/>
      <c r="H103" s="2"/>
      <c r="I103" s="2"/>
      <c r="J103" s="2"/>
      <c r="K103" s="2"/>
      <c r="L103" s="2"/>
      <c r="N103" s="1" t="s">
        <v>15</v>
      </c>
      <c r="O103" s="2"/>
      <c r="P103" s="2"/>
      <c r="Q103" s="2"/>
      <c r="R103" s="2"/>
      <c r="S103" s="2"/>
      <c r="T103" s="2"/>
      <c r="U103" s="2"/>
      <c r="V103" s="2"/>
      <c r="W103" s="2"/>
      <c r="Y103" s="1" t="s">
        <v>15</v>
      </c>
      <c r="Z103" s="2"/>
      <c r="AA103" s="2"/>
      <c r="AB103" s="2"/>
      <c r="AC103" s="2"/>
      <c r="AD103" s="2"/>
      <c r="AE103" s="2"/>
      <c r="AF103" s="2"/>
      <c r="AG103" s="2"/>
      <c r="AH103" s="2"/>
      <c r="AJ103" s="1" t="s">
        <v>15</v>
      </c>
      <c r="AK103" s="2"/>
      <c r="AL103" s="2"/>
      <c r="AM103" s="2"/>
      <c r="AN103" s="2"/>
      <c r="AO103" s="2"/>
      <c r="AP103" s="2"/>
      <c r="AQ103" s="2"/>
      <c r="AR103" s="2"/>
      <c r="AS103" s="2"/>
      <c r="AU103" s="1" t="s">
        <v>15</v>
      </c>
      <c r="AV103" s="2"/>
      <c r="AW103" s="2"/>
      <c r="AX103" s="2"/>
      <c r="AY103" s="2"/>
      <c r="AZ103" s="2"/>
      <c r="BA103" s="2"/>
      <c r="BB103" s="2"/>
      <c r="BC103" s="2"/>
      <c r="BD103" s="2"/>
      <c r="BF103" s="1" t="s">
        <v>15</v>
      </c>
      <c r="BG103" s="2"/>
      <c r="BH103" s="2"/>
      <c r="BI103" s="2"/>
      <c r="BJ103" s="2"/>
      <c r="BK103" s="2"/>
      <c r="BL103" s="2"/>
      <c r="BM103" s="2"/>
      <c r="BN103" s="2"/>
      <c r="BO103" s="2"/>
      <c r="BQ103" s="1" t="s">
        <v>15</v>
      </c>
      <c r="BR103" s="2"/>
      <c r="BS103" s="2"/>
      <c r="BT103" s="2"/>
      <c r="BU103" s="2"/>
      <c r="BV103" s="2"/>
      <c r="BW103" s="2"/>
      <c r="BX103" s="2"/>
      <c r="BY103" s="2"/>
      <c r="BZ103" s="2"/>
      <c r="CC103" s="2"/>
      <c r="CD103" s="2"/>
      <c r="CE103" s="2"/>
      <c r="CF103" s="2"/>
      <c r="CG103" s="2"/>
      <c r="CH103" s="2"/>
      <c r="CI103" s="2"/>
      <c r="CJ103" s="2"/>
    </row>
    <row r="104" spans="3:90" x14ac:dyDescent="0.2">
      <c r="C104" t="s">
        <v>9</v>
      </c>
      <c r="D104" s="2">
        <v>2829.6308557394018</v>
      </c>
      <c r="E104" s="2">
        <v>1904.8456549115299</v>
      </c>
      <c r="F104" s="2">
        <v>3290.6913801242449</v>
      </c>
      <c r="G104" s="2">
        <v>4028.8297358257496</v>
      </c>
      <c r="H104" s="2">
        <v>5848.4121850890842</v>
      </c>
      <c r="I104" s="2">
        <v>4376.0906359274368</v>
      </c>
      <c r="J104" s="2">
        <v>3915.8299617823768</v>
      </c>
      <c r="K104" s="2"/>
      <c r="L104" s="2">
        <v>26194.330409399634</v>
      </c>
      <c r="N104" t="s">
        <v>9</v>
      </c>
      <c r="O104" s="2">
        <v>2722.3677041430738</v>
      </c>
      <c r="P104" s="2">
        <v>1925.6829059864097</v>
      </c>
      <c r="Q104" s="2">
        <v>3295.1353557252787</v>
      </c>
      <c r="R104" s="2">
        <v>3957.5417871546197</v>
      </c>
      <c r="S104" s="2">
        <v>5802.9561082292021</v>
      </c>
      <c r="T104" s="2">
        <v>4251.1816884719037</v>
      </c>
      <c r="U104" s="2">
        <v>5216.8415328257697</v>
      </c>
      <c r="V104" s="2"/>
      <c r="W104" s="2">
        <v>27171.707082536213</v>
      </c>
      <c r="Y104" t="s">
        <v>9</v>
      </c>
      <c r="Z104" s="2">
        <v>2785.6284443317531</v>
      </c>
      <c r="AA104" s="2">
        <v>1845.4416640327224</v>
      </c>
      <c r="AB104" s="2">
        <v>3278.3155982311127</v>
      </c>
      <c r="AC104" s="2">
        <v>4014.3397521812308</v>
      </c>
      <c r="AD104" s="2">
        <v>5958.3963157466997</v>
      </c>
      <c r="AE104" s="2">
        <v>4296.9546914646426</v>
      </c>
      <c r="AF104" s="2">
        <v>5386.4492330597022</v>
      </c>
      <c r="AG104" s="2">
        <v>1012.6080728889607</v>
      </c>
      <c r="AH104" s="2">
        <v>28578.13377193674</v>
      </c>
      <c r="AJ104" t="s">
        <v>9</v>
      </c>
      <c r="AK104" s="2">
        <v>2613.9549995929938</v>
      </c>
      <c r="AL104" s="2">
        <v>1834.3564250881186</v>
      </c>
      <c r="AM104" s="2">
        <v>3143.2607362816084</v>
      </c>
      <c r="AN104" s="2">
        <v>3859.7165662062753</v>
      </c>
      <c r="AO104" s="2">
        <v>5757.4644192684118</v>
      </c>
      <c r="AP104" s="2">
        <v>4293.728280673643</v>
      </c>
      <c r="AQ104" s="2">
        <v>5429.9975129667691</v>
      </c>
      <c r="AR104" s="2">
        <v>1931.6488194218994</v>
      </c>
      <c r="AS104" s="2">
        <v>28864.127759499443</v>
      </c>
      <c r="AU104" t="s">
        <v>9</v>
      </c>
      <c r="AV104" s="2">
        <v>2504.0194491316988</v>
      </c>
      <c r="AW104" s="2">
        <v>1764.8835818915293</v>
      </c>
      <c r="AX104" s="2">
        <v>3041.4130215010077</v>
      </c>
      <c r="AY104" s="2">
        <v>3821.7937808721499</v>
      </c>
      <c r="AZ104" s="2">
        <v>5933.6152154240999</v>
      </c>
      <c r="BA104" s="2">
        <v>4424.4129408764311</v>
      </c>
      <c r="BB104" s="2">
        <v>5475.437341352681</v>
      </c>
      <c r="BC104" s="2">
        <v>3209.5675032945005</v>
      </c>
      <c r="BD104" s="2">
        <v>30175.142834344166</v>
      </c>
      <c r="BF104" t="s">
        <v>9</v>
      </c>
      <c r="BG104" s="2">
        <v>2504.0194491316988</v>
      </c>
      <c r="BH104" s="2">
        <v>1764.8835818915293</v>
      </c>
      <c r="BI104" s="2">
        <v>3041.4130215010077</v>
      </c>
      <c r="BJ104" s="2">
        <v>3821.7937808721499</v>
      </c>
      <c r="BK104" s="2">
        <v>5933.6152154240999</v>
      </c>
      <c r="BL104" s="2">
        <v>4424.4129408764311</v>
      </c>
      <c r="BM104" s="2">
        <v>5475.437341352681</v>
      </c>
      <c r="BN104" s="2">
        <v>3209.5675032945005</v>
      </c>
      <c r="BO104" s="2">
        <v>30175.142834344166</v>
      </c>
      <c r="BQ104" t="s">
        <v>9</v>
      </c>
      <c r="BR104" s="2">
        <v>2298.0700814634015</v>
      </c>
      <c r="BS104" s="2">
        <v>1766.335311666249</v>
      </c>
      <c r="BT104" s="2">
        <v>3169.8537822624025</v>
      </c>
      <c r="BU104" s="2">
        <v>3804.14028109326</v>
      </c>
      <c r="BV104" s="2">
        <v>6042.0504258808669</v>
      </c>
      <c r="BW104" s="2">
        <v>4285.6044497128514</v>
      </c>
      <c r="BX104" s="2">
        <v>5296.5356167961072</v>
      </c>
      <c r="BY104" s="2">
        <v>5318.3475045755713</v>
      </c>
      <c r="BZ104" s="2">
        <v>31980.937453450919</v>
      </c>
      <c r="CB104">
        <v>31980.937453450708</v>
      </c>
      <c r="CC104" s="2"/>
      <c r="CD104" s="2"/>
      <c r="CE104" s="2"/>
      <c r="CF104" s="2"/>
      <c r="CG104" s="2"/>
      <c r="CH104" s="2"/>
      <c r="CI104" s="2"/>
      <c r="CJ104" s="2"/>
    </row>
    <row r="105" spans="3:90" x14ac:dyDescent="0.2">
      <c r="C105" t="s">
        <v>10</v>
      </c>
      <c r="D105" s="2">
        <v>2817.2708096739011</v>
      </c>
      <c r="E105" s="2">
        <v>1895.3194406120297</v>
      </c>
      <c r="F105" s="2">
        <v>3256.8405411700946</v>
      </c>
      <c r="G105" s="2">
        <v>3732.9525278500982</v>
      </c>
      <c r="H105" s="2">
        <v>4689.2655658392996</v>
      </c>
      <c r="I105" s="2">
        <v>3470.6496700091011</v>
      </c>
      <c r="J105" s="2">
        <v>2864.1637478590546</v>
      </c>
      <c r="K105" s="2"/>
      <c r="L105" s="2">
        <v>22726.462303013475</v>
      </c>
      <c r="N105" t="s">
        <v>10</v>
      </c>
      <c r="O105" s="2">
        <v>2704.0999302011737</v>
      </c>
      <c r="P105" s="2">
        <v>1914.8257223952098</v>
      </c>
      <c r="Q105" s="2">
        <v>3257.6337569582174</v>
      </c>
      <c r="R105" s="2">
        <v>3721.3503746067072</v>
      </c>
      <c r="S105" s="2">
        <v>4763.5217953616648</v>
      </c>
      <c r="T105" s="2">
        <v>3364.8774287972024</v>
      </c>
      <c r="U105" s="2">
        <v>3704.6745132646229</v>
      </c>
      <c r="V105" s="2"/>
      <c r="W105" s="2">
        <v>23430.983521584862</v>
      </c>
      <c r="Y105" t="s">
        <v>10</v>
      </c>
      <c r="Z105" s="2">
        <v>2755.5413742324522</v>
      </c>
      <c r="AA105" s="2">
        <v>1826.4420487786224</v>
      </c>
      <c r="AB105" s="2">
        <v>3248.0403146921731</v>
      </c>
      <c r="AC105" s="2">
        <v>3791.4045363833911</v>
      </c>
      <c r="AD105" s="2">
        <v>4942.4661847820007</v>
      </c>
      <c r="AE105" s="2">
        <v>3396.0003863663001</v>
      </c>
      <c r="AF105" s="2">
        <v>3857.886283012419</v>
      </c>
      <c r="AG105" s="2">
        <v>758.23891015828065</v>
      </c>
      <c r="AH105" s="2">
        <v>24576.020038405619</v>
      </c>
      <c r="AJ105" t="s">
        <v>10</v>
      </c>
      <c r="AK105" s="2">
        <v>2590.5037776042941</v>
      </c>
      <c r="AL105" s="2">
        <v>1817.7896389593186</v>
      </c>
      <c r="AM105" s="2">
        <v>3111.6535340598484</v>
      </c>
      <c r="AN105" s="2">
        <v>3660.029514914705</v>
      </c>
      <c r="AO105" s="2">
        <v>4803.6889126054066</v>
      </c>
      <c r="AP105" s="2">
        <v>3465.7591630732982</v>
      </c>
      <c r="AQ105" s="2">
        <v>3927.2136375766927</v>
      </c>
      <c r="AR105" s="2">
        <v>1626.7436041939593</v>
      </c>
      <c r="AS105" s="2">
        <v>25003.38178298733</v>
      </c>
      <c r="AU105" t="s">
        <v>10</v>
      </c>
      <c r="AV105" s="2">
        <v>2480.2286768516988</v>
      </c>
      <c r="AW105" s="2">
        <v>1737.2161328582297</v>
      </c>
      <c r="AX105" s="2">
        <v>3025.5603860743076</v>
      </c>
      <c r="AY105" s="2">
        <v>3635.9001603151914</v>
      </c>
      <c r="AZ105" s="2">
        <v>5149.915322933989</v>
      </c>
      <c r="BA105" s="2">
        <v>3532.5054185973549</v>
      </c>
      <c r="BB105" s="2">
        <v>3953.5115405121442</v>
      </c>
      <c r="BC105" s="2">
        <v>2721.5461373195999</v>
      </c>
      <c r="BD105" s="2">
        <v>26236.383775462589</v>
      </c>
      <c r="BF105" t="s">
        <v>10</v>
      </c>
      <c r="BG105" s="2">
        <v>2480.2286768516988</v>
      </c>
      <c r="BH105" s="2">
        <v>1737.2161328582297</v>
      </c>
      <c r="BI105" s="2">
        <v>3025.5603860743076</v>
      </c>
      <c r="BJ105" s="2">
        <v>3635.9001603151914</v>
      </c>
      <c r="BK105" s="2">
        <v>5149.915322933989</v>
      </c>
      <c r="BL105" s="2">
        <v>3532.5054185973549</v>
      </c>
      <c r="BM105" s="2">
        <v>3953.5115405121442</v>
      </c>
      <c r="BN105" s="2">
        <v>2721.5461373195999</v>
      </c>
      <c r="BO105" s="2">
        <v>26236.383775462589</v>
      </c>
      <c r="BQ105" t="s">
        <v>10</v>
      </c>
      <c r="BR105" s="2">
        <v>2280.177196669702</v>
      </c>
      <c r="BS105" s="2">
        <v>1717.7279114220491</v>
      </c>
      <c r="BT105" s="2">
        <v>3132.9860735344041</v>
      </c>
      <c r="BU105" s="2">
        <v>3637.9628399661001</v>
      </c>
      <c r="BV105" s="2">
        <v>5358.2586864019286</v>
      </c>
      <c r="BW105" s="2">
        <v>3490.9344223878993</v>
      </c>
      <c r="BX105" s="2">
        <v>3820.1163674021236</v>
      </c>
      <c r="BY105" s="2">
        <v>4625.2357706376724</v>
      </c>
      <c r="BZ105" s="2">
        <v>28063.399268421985</v>
      </c>
      <c r="CB105">
        <v>28063.399268421876</v>
      </c>
      <c r="CC105" s="2"/>
      <c r="CD105" s="2"/>
      <c r="CE105" s="2"/>
      <c r="CF105" s="2"/>
      <c r="CG105" s="2"/>
      <c r="CH105" s="2"/>
      <c r="CI105" s="2"/>
      <c r="CJ105" s="2"/>
    </row>
    <row r="106" spans="3:90" x14ac:dyDescent="0.2">
      <c r="C106" t="s">
        <v>11</v>
      </c>
      <c r="D106" s="2">
        <v>200.03905718557999</v>
      </c>
      <c r="E106" s="2">
        <v>115.46642183680002</v>
      </c>
      <c r="F106" s="2">
        <v>99.759756576470025</v>
      </c>
      <c r="G106" s="2">
        <v>205.62006437842993</v>
      </c>
      <c r="H106" s="2">
        <v>457.71940897210004</v>
      </c>
      <c r="I106" s="2">
        <v>575.50628573942026</v>
      </c>
      <c r="J106" s="2">
        <v>289.75392504379994</v>
      </c>
      <c r="K106" s="2"/>
      <c r="L106" s="2">
        <v>1943.8649197326024</v>
      </c>
      <c r="N106" t="s">
        <v>11</v>
      </c>
      <c r="O106" s="2">
        <v>248.18537118324002</v>
      </c>
      <c r="P106" s="2">
        <v>145.23343751669998</v>
      </c>
      <c r="Q106" s="2">
        <v>112.0264022746</v>
      </c>
      <c r="R106" s="2">
        <v>233.16819779339997</v>
      </c>
      <c r="S106" s="2">
        <v>565.43989106270021</v>
      </c>
      <c r="T106" s="2">
        <v>658.96860939800024</v>
      </c>
      <c r="U106" s="2">
        <v>417.77155837490022</v>
      </c>
      <c r="V106" s="2"/>
      <c r="W106" s="2">
        <v>2380.7934676035384</v>
      </c>
      <c r="Y106" t="s">
        <v>11</v>
      </c>
      <c r="Z106" s="2">
        <v>244.89627013209989</v>
      </c>
      <c r="AA106" s="2">
        <v>144.71655963160001</v>
      </c>
      <c r="AB106" s="2">
        <v>148.60092743539997</v>
      </c>
      <c r="AC106" s="2">
        <v>195.16375705349992</v>
      </c>
      <c r="AD106" s="2">
        <v>618.48568737779965</v>
      </c>
      <c r="AE106" s="2">
        <v>698.14172300939549</v>
      </c>
      <c r="AF106" s="2">
        <v>431.09171093655965</v>
      </c>
      <c r="AG106" s="2">
        <v>101.47641958610002</v>
      </c>
      <c r="AH106" s="2">
        <v>2582.573055162457</v>
      </c>
      <c r="AJ106" t="s">
        <v>11</v>
      </c>
      <c r="AK106" s="2">
        <v>203.46280125360002</v>
      </c>
      <c r="AL106" s="2">
        <v>106.57888279179998</v>
      </c>
      <c r="AM106" s="2">
        <v>110.1903180819</v>
      </c>
      <c r="AN106" s="2">
        <v>148.23869731389999</v>
      </c>
      <c r="AO106" s="2">
        <v>473.42496005830003</v>
      </c>
      <c r="AP106" s="2">
        <v>557.23208409799986</v>
      </c>
      <c r="AQ106" s="2">
        <v>334.20401084359997</v>
      </c>
      <c r="AR106" s="2">
        <v>177.91415763751002</v>
      </c>
      <c r="AS106" s="2">
        <v>2111.2459120786129</v>
      </c>
      <c r="AU106" t="s">
        <v>11</v>
      </c>
      <c r="AV106" s="2">
        <v>181.05644577570001</v>
      </c>
      <c r="AW106" s="2">
        <v>102.93465148561002</v>
      </c>
      <c r="AX106" s="2">
        <v>84.116407376799998</v>
      </c>
      <c r="AY106" s="2">
        <v>120.61386933500003</v>
      </c>
      <c r="AZ106" s="2">
        <v>398.5183489364</v>
      </c>
      <c r="BA106" s="2">
        <v>543.0502496646302</v>
      </c>
      <c r="BB106" s="2">
        <v>314.51583544732</v>
      </c>
      <c r="BC106" s="2">
        <v>289.44015606957993</v>
      </c>
      <c r="BD106" s="2">
        <v>2034.245964091039</v>
      </c>
      <c r="BF106" t="s">
        <v>11</v>
      </c>
      <c r="BG106" s="2">
        <v>181.05644577570001</v>
      </c>
      <c r="BH106" s="2">
        <v>102.93465148561002</v>
      </c>
      <c r="BI106" s="2">
        <v>84.116407376799998</v>
      </c>
      <c r="BJ106" s="2">
        <v>120.61386933500003</v>
      </c>
      <c r="BK106" s="2">
        <v>398.5183489364</v>
      </c>
      <c r="BL106" s="2">
        <v>543.0502496646302</v>
      </c>
      <c r="BM106" s="2">
        <v>314.51583544732</v>
      </c>
      <c r="BN106" s="2">
        <v>289.44015606957993</v>
      </c>
      <c r="BO106" s="2">
        <v>2034.245964091039</v>
      </c>
      <c r="BQ106" t="s">
        <v>11</v>
      </c>
      <c r="BR106" s="2">
        <v>139.59309990920005</v>
      </c>
      <c r="BS106" s="2">
        <v>88.463957367899994</v>
      </c>
      <c r="BT106" s="2">
        <v>101.79606449109997</v>
      </c>
      <c r="BU106" s="2">
        <v>119.4906546509</v>
      </c>
      <c r="BV106" s="2">
        <v>317.53931316299997</v>
      </c>
      <c r="BW106" s="2">
        <v>474.13384147519997</v>
      </c>
      <c r="BX106" s="2">
        <v>252.99010108467016</v>
      </c>
      <c r="BY106" s="2">
        <v>441.38269349107014</v>
      </c>
      <c r="BZ106" s="2">
        <v>1935.389725633042</v>
      </c>
      <c r="CB106">
        <v>1935.3897256330401</v>
      </c>
      <c r="CC106" s="2"/>
      <c r="CD106" s="2"/>
      <c r="CE106" s="2"/>
      <c r="CF106" s="2"/>
      <c r="CG106" s="2"/>
      <c r="CH106" s="2"/>
      <c r="CI106" s="2"/>
      <c r="CJ106" s="2"/>
    </row>
    <row r="107" spans="3:90" x14ac:dyDescent="0.2">
      <c r="C107" t="s">
        <v>12</v>
      </c>
      <c r="D107" s="2">
        <v>513.75156593447991</v>
      </c>
      <c r="E107" s="2">
        <v>324.64236218918012</v>
      </c>
      <c r="F107" s="2">
        <v>485.87824051294007</v>
      </c>
      <c r="G107" s="2">
        <v>956.91560481059071</v>
      </c>
      <c r="H107" s="2">
        <v>2050.3656417565089</v>
      </c>
      <c r="I107" s="2">
        <v>1810.5136215740297</v>
      </c>
      <c r="J107" s="2">
        <v>519.55537632170012</v>
      </c>
      <c r="K107" s="2"/>
      <c r="L107" s="2">
        <v>6661.6224130994206</v>
      </c>
      <c r="N107" t="s">
        <v>12</v>
      </c>
      <c r="O107" s="2">
        <v>488.72239626309005</v>
      </c>
      <c r="P107" s="2">
        <v>348.94178111349009</v>
      </c>
      <c r="Q107" s="2">
        <v>443.16932256534017</v>
      </c>
      <c r="R107" s="2">
        <v>929.40318712636008</v>
      </c>
      <c r="S107" s="2">
        <v>1977.6890034167104</v>
      </c>
      <c r="T107" s="2">
        <v>1884.22523208435</v>
      </c>
      <c r="U107" s="2">
        <v>760.22379416130002</v>
      </c>
      <c r="V107" s="2"/>
      <c r="W107" s="2">
        <v>6832.3747167306265</v>
      </c>
      <c r="Y107" t="s">
        <v>12</v>
      </c>
      <c r="Z107" s="2">
        <v>426.75164288182015</v>
      </c>
      <c r="AA107" s="2">
        <v>326.42346120779996</v>
      </c>
      <c r="AB107" s="2">
        <v>428.53053981829993</v>
      </c>
      <c r="AC107" s="2">
        <v>894.45041912261968</v>
      </c>
      <c r="AD107" s="2">
        <v>1952.0472155357402</v>
      </c>
      <c r="AE107" s="2">
        <v>1856.0011229623988</v>
      </c>
      <c r="AF107" s="2">
        <v>843.77855541700012</v>
      </c>
      <c r="AG107" s="2">
        <v>179.08975696249996</v>
      </c>
      <c r="AH107" s="2">
        <v>6907.0727139082037</v>
      </c>
      <c r="AJ107" t="s">
        <v>12</v>
      </c>
      <c r="AK107" s="2">
        <v>431.57738630264998</v>
      </c>
      <c r="AL107" s="2">
        <v>329.53171889394025</v>
      </c>
      <c r="AM107" s="2">
        <v>421.28867669139993</v>
      </c>
      <c r="AN107" s="2">
        <v>907.92465122736985</v>
      </c>
      <c r="AO107" s="2">
        <v>2067.8305475277089</v>
      </c>
      <c r="AP107" s="2">
        <v>1821.6804919668307</v>
      </c>
      <c r="AQ107" s="2">
        <v>824.49685364069967</v>
      </c>
      <c r="AR107" s="2">
        <v>364.81397916008001</v>
      </c>
      <c r="AS107" s="2">
        <v>7169.1443054106767</v>
      </c>
      <c r="AU107" t="s">
        <v>12</v>
      </c>
      <c r="AV107" s="2">
        <v>391.25133770700018</v>
      </c>
      <c r="AW107" s="2">
        <v>286.67585570503996</v>
      </c>
      <c r="AX107" s="2">
        <v>362.28112663790984</v>
      </c>
      <c r="AY107" s="2">
        <v>932.28960611507023</v>
      </c>
      <c r="AZ107" s="2">
        <v>2364.8934044808998</v>
      </c>
      <c r="BA107" s="2">
        <v>1775.3793246661912</v>
      </c>
      <c r="BB107" s="2">
        <v>831.2170759078499</v>
      </c>
      <c r="BC107" s="2">
        <v>550.14335232988981</v>
      </c>
      <c r="BD107" s="2">
        <v>7494.1310835498571</v>
      </c>
      <c r="BF107" t="s">
        <v>12</v>
      </c>
      <c r="BG107" s="2">
        <v>391.25133770700018</v>
      </c>
      <c r="BH107" s="2">
        <v>286.67585570503996</v>
      </c>
      <c r="BI107" s="2">
        <v>362.28112663790984</v>
      </c>
      <c r="BJ107" s="2">
        <v>932.28960611507023</v>
      </c>
      <c r="BK107" s="2">
        <v>2364.8934044808998</v>
      </c>
      <c r="BL107" s="2">
        <v>1775.3793246661912</v>
      </c>
      <c r="BM107" s="2">
        <v>831.2170759078499</v>
      </c>
      <c r="BN107" s="2">
        <v>550.14335232988981</v>
      </c>
      <c r="BO107" s="2">
        <v>7494.1310835498571</v>
      </c>
      <c r="BQ107" t="s">
        <v>12</v>
      </c>
      <c r="BR107" s="2">
        <v>399.56295810981993</v>
      </c>
      <c r="BS107" s="2">
        <v>255.45688868399</v>
      </c>
      <c r="BT107" s="2">
        <v>319.11256019359996</v>
      </c>
      <c r="BU107" s="2">
        <v>908.39356894967023</v>
      </c>
      <c r="BV107" s="2">
        <v>2401.9080853484511</v>
      </c>
      <c r="BW107" s="2">
        <v>1675.5679065223196</v>
      </c>
      <c r="BX107" s="2">
        <v>780.75696705398047</v>
      </c>
      <c r="BY107" s="2">
        <v>925.53930712676993</v>
      </c>
      <c r="BZ107" s="2">
        <v>7666.2982419886021</v>
      </c>
      <c r="CB107">
        <v>7666.2982419886011</v>
      </c>
      <c r="CC107" s="2"/>
      <c r="CD107" s="2"/>
      <c r="CE107" s="2"/>
      <c r="CF107" s="2"/>
      <c r="CG107" s="2"/>
      <c r="CH107" s="2"/>
      <c r="CI107" s="2"/>
      <c r="CJ107" s="2"/>
    </row>
    <row r="108" spans="3:90" x14ac:dyDescent="0.2">
      <c r="C108" t="s">
        <v>13</v>
      </c>
      <c r="D108" s="2">
        <v>12.360046065499999</v>
      </c>
      <c r="E108" s="2">
        <v>9.5262142994999994</v>
      </c>
      <c r="F108" s="2">
        <v>33.850838954149999</v>
      </c>
      <c r="G108" s="2">
        <v>295.87720797565009</v>
      </c>
      <c r="H108" s="2">
        <v>1159.1466192497826</v>
      </c>
      <c r="I108" s="2">
        <v>905.44096591832886</v>
      </c>
      <c r="J108" s="2">
        <v>1051.6662139233197</v>
      </c>
      <c r="K108" s="2"/>
      <c r="L108" s="2">
        <v>3467.8681063862405</v>
      </c>
      <c r="N108" t="s">
        <v>13</v>
      </c>
      <c r="O108" s="2">
        <v>18.267773941900003</v>
      </c>
      <c r="P108" s="2">
        <v>10.8571835912</v>
      </c>
      <c r="Q108" s="2">
        <v>37.501598767060003</v>
      </c>
      <c r="R108" s="2">
        <v>236.19141254791106</v>
      </c>
      <c r="S108" s="2">
        <v>1039.434312867523</v>
      </c>
      <c r="T108" s="2">
        <v>886.30425967470251</v>
      </c>
      <c r="U108" s="2">
        <v>1512.1670195611396</v>
      </c>
      <c r="V108" s="2"/>
      <c r="W108" s="2">
        <v>3740.7235609514355</v>
      </c>
      <c r="Y108" t="s">
        <v>13</v>
      </c>
      <c r="Z108" s="2">
        <v>30.087070099300004</v>
      </c>
      <c r="AA108" s="2">
        <v>18.9996152541</v>
      </c>
      <c r="AB108" s="2">
        <v>30.275283538940002</v>
      </c>
      <c r="AC108" s="2">
        <v>222.93521579784198</v>
      </c>
      <c r="AD108" s="2">
        <v>1015.9301309646856</v>
      </c>
      <c r="AE108" s="2">
        <v>900.95430509833693</v>
      </c>
      <c r="AF108" s="2">
        <v>1528.5629500472794</v>
      </c>
      <c r="AG108" s="2">
        <v>254.36916273067999</v>
      </c>
      <c r="AH108" s="2">
        <v>4002.1137335311628</v>
      </c>
      <c r="AJ108" t="s">
        <v>13</v>
      </c>
      <c r="AK108" s="2">
        <v>23.451221988699999</v>
      </c>
      <c r="AL108" s="2">
        <v>16.566786128800004</v>
      </c>
      <c r="AM108" s="2">
        <v>31.607202221759998</v>
      </c>
      <c r="AN108" s="2">
        <v>199.68705129156996</v>
      </c>
      <c r="AO108" s="2">
        <v>953.77550666301795</v>
      </c>
      <c r="AP108" s="2">
        <v>827.96911760034561</v>
      </c>
      <c r="AQ108" s="2">
        <v>1502.7838753900601</v>
      </c>
      <c r="AR108" s="2">
        <v>304.90521522793989</v>
      </c>
      <c r="AS108" s="2">
        <v>3860.745976512193</v>
      </c>
      <c r="AU108" t="s">
        <v>13</v>
      </c>
      <c r="AV108" s="2">
        <v>23.790772279999999</v>
      </c>
      <c r="AW108" s="2">
        <v>27.667449033299999</v>
      </c>
      <c r="AX108" s="2">
        <v>15.852635426700001</v>
      </c>
      <c r="AY108" s="2">
        <v>185.89362055696</v>
      </c>
      <c r="AZ108" s="2">
        <v>783.69989249011132</v>
      </c>
      <c r="BA108" s="2">
        <v>891.90752227906785</v>
      </c>
      <c r="BB108" s="2">
        <v>1521.9258008405498</v>
      </c>
      <c r="BC108" s="2">
        <v>488.02136597489999</v>
      </c>
      <c r="BD108" s="2">
        <v>3938.7590588815838</v>
      </c>
      <c r="BF108" t="s">
        <v>13</v>
      </c>
      <c r="BG108" s="2">
        <v>23.790772279999999</v>
      </c>
      <c r="BH108" s="2">
        <v>27.667449033299999</v>
      </c>
      <c r="BI108" s="2">
        <v>15.852635426700001</v>
      </c>
      <c r="BJ108" s="2">
        <v>185.89362055696</v>
      </c>
      <c r="BK108" s="2">
        <v>783.69989249011132</v>
      </c>
      <c r="BL108" s="2">
        <v>891.90752227906785</v>
      </c>
      <c r="BM108" s="2">
        <v>1521.9258008405498</v>
      </c>
      <c r="BN108" s="2">
        <v>488.02136597489999</v>
      </c>
      <c r="BO108" s="2">
        <v>3938.7590588815838</v>
      </c>
      <c r="BQ108" t="s">
        <v>13</v>
      </c>
      <c r="BR108" s="2">
        <v>17.892884793699999</v>
      </c>
      <c r="BS108" s="2">
        <v>48.607400244200001</v>
      </c>
      <c r="BT108" s="2">
        <v>36.867708727999997</v>
      </c>
      <c r="BU108" s="2">
        <v>166.17744112716005</v>
      </c>
      <c r="BV108" s="2">
        <v>683.79173947893446</v>
      </c>
      <c r="BW108" s="2">
        <v>794.67002732494905</v>
      </c>
      <c r="BX108" s="2">
        <v>1476.4192493939995</v>
      </c>
      <c r="BY108" s="2">
        <v>693.11173393790034</v>
      </c>
      <c r="BZ108" s="2">
        <v>3917.5381850288422</v>
      </c>
      <c r="CB108">
        <v>3917.5381850288431</v>
      </c>
      <c r="CC108" s="2"/>
      <c r="CD108" s="2"/>
      <c r="CE108" s="2"/>
      <c r="CF108" s="2"/>
      <c r="CG108" s="2"/>
      <c r="CH108" s="2"/>
      <c r="CI108" s="2"/>
      <c r="CJ108" s="2"/>
    </row>
    <row r="109" spans="3:90" x14ac:dyDescent="0.2">
      <c r="C109" t="s">
        <v>14</v>
      </c>
      <c r="D109" s="2">
        <v>3543.4214788594609</v>
      </c>
      <c r="E109" s="2">
        <v>2344.9544389375096</v>
      </c>
      <c r="F109" s="2">
        <v>3876.3293772136553</v>
      </c>
      <c r="G109" s="2">
        <v>5191.3654050147688</v>
      </c>
      <c r="H109" s="2">
        <v>8356.4972358176929</v>
      </c>
      <c r="I109" s="2">
        <v>6762.1105432408785</v>
      </c>
      <c r="J109" s="2">
        <v>4725.1392631478739</v>
      </c>
      <c r="K109" s="2"/>
      <c r="L109" s="2">
        <v>34799.817742231731</v>
      </c>
      <c r="N109" t="s">
        <v>14</v>
      </c>
      <c r="O109" s="2">
        <v>3459.2754715894039</v>
      </c>
      <c r="P109" s="2">
        <v>2419.8581246166</v>
      </c>
      <c r="Q109" s="2">
        <v>3850.3310805652177</v>
      </c>
      <c r="R109" s="2">
        <v>5120.1131720743779</v>
      </c>
      <c r="S109" s="2">
        <v>8346.0850027085999</v>
      </c>
      <c r="T109" s="2">
        <v>6794.3755299542545</v>
      </c>
      <c r="U109" s="2">
        <v>6394.8368853619631</v>
      </c>
      <c r="V109" s="2"/>
      <c r="W109" s="2">
        <v>36384.875266870462</v>
      </c>
      <c r="Y109" t="s">
        <v>14</v>
      </c>
      <c r="Z109" s="2">
        <v>3457.2763573456718</v>
      </c>
      <c r="AA109" s="2">
        <v>2316.5816848721224</v>
      </c>
      <c r="AB109" s="2">
        <v>3855.4470654848128</v>
      </c>
      <c r="AC109" s="2">
        <v>5103.9539283573522</v>
      </c>
      <c r="AD109" s="2">
        <v>8528.929218660227</v>
      </c>
      <c r="AE109" s="2">
        <v>6851.0975374364316</v>
      </c>
      <c r="AF109" s="2">
        <v>6661.3194994132582</v>
      </c>
      <c r="AG109" s="2">
        <v>1293.1742494375605</v>
      </c>
      <c r="AH109" s="2">
        <v>38067.779541007447</v>
      </c>
      <c r="AJ109" t="s">
        <v>14</v>
      </c>
      <c r="AK109" s="2">
        <v>3248.995187149244</v>
      </c>
      <c r="AL109" s="2">
        <v>2270.4670267738588</v>
      </c>
      <c r="AM109" s="2">
        <v>3674.7397310549081</v>
      </c>
      <c r="AN109" s="2">
        <v>4915.8799147475447</v>
      </c>
      <c r="AO109" s="2">
        <v>8298.7199268544337</v>
      </c>
      <c r="AP109" s="2">
        <v>6672.6408567384742</v>
      </c>
      <c r="AQ109" s="2">
        <v>6588.6983774510527</v>
      </c>
      <c r="AR109" s="2">
        <v>2474.3769562194889</v>
      </c>
      <c r="AS109" s="2">
        <v>38144.517976988813</v>
      </c>
      <c r="AU109" t="s">
        <v>14</v>
      </c>
      <c r="AV109" s="2">
        <v>3076.3272326143988</v>
      </c>
      <c r="AW109" s="2">
        <v>2154.4940890821795</v>
      </c>
      <c r="AX109" s="2">
        <v>3487.8105555157176</v>
      </c>
      <c r="AY109" s="2">
        <v>4874.6972563222216</v>
      </c>
      <c r="AZ109" s="2">
        <v>8697.026968841401</v>
      </c>
      <c r="BA109" s="2">
        <v>6742.8425152072441</v>
      </c>
      <c r="BB109" s="2">
        <v>6621.1702527078633</v>
      </c>
      <c r="BC109" s="2">
        <v>4049.1510116939694</v>
      </c>
      <c r="BD109" s="2">
        <v>39703.51988198507</v>
      </c>
      <c r="BF109" t="s">
        <v>14</v>
      </c>
      <c r="BG109" s="2">
        <v>3076.3272326143988</v>
      </c>
      <c r="BH109" s="2">
        <v>2154.4940890821795</v>
      </c>
      <c r="BI109" s="2">
        <v>3487.8105555157176</v>
      </c>
      <c r="BJ109" s="2">
        <v>4874.6972563222216</v>
      </c>
      <c r="BK109" s="2">
        <v>8697.026968841401</v>
      </c>
      <c r="BL109" s="2">
        <v>6742.8425152072441</v>
      </c>
      <c r="BM109" s="2">
        <v>6621.1702527078633</v>
      </c>
      <c r="BN109" s="2">
        <v>4049.1510116939694</v>
      </c>
      <c r="BO109" s="2">
        <v>39703.51988198507</v>
      </c>
      <c r="BQ109" t="s">
        <v>14</v>
      </c>
      <c r="BR109" s="2">
        <v>2837.2261394824218</v>
      </c>
      <c r="BS109" s="2">
        <v>2110.2561577181391</v>
      </c>
      <c r="BT109" s="2">
        <v>3590.7624069471044</v>
      </c>
      <c r="BU109" s="2">
        <v>4832.0245046938307</v>
      </c>
      <c r="BV109" s="2">
        <v>8761.497824392316</v>
      </c>
      <c r="BW109" s="2">
        <v>6435.306197710368</v>
      </c>
      <c r="BX109" s="2">
        <v>6330.2826849347739</v>
      </c>
      <c r="BY109" s="2">
        <v>6685.2695051934134</v>
      </c>
      <c r="BZ109" s="2">
        <v>41582.625421072466</v>
      </c>
      <c r="CB109">
        <v>41582.625421072364</v>
      </c>
    </row>
    <row r="110" spans="3:90" x14ac:dyDescent="0.2">
      <c r="BP110" s="1"/>
    </row>
    <row r="111" spans="3:90" x14ac:dyDescent="0.2">
      <c r="C111" s="1" t="s">
        <v>16</v>
      </c>
      <c r="N111" s="1" t="s">
        <v>16</v>
      </c>
      <c r="Y111" s="1" t="s">
        <v>16</v>
      </c>
      <c r="AJ111" s="1" t="s">
        <v>16</v>
      </c>
      <c r="AU111" s="1" t="s">
        <v>16</v>
      </c>
      <c r="BF111" s="1" t="s">
        <v>16</v>
      </c>
      <c r="BQ111" s="1" t="s">
        <v>16</v>
      </c>
      <c r="CC111" s="2"/>
      <c r="CD111" s="2"/>
      <c r="CE111" s="2"/>
      <c r="CF111" s="2"/>
      <c r="CG111" s="2"/>
      <c r="CH111" s="2"/>
      <c r="CI111" s="2"/>
      <c r="CJ111" s="2"/>
    </row>
    <row r="112" spans="3:90" x14ac:dyDescent="0.2">
      <c r="C112" t="s">
        <v>9</v>
      </c>
      <c r="D112" s="2">
        <v>1056</v>
      </c>
      <c r="E112" s="2">
        <v>724</v>
      </c>
      <c r="F112" s="2">
        <v>1272</v>
      </c>
      <c r="G112" s="2">
        <v>1529</v>
      </c>
      <c r="H112" s="2">
        <v>2194</v>
      </c>
      <c r="I112" s="2">
        <v>1552</v>
      </c>
      <c r="J112" s="2">
        <v>1154</v>
      </c>
      <c r="K112" s="2"/>
      <c r="L112" s="2">
        <v>9481</v>
      </c>
      <c r="N112" t="s">
        <v>9</v>
      </c>
      <c r="O112" s="2">
        <v>1065</v>
      </c>
      <c r="P112" s="2">
        <v>759</v>
      </c>
      <c r="Q112" s="2">
        <v>1290</v>
      </c>
      <c r="R112" s="2">
        <v>1560</v>
      </c>
      <c r="S112" s="2">
        <v>2264</v>
      </c>
      <c r="T112" s="2">
        <v>1676</v>
      </c>
      <c r="U112" s="2">
        <v>1766</v>
      </c>
      <c r="V112" s="2"/>
      <c r="W112" s="2">
        <v>10380</v>
      </c>
      <c r="Y112" t="s">
        <v>9</v>
      </c>
      <c r="Z112" s="2">
        <v>1045</v>
      </c>
      <c r="AA112" s="2">
        <v>699</v>
      </c>
      <c r="AB112" s="2">
        <v>1258</v>
      </c>
      <c r="AC112" s="2">
        <v>1521</v>
      </c>
      <c r="AD112" s="2">
        <v>2225</v>
      </c>
      <c r="AE112" s="2">
        <v>1630</v>
      </c>
      <c r="AF112" s="2">
        <v>2006</v>
      </c>
      <c r="AG112" s="2">
        <v>294</v>
      </c>
      <c r="AH112" s="2">
        <v>10678</v>
      </c>
      <c r="AJ112" t="s">
        <v>9</v>
      </c>
      <c r="AK112" s="2">
        <v>996</v>
      </c>
      <c r="AL112" s="2">
        <v>702</v>
      </c>
      <c r="AM112" s="2">
        <v>1210</v>
      </c>
      <c r="AN112" s="2">
        <v>1487</v>
      </c>
      <c r="AO112" s="2">
        <v>2164</v>
      </c>
      <c r="AP112" s="2">
        <v>1591</v>
      </c>
      <c r="AQ112" s="2">
        <v>2063</v>
      </c>
      <c r="AR112" s="2">
        <v>710</v>
      </c>
      <c r="AS112" s="2">
        <v>10923</v>
      </c>
      <c r="AU112" t="s">
        <v>9</v>
      </c>
      <c r="AV112" s="2">
        <v>938</v>
      </c>
      <c r="AW112" s="2">
        <v>649</v>
      </c>
      <c r="AX112" s="2">
        <v>1135</v>
      </c>
      <c r="AY112" s="2">
        <v>1443</v>
      </c>
      <c r="AZ112" s="2">
        <v>2182</v>
      </c>
      <c r="BA112" s="2">
        <v>1523</v>
      </c>
      <c r="BB112" s="2">
        <v>1858</v>
      </c>
      <c r="BC112" s="2">
        <v>1187</v>
      </c>
      <c r="BD112" s="2">
        <v>10915</v>
      </c>
      <c r="BF112" t="s">
        <v>9</v>
      </c>
      <c r="BG112" s="2">
        <v>938</v>
      </c>
      <c r="BH112" s="2">
        <v>649</v>
      </c>
      <c r="BI112" s="2">
        <v>1135</v>
      </c>
      <c r="BJ112" s="2">
        <v>1443</v>
      </c>
      <c r="BK112" s="2">
        <v>2182</v>
      </c>
      <c r="BL112" s="2">
        <v>1523</v>
      </c>
      <c r="BM112" s="2">
        <v>1858</v>
      </c>
      <c r="BN112" s="2">
        <v>1187</v>
      </c>
      <c r="BO112" s="2">
        <v>10915</v>
      </c>
      <c r="BQ112" t="s">
        <v>9</v>
      </c>
      <c r="BR112" s="2">
        <v>739</v>
      </c>
      <c r="BS112" s="2">
        <v>571</v>
      </c>
      <c r="BT112" s="2">
        <v>1013</v>
      </c>
      <c r="BU112" s="2">
        <v>1253</v>
      </c>
      <c r="BV112" s="2">
        <v>1966</v>
      </c>
      <c r="BW112" s="2">
        <v>1387</v>
      </c>
      <c r="BX112" s="2">
        <v>1680</v>
      </c>
      <c r="BY112" s="2">
        <v>1897</v>
      </c>
      <c r="BZ112" s="2">
        <v>10506</v>
      </c>
      <c r="CB112">
        <v>10506</v>
      </c>
      <c r="CC112" s="2"/>
      <c r="CD112" s="2"/>
      <c r="CE112" s="2"/>
      <c r="CF112" s="2"/>
      <c r="CG112" s="2"/>
      <c r="CH112" s="2"/>
      <c r="CI112" s="2"/>
      <c r="CJ112" s="2"/>
    </row>
    <row r="113" spans="3:90" x14ac:dyDescent="0.2">
      <c r="C113" t="s">
        <v>10</v>
      </c>
      <c r="D113" s="2">
        <v>1052</v>
      </c>
      <c r="E113" s="2">
        <v>720</v>
      </c>
      <c r="F113" s="2">
        <v>1258</v>
      </c>
      <c r="G113" s="2">
        <v>1426</v>
      </c>
      <c r="H113" s="2">
        <v>1785</v>
      </c>
      <c r="I113" s="2">
        <v>1247</v>
      </c>
      <c r="J113" s="2">
        <v>968</v>
      </c>
      <c r="K113" s="2"/>
      <c r="L113" s="2">
        <v>8456</v>
      </c>
      <c r="N113" t="s">
        <v>10</v>
      </c>
      <c r="O113" s="2">
        <v>1058</v>
      </c>
      <c r="P113" s="2">
        <v>754</v>
      </c>
      <c r="Q113" s="2">
        <v>1277</v>
      </c>
      <c r="R113" s="2">
        <v>1476</v>
      </c>
      <c r="S113" s="2">
        <v>1894</v>
      </c>
      <c r="T113" s="2">
        <v>1358</v>
      </c>
      <c r="U113" s="2">
        <v>1489</v>
      </c>
      <c r="V113" s="2"/>
      <c r="W113" s="2">
        <v>9306</v>
      </c>
      <c r="Y113" t="s">
        <v>10</v>
      </c>
      <c r="Z113" s="2">
        <v>1034</v>
      </c>
      <c r="AA113" s="2">
        <v>691</v>
      </c>
      <c r="AB113" s="2">
        <v>1245</v>
      </c>
      <c r="AC113" s="2">
        <v>1440</v>
      </c>
      <c r="AD113" s="2">
        <v>1879</v>
      </c>
      <c r="AE113" s="2">
        <v>1331</v>
      </c>
      <c r="AF113" s="2">
        <v>1696</v>
      </c>
      <c r="AG113" s="2">
        <v>261</v>
      </c>
      <c r="AH113" s="2">
        <v>9577</v>
      </c>
      <c r="AJ113" t="s">
        <v>10</v>
      </c>
      <c r="AK113" s="2">
        <v>987</v>
      </c>
      <c r="AL113" s="2">
        <v>695</v>
      </c>
      <c r="AM113" s="2">
        <v>1196</v>
      </c>
      <c r="AN113" s="2">
        <v>1409</v>
      </c>
      <c r="AO113" s="2">
        <v>1840</v>
      </c>
      <c r="AP113" s="2">
        <v>1325</v>
      </c>
      <c r="AQ113" s="2">
        <v>1751</v>
      </c>
      <c r="AR113" s="2">
        <v>643</v>
      </c>
      <c r="AS113" s="2">
        <v>9846</v>
      </c>
      <c r="AU113" t="s">
        <v>10</v>
      </c>
      <c r="AV113" s="2">
        <v>932</v>
      </c>
      <c r="AW113" s="2">
        <v>641</v>
      </c>
      <c r="AX113" s="2">
        <v>1129</v>
      </c>
      <c r="AY113" s="2">
        <v>1385</v>
      </c>
      <c r="AZ113" s="2">
        <v>1943</v>
      </c>
      <c r="BA113" s="2">
        <v>1294</v>
      </c>
      <c r="BB113" s="2">
        <v>1590</v>
      </c>
      <c r="BC113" s="2">
        <v>1010</v>
      </c>
      <c r="BD113" s="2">
        <v>9924</v>
      </c>
      <c r="BF113" t="s">
        <v>10</v>
      </c>
      <c r="BG113" s="2">
        <v>932</v>
      </c>
      <c r="BH113" s="2">
        <v>641</v>
      </c>
      <c r="BI113" s="2">
        <v>1129</v>
      </c>
      <c r="BJ113" s="2">
        <v>1385</v>
      </c>
      <c r="BK113" s="2">
        <v>1943</v>
      </c>
      <c r="BL113" s="2">
        <v>1294</v>
      </c>
      <c r="BM113" s="2">
        <v>1590</v>
      </c>
      <c r="BN113" s="2">
        <v>1010</v>
      </c>
      <c r="BO113" s="2">
        <v>9924</v>
      </c>
      <c r="BQ113" t="s">
        <v>10</v>
      </c>
      <c r="BR113" s="2">
        <v>734</v>
      </c>
      <c r="BS113" s="2">
        <v>560</v>
      </c>
      <c r="BT113" s="2">
        <v>1002</v>
      </c>
      <c r="BU113" s="2">
        <v>1201</v>
      </c>
      <c r="BV113" s="2">
        <v>1758</v>
      </c>
      <c r="BW113" s="2">
        <v>1172</v>
      </c>
      <c r="BX113" s="2">
        <v>1399</v>
      </c>
      <c r="BY113" s="2">
        <v>1699</v>
      </c>
      <c r="BZ113" s="2">
        <v>9525</v>
      </c>
      <c r="CB113">
        <v>9525</v>
      </c>
      <c r="CC113" s="2"/>
      <c r="CD113" s="2"/>
      <c r="CE113" s="2"/>
      <c r="CF113" s="2"/>
      <c r="CG113" s="2"/>
      <c r="CH113" s="2"/>
      <c r="CI113" s="2"/>
      <c r="CJ113" s="2"/>
    </row>
    <row r="114" spans="3:90" x14ac:dyDescent="0.2">
      <c r="C114" t="s">
        <v>11</v>
      </c>
      <c r="D114" s="2">
        <v>5</v>
      </c>
      <c r="E114" s="2">
        <v>4</v>
      </c>
      <c r="F114" s="2">
        <v>1</v>
      </c>
      <c r="G114" s="2">
        <v>5</v>
      </c>
      <c r="H114" s="2">
        <v>14</v>
      </c>
      <c r="I114" s="2">
        <v>15</v>
      </c>
      <c r="J114" s="2">
        <v>37</v>
      </c>
      <c r="K114" s="2"/>
      <c r="L114" s="2">
        <v>81</v>
      </c>
      <c r="N114" t="s">
        <v>11</v>
      </c>
      <c r="O114" s="2">
        <v>40</v>
      </c>
      <c r="P114" s="2">
        <v>30</v>
      </c>
      <c r="Q114" s="2">
        <v>20</v>
      </c>
      <c r="R114" s="2">
        <v>56</v>
      </c>
      <c r="S114" s="2">
        <v>158</v>
      </c>
      <c r="T114" s="2">
        <v>212</v>
      </c>
      <c r="U114" s="2">
        <v>137</v>
      </c>
      <c r="V114" s="2"/>
      <c r="W114" s="2">
        <v>653</v>
      </c>
      <c r="Y114" t="s">
        <v>11</v>
      </c>
      <c r="Z114" s="2">
        <v>65</v>
      </c>
      <c r="AA114" s="2">
        <v>40</v>
      </c>
      <c r="AB114" s="2">
        <v>45</v>
      </c>
      <c r="AC114" s="2">
        <v>51</v>
      </c>
      <c r="AD114" s="2">
        <v>198</v>
      </c>
      <c r="AE114" s="2">
        <v>264</v>
      </c>
      <c r="AF114" s="2">
        <v>184</v>
      </c>
      <c r="AG114" s="2">
        <v>31</v>
      </c>
      <c r="AH114" s="2">
        <v>878</v>
      </c>
      <c r="AJ114" t="s">
        <v>11</v>
      </c>
      <c r="AK114" s="2">
        <v>61</v>
      </c>
      <c r="AL114" s="2">
        <v>32</v>
      </c>
      <c r="AM114" s="2">
        <v>33</v>
      </c>
      <c r="AN114" s="2">
        <v>44</v>
      </c>
      <c r="AO114" s="2">
        <v>154</v>
      </c>
      <c r="AP114" s="2">
        <v>204</v>
      </c>
      <c r="AQ114" s="2">
        <v>138</v>
      </c>
      <c r="AR114" s="2">
        <v>66</v>
      </c>
      <c r="AS114" s="2">
        <v>732</v>
      </c>
      <c r="AU114" t="s">
        <v>11</v>
      </c>
      <c r="AV114" s="2">
        <v>56</v>
      </c>
      <c r="AW114" s="2">
        <v>33</v>
      </c>
      <c r="AX114" s="2">
        <v>29</v>
      </c>
      <c r="AY114" s="2">
        <v>37</v>
      </c>
      <c r="AZ114" s="2">
        <v>125</v>
      </c>
      <c r="BA114" s="2">
        <v>191</v>
      </c>
      <c r="BB114" s="2">
        <v>124</v>
      </c>
      <c r="BC114" s="2">
        <v>94</v>
      </c>
      <c r="BD114" s="2">
        <v>689</v>
      </c>
      <c r="BF114" t="s">
        <v>11</v>
      </c>
      <c r="BG114" s="2">
        <v>56</v>
      </c>
      <c r="BH114" s="2">
        <v>33</v>
      </c>
      <c r="BI114" s="2">
        <v>29</v>
      </c>
      <c r="BJ114" s="2">
        <v>37</v>
      </c>
      <c r="BK114" s="2">
        <v>125</v>
      </c>
      <c r="BL114" s="2">
        <v>191</v>
      </c>
      <c r="BM114" s="2">
        <v>124</v>
      </c>
      <c r="BN114" s="2">
        <v>94</v>
      </c>
      <c r="BO114" s="2">
        <v>689</v>
      </c>
      <c r="BQ114" t="s">
        <v>11</v>
      </c>
      <c r="BR114" s="2">
        <v>40</v>
      </c>
      <c r="BS114" s="2">
        <v>28</v>
      </c>
      <c r="BT114" s="2">
        <v>25</v>
      </c>
      <c r="BU114" s="2">
        <v>33</v>
      </c>
      <c r="BV114" s="2">
        <v>97</v>
      </c>
      <c r="BW114" s="2">
        <v>162</v>
      </c>
      <c r="BX114" s="2">
        <v>89</v>
      </c>
      <c r="BY114" s="2">
        <v>159</v>
      </c>
      <c r="BZ114" s="2">
        <v>633</v>
      </c>
      <c r="CB114">
        <v>633</v>
      </c>
      <c r="CC114" s="2"/>
      <c r="CD114" s="2"/>
      <c r="CE114" s="2"/>
      <c r="CF114" s="2"/>
      <c r="CG114" s="2"/>
      <c r="CH114" s="2"/>
      <c r="CI114" s="2"/>
      <c r="CJ114" s="2"/>
    </row>
    <row r="115" spans="3:90" x14ac:dyDescent="0.2">
      <c r="C115" t="s">
        <v>12</v>
      </c>
      <c r="D115" s="2">
        <v>6</v>
      </c>
      <c r="E115" s="2">
        <v>7</v>
      </c>
      <c r="F115" s="2">
        <v>10</v>
      </c>
      <c r="G115" s="2">
        <v>12</v>
      </c>
      <c r="H115" s="2">
        <v>38</v>
      </c>
      <c r="I115" s="2">
        <v>28</v>
      </c>
      <c r="J115" s="2">
        <v>49</v>
      </c>
      <c r="K115" s="2"/>
      <c r="L115" s="2">
        <v>150</v>
      </c>
      <c r="N115" t="s">
        <v>12</v>
      </c>
      <c r="O115" s="2">
        <v>99</v>
      </c>
      <c r="P115" s="2">
        <v>79</v>
      </c>
      <c r="Q115" s="2">
        <v>88</v>
      </c>
      <c r="R115" s="2">
        <v>217</v>
      </c>
      <c r="S115" s="2">
        <v>486</v>
      </c>
      <c r="T115" s="2">
        <v>519</v>
      </c>
      <c r="U115" s="2">
        <v>197</v>
      </c>
      <c r="V115" s="2"/>
      <c r="W115" s="2">
        <v>1685</v>
      </c>
      <c r="Y115" t="s">
        <v>12</v>
      </c>
      <c r="Z115" s="2">
        <v>138</v>
      </c>
      <c r="AA115" s="2">
        <v>96</v>
      </c>
      <c r="AB115" s="2">
        <v>103</v>
      </c>
      <c r="AC115" s="2">
        <v>264</v>
      </c>
      <c r="AD115" s="2">
        <v>616</v>
      </c>
      <c r="AE115" s="2">
        <v>568</v>
      </c>
      <c r="AF115" s="2">
        <v>245</v>
      </c>
      <c r="AG115" s="2">
        <v>26</v>
      </c>
      <c r="AH115" s="2">
        <v>2056</v>
      </c>
      <c r="AJ115" t="s">
        <v>12</v>
      </c>
      <c r="AK115" s="2">
        <v>132</v>
      </c>
      <c r="AL115" s="2">
        <v>102</v>
      </c>
      <c r="AM115" s="2">
        <v>117</v>
      </c>
      <c r="AN115" s="2">
        <v>292</v>
      </c>
      <c r="AO115" s="2">
        <v>684</v>
      </c>
      <c r="AP115" s="2">
        <v>659</v>
      </c>
      <c r="AQ115" s="2">
        <v>330</v>
      </c>
      <c r="AR115" s="2">
        <v>123</v>
      </c>
      <c r="AS115" s="2">
        <v>2439</v>
      </c>
      <c r="AU115" t="s">
        <v>12</v>
      </c>
      <c r="AV115" s="2">
        <v>125</v>
      </c>
      <c r="AW115" s="2">
        <v>95</v>
      </c>
      <c r="AX115" s="2">
        <v>114</v>
      </c>
      <c r="AY115" s="2">
        <v>292</v>
      </c>
      <c r="AZ115" s="2">
        <v>802</v>
      </c>
      <c r="BA115" s="2">
        <v>700</v>
      </c>
      <c r="BB115" s="2">
        <v>346</v>
      </c>
      <c r="BC115" s="2">
        <v>174</v>
      </c>
      <c r="BD115" s="2">
        <v>2648</v>
      </c>
      <c r="BF115" t="s">
        <v>12</v>
      </c>
      <c r="BG115" s="2">
        <v>125</v>
      </c>
      <c r="BH115" s="2">
        <v>95</v>
      </c>
      <c r="BI115" s="2">
        <v>114</v>
      </c>
      <c r="BJ115" s="2">
        <v>292</v>
      </c>
      <c r="BK115" s="2">
        <v>802</v>
      </c>
      <c r="BL115" s="2">
        <v>700</v>
      </c>
      <c r="BM115" s="2">
        <v>346</v>
      </c>
      <c r="BN115" s="2">
        <v>174</v>
      </c>
      <c r="BO115" s="2">
        <v>2648</v>
      </c>
      <c r="BQ115" t="s">
        <v>12</v>
      </c>
      <c r="BR115" s="2">
        <v>122</v>
      </c>
      <c r="BS115" s="2">
        <v>77</v>
      </c>
      <c r="BT115" s="2">
        <v>92</v>
      </c>
      <c r="BU115" s="2">
        <v>296</v>
      </c>
      <c r="BV115" s="2">
        <v>760</v>
      </c>
      <c r="BW115" s="2">
        <v>659</v>
      </c>
      <c r="BX115" s="2">
        <v>337</v>
      </c>
      <c r="BY115" s="2">
        <v>332</v>
      </c>
      <c r="BZ115" s="2">
        <v>2675</v>
      </c>
      <c r="CB115">
        <v>2675</v>
      </c>
      <c r="CC115" s="2"/>
      <c r="CD115" s="2"/>
      <c r="CE115" s="2"/>
      <c r="CF115" s="2"/>
      <c r="CG115" s="2"/>
      <c r="CH115" s="2"/>
      <c r="CI115" s="2"/>
      <c r="CJ115" s="2"/>
    </row>
    <row r="116" spans="3:90" x14ac:dyDescent="0.2">
      <c r="C116" t="s">
        <v>13</v>
      </c>
      <c r="D116" s="2">
        <v>4</v>
      </c>
      <c r="E116" s="2">
        <v>4</v>
      </c>
      <c r="F116" s="2">
        <v>14</v>
      </c>
      <c r="G116" s="2">
        <v>103</v>
      </c>
      <c r="H116" s="2">
        <v>409</v>
      </c>
      <c r="I116" s="2">
        <v>305</v>
      </c>
      <c r="J116" s="2">
        <v>186</v>
      </c>
      <c r="K116" s="2"/>
      <c r="L116" s="2">
        <v>1025</v>
      </c>
      <c r="N116" t="s">
        <v>13</v>
      </c>
      <c r="O116" s="2">
        <v>7</v>
      </c>
      <c r="P116" s="2">
        <v>5</v>
      </c>
      <c r="Q116" s="2">
        <v>13</v>
      </c>
      <c r="R116" s="2">
        <v>84</v>
      </c>
      <c r="S116" s="2">
        <v>370</v>
      </c>
      <c r="T116" s="2">
        <v>318</v>
      </c>
      <c r="U116" s="2">
        <v>277</v>
      </c>
      <c r="V116" s="2"/>
      <c r="W116" s="2">
        <v>1074</v>
      </c>
      <c r="Y116" t="s">
        <v>13</v>
      </c>
      <c r="Z116" s="2">
        <v>11</v>
      </c>
      <c r="AA116" s="2">
        <v>8</v>
      </c>
      <c r="AB116" s="2">
        <v>13</v>
      </c>
      <c r="AC116" s="2">
        <v>81</v>
      </c>
      <c r="AD116" s="2">
        <v>346</v>
      </c>
      <c r="AE116" s="2">
        <v>299</v>
      </c>
      <c r="AF116" s="2">
        <v>310</v>
      </c>
      <c r="AG116" s="2">
        <v>33</v>
      </c>
      <c r="AH116" s="2">
        <v>1101</v>
      </c>
      <c r="AJ116" t="s">
        <v>13</v>
      </c>
      <c r="AK116" s="2">
        <v>9</v>
      </c>
      <c r="AL116" s="2">
        <v>7</v>
      </c>
      <c r="AM116" s="2">
        <v>14</v>
      </c>
      <c r="AN116" s="2">
        <v>78</v>
      </c>
      <c r="AO116" s="2">
        <v>324</v>
      </c>
      <c r="AP116" s="2">
        <v>266</v>
      </c>
      <c r="AQ116" s="2">
        <v>312</v>
      </c>
      <c r="AR116" s="2">
        <v>67</v>
      </c>
      <c r="AS116" s="2">
        <v>1077</v>
      </c>
      <c r="AU116" t="s">
        <v>13</v>
      </c>
      <c r="AV116" s="2">
        <v>6</v>
      </c>
      <c r="AW116" s="2">
        <v>8</v>
      </c>
      <c r="AX116" s="2">
        <v>6</v>
      </c>
      <c r="AY116" s="2">
        <v>58</v>
      </c>
      <c r="AZ116" s="2">
        <v>239</v>
      </c>
      <c r="BA116" s="2">
        <v>229</v>
      </c>
      <c r="BB116" s="2">
        <v>268</v>
      </c>
      <c r="BC116" s="2">
        <v>177</v>
      </c>
      <c r="BD116" s="2">
        <v>991</v>
      </c>
      <c r="BF116" t="s">
        <v>13</v>
      </c>
      <c r="BG116" s="2">
        <v>6</v>
      </c>
      <c r="BH116" s="2">
        <v>8</v>
      </c>
      <c r="BI116" s="2">
        <v>6</v>
      </c>
      <c r="BJ116" s="2">
        <v>58</v>
      </c>
      <c r="BK116" s="2">
        <v>239</v>
      </c>
      <c r="BL116" s="2">
        <v>229</v>
      </c>
      <c r="BM116" s="2">
        <v>268</v>
      </c>
      <c r="BN116" s="2">
        <v>177</v>
      </c>
      <c r="BO116" s="2">
        <v>991</v>
      </c>
      <c r="BQ116" t="s">
        <v>13</v>
      </c>
      <c r="BR116" s="2">
        <v>5</v>
      </c>
      <c r="BS116" s="2">
        <v>11</v>
      </c>
      <c r="BT116" s="2">
        <v>11</v>
      </c>
      <c r="BU116" s="2">
        <v>52</v>
      </c>
      <c r="BV116" s="2">
        <v>208</v>
      </c>
      <c r="BW116" s="2">
        <v>215</v>
      </c>
      <c r="BX116" s="2">
        <v>281</v>
      </c>
      <c r="BY116" s="2">
        <v>198</v>
      </c>
      <c r="BZ116" s="2">
        <v>981</v>
      </c>
      <c r="CB116">
        <v>981</v>
      </c>
      <c r="CC116" s="2"/>
      <c r="CD116" s="2"/>
      <c r="CE116" s="2"/>
      <c r="CF116" s="2"/>
      <c r="CG116" s="2"/>
      <c r="CH116" s="2"/>
      <c r="CI116" s="2"/>
      <c r="CJ116" s="2"/>
    </row>
    <row r="117" spans="3:90" x14ac:dyDescent="0.2">
      <c r="C117" t="s">
        <v>14</v>
      </c>
      <c r="D117" s="2">
        <v>1067</v>
      </c>
      <c r="E117" s="2">
        <v>735</v>
      </c>
      <c r="F117" s="2">
        <v>1283</v>
      </c>
      <c r="G117" s="2">
        <v>1546</v>
      </c>
      <c r="H117" s="2">
        <v>2246</v>
      </c>
      <c r="I117" s="2">
        <v>1595</v>
      </c>
      <c r="J117" s="2">
        <v>1240</v>
      </c>
      <c r="K117" s="2"/>
      <c r="L117" s="2">
        <v>9712</v>
      </c>
      <c r="N117" t="s">
        <v>14</v>
      </c>
      <c r="O117" s="2">
        <v>1204</v>
      </c>
      <c r="P117" s="2">
        <v>868</v>
      </c>
      <c r="Q117" s="2">
        <v>1399</v>
      </c>
      <c r="R117" s="2">
        <v>1833</v>
      </c>
      <c r="S117" s="2">
        <v>2909</v>
      </c>
      <c r="T117" s="2">
        <v>2407</v>
      </c>
      <c r="U117" s="2">
        <v>2100</v>
      </c>
      <c r="V117" s="2"/>
      <c r="W117" s="2">
        <v>12720</v>
      </c>
      <c r="Y117" t="s">
        <v>14</v>
      </c>
      <c r="Z117" s="2">
        <v>1248</v>
      </c>
      <c r="AA117" s="2">
        <v>835</v>
      </c>
      <c r="AB117" s="2">
        <v>1406</v>
      </c>
      <c r="AC117" s="2">
        <v>1836</v>
      </c>
      <c r="AD117" s="2">
        <v>3039</v>
      </c>
      <c r="AE117" s="2">
        <v>2462</v>
      </c>
      <c r="AF117" s="2">
        <v>2435</v>
      </c>
      <c r="AG117" s="2">
        <v>351</v>
      </c>
      <c r="AH117" s="2">
        <v>13612</v>
      </c>
      <c r="AJ117" t="s">
        <v>14</v>
      </c>
      <c r="AK117" s="2">
        <v>1189</v>
      </c>
      <c r="AL117" s="2">
        <v>836</v>
      </c>
      <c r="AM117" s="2">
        <v>1360</v>
      </c>
      <c r="AN117" s="2">
        <v>1823</v>
      </c>
      <c r="AO117" s="2">
        <v>3002</v>
      </c>
      <c r="AP117" s="2">
        <v>2454</v>
      </c>
      <c r="AQ117" s="2">
        <v>2531</v>
      </c>
      <c r="AR117" s="2">
        <v>899</v>
      </c>
      <c r="AS117" s="2">
        <v>14094</v>
      </c>
      <c r="AU117" t="s">
        <v>14</v>
      </c>
      <c r="AV117" s="2">
        <v>1119</v>
      </c>
      <c r="AW117" s="2">
        <v>777</v>
      </c>
      <c r="AX117" s="2">
        <v>1278</v>
      </c>
      <c r="AY117" s="2">
        <v>1772</v>
      </c>
      <c r="AZ117" s="2">
        <v>3109</v>
      </c>
      <c r="BA117" s="2">
        <v>2414</v>
      </c>
      <c r="BB117" s="2">
        <v>2328</v>
      </c>
      <c r="BC117" s="2">
        <v>1455</v>
      </c>
      <c r="BD117" s="2">
        <v>14252</v>
      </c>
      <c r="BF117" t="s">
        <v>14</v>
      </c>
      <c r="BG117" s="2">
        <v>1119</v>
      </c>
      <c r="BH117" s="2">
        <v>777</v>
      </c>
      <c r="BI117" s="2">
        <v>1278</v>
      </c>
      <c r="BJ117" s="2">
        <v>1772</v>
      </c>
      <c r="BK117" s="2">
        <v>3109</v>
      </c>
      <c r="BL117" s="2">
        <v>2414</v>
      </c>
      <c r="BM117" s="2">
        <v>2328</v>
      </c>
      <c r="BN117" s="2">
        <v>1455</v>
      </c>
      <c r="BO117" s="2">
        <v>14252</v>
      </c>
      <c r="BQ117" t="s">
        <v>14</v>
      </c>
      <c r="BR117" s="2">
        <v>901</v>
      </c>
      <c r="BS117" s="2">
        <v>676</v>
      </c>
      <c r="BT117" s="2">
        <v>1130</v>
      </c>
      <c r="BU117" s="2">
        <v>1582</v>
      </c>
      <c r="BV117" s="2">
        <v>2823</v>
      </c>
      <c r="BW117" s="2">
        <v>2208</v>
      </c>
      <c r="BX117" s="2">
        <v>2106</v>
      </c>
      <c r="BY117" s="2">
        <v>2388</v>
      </c>
      <c r="BZ117" s="2">
        <v>13814</v>
      </c>
      <c r="CB117">
        <v>13814</v>
      </c>
    </row>
    <row r="118" spans="3:90" x14ac:dyDescent="0.2">
      <c r="AV118" t="s">
        <v>26</v>
      </c>
      <c r="AW118" t="s">
        <v>26</v>
      </c>
      <c r="AX118" t="s">
        <v>26</v>
      </c>
      <c r="AY118" t="s">
        <v>26</v>
      </c>
      <c r="AZ118" t="s">
        <v>26</v>
      </c>
      <c r="BG118" t="s">
        <v>26</v>
      </c>
      <c r="BH118" t="s">
        <v>26</v>
      </c>
      <c r="BI118" t="s">
        <v>26</v>
      </c>
      <c r="BJ118" t="s">
        <v>26</v>
      </c>
      <c r="BK118" t="s">
        <v>26</v>
      </c>
      <c r="CC118" s="3"/>
    </row>
    <row r="119" spans="3:90" x14ac:dyDescent="0.2">
      <c r="C119" t="s">
        <v>17</v>
      </c>
      <c r="E119" s="3">
        <v>53.023622567422322</v>
      </c>
      <c r="N119" t="s">
        <v>17</v>
      </c>
      <c r="P119" s="3">
        <v>61.950933174456132</v>
      </c>
      <c r="Y119" t="s">
        <v>17</v>
      </c>
      <c r="AA119" s="3">
        <v>65.226625003967769</v>
      </c>
      <c r="AJ119" t="s">
        <v>17</v>
      </c>
      <c r="AL119" s="3">
        <v>67.823632357713961</v>
      </c>
      <c r="AU119" t="s">
        <v>17</v>
      </c>
      <c r="AW119" s="3">
        <v>73.22900228893765</v>
      </c>
      <c r="AX119" t="s">
        <v>26</v>
      </c>
      <c r="AY119" t="s">
        <v>26</v>
      </c>
      <c r="AZ119" t="s">
        <v>26</v>
      </c>
      <c r="BF119" t="s">
        <v>17</v>
      </c>
      <c r="BH119" s="3">
        <v>73.22900228893765</v>
      </c>
      <c r="BI119" t="s">
        <v>26</v>
      </c>
      <c r="BJ119" t="s">
        <v>26</v>
      </c>
      <c r="BK119" t="s">
        <v>26</v>
      </c>
      <c r="BQ119" t="s">
        <v>17</v>
      </c>
      <c r="BS119" s="3">
        <v>79.061506131712989</v>
      </c>
    </row>
    <row r="120" spans="3:90" ht="15.75" x14ac:dyDescent="0.25">
      <c r="AV120" t="s">
        <v>26</v>
      </c>
      <c r="AW120" t="s">
        <v>26</v>
      </c>
      <c r="AX120" t="s">
        <v>26</v>
      </c>
      <c r="AY120" t="s">
        <v>26</v>
      </c>
      <c r="AZ120" t="s">
        <v>26</v>
      </c>
      <c r="BG120">
        <v>1400</v>
      </c>
      <c r="BH120">
        <v>1400</v>
      </c>
      <c r="BI120" t="s">
        <v>26</v>
      </c>
      <c r="BJ120" t="s">
        <v>26</v>
      </c>
      <c r="BK120" t="s">
        <v>26</v>
      </c>
      <c r="BP120" s="6"/>
    </row>
    <row r="121" spans="3:90" ht="15.75" x14ac:dyDescent="0.25">
      <c r="C121" s="6" t="s">
        <v>23</v>
      </c>
      <c r="N121" s="6" t="s">
        <v>23</v>
      </c>
      <c r="Y121" s="6" t="s">
        <v>23</v>
      </c>
      <c r="AJ121" s="6" t="s">
        <v>23</v>
      </c>
      <c r="AU121" s="6" t="s">
        <v>23</v>
      </c>
      <c r="BF121" s="6" t="s">
        <v>23</v>
      </c>
      <c r="BQ121" s="6" t="s">
        <v>23</v>
      </c>
      <c r="CE121" t="s">
        <v>27</v>
      </c>
    </row>
    <row r="122" spans="3:90" x14ac:dyDescent="0.2">
      <c r="D122" t="s">
        <v>0</v>
      </c>
      <c r="E122" t="s">
        <v>1</v>
      </c>
      <c r="F122" t="s">
        <v>2</v>
      </c>
      <c r="G122" t="s">
        <v>3</v>
      </c>
      <c r="H122" t="s">
        <v>4</v>
      </c>
      <c r="I122" t="s">
        <v>5</v>
      </c>
      <c r="J122" t="s">
        <v>6</v>
      </c>
      <c r="K122" t="s">
        <v>7</v>
      </c>
      <c r="O122" t="s">
        <v>0</v>
      </c>
      <c r="P122" t="s">
        <v>1</v>
      </c>
      <c r="Q122" t="s">
        <v>2</v>
      </c>
      <c r="R122" t="s">
        <v>3</v>
      </c>
      <c r="S122" t="s">
        <v>4</v>
      </c>
      <c r="T122" t="s">
        <v>5</v>
      </c>
      <c r="U122" t="s">
        <v>6</v>
      </c>
      <c r="V122" t="s">
        <v>7</v>
      </c>
      <c r="Z122" t="s">
        <v>0</v>
      </c>
      <c r="AA122" t="s">
        <v>1</v>
      </c>
      <c r="AB122" t="s">
        <v>2</v>
      </c>
      <c r="AC122" t="s">
        <v>3</v>
      </c>
      <c r="AD122" t="s">
        <v>4</v>
      </c>
      <c r="AE122" t="s">
        <v>5</v>
      </c>
      <c r="AF122" t="s">
        <v>6</v>
      </c>
      <c r="AG122" t="s">
        <v>7</v>
      </c>
      <c r="AK122" t="s">
        <v>0</v>
      </c>
      <c r="AL122" t="s">
        <v>1</v>
      </c>
      <c r="AM122" t="s">
        <v>2</v>
      </c>
      <c r="AN122" t="s">
        <v>3</v>
      </c>
      <c r="AO122" t="s">
        <v>4</v>
      </c>
      <c r="AP122" t="s">
        <v>5</v>
      </c>
      <c r="AQ122" t="s">
        <v>6</v>
      </c>
      <c r="AR122" t="s">
        <v>7</v>
      </c>
      <c r="AV122" t="s">
        <v>0</v>
      </c>
      <c r="AW122" t="s">
        <v>1</v>
      </c>
      <c r="AX122" t="s">
        <v>2</v>
      </c>
      <c r="AY122" t="s">
        <v>3</v>
      </c>
      <c r="AZ122" t="s">
        <v>4</v>
      </c>
      <c r="BA122" t="s">
        <v>5</v>
      </c>
      <c r="BB122" t="s">
        <v>6</v>
      </c>
      <c r="BC122" t="s">
        <v>7</v>
      </c>
      <c r="BG122" t="s">
        <v>0</v>
      </c>
      <c r="BH122" t="s">
        <v>1</v>
      </c>
      <c r="BI122" t="s">
        <v>2</v>
      </c>
      <c r="BJ122" t="s">
        <v>3</v>
      </c>
      <c r="BK122" t="s">
        <v>4</v>
      </c>
      <c r="BL122" t="s">
        <v>5</v>
      </c>
      <c r="BM122" t="s">
        <v>6</v>
      </c>
      <c r="BN122" t="s">
        <v>7</v>
      </c>
      <c r="BR122" t="s">
        <v>0</v>
      </c>
      <c r="BS122" t="s">
        <v>1</v>
      </c>
      <c r="BT122" t="s">
        <v>2</v>
      </c>
      <c r="BU122" t="s">
        <v>3</v>
      </c>
      <c r="BV122" t="s">
        <v>4</v>
      </c>
      <c r="BW122" t="s">
        <v>5</v>
      </c>
      <c r="BX122" t="s">
        <v>6</v>
      </c>
      <c r="BY122" t="s">
        <v>7</v>
      </c>
      <c r="CF122" t="s">
        <v>0</v>
      </c>
      <c r="CG122" t="s">
        <v>1</v>
      </c>
      <c r="CH122" t="s">
        <v>2</v>
      </c>
      <c r="CI122" t="s">
        <v>3</v>
      </c>
      <c r="CJ122" t="s">
        <v>4</v>
      </c>
      <c r="CK122" t="s">
        <v>5</v>
      </c>
      <c r="CL122" t="s">
        <v>6</v>
      </c>
    </row>
    <row r="123" spans="3:90" x14ac:dyDescent="0.2">
      <c r="AV123" t="s">
        <v>26</v>
      </c>
      <c r="AW123" t="s">
        <v>26</v>
      </c>
      <c r="AX123" t="s">
        <v>26</v>
      </c>
      <c r="AY123" t="s">
        <v>26</v>
      </c>
      <c r="AZ123" t="s">
        <v>26</v>
      </c>
      <c r="BG123" t="s">
        <v>26</v>
      </c>
      <c r="BH123" t="s">
        <v>26</v>
      </c>
      <c r="BI123" t="s">
        <v>26</v>
      </c>
      <c r="BJ123" t="s">
        <v>26</v>
      </c>
      <c r="BK123" t="s">
        <v>26</v>
      </c>
      <c r="BP123" s="1"/>
      <c r="CE123" s="11">
        <v>1997</v>
      </c>
      <c r="CF123" s="2">
        <f t="shared" ref="CF123:CL123" si="66">D134+D135</f>
        <v>1687.5682620709003</v>
      </c>
      <c r="CG123" s="2">
        <f t="shared" si="66"/>
        <v>1214.6070109991012</v>
      </c>
      <c r="CH123" s="2">
        <f t="shared" si="66"/>
        <v>2146.664375702012</v>
      </c>
      <c r="CI123" s="2">
        <f t="shared" si="66"/>
        <v>2190.0069693014989</v>
      </c>
      <c r="CJ123" s="2">
        <f t="shared" si="66"/>
        <v>2939.3517809745695</v>
      </c>
      <c r="CK123" s="2">
        <f t="shared" si="66"/>
        <v>2039.6609926667684</v>
      </c>
      <c r="CL123" s="2">
        <f t="shared" si="66"/>
        <v>1762.0982516156187</v>
      </c>
    </row>
    <row r="124" spans="3:90" x14ac:dyDescent="0.2">
      <c r="C124" s="1" t="s">
        <v>8</v>
      </c>
      <c r="L124" s="2"/>
      <c r="N124" s="1" t="s">
        <v>8</v>
      </c>
      <c r="W124" s="2"/>
      <c r="Y124" s="1" t="s">
        <v>8</v>
      </c>
      <c r="AH124" s="2"/>
      <c r="AJ124" s="1" t="s">
        <v>8</v>
      </c>
      <c r="AS124" s="2"/>
      <c r="AU124" s="1" t="s">
        <v>8</v>
      </c>
      <c r="AV124" t="s">
        <v>26</v>
      </c>
      <c r="AW124" t="s">
        <v>26</v>
      </c>
      <c r="AX124" t="s">
        <v>26</v>
      </c>
      <c r="AY124" t="s">
        <v>26</v>
      </c>
      <c r="AZ124" t="s">
        <v>26</v>
      </c>
      <c r="BF124" s="1" t="s">
        <v>8</v>
      </c>
      <c r="BG124">
        <v>1524</v>
      </c>
      <c r="BH124">
        <v>1524</v>
      </c>
      <c r="BI124" t="s">
        <v>26</v>
      </c>
      <c r="BJ124" t="s">
        <v>26</v>
      </c>
      <c r="BK124" t="s">
        <v>26</v>
      </c>
      <c r="BQ124" s="1" t="s">
        <v>8</v>
      </c>
      <c r="BZ124" s="2"/>
      <c r="CC124" s="2"/>
      <c r="CD124" s="2"/>
      <c r="CE124" s="11">
        <v>1999</v>
      </c>
      <c r="CF124" s="2">
        <f t="shared" ref="CF124:CL124" si="67">O134+O135</f>
        <v>1850.1185466956454</v>
      </c>
      <c r="CG124" s="2">
        <f t="shared" si="67"/>
        <v>1276.9007083107801</v>
      </c>
      <c r="CH124" s="2">
        <f t="shared" si="67"/>
        <v>2153.7049892218929</v>
      </c>
      <c r="CI124" s="2">
        <f t="shared" si="67"/>
        <v>2313.3144375386837</v>
      </c>
      <c r="CJ124" s="2">
        <f t="shared" si="67"/>
        <v>3098.0594606452132</v>
      </c>
      <c r="CK124" s="2">
        <f t="shared" si="67"/>
        <v>2022.0437936649976</v>
      </c>
      <c r="CL124" s="2">
        <f t="shared" si="67"/>
        <v>2290.4087583835094</v>
      </c>
    </row>
    <row r="125" spans="3:90" x14ac:dyDescent="0.2">
      <c r="C125" t="s">
        <v>9</v>
      </c>
      <c r="D125" s="2">
        <v>1647.7921686099962</v>
      </c>
      <c r="E125" s="2">
        <v>1504.5738545138593</v>
      </c>
      <c r="F125" s="2">
        <v>1624.4194059499068</v>
      </c>
      <c r="G125" s="2">
        <v>1776.9034160987087</v>
      </c>
      <c r="H125" s="2">
        <v>1825.3609112792385</v>
      </c>
      <c r="I125" s="2">
        <v>1917.7718532583401</v>
      </c>
      <c r="J125" s="2">
        <v>2077.1832191735998</v>
      </c>
      <c r="K125" s="2"/>
      <c r="L125" s="2">
        <v>1787.523660525258</v>
      </c>
      <c r="N125" t="s">
        <v>9</v>
      </c>
      <c r="O125" s="2">
        <v>1677.3607271834239</v>
      </c>
      <c r="P125" s="2">
        <v>1519.8298620266046</v>
      </c>
      <c r="Q125" s="2">
        <v>1683.9488016559205</v>
      </c>
      <c r="R125" s="2">
        <v>1826.8224401953721</v>
      </c>
      <c r="S125" s="2">
        <v>1914.0094097734532</v>
      </c>
      <c r="T125" s="2">
        <v>2072.5110426578285</v>
      </c>
      <c r="U125" s="2">
        <v>2252.5487433513731</v>
      </c>
      <c r="V125" s="2"/>
      <c r="W125" s="2">
        <v>1887.3045127536745</v>
      </c>
      <c r="Y125" t="s">
        <v>9</v>
      </c>
      <c r="Z125" s="2">
        <v>1753.2569781285802</v>
      </c>
      <c r="AA125" s="2">
        <v>1584.7513021408386</v>
      </c>
      <c r="AB125" s="2">
        <v>1655.685840487112</v>
      </c>
      <c r="AC125" s="2">
        <v>1814.1742442726152</v>
      </c>
      <c r="AD125" s="2">
        <v>1902.5319962407432</v>
      </c>
      <c r="AE125" s="2">
        <v>2012.5411188321266</v>
      </c>
      <c r="AF125" s="2">
        <v>2201.6163470049319</v>
      </c>
      <c r="AG125" s="2">
        <v>2442.0208182499173</v>
      </c>
      <c r="AH125" s="2">
        <v>1890.7382503310591</v>
      </c>
      <c r="AJ125" t="s">
        <v>9</v>
      </c>
      <c r="AK125" s="2">
        <v>1728.1670384790216</v>
      </c>
      <c r="AL125" s="2">
        <v>1568.4318970663669</v>
      </c>
      <c r="AM125" s="2">
        <v>1695.556465045519</v>
      </c>
      <c r="AN125" s="2">
        <v>1862.5545218340351</v>
      </c>
      <c r="AO125" s="2">
        <v>1904.7482475117035</v>
      </c>
      <c r="AP125" s="2">
        <v>2057.0730692646007</v>
      </c>
      <c r="AQ125" s="2">
        <v>2284.1767917363118</v>
      </c>
      <c r="AR125" s="2">
        <v>2622.6305787508923</v>
      </c>
      <c r="AS125" s="2">
        <v>1951.6898099162429</v>
      </c>
      <c r="AU125" t="s">
        <v>9</v>
      </c>
      <c r="AV125" s="2">
        <v>1772.7868648294652</v>
      </c>
      <c r="AW125" s="2">
        <v>1658.3073557793641</v>
      </c>
      <c r="AX125" s="2">
        <v>1741.7668503003154</v>
      </c>
      <c r="AY125" s="2">
        <v>1857.8606653453494</v>
      </c>
      <c r="AZ125" s="2">
        <v>2020.7080738980605</v>
      </c>
      <c r="BA125" s="2">
        <v>2170.1189172007416</v>
      </c>
      <c r="BB125" s="2">
        <v>2270.3653847708306</v>
      </c>
      <c r="BC125" s="2">
        <v>2554.6122226421226</v>
      </c>
      <c r="BD125" s="2">
        <v>2030.5517253544463</v>
      </c>
      <c r="BF125" t="s">
        <v>9</v>
      </c>
      <c r="BG125" s="2">
        <v>1772.7868648294652</v>
      </c>
      <c r="BH125" s="2">
        <v>1658.3073557793641</v>
      </c>
      <c r="BI125" s="2">
        <v>1741.7668503003154</v>
      </c>
      <c r="BJ125" s="2">
        <v>1857.8606653453494</v>
      </c>
      <c r="BK125" s="2">
        <v>2020.7080738980605</v>
      </c>
      <c r="BL125" s="2">
        <v>2170.1189172007416</v>
      </c>
      <c r="BM125" s="2">
        <v>2270.3653847708306</v>
      </c>
      <c r="BN125" s="2">
        <v>2554.6122226421226</v>
      </c>
      <c r="BO125" s="2">
        <v>2030.5517253544463</v>
      </c>
      <c r="BQ125" t="s">
        <v>9</v>
      </c>
      <c r="BR125" s="2">
        <v>2117.2119051938957</v>
      </c>
      <c r="BS125" s="2">
        <v>1654.9600913145919</v>
      </c>
      <c r="BT125" s="2">
        <v>1768.1813725574646</v>
      </c>
      <c r="BU125" s="2">
        <v>1957.2388861406071</v>
      </c>
      <c r="BV125" s="2">
        <v>2001.9390161022354</v>
      </c>
      <c r="BW125" s="2">
        <v>2183.7770376873646</v>
      </c>
      <c r="BX125" s="2">
        <v>2167.54038383441</v>
      </c>
      <c r="BY125" s="2">
        <v>2600.685288614723</v>
      </c>
      <c r="BZ125" s="2">
        <v>2096.0915550658128</v>
      </c>
      <c r="CC125" s="2"/>
      <c r="CD125" s="2"/>
      <c r="CE125" s="11">
        <v>2001</v>
      </c>
      <c r="CF125" s="2">
        <f t="shared" ref="CF125:CL125" si="68">Z134+Z135</f>
        <v>1866.1901943926002</v>
      </c>
      <c r="CG125" s="2">
        <f t="shared" si="68"/>
        <v>1291.3069922011998</v>
      </c>
      <c r="CH125" s="2">
        <f t="shared" si="68"/>
        <v>2244.1126952777981</v>
      </c>
      <c r="CI125" s="2">
        <f t="shared" si="68"/>
        <v>2281.3764253186669</v>
      </c>
      <c r="CJ125" s="2">
        <f t="shared" si="68"/>
        <v>3215.9864120327015</v>
      </c>
      <c r="CK125" s="2">
        <f t="shared" si="68"/>
        <v>2046.3743369804124</v>
      </c>
      <c r="CL125" s="2">
        <f t="shared" si="68"/>
        <v>2428.9922876860569</v>
      </c>
    </row>
    <row r="126" spans="3:90" x14ac:dyDescent="0.2">
      <c r="C126" t="s">
        <v>10</v>
      </c>
      <c r="D126" s="2">
        <v>1652.9517276430356</v>
      </c>
      <c r="E126" s="2">
        <v>1504.883115847399</v>
      </c>
      <c r="F126" s="2">
        <v>1637.3497935929961</v>
      </c>
      <c r="G126" s="2">
        <v>1855.7139493502784</v>
      </c>
      <c r="H126" s="2">
        <v>1970.298525338774</v>
      </c>
      <c r="I126" s="2">
        <v>2019.6619714998064</v>
      </c>
      <c r="J126" s="2">
        <v>2198.6663187250156</v>
      </c>
      <c r="K126" s="2"/>
      <c r="L126" s="2">
        <v>1853.476882350923</v>
      </c>
      <c r="N126" t="s">
        <v>10</v>
      </c>
      <c r="O126" s="2">
        <v>1681.6447497834365</v>
      </c>
      <c r="P126" s="2">
        <v>1519.4888092555682</v>
      </c>
      <c r="Q126" s="2">
        <v>1696.1842824252294</v>
      </c>
      <c r="R126" s="2">
        <v>1890.9344291748225</v>
      </c>
      <c r="S126" s="2">
        <v>2066.045333275345</v>
      </c>
      <c r="T126" s="2">
        <v>2190.7979086380519</v>
      </c>
      <c r="U126" s="2">
        <v>2394.8382332625342</v>
      </c>
      <c r="V126" s="2"/>
      <c r="W126" s="2">
        <v>1955.1050501119541</v>
      </c>
      <c r="Y126" t="s">
        <v>10</v>
      </c>
      <c r="Z126" s="2">
        <v>1761.1570195915233</v>
      </c>
      <c r="AA126" s="2">
        <v>1583.9392224322557</v>
      </c>
      <c r="AB126" s="2">
        <v>1666.3192182901655</v>
      </c>
      <c r="AC126" s="2">
        <v>1887.7987591568335</v>
      </c>
      <c r="AD126" s="2">
        <v>2038.9340792873313</v>
      </c>
      <c r="AE126" s="2">
        <v>2128.1099209873519</v>
      </c>
      <c r="AF126" s="2">
        <v>2335.4779622130145</v>
      </c>
      <c r="AG126" s="2">
        <v>2607.9233536417787</v>
      </c>
      <c r="AH126" s="2">
        <v>1958.8201546243865</v>
      </c>
      <c r="AJ126" t="s">
        <v>10</v>
      </c>
      <c r="AK126" s="2">
        <v>1733.7767721352795</v>
      </c>
      <c r="AL126" s="2">
        <v>1568.4318970663669</v>
      </c>
      <c r="AM126" s="2">
        <v>1707.0764290974942</v>
      </c>
      <c r="AN126" s="2">
        <v>1927.7038833431666</v>
      </c>
      <c r="AO126" s="2">
        <v>2027.6448053399706</v>
      </c>
      <c r="AP126" s="2">
        <v>2178.4696440708608</v>
      </c>
      <c r="AQ126" s="2">
        <v>2392.3323837283319</v>
      </c>
      <c r="AR126" s="2">
        <v>2718.5992938361369</v>
      </c>
      <c r="AS126" s="2">
        <v>2014.4612166829249</v>
      </c>
      <c r="AU126" t="s">
        <v>10</v>
      </c>
      <c r="AV126" s="2">
        <v>1775.9981247548449</v>
      </c>
      <c r="AW126" s="2">
        <v>1658.3073557793641</v>
      </c>
      <c r="AX126" s="2">
        <v>1748.8836291982002</v>
      </c>
      <c r="AY126" s="2">
        <v>1925.1704481548741</v>
      </c>
      <c r="AZ126" s="2">
        <v>2115.3023995202707</v>
      </c>
      <c r="BA126" s="2">
        <v>2288.1697278836914</v>
      </c>
      <c r="BB126" s="2">
        <v>2418.866262047135</v>
      </c>
      <c r="BC126" s="2">
        <v>2657.2526563087067</v>
      </c>
      <c r="BD126" s="2">
        <v>2094.8125921377132</v>
      </c>
      <c r="BF126" t="s">
        <v>10</v>
      </c>
      <c r="BG126" s="2">
        <v>1775.9981247548449</v>
      </c>
      <c r="BH126" s="2">
        <v>1658.3073557793641</v>
      </c>
      <c r="BI126" s="2">
        <v>1748.8836291982002</v>
      </c>
      <c r="BJ126" s="2">
        <v>1925.1704481548741</v>
      </c>
      <c r="BK126" s="2">
        <v>2115.3023995202707</v>
      </c>
      <c r="BL126" s="2">
        <v>2288.1697278836914</v>
      </c>
      <c r="BM126" s="2">
        <v>2418.866262047135</v>
      </c>
      <c r="BN126" s="2">
        <v>2657.2526563087067</v>
      </c>
      <c r="BO126" s="2">
        <v>2094.8125921377132</v>
      </c>
      <c r="BQ126" t="s">
        <v>10</v>
      </c>
      <c r="BR126" s="2">
        <v>2122.3955906697361</v>
      </c>
      <c r="BS126" s="2">
        <v>1654.9600913145919</v>
      </c>
      <c r="BT126" s="2">
        <v>1772.8555878325246</v>
      </c>
      <c r="BU126" s="2">
        <v>2013.2700063338791</v>
      </c>
      <c r="BV126" s="2">
        <v>2096.7129820032833</v>
      </c>
      <c r="BW126" s="2">
        <v>2259.4863924211836</v>
      </c>
      <c r="BX126" s="2">
        <v>2288.1736137055063</v>
      </c>
      <c r="BY126" s="2">
        <v>2635.8125035986977</v>
      </c>
      <c r="BZ126" s="2">
        <v>2145.1740006809132</v>
      </c>
      <c r="CC126" s="2"/>
      <c r="CD126" s="2"/>
      <c r="CE126" s="11">
        <v>2003</v>
      </c>
      <c r="CF126" s="2">
        <f t="shared" ref="CF126:CL126" si="69">+AK134+AK135</f>
        <v>1844.2213780149327</v>
      </c>
      <c r="CG126" s="2">
        <f t="shared" si="69"/>
        <v>1237.8958921308108</v>
      </c>
      <c r="CH126" s="2">
        <f t="shared" si="69"/>
        <v>2067.0482347327516</v>
      </c>
      <c r="CI126" s="2">
        <f t="shared" si="69"/>
        <v>2084.7453091481379</v>
      </c>
      <c r="CJ126" s="2">
        <f t="shared" si="69"/>
        <v>3092.9291409804528</v>
      </c>
      <c r="CK126" s="2">
        <f t="shared" si="69"/>
        <v>2098.3796897209868</v>
      </c>
      <c r="CL126" s="2">
        <f t="shared" si="69"/>
        <v>2407.056624440273</v>
      </c>
    </row>
    <row r="127" spans="3:90" x14ac:dyDescent="0.2">
      <c r="C127" t="s">
        <v>11</v>
      </c>
      <c r="D127" s="2">
        <v>551.55445002511976</v>
      </c>
      <c r="E127" s="9">
        <v>800</v>
      </c>
      <c r="F127" s="2">
        <v>908.10901172435649</v>
      </c>
      <c r="G127" s="2">
        <v>1284.5270173283482</v>
      </c>
      <c r="H127" s="2">
        <v>938.44184837072271</v>
      </c>
      <c r="I127" s="2">
        <v>1253.0627417274554</v>
      </c>
      <c r="J127" s="2">
        <v>1276.7526539569765</v>
      </c>
      <c r="K127" s="2"/>
      <c r="L127" s="2">
        <v>1076.9606570559508</v>
      </c>
      <c r="N127" t="s">
        <v>11</v>
      </c>
      <c r="O127" s="2">
        <v>1021.479731692398</v>
      </c>
      <c r="P127" s="9">
        <v>900.33785340890188</v>
      </c>
      <c r="Q127" s="2">
        <v>1120.269784398469</v>
      </c>
      <c r="R127" s="2">
        <v>1136.0456094230851</v>
      </c>
      <c r="S127" s="2">
        <v>1342.4670521477003</v>
      </c>
      <c r="T127" s="2">
        <v>1353.5095024762688</v>
      </c>
      <c r="U127" s="2">
        <v>1480.0681082325475</v>
      </c>
      <c r="V127" s="2"/>
      <c r="W127" s="2">
        <v>1304.5823502108021</v>
      </c>
      <c r="Y127" t="s">
        <v>11</v>
      </c>
      <c r="Z127" s="2">
        <v>1135.8784693437062</v>
      </c>
      <c r="AA127" s="9">
        <v>1086.2976330852605</v>
      </c>
      <c r="AB127" s="2">
        <v>1193.3154974451936</v>
      </c>
      <c r="AC127" s="2">
        <v>1177.1635521810674</v>
      </c>
      <c r="AD127" s="2">
        <v>1285.4243289162878</v>
      </c>
      <c r="AE127" s="2">
        <v>1297.7394506393396</v>
      </c>
      <c r="AF127" s="2">
        <v>1571.6249698866568</v>
      </c>
      <c r="AG127" s="2">
        <v>1681.012964520324</v>
      </c>
      <c r="AH127" s="2">
        <v>1318.293306890698</v>
      </c>
      <c r="AJ127" t="s">
        <v>11</v>
      </c>
      <c r="AK127" s="2">
        <v>1036.9645815048536</v>
      </c>
      <c r="AL127" s="9">
        <v>946.99803160049964</v>
      </c>
      <c r="AM127" s="2">
        <v>1165.700366554245</v>
      </c>
      <c r="AN127" s="2">
        <v>1394.285827170693</v>
      </c>
      <c r="AO127" s="2">
        <v>1296.0348367882123</v>
      </c>
      <c r="AP127" s="2">
        <v>1426.0385592538228</v>
      </c>
      <c r="AQ127" s="2">
        <v>1889.9494746281393</v>
      </c>
      <c r="AR127" s="2">
        <v>1643.7004688455611</v>
      </c>
      <c r="AS127" s="2">
        <v>1412.937993770038</v>
      </c>
      <c r="AU127" t="s">
        <v>11</v>
      </c>
      <c r="AV127" s="2">
        <v>1126.3645730016103</v>
      </c>
      <c r="AW127" s="2">
        <v>925.42128266708676</v>
      </c>
      <c r="AX127" s="2">
        <v>1324.4183463324155</v>
      </c>
      <c r="AY127" s="2">
        <v>1638.8160941736246</v>
      </c>
      <c r="AZ127" s="2">
        <v>1413.9397319626153</v>
      </c>
      <c r="BA127" s="2">
        <v>1471.5589648739931</v>
      </c>
      <c r="BB127" s="2">
        <v>1784.8255926101849</v>
      </c>
      <c r="BC127" s="2">
        <v>1574.721755942398</v>
      </c>
      <c r="BD127" s="2">
        <v>1471.1271426247038</v>
      </c>
      <c r="BF127" t="s">
        <v>11</v>
      </c>
      <c r="BG127" s="2">
        <v>1126.3645730016103</v>
      </c>
      <c r="BH127" s="2">
        <v>925.42128266708676</v>
      </c>
      <c r="BI127" s="2">
        <v>1324.4183463324155</v>
      </c>
      <c r="BJ127" s="2">
        <v>1638.8160941736246</v>
      </c>
      <c r="BK127" s="2">
        <v>1413.9397319626153</v>
      </c>
      <c r="BL127" s="2">
        <v>1471.5589648739931</v>
      </c>
      <c r="BM127" s="2">
        <v>1784.8255926101849</v>
      </c>
      <c r="BN127" s="2">
        <v>1574.721755942398</v>
      </c>
      <c r="BO127" s="2">
        <v>1471.1271426247038</v>
      </c>
      <c r="BQ127" t="s">
        <v>11</v>
      </c>
      <c r="BR127" s="2">
        <v>1138.3566434119584</v>
      </c>
      <c r="BS127" s="9">
        <v>1049.9938861924236</v>
      </c>
      <c r="BT127" s="2">
        <v>2210.9090644351518</v>
      </c>
      <c r="BU127" s="2">
        <v>2194.3270042794957</v>
      </c>
      <c r="BV127" s="2">
        <v>1380.7378590749593</v>
      </c>
      <c r="BW127" s="2">
        <v>1525.9591488429592</v>
      </c>
      <c r="BX127" s="2">
        <v>1933.4020389394761</v>
      </c>
      <c r="BY127" s="2">
        <v>1713.3439520048055</v>
      </c>
      <c r="BZ127" s="2">
        <v>1647.2826777270425</v>
      </c>
      <c r="CC127" s="2"/>
      <c r="CD127" s="2"/>
      <c r="CE127" s="11">
        <v>2005</v>
      </c>
      <c r="CF127" s="2">
        <f t="shared" ref="CF127:CL127" si="70">AV134+AV135</f>
        <v>1665.734359089402</v>
      </c>
      <c r="CG127" s="2">
        <f t="shared" si="70"/>
        <v>1220.4002497396004</v>
      </c>
      <c r="CH127" s="2">
        <f t="shared" si="70"/>
        <v>2000.0388074261994</v>
      </c>
      <c r="CI127" s="2">
        <f t="shared" si="70"/>
        <v>2060.5930865543728</v>
      </c>
      <c r="CJ127" s="2">
        <f t="shared" si="70"/>
        <v>3226.1475135507058</v>
      </c>
      <c r="CK127" s="2">
        <f t="shared" si="70"/>
        <v>2046.7076144773989</v>
      </c>
      <c r="CL127" s="2">
        <f t="shared" si="70"/>
        <v>2394.8337690200819</v>
      </c>
    </row>
    <row r="128" spans="3:90" x14ac:dyDescent="0.2">
      <c r="C128" t="s">
        <v>12</v>
      </c>
      <c r="D128" s="2">
        <v>655.30627876136077</v>
      </c>
      <c r="E128" s="2">
        <v>322.11510100533826</v>
      </c>
      <c r="F128" s="2">
        <v>616.69823713340895</v>
      </c>
      <c r="G128" s="2">
        <v>1066.2553148316931</v>
      </c>
      <c r="H128" s="2">
        <v>691.23955317788432</v>
      </c>
      <c r="I128" s="2">
        <v>898.08592318928936</v>
      </c>
      <c r="J128" s="2">
        <v>954.62943618744271</v>
      </c>
      <c r="K128" s="2"/>
      <c r="L128" s="2">
        <v>817.7225078042037</v>
      </c>
      <c r="N128" t="s">
        <v>12</v>
      </c>
      <c r="O128" s="2">
        <v>715.18056460821697</v>
      </c>
      <c r="P128" s="2">
        <v>795.79422432328522</v>
      </c>
      <c r="Q128" s="2">
        <v>790.68667327715866</v>
      </c>
      <c r="R128" s="2">
        <v>845.24461022276353</v>
      </c>
      <c r="S128" s="2">
        <v>900.96511325183747</v>
      </c>
      <c r="T128" s="2">
        <v>904.83171063798522</v>
      </c>
      <c r="U128" s="2">
        <v>976.79988116175502</v>
      </c>
      <c r="V128" s="2"/>
      <c r="W128" s="2">
        <v>870.44213322917881</v>
      </c>
      <c r="Y128" t="s">
        <v>12</v>
      </c>
      <c r="Z128" s="2">
        <v>743.10145740379221</v>
      </c>
      <c r="AA128" s="2">
        <v>827.48644742130296</v>
      </c>
      <c r="AB128" s="2">
        <v>828.3085968207605</v>
      </c>
      <c r="AC128" s="2">
        <v>839.00439796328806</v>
      </c>
      <c r="AD128" s="2">
        <v>922.83194167953752</v>
      </c>
      <c r="AE128" s="2">
        <v>939.64575410658904</v>
      </c>
      <c r="AF128" s="2">
        <v>967.83232646524721</v>
      </c>
      <c r="AG128" s="2">
        <v>1071.0783770796272</v>
      </c>
      <c r="AH128" s="2">
        <v>892.34887921470943</v>
      </c>
      <c r="AJ128" t="s">
        <v>12</v>
      </c>
      <c r="AK128" s="2">
        <v>765.66594014985787</v>
      </c>
      <c r="AL128" s="2">
        <v>876.03621666686502</v>
      </c>
      <c r="AM128" s="2">
        <v>795.4216825701651</v>
      </c>
      <c r="AN128" s="2">
        <v>831.05785339039005</v>
      </c>
      <c r="AO128" s="2">
        <v>918.52696186328467</v>
      </c>
      <c r="AP128" s="2">
        <v>901.4417581313711</v>
      </c>
      <c r="AQ128" s="2">
        <v>995.47929395594667</v>
      </c>
      <c r="AR128" s="2">
        <v>1085.366474172258</v>
      </c>
      <c r="AS128" s="2">
        <v>889.27058423323808</v>
      </c>
      <c r="AU128" t="s">
        <v>12</v>
      </c>
      <c r="AV128" s="2">
        <v>819.40986257057079</v>
      </c>
      <c r="AW128" s="2">
        <v>855.33917075920317</v>
      </c>
      <c r="AX128" s="2">
        <v>795.52601006500265</v>
      </c>
      <c r="AY128" s="2">
        <v>854.99154308367565</v>
      </c>
      <c r="AZ128" s="2">
        <v>924.63591089039426</v>
      </c>
      <c r="BA128" s="2">
        <v>892.41919461656641</v>
      </c>
      <c r="BB128" s="2">
        <v>1016.5994176576733</v>
      </c>
      <c r="BC128" s="2">
        <v>1128.6129705660096</v>
      </c>
      <c r="BD128" s="2">
        <v>907.33635107899397</v>
      </c>
      <c r="BF128" t="s">
        <v>12</v>
      </c>
      <c r="BG128" s="2">
        <v>819.40986257057079</v>
      </c>
      <c r="BH128" s="2">
        <v>855.33917075920317</v>
      </c>
      <c r="BI128" s="2">
        <v>795.52601006500265</v>
      </c>
      <c r="BJ128" s="2">
        <v>854.99154308367565</v>
      </c>
      <c r="BK128" s="2">
        <v>924.63591089039426</v>
      </c>
      <c r="BL128" s="2">
        <v>892.41919461656641</v>
      </c>
      <c r="BM128" s="2">
        <v>1016.5994176576733</v>
      </c>
      <c r="BN128" s="2">
        <v>1128.6129705660096</v>
      </c>
      <c r="BO128" s="2">
        <v>907.33635107899397</v>
      </c>
      <c r="BQ128" t="s">
        <v>12</v>
      </c>
      <c r="BR128" s="2">
        <v>904.01360089489697</v>
      </c>
      <c r="BS128" s="2">
        <v>1713.6421058475239</v>
      </c>
      <c r="BT128" s="2">
        <v>813.15865531938039</v>
      </c>
      <c r="BU128" s="2">
        <v>854.90420330564689</v>
      </c>
      <c r="BV128" s="2">
        <v>926.36782114870482</v>
      </c>
      <c r="BW128" s="2">
        <v>939.86697073787093</v>
      </c>
      <c r="BX128" s="2">
        <v>984.399687446852</v>
      </c>
      <c r="BY128" s="2">
        <v>1010.4664738429933</v>
      </c>
      <c r="BZ128" s="2">
        <v>955.33157623578654</v>
      </c>
      <c r="CC128" s="2"/>
      <c r="CD128" s="2"/>
      <c r="CE128" s="11">
        <v>2007</v>
      </c>
      <c r="CF128" s="2">
        <f t="shared" ref="CF128:CL128" si="71">BG134+BG135</f>
        <v>1665.734359089402</v>
      </c>
      <c r="CG128" s="2">
        <f t="shared" si="71"/>
        <v>1220.4002497396004</v>
      </c>
      <c r="CH128" s="2">
        <f t="shared" si="71"/>
        <v>2000.0388074261994</v>
      </c>
      <c r="CI128" s="2">
        <f t="shared" si="71"/>
        <v>2060.5930865543728</v>
      </c>
      <c r="CJ128" s="2">
        <f t="shared" si="71"/>
        <v>3226.1475135507058</v>
      </c>
      <c r="CK128" s="2">
        <f t="shared" si="71"/>
        <v>2046.7076144773989</v>
      </c>
      <c r="CL128" s="2">
        <f t="shared" si="71"/>
        <v>2394.8337690200819</v>
      </c>
    </row>
    <row r="129" spans="3:90" x14ac:dyDescent="0.2">
      <c r="C129" t="s">
        <v>13</v>
      </c>
      <c r="D129" s="2">
        <v>330.09747397285258</v>
      </c>
      <c r="E129" s="2">
        <v>1280</v>
      </c>
      <c r="F129" s="2">
        <v>952.74753014194823</v>
      </c>
      <c r="G129" s="2">
        <v>927.93832104125158</v>
      </c>
      <c r="H129" s="2">
        <v>1144.8956130543172</v>
      </c>
      <c r="I129" s="2">
        <v>1101.2159788700149</v>
      </c>
      <c r="J129" s="2">
        <v>1260.9688241362876</v>
      </c>
      <c r="K129" s="2"/>
      <c r="L129" s="2">
        <v>1117.1495995567545</v>
      </c>
      <c r="N129" t="s">
        <v>13</v>
      </c>
      <c r="O129" s="2">
        <v>795.11373437177508</v>
      </c>
      <c r="P129" s="2">
        <v>1780.0000000000002</v>
      </c>
      <c r="Q129" s="2">
        <v>868.93631994855889</v>
      </c>
      <c r="R129" s="2">
        <v>967.2303347086405</v>
      </c>
      <c r="S129" s="2">
        <v>1142.7699375437974</v>
      </c>
      <c r="T129" s="2">
        <v>1199.7072941589099</v>
      </c>
      <c r="U129" s="2">
        <v>1382.3264406649162</v>
      </c>
      <c r="V129" s="2"/>
      <c r="W129" s="2">
        <v>1186.5065997288418</v>
      </c>
      <c r="Y129" t="s">
        <v>13</v>
      </c>
      <c r="Z129" s="2">
        <v>643.33923155206514</v>
      </c>
      <c r="AA129" s="2">
        <v>1935.7598660000831</v>
      </c>
      <c r="AB129" s="2">
        <v>874.32652776702446</v>
      </c>
      <c r="AC129" s="2">
        <v>970.14422223467511</v>
      </c>
      <c r="AD129" s="2">
        <v>1173.0096347561303</v>
      </c>
      <c r="AE129" s="2">
        <v>1145.5012246390972</v>
      </c>
      <c r="AF129" s="2">
        <v>1401.3476150960946</v>
      </c>
      <c r="AG129" s="2">
        <v>1426.8372107656126</v>
      </c>
      <c r="AH129" s="2">
        <v>1201.9696299367945</v>
      </c>
      <c r="AJ129" t="s">
        <v>13</v>
      </c>
      <c r="AK129" s="2">
        <v>486.25161238573952</v>
      </c>
      <c r="AL129" s="2">
        <v>0</v>
      </c>
      <c r="AM129" s="2">
        <v>771.54671044048223</v>
      </c>
      <c r="AN129" s="2">
        <v>944.39624473113133</v>
      </c>
      <c r="AO129" s="2">
        <v>1203.3036382793871</v>
      </c>
      <c r="AP129" s="2">
        <v>1187.1644357442797</v>
      </c>
      <c r="AQ129" s="2">
        <v>1519.3954669969191</v>
      </c>
      <c r="AR129" s="2">
        <v>1457.4640968851106</v>
      </c>
      <c r="AS129" s="2">
        <v>1250.0542602604087</v>
      </c>
      <c r="AU129" t="s">
        <v>13</v>
      </c>
      <c r="AV129" s="2">
        <v>1255.8883105619232</v>
      </c>
      <c r="AW129" s="2">
        <v>0</v>
      </c>
      <c r="AX129" s="2">
        <v>679.19903697306302</v>
      </c>
      <c r="AY129" s="2">
        <v>842.53343427722632</v>
      </c>
      <c r="AZ129" s="2">
        <v>1354.3434462188786</v>
      </c>
      <c r="BA129" s="2">
        <v>1171.1605439723173</v>
      </c>
      <c r="BB129" s="2">
        <v>1319.206264490841</v>
      </c>
      <c r="BC129" s="2">
        <v>1486.5922620258664</v>
      </c>
      <c r="BD129" s="2">
        <v>1269.9313629989558</v>
      </c>
      <c r="BF129" t="s">
        <v>13</v>
      </c>
      <c r="BG129" s="2">
        <v>1255.8883105619232</v>
      </c>
      <c r="BH129" s="2">
        <v>0</v>
      </c>
      <c r="BI129" s="2">
        <v>679.19903697306302</v>
      </c>
      <c r="BJ129" s="2">
        <v>842.53343427722632</v>
      </c>
      <c r="BK129" s="2">
        <v>1354.3434462188786</v>
      </c>
      <c r="BL129" s="2">
        <v>1171.1605439723173</v>
      </c>
      <c r="BM129" s="2">
        <v>1319.206264490841</v>
      </c>
      <c r="BN129" s="2">
        <v>1486.5922620258664</v>
      </c>
      <c r="BO129" s="2">
        <v>1269.9313629989558</v>
      </c>
      <c r="BQ129" t="s">
        <v>13</v>
      </c>
      <c r="BR129" s="2">
        <v>1302.135545066908</v>
      </c>
      <c r="BS129" s="2">
        <v>0</v>
      </c>
      <c r="BT129" s="2">
        <v>691.09881003399641</v>
      </c>
      <c r="BU129" s="2">
        <v>817.1342525648264</v>
      </c>
      <c r="BV129" s="2">
        <v>1338.0104761517675</v>
      </c>
      <c r="BW129" s="2">
        <v>1541.9126331530729</v>
      </c>
      <c r="BX129" s="2">
        <v>1375.5193864143271</v>
      </c>
      <c r="BY129" s="2">
        <v>2140.9032374830867</v>
      </c>
      <c r="BZ129" s="2">
        <v>1462.4070323055216</v>
      </c>
      <c r="CC129" s="2"/>
      <c r="CD129" s="2"/>
      <c r="CE129" s="11">
        <v>2009</v>
      </c>
      <c r="CF129" s="2">
        <f t="shared" ref="CF129:CL129" si="72">BR134+BR135</f>
        <v>1662.3198935654011</v>
      </c>
      <c r="CG129" s="2">
        <f t="shared" si="72"/>
        <v>1208.8873429069001</v>
      </c>
      <c r="CH129" s="2">
        <f t="shared" si="72"/>
        <v>2086.4373346657976</v>
      </c>
      <c r="CI129" s="2">
        <f t="shared" si="72"/>
        <v>2049.4186878709011</v>
      </c>
      <c r="CJ129" s="2">
        <f t="shared" si="72"/>
        <v>2935.0694779040286</v>
      </c>
      <c r="CK129" s="2">
        <f t="shared" si="72"/>
        <v>1954.9886085143821</v>
      </c>
      <c r="CL129" s="2">
        <f t="shared" si="72"/>
        <v>2275.1888777244212</v>
      </c>
    </row>
    <row r="130" spans="3:90" x14ac:dyDescent="0.2">
      <c r="C130" t="s">
        <v>14</v>
      </c>
      <c r="D130" s="2">
        <v>1600.1024396466003</v>
      </c>
      <c r="E130" s="2">
        <v>1476.5342840187468</v>
      </c>
      <c r="F130" s="2">
        <v>1612.8576423343875</v>
      </c>
      <c r="G130" s="2">
        <v>1754.5828148519422</v>
      </c>
      <c r="H130" s="2">
        <v>1773.4911075280954</v>
      </c>
      <c r="I130" s="2">
        <v>1873.9925504593971</v>
      </c>
      <c r="J130" s="2">
        <v>1966.9620690173322</v>
      </c>
      <c r="K130" s="2"/>
      <c r="L130" s="2">
        <v>1745.354141378672</v>
      </c>
      <c r="N130" t="s">
        <v>14</v>
      </c>
      <c r="O130" s="2">
        <v>1470.7268604008877</v>
      </c>
      <c r="P130" s="2">
        <v>1399.9035603343243</v>
      </c>
      <c r="Q130" s="2">
        <v>1547.6387376057278</v>
      </c>
      <c r="R130" s="2">
        <v>1581.197044824049</v>
      </c>
      <c r="S130" s="2">
        <v>1640.1858866578643</v>
      </c>
      <c r="T130" s="2">
        <v>1644.994785429941</v>
      </c>
      <c r="U130" s="2">
        <v>1983.4923138079484</v>
      </c>
      <c r="V130" s="2"/>
      <c r="W130" s="2">
        <v>1639.9220028892603</v>
      </c>
      <c r="Y130" t="s">
        <v>14</v>
      </c>
      <c r="Z130" s="2">
        <v>1509.3856541330954</v>
      </c>
      <c r="AA130" s="2">
        <v>1439.941550659242</v>
      </c>
      <c r="AB130" s="2">
        <v>1506.5437511866726</v>
      </c>
      <c r="AC130" s="2">
        <v>1527.2597344566514</v>
      </c>
      <c r="AD130" s="2">
        <v>1592.7677138614081</v>
      </c>
      <c r="AE130" s="2">
        <v>1573.8514982212587</v>
      </c>
      <c r="AF130" s="2">
        <v>1924.2238108980146</v>
      </c>
      <c r="AG130" s="2">
        <v>2137.3149153826716</v>
      </c>
      <c r="AH130" s="2">
        <v>1614.7001344374751</v>
      </c>
      <c r="AJ130" t="s">
        <v>14</v>
      </c>
      <c r="AK130" s="2">
        <v>1485.4505981650245</v>
      </c>
      <c r="AL130" s="2">
        <v>1422.3984974213008</v>
      </c>
      <c r="AM130" s="2">
        <v>1518.7855938433729</v>
      </c>
      <c r="AN130" s="2">
        <v>1547.786178300734</v>
      </c>
      <c r="AO130" s="2">
        <v>1584.9421755918631</v>
      </c>
      <c r="AP130" s="2">
        <v>1609.7342450816295</v>
      </c>
      <c r="AQ130" s="2">
        <v>2017.9556531093224</v>
      </c>
      <c r="AR130" s="2">
        <v>2304.097533810977</v>
      </c>
      <c r="AS130" s="2">
        <v>1657.7529391133928</v>
      </c>
      <c r="AU130" t="s">
        <v>14</v>
      </c>
      <c r="AV130" s="2">
        <v>1547.7316746201441</v>
      </c>
      <c r="AW130" s="2">
        <v>1479.9845971244922</v>
      </c>
      <c r="AX130" s="2">
        <v>1547.9544817460871</v>
      </c>
      <c r="AY130" s="2">
        <v>1558.0532579256253</v>
      </c>
      <c r="AZ130" s="2">
        <v>1644.2738667011802</v>
      </c>
      <c r="BA130" s="2">
        <v>1664.2794650531869</v>
      </c>
      <c r="BB130" s="2">
        <v>2003.2138821950491</v>
      </c>
      <c r="BC130" s="2">
        <v>2287.0218663080655</v>
      </c>
      <c r="BD130" s="2">
        <v>1716.8832877268226</v>
      </c>
      <c r="BF130" t="s">
        <v>14</v>
      </c>
      <c r="BG130" s="2">
        <v>1547.7316746201441</v>
      </c>
      <c r="BH130" s="2">
        <v>1479.9845971244922</v>
      </c>
      <c r="BI130" s="2">
        <v>1547.9544817460871</v>
      </c>
      <c r="BJ130" s="2">
        <v>1558.0532579256253</v>
      </c>
      <c r="BK130" s="2">
        <v>1644.2738667011802</v>
      </c>
      <c r="BL130" s="2">
        <v>1664.2794650531869</v>
      </c>
      <c r="BM130" s="2">
        <v>2003.2138821950491</v>
      </c>
      <c r="BN130" s="2">
        <v>2287.0218663080655</v>
      </c>
      <c r="BO130" s="2">
        <v>1716.8832877268226</v>
      </c>
      <c r="BQ130" t="s">
        <v>14</v>
      </c>
      <c r="BR130" s="2">
        <v>1810.8737910314458</v>
      </c>
      <c r="BS130" s="2">
        <v>1646.5973436685485</v>
      </c>
      <c r="BT130" s="2">
        <v>1607.1809838933111</v>
      </c>
      <c r="BU130" s="2">
        <v>1633.4959907659625</v>
      </c>
      <c r="BV130" s="2">
        <v>1618.3691263842195</v>
      </c>
      <c r="BW130" s="2">
        <v>1689.669355052127</v>
      </c>
      <c r="BX130" s="2">
        <v>1925.2952828319021</v>
      </c>
      <c r="BY130" s="2">
        <v>2279.3016717673627</v>
      </c>
      <c r="BZ130" s="2">
        <v>1783.3322889482238</v>
      </c>
      <c r="CC130" s="2"/>
      <c r="CD130" s="2"/>
      <c r="CE130" s="2"/>
      <c r="CF130" s="12">
        <f>CF129/CF124</f>
        <v>0.89849371897511265</v>
      </c>
      <c r="CG130" s="12">
        <f t="shared" ref="CG130:CL130" si="73">CG129/CG124</f>
        <v>0.94673558800522928</v>
      </c>
      <c r="CH130" s="12">
        <f t="shared" si="73"/>
        <v>0.96876654189281597</v>
      </c>
      <c r="CI130" s="12">
        <f t="shared" si="73"/>
        <v>0.88592309571691341</v>
      </c>
      <c r="CJ130" s="12">
        <f t="shared" si="73"/>
        <v>0.94738965316461687</v>
      </c>
      <c r="CK130" s="12">
        <f t="shared" si="73"/>
        <v>0.96683791648791317</v>
      </c>
      <c r="CL130" s="12">
        <f t="shared" si="73"/>
        <v>0.99335495002654906</v>
      </c>
    </row>
    <row r="131" spans="3:90" x14ac:dyDescent="0.2">
      <c r="D131" s="2"/>
      <c r="E131" s="2"/>
      <c r="F131" s="2"/>
      <c r="G131" s="2"/>
      <c r="H131" s="2"/>
      <c r="I131" s="2"/>
      <c r="J131" s="2"/>
      <c r="K131" s="2"/>
      <c r="L131" s="2"/>
      <c r="O131" s="2"/>
      <c r="P131" s="2"/>
      <c r="Q131" s="2"/>
      <c r="R131" s="2"/>
      <c r="S131" s="2"/>
      <c r="T131" s="2"/>
      <c r="U131" s="2"/>
      <c r="V131" s="2"/>
      <c r="W131" s="2"/>
      <c r="Z131" s="2"/>
      <c r="AA131" s="2"/>
      <c r="AB131" s="2"/>
      <c r="AC131" s="2"/>
      <c r="AD131" s="2"/>
      <c r="AE131" s="2"/>
      <c r="AF131" s="2"/>
      <c r="AG131" s="2"/>
      <c r="AH131" s="2"/>
      <c r="AK131" s="2"/>
      <c r="AL131" s="2"/>
      <c r="AM131" s="2"/>
      <c r="AN131" s="2"/>
      <c r="AO131" s="2"/>
      <c r="AP131" s="2"/>
      <c r="AQ131" s="2"/>
      <c r="AR131" s="2"/>
      <c r="AS131" s="2"/>
      <c r="AV131" s="2"/>
      <c r="AW131" s="2"/>
      <c r="AX131" s="2"/>
      <c r="AY131" s="2"/>
      <c r="AZ131" s="2"/>
      <c r="BA131" s="2"/>
      <c r="BB131" s="2"/>
      <c r="BC131" s="2"/>
      <c r="BD131" s="2"/>
      <c r="BG131" s="2"/>
      <c r="BH131" s="2"/>
      <c r="BI131" s="2"/>
      <c r="BJ131" s="2"/>
      <c r="BK131" s="2"/>
      <c r="BL131" s="2"/>
      <c r="BM131" s="2"/>
      <c r="BN131" s="2"/>
      <c r="BO131" s="2"/>
      <c r="BP131" s="1"/>
      <c r="BR131" s="2"/>
      <c r="BS131" s="2"/>
      <c r="BT131" s="2"/>
      <c r="BU131" s="2"/>
      <c r="BV131" s="2"/>
      <c r="BW131" s="2"/>
      <c r="BX131" s="2"/>
      <c r="BY131" s="2"/>
      <c r="BZ131" s="2"/>
      <c r="CC131" s="2"/>
      <c r="CD131" s="2"/>
      <c r="CE131" s="2"/>
      <c r="CF131" s="2"/>
      <c r="CG131" s="2"/>
      <c r="CH131" s="2"/>
      <c r="CI131" s="2"/>
      <c r="CJ131" s="2"/>
    </row>
    <row r="132" spans="3:90" x14ac:dyDescent="0.2">
      <c r="C132" s="1" t="s">
        <v>15</v>
      </c>
      <c r="D132" s="2"/>
      <c r="E132" s="2"/>
      <c r="F132" s="2"/>
      <c r="G132" s="2"/>
      <c r="H132" s="2"/>
      <c r="I132" s="2"/>
      <c r="J132" s="2"/>
      <c r="K132" s="2"/>
      <c r="L132" s="2"/>
      <c r="N132" s="1" t="s">
        <v>15</v>
      </c>
      <c r="O132" s="2"/>
      <c r="P132" s="2"/>
      <c r="Q132" s="2"/>
      <c r="R132" s="2"/>
      <c r="S132" s="2"/>
      <c r="T132" s="2"/>
      <c r="U132" s="2"/>
      <c r="V132" s="2"/>
      <c r="W132" s="2"/>
      <c r="Y132" s="1" t="s">
        <v>15</v>
      </c>
      <c r="Z132" s="2"/>
      <c r="AA132" s="2"/>
      <c r="AB132" s="2"/>
      <c r="AC132" s="2"/>
      <c r="AD132" s="2"/>
      <c r="AE132" s="2"/>
      <c r="AF132" s="2"/>
      <c r="AG132" s="2"/>
      <c r="AH132" s="2"/>
      <c r="AJ132" s="1" t="s">
        <v>15</v>
      </c>
      <c r="AK132" s="2"/>
      <c r="AL132" s="2"/>
      <c r="AM132" s="2"/>
      <c r="AN132" s="2"/>
      <c r="AO132" s="2"/>
      <c r="AP132" s="2"/>
      <c r="AQ132" s="2"/>
      <c r="AR132" s="2"/>
      <c r="AS132" s="2"/>
      <c r="AU132" s="1" t="s">
        <v>15</v>
      </c>
      <c r="AV132" s="2"/>
      <c r="AW132" s="2"/>
      <c r="AX132" s="2"/>
      <c r="AY132" s="2"/>
      <c r="AZ132" s="2"/>
      <c r="BA132" s="2"/>
      <c r="BB132" s="2"/>
      <c r="BC132" s="2"/>
      <c r="BD132" s="2"/>
      <c r="BF132" s="1" t="s">
        <v>15</v>
      </c>
      <c r="BG132" s="2"/>
      <c r="BH132" s="2"/>
      <c r="BI132" s="2"/>
      <c r="BJ132" s="2"/>
      <c r="BK132" s="2"/>
      <c r="BL132" s="2"/>
      <c r="BM132" s="2"/>
      <c r="BN132" s="2"/>
      <c r="BO132" s="2"/>
      <c r="BQ132" s="1" t="s">
        <v>15</v>
      </c>
      <c r="BR132" s="2"/>
      <c r="BS132" s="2"/>
      <c r="BT132" s="2"/>
      <c r="BU132" s="2"/>
      <c r="BV132" s="2"/>
      <c r="BW132" s="2"/>
      <c r="BX132" s="2"/>
      <c r="BY132" s="2"/>
      <c r="BZ132" s="2"/>
      <c r="CC132" s="2"/>
      <c r="CD132" s="2"/>
      <c r="CE132" s="2"/>
      <c r="CF132" s="2"/>
      <c r="CG132" s="2"/>
      <c r="CH132" s="2"/>
      <c r="CI132" s="2"/>
      <c r="CJ132" s="2"/>
    </row>
    <row r="133" spans="3:90" x14ac:dyDescent="0.2">
      <c r="C133" t="s">
        <v>9</v>
      </c>
      <c r="D133" s="2">
        <v>1613.4150821072005</v>
      </c>
      <c r="E133" s="2">
        <v>1157.9800232039015</v>
      </c>
      <c r="F133" s="2">
        <v>2098.5465149002016</v>
      </c>
      <c r="G133" s="2">
        <v>2199.6984166122929</v>
      </c>
      <c r="H133" s="2">
        <v>3153.5402291106525</v>
      </c>
      <c r="I133" s="2">
        <v>1956.7508263750135</v>
      </c>
      <c r="J133" s="2">
        <v>1868.0843277993938</v>
      </c>
      <c r="K133" s="2"/>
      <c r="L133" s="2">
        <v>14048.015420108815</v>
      </c>
      <c r="N133" t="s">
        <v>9</v>
      </c>
      <c r="O133" s="2">
        <v>1745.1571535343796</v>
      </c>
      <c r="P133" s="2">
        <v>1191.4113247691503</v>
      </c>
      <c r="Q133" s="2">
        <v>2090.0353800233829</v>
      </c>
      <c r="R133" s="2">
        <v>2235.4732272251081</v>
      </c>
      <c r="S133" s="2">
        <v>3209.118888564105</v>
      </c>
      <c r="T133" s="2">
        <v>1946.0739633218789</v>
      </c>
      <c r="U133" s="2">
        <v>2355.0252335245732</v>
      </c>
      <c r="V133" s="2"/>
      <c r="W133" s="2">
        <v>14772.296171157932</v>
      </c>
      <c r="Y133" t="s">
        <v>9</v>
      </c>
      <c r="Z133" s="2">
        <v>1751.7903937982001</v>
      </c>
      <c r="AA133" s="2">
        <v>1219.4871753305997</v>
      </c>
      <c r="AB133" s="2">
        <v>2155.3714659308971</v>
      </c>
      <c r="AC133" s="2">
        <v>2241.3405930384961</v>
      </c>
      <c r="AD133" s="2">
        <v>3332.6520053382128</v>
      </c>
      <c r="AE133" s="2">
        <v>1961.4409339789211</v>
      </c>
      <c r="AF133" s="2">
        <v>2494.7584042678909</v>
      </c>
      <c r="AG133" s="2">
        <v>383.86608392275019</v>
      </c>
      <c r="AH133" s="2">
        <v>15540.707055605944</v>
      </c>
      <c r="AJ133" t="s">
        <v>9</v>
      </c>
      <c r="AK133" s="2">
        <v>1743.3663904531925</v>
      </c>
      <c r="AL133" s="2">
        <v>1175.6490251170208</v>
      </c>
      <c r="AM133" s="2">
        <v>2006.020872438002</v>
      </c>
      <c r="AN133" s="2">
        <v>2073.195877129489</v>
      </c>
      <c r="AO133" s="2">
        <v>3216.5615328369063</v>
      </c>
      <c r="AP133" s="2">
        <v>2087.1045380758892</v>
      </c>
      <c r="AQ133" s="2">
        <v>2504.9340494178005</v>
      </c>
      <c r="AR133" s="2">
        <v>904.44761761280972</v>
      </c>
      <c r="AS133" s="2">
        <v>15711.279903081042</v>
      </c>
      <c r="AU133" t="s">
        <v>9</v>
      </c>
      <c r="AV133" s="2">
        <v>1596.4354916590019</v>
      </c>
      <c r="AW133" s="2">
        <v>1154.0408034146005</v>
      </c>
      <c r="AX133" s="2">
        <v>1932.1127592925993</v>
      </c>
      <c r="AY133" s="2">
        <v>2057.121288557873</v>
      </c>
      <c r="AZ133" s="2">
        <v>3326.1748719608281</v>
      </c>
      <c r="BA133" s="2">
        <v>2008.7244311640334</v>
      </c>
      <c r="BB133" s="2">
        <v>2582.9794076181006</v>
      </c>
      <c r="BC133" s="2">
        <v>1684.0483116748283</v>
      </c>
      <c r="BD133" s="2">
        <v>16341.637365341912</v>
      </c>
      <c r="BF133" t="s">
        <v>9</v>
      </c>
      <c r="BG133" s="2">
        <v>1596.4354916590019</v>
      </c>
      <c r="BH133" s="2">
        <v>1154.0408034146005</v>
      </c>
      <c r="BI133" s="2">
        <v>1932.1127592925993</v>
      </c>
      <c r="BJ133" s="2">
        <v>2057.121288557873</v>
      </c>
      <c r="BK133" s="2">
        <v>3326.1748719608281</v>
      </c>
      <c r="BL133" s="2">
        <v>2008.7244311640334</v>
      </c>
      <c r="BM133" s="2">
        <v>2582.9794076181006</v>
      </c>
      <c r="BN133" s="2">
        <v>1684.0483116748283</v>
      </c>
      <c r="BO133" s="2">
        <v>16341.637365341912</v>
      </c>
      <c r="BQ133" t="s">
        <v>9</v>
      </c>
      <c r="BR133" s="2">
        <v>1618.1765384996013</v>
      </c>
      <c r="BS133" s="2">
        <v>1156.5502345758002</v>
      </c>
      <c r="BT133" s="2">
        <v>2034.7571264633975</v>
      </c>
      <c r="BU133" s="2">
        <v>2032.3738305620016</v>
      </c>
      <c r="BV133" s="2">
        <v>3031.4117686404397</v>
      </c>
      <c r="BW133" s="2">
        <v>1963.8888852858133</v>
      </c>
      <c r="BX133" s="2">
        <v>2424.9225963546014</v>
      </c>
      <c r="BY133" s="2">
        <v>2615.496483173265</v>
      </c>
      <c r="BZ133" s="2">
        <v>16877.577463554961</v>
      </c>
      <c r="CB133">
        <v>16877.577463554917</v>
      </c>
      <c r="CC133" s="2"/>
      <c r="CD133" s="2"/>
      <c r="CE133" s="2"/>
      <c r="CF133" s="2"/>
      <c r="CG133" s="2"/>
      <c r="CH133" s="2"/>
      <c r="CI133" s="2"/>
      <c r="CJ133" s="2"/>
    </row>
    <row r="134" spans="3:90" x14ac:dyDescent="0.2">
      <c r="C134" t="s">
        <v>10</v>
      </c>
      <c r="D134" s="2">
        <v>1607.9324332671004</v>
      </c>
      <c r="E134" s="2">
        <v>1154.0119423269011</v>
      </c>
      <c r="F134" s="2">
        <v>2056.6763747139121</v>
      </c>
      <c r="G134" s="2">
        <v>2013.325570919699</v>
      </c>
      <c r="H134" s="2">
        <v>2561.9061109853692</v>
      </c>
      <c r="I134" s="2">
        <v>1730.4505066656484</v>
      </c>
      <c r="J134" s="2">
        <v>1606.8590268267187</v>
      </c>
      <c r="K134" s="2"/>
      <c r="L134" s="2">
        <v>12731.161965705478</v>
      </c>
      <c r="N134" t="s">
        <v>10</v>
      </c>
      <c r="O134" s="2">
        <v>1737.4978794916794</v>
      </c>
      <c r="P134" s="2">
        <v>1189.9731289234501</v>
      </c>
      <c r="Q134" s="2">
        <v>2061.190201860973</v>
      </c>
      <c r="R134" s="2">
        <v>2078.8045412310175</v>
      </c>
      <c r="S134" s="2">
        <v>2666.0117184825735</v>
      </c>
      <c r="T134" s="2">
        <v>1714.5281475598906</v>
      </c>
      <c r="U134" s="2">
        <v>2026.7184084509292</v>
      </c>
      <c r="V134" s="2"/>
      <c r="W134" s="2">
        <v>13474.724026000482</v>
      </c>
      <c r="Y134" t="s">
        <v>10</v>
      </c>
      <c r="Z134" s="2">
        <v>1740.0791559696002</v>
      </c>
      <c r="AA134" s="2">
        <v>1216.8017543263998</v>
      </c>
      <c r="AB134" s="2">
        <v>2127.8041409427983</v>
      </c>
      <c r="AC134" s="2">
        <v>2064.0060333923971</v>
      </c>
      <c r="AD134" s="2">
        <v>2788.9837293741016</v>
      </c>
      <c r="AE134" s="2">
        <v>1717.7325277305024</v>
      </c>
      <c r="AF134" s="2">
        <v>2137.5112393074569</v>
      </c>
      <c r="AG134" s="2">
        <v>331.99410035164993</v>
      </c>
      <c r="AH134" s="2">
        <v>14124.912681394875</v>
      </c>
      <c r="AJ134" t="s">
        <v>10</v>
      </c>
      <c r="AK134" s="2">
        <v>1735.8908584952926</v>
      </c>
      <c r="AL134" s="2">
        <v>1175.6490251170208</v>
      </c>
      <c r="AM134" s="2">
        <v>1982.5209191360714</v>
      </c>
      <c r="AN134" s="2">
        <v>1933.7627083405278</v>
      </c>
      <c r="AO134" s="2">
        <v>2748.6545669939628</v>
      </c>
      <c r="AP134" s="2">
        <v>1824.8287660795588</v>
      </c>
      <c r="AQ134" s="2">
        <v>2193.5983540211332</v>
      </c>
      <c r="AR134" s="2">
        <v>830.86186575680995</v>
      </c>
      <c r="AS134" s="2">
        <v>14425.76706394032</v>
      </c>
      <c r="AU134" t="s">
        <v>10</v>
      </c>
      <c r="AV134" s="2">
        <v>1587.0072069104019</v>
      </c>
      <c r="AW134" s="2">
        <v>1154.0408034146005</v>
      </c>
      <c r="AX134" s="2">
        <v>1919.5840832032993</v>
      </c>
      <c r="AY134" s="2">
        <v>1922.737574540073</v>
      </c>
      <c r="AZ134" s="2">
        <v>2893.7353786118056</v>
      </c>
      <c r="BA134" s="2">
        <v>1776.3891819413989</v>
      </c>
      <c r="BB134" s="2">
        <v>2210.2857007744319</v>
      </c>
      <c r="BC134" s="2">
        <v>1539.5231000466292</v>
      </c>
      <c r="BD134" s="2">
        <v>15003.303029442694</v>
      </c>
      <c r="BF134" t="s">
        <v>10</v>
      </c>
      <c r="BG134" s="2">
        <v>1587.0072069104019</v>
      </c>
      <c r="BH134" s="2">
        <v>1154.0408034146005</v>
      </c>
      <c r="BI134" s="2">
        <v>1919.5840832032993</v>
      </c>
      <c r="BJ134" s="2">
        <v>1922.737574540073</v>
      </c>
      <c r="BK134" s="2">
        <v>2893.7353786118056</v>
      </c>
      <c r="BL134" s="2">
        <v>1776.3891819413989</v>
      </c>
      <c r="BM134" s="2">
        <v>2210.2857007744319</v>
      </c>
      <c r="BN134" s="2">
        <v>1539.5231000466292</v>
      </c>
      <c r="BO134" s="2">
        <v>15003.303029442694</v>
      </c>
      <c r="BQ134" t="s">
        <v>10</v>
      </c>
      <c r="BR134" s="2">
        <v>1608.4078810176011</v>
      </c>
      <c r="BS134" s="2">
        <v>1156.5502345758002</v>
      </c>
      <c r="BT134" s="2">
        <v>2026.2909046550976</v>
      </c>
      <c r="BU134" s="2">
        <v>1932.7032059408009</v>
      </c>
      <c r="BV134" s="2">
        <v>2639.760268705099</v>
      </c>
      <c r="BW134" s="2">
        <v>1745.277989542602</v>
      </c>
      <c r="BX134" s="2">
        <v>2099.9176152585214</v>
      </c>
      <c r="BY134" s="2">
        <v>2432.6178490970647</v>
      </c>
      <c r="BZ134" s="2">
        <v>15641.525948792647</v>
      </c>
      <c r="CB134">
        <v>15641.525948792585</v>
      </c>
      <c r="CC134" s="2"/>
      <c r="CD134" s="2"/>
      <c r="CE134" s="2"/>
      <c r="CF134" s="2"/>
      <c r="CG134" s="2"/>
      <c r="CH134" s="2"/>
      <c r="CI134" s="2"/>
      <c r="CJ134" s="2"/>
    </row>
    <row r="135" spans="3:90" x14ac:dyDescent="0.2">
      <c r="C135" t="s">
        <v>11</v>
      </c>
      <c r="D135" s="2">
        <v>79.635828803800038</v>
      </c>
      <c r="E135" s="2">
        <v>60.595068672200007</v>
      </c>
      <c r="F135" s="2">
        <v>89.988000988099998</v>
      </c>
      <c r="G135" s="2">
        <v>176.68139838180008</v>
      </c>
      <c r="H135" s="2">
        <v>377.44566998920033</v>
      </c>
      <c r="I135" s="2">
        <v>309.21048600111993</v>
      </c>
      <c r="J135" s="2">
        <v>155.23922478889992</v>
      </c>
      <c r="K135" s="2"/>
      <c r="L135" s="2">
        <v>1248.7956776251201</v>
      </c>
      <c r="N135" t="s">
        <v>11</v>
      </c>
      <c r="O135" s="2">
        <v>112.62066720396599</v>
      </c>
      <c r="P135" s="2">
        <v>86.927579387330027</v>
      </c>
      <c r="Q135" s="2">
        <v>92.514787360919996</v>
      </c>
      <c r="R135" s="2">
        <v>234.50989630766597</v>
      </c>
      <c r="S135" s="2">
        <v>432.04774216263979</v>
      </c>
      <c r="T135" s="2">
        <v>307.51564610510695</v>
      </c>
      <c r="U135" s="2">
        <v>263.69034993257998</v>
      </c>
      <c r="V135" s="2"/>
      <c r="W135" s="2">
        <v>1529.8266684602077</v>
      </c>
      <c r="Y135" t="s">
        <v>11</v>
      </c>
      <c r="Z135" s="2">
        <v>126.111038423</v>
      </c>
      <c r="AA135" s="2">
        <v>74.505237874799974</v>
      </c>
      <c r="AB135" s="2">
        <v>116.30855433500003</v>
      </c>
      <c r="AC135" s="2">
        <v>217.37039192626997</v>
      </c>
      <c r="AD135" s="2">
        <v>427.00268265859984</v>
      </c>
      <c r="AE135" s="2">
        <v>328.6418092499099</v>
      </c>
      <c r="AF135" s="2">
        <v>291.48104837860001</v>
      </c>
      <c r="AG135" s="2">
        <v>55.617790342099994</v>
      </c>
      <c r="AH135" s="2">
        <v>1637.0385531882789</v>
      </c>
      <c r="AJ135" t="s">
        <v>11</v>
      </c>
      <c r="AK135" s="2">
        <v>108.33051951964006</v>
      </c>
      <c r="AL135" s="2">
        <v>62.246867013790009</v>
      </c>
      <c r="AM135" s="2">
        <v>84.527315596679983</v>
      </c>
      <c r="AN135" s="2">
        <v>150.98260080761</v>
      </c>
      <c r="AO135" s="2">
        <v>344.27457398649</v>
      </c>
      <c r="AP135" s="2">
        <v>273.55092364142786</v>
      </c>
      <c r="AQ135" s="2">
        <v>213.45827041914001</v>
      </c>
      <c r="AR135" s="2">
        <v>75.507732150460001</v>
      </c>
      <c r="AS135" s="2">
        <v>1312.8788031352369</v>
      </c>
      <c r="AU135" t="s">
        <v>11</v>
      </c>
      <c r="AV135" s="2">
        <v>78.727152179000001</v>
      </c>
      <c r="AW135" s="2">
        <v>66.359446324999993</v>
      </c>
      <c r="AX135" s="2">
        <v>80.454724222899998</v>
      </c>
      <c r="AY135" s="2">
        <v>137.85551201430002</v>
      </c>
      <c r="AZ135" s="2">
        <v>332.41213493890012</v>
      </c>
      <c r="BA135" s="2">
        <v>270.3184325360001</v>
      </c>
      <c r="BB135" s="2">
        <v>184.54806824564997</v>
      </c>
      <c r="BC135" s="2">
        <v>108.36939938261001</v>
      </c>
      <c r="BD135" s="2">
        <v>1259.0448698443586</v>
      </c>
      <c r="BF135" t="s">
        <v>11</v>
      </c>
      <c r="BG135" s="2">
        <v>78.727152179000001</v>
      </c>
      <c r="BH135" s="2">
        <v>66.359446324999993</v>
      </c>
      <c r="BI135" s="2">
        <v>80.454724222899998</v>
      </c>
      <c r="BJ135" s="2">
        <v>137.85551201430002</v>
      </c>
      <c r="BK135" s="2">
        <v>332.41213493890012</v>
      </c>
      <c r="BL135" s="2">
        <v>270.3184325360001</v>
      </c>
      <c r="BM135" s="2">
        <v>184.54806824564997</v>
      </c>
      <c r="BN135" s="2">
        <v>108.36939938261001</v>
      </c>
      <c r="BO135" s="2">
        <v>1259.0448698443586</v>
      </c>
      <c r="BQ135" t="s">
        <v>11</v>
      </c>
      <c r="BR135" s="2">
        <v>53.912012547800003</v>
      </c>
      <c r="BS135" s="2">
        <v>52.337108331099998</v>
      </c>
      <c r="BT135" s="2">
        <v>60.146430010699994</v>
      </c>
      <c r="BU135" s="2">
        <v>116.71548193010001</v>
      </c>
      <c r="BV135" s="2">
        <v>295.30920919892992</v>
      </c>
      <c r="BW135" s="2">
        <v>209.71061897178006</v>
      </c>
      <c r="BX135" s="2">
        <v>175.27126246589995</v>
      </c>
      <c r="BY135" s="2">
        <v>209.07468658250005</v>
      </c>
      <c r="BZ135" s="2">
        <v>1172.4768100388105</v>
      </c>
      <c r="CB135">
        <v>1172.4768100388101</v>
      </c>
      <c r="CC135" s="2"/>
      <c r="CD135" s="2"/>
      <c r="CE135" s="2"/>
      <c r="CF135" s="2"/>
      <c r="CG135" s="2"/>
      <c r="CH135" s="2"/>
      <c r="CI135" s="2"/>
      <c r="CJ135" s="2"/>
    </row>
    <row r="136" spans="3:90" x14ac:dyDescent="0.2">
      <c r="C136" t="s">
        <v>12</v>
      </c>
      <c r="D136" s="2">
        <v>608.87663735938975</v>
      </c>
      <c r="E136" s="2">
        <v>332.51203989960021</v>
      </c>
      <c r="F136" s="2">
        <v>514.97251850269993</v>
      </c>
      <c r="G136" s="2">
        <v>1006.621707910571</v>
      </c>
      <c r="H136" s="2">
        <v>1613.287344330017</v>
      </c>
      <c r="I136" s="2">
        <v>1345.5404334784753</v>
      </c>
      <c r="J136" s="2">
        <v>521.03351776550005</v>
      </c>
      <c r="K136" s="2"/>
      <c r="L136" s="2">
        <v>5942.8441992462631</v>
      </c>
      <c r="N136" t="s">
        <v>12</v>
      </c>
      <c r="O136" s="2">
        <v>591.59561847058308</v>
      </c>
      <c r="P136" s="2">
        <v>285.16779982229991</v>
      </c>
      <c r="Q136" s="2">
        <v>466.04067657661989</v>
      </c>
      <c r="R136" s="2">
        <v>943.74088220384442</v>
      </c>
      <c r="S136" s="2">
        <v>1515.8647078882814</v>
      </c>
      <c r="T136" s="2">
        <v>1358.8668155462901</v>
      </c>
      <c r="U136" s="2">
        <v>629.43868004407022</v>
      </c>
      <c r="V136" s="2"/>
      <c r="W136" s="2">
        <v>5790.7151805519934</v>
      </c>
      <c r="Y136" t="s">
        <v>12</v>
      </c>
      <c r="Z136" s="2">
        <v>567.06172437665975</v>
      </c>
      <c r="AA136" s="2">
        <v>280.09217673727005</v>
      </c>
      <c r="AB136" s="2">
        <v>499.74378537260026</v>
      </c>
      <c r="AC136" s="2">
        <v>959.52181686286985</v>
      </c>
      <c r="AD136" s="2">
        <v>1500.5624196650595</v>
      </c>
      <c r="AE136" s="2">
        <v>1361.1521700308242</v>
      </c>
      <c r="AF136" s="2">
        <v>663.49509910278016</v>
      </c>
      <c r="AG136" s="2">
        <v>101.70320924829998</v>
      </c>
      <c r="AH136" s="2">
        <v>5933.3324013963775</v>
      </c>
      <c r="AJ136" t="s">
        <v>12</v>
      </c>
      <c r="AK136" s="2">
        <v>579.5569208199779</v>
      </c>
      <c r="AL136" s="2">
        <v>293.55785320060011</v>
      </c>
      <c r="AM136" s="2">
        <v>496.89438988176903</v>
      </c>
      <c r="AN136" s="2">
        <v>972.55151534478978</v>
      </c>
      <c r="AO136" s="2">
        <v>1514.8223021710728</v>
      </c>
      <c r="AP136" s="2">
        <v>1313.5293838217297</v>
      </c>
      <c r="AQ136" s="2">
        <v>665.84359605524014</v>
      </c>
      <c r="AR136" s="2">
        <v>213.14815570091</v>
      </c>
      <c r="AS136" s="2">
        <v>6049.9041169960892</v>
      </c>
      <c r="AU136" t="s">
        <v>12</v>
      </c>
      <c r="AV136" s="2">
        <v>466.21277845760989</v>
      </c>
      <c r="AW136" s="2">
        <v>293.44432143419999</v>
      </c>
      <c r="AX136" s="2">
        <v>501.01442787729985</v>
      </c>
      <c r="AY136" s="2">
        <v>942.24144389458002</v>
      </c>
      <c r="AZ136" s="2">
        <v>1738.2145993325109</v>
      </c>
      <c r="BA136" s="2">
        <v>1289.6931124212399</v>
      </c>
      <c r="BB136" s="2">
        <v>681.14261395828987</v>
      </c>
      <c r="BC136" s="2">
        <v>351.41591844125008</v>
      </c>
      <c r="BD136" s="2">
        <v>6263.3792158169781</v>
      </c>
      <c r="BF136" t="s">
        <v>12</v>
      </c>
      <c r="BG136" s="2">
        <v>466.21277845760989</v>
      </c>
      <c r="BH136" s="2">
        <v>293.44432143419999</v>
      </c>
      <c r="BI136" s="2">
        <v>501.01442787729985</v>
      </c>
      <c r="BJ136" s="2">
        <v>942.24144389458002</v>
      </c>
      <c r="BK136" s="2">
        <v>1738.2145993325109</v>
      </c>
      <c r="BL136" s="2">
        <v>1289.6931124212399</v>
      </c>
      <c r="BM136" s="2">
        <v>681.14261395828987</v>
      </c>
      <c r="BN136" s="2">
        <v>351.41591844125008</v>
      </c>
      <c r="BO136" s="2">
        <v>6263.3792158169781</v>
      </c>
      <c r="BQ136" t="s">
        <v>12</v>
      </c>
      <c r="BR136" s="2">
        <v>523.52730523311004</v>
      </c>
      <c r="BS136" s="2">
        <v>278.6648097220999</v>
      </c>
      <c r="BT136" s="2">
        <v>474.31482310395995</v>
      </c>
      <c r="BU136" s="2">
        <v>936.88957065148998</v>
      </c>
      <c r="BV136" s="2">
        <v>1614.0129090840201</v>
      </c>
      <c r="BW136" s="2">
        <v>1276.9875985083022</v>
      </c>
      <c r="BX136" s="2">
        <v>651.07025945591965</v>
      </c>
      <c r="BY136" s="2">
        <v>595.01294763739918</v>
      </c>
      <c r="BZ136" s="2">
        <v>6350.4802233962982</v>
      </c>
      <c r="CB136">
        <v>6350.4802233963019</v>
      </c>
      <c r="CC136" s="2"/>
      <c r="CD136" s="2"/>
      <c r="CE136" s="2"/>
      <c r="CF136" s="2"/>
      <c r="CG136" s="2"/>
      <c r="CH136" s="2"/>
      <c r="CI136" s="2"/>
      <c r="CJ136" s="2"/>
    </row>
    <row r="137" spans="3:90" x14ac:dyDescent="0.2">
      <c r="C137" t="s">
        <v>13</v>
      </c>
      <c r="D137" s="2">
        <v>5.4826488400999995</v>
      </c>
      <c r="E137" s="2">
        <v>3.9680808770000002</v>
      </c>
      <c r="F137" s="2">
        <v>41.870140186290008</v>
      </c>
      <c r="G137" s="2">
        <v>186.37284569259492</v>
      </c>
      <c r="H137" s="2">
        <v>591.63411812528898</v>
      </c>
      <c r="I137" s="2">
        <v>226.30031970936506</v>
      </c>
      <c r="J137" s="2">
        <v>261.2253009726731</v>
      </c>
      <c r="K137" s="2"/>
      <c r="L137" s="2">
        <v>1316.8534544033125</v>
      </c>
      <c r="N137" t="s">
        <v>13</v>
      </c>
      <c r="O137" s="2">
        <v>7.6592740427000008</v>
      </c>
      <c r="P137" s="2">
        <v>1.4381958457000001</v>
      </c>
      <c r="Q137" s="2">
        <v>28.845178162410004</v>
      </c>
      <c r="R137" s="2">
        <v>156.66868599409196</v>
      </c>
      <c r="S137" s="2">
        <v>543.10717008153006</v>
      </c>
      <c r="T137" s="2">
        <v>231.54581576198993</v>
      </c>
      <c r="U137" s="2">
        <v>328.30682507364912</v>
      </c>
      <c r="V137" s="2"/>
      <c r="W137" s="2">
        <v>1297.5721451574573</v>
      </c>
      <c r="Y137" t="s">
        <v>13</v>
      </c>
      <c r="Z137" s="2">
        <v>11.711237828599998</v>
      </c>
      <c r="AA137" s="2">
        <v>2.6854210042000002</v>
      </c>
      <c r="AB137" s="2">
        <v>27.567324988099998</v>
      </c>
      <c r="AC137" s="2">
        <v>177.33455964609999</v>
      </c>
      <c r="AD137" s="2">
        <v>543.66827596411122</v>
      </c>
      <c r="AE137" s="2">
        <v>243.70840624841702</v>
      </c>
      <c r="AF137" s="2">
        <v>357.24716496043192</v>
      </c>
      <c r="AG137" s="2">
        <v>51.871983571099996</v>
      </c>
      <c r="AH137" s="2">
        <v>1415.7943742110597</v>
      </c>
      <c r="AJ137" t="s">
        <v>13</v>
      </c>
      <c r="AK137" s="2">
        <v>7.4755319579000004</v>
      </c>
      <c r="AL137" s="2">
        <v>0</v>
      </c>
      <c r="AM137" s="2">
        <v>23.499953301929999</v>
      </c>
      <c r="AN137" s="2">
        <v>139.43316878896195</v>
      </c>
      <c r="AO137" s="2">
        <v>467.9069658429417</v>
      </c>
      <c r="AP137" s="2">
        <v>262.27577199633009</v>
      </c>
      <c r="AQ137" s="2">
        <v>311.33569539666411</v>
      </c>
      <c r="AR137" s="2">
        <v>73.585751856000002</v>
      </c>
      <c r="AS137" s="2">
        <v>1285.5128391407288</v>
      </c>
      <c r="AU137" t="s">
        <v>13</v>
      </c>
      <c r="AV137" s="2">
        <v>9.4282847485999994</v>
      </c>
      <c r="AW137" s="2">
        <v>0</v>
      </c>
      <c r="AX137" s="2">
        <v>12.528676089299999</v>
      </c>
      <c r="AY137" s="2">
        <v>134.38371401779997</v>
      </c>
      <c r="AZ137" s="2">
        <v>432.43949334902516</v>
      </c>
      <c r="BA137" s="2">
        <v>232.33524922263501</v>
      </c>
      <c r="BB137" s="2">
        <v>372.69370684366896</v>
      </c>
      <c r="BC137" s="2">
        <v>144.52521162820003</v>
      </c>
      <c r="BD137" s="2">
        <v>1338.3343358992288</v>
      </c>
      <c r="BF137" t="s">
        <v>13</v>
      </c>
      <c r="BG137" s="2">
        <v>9.4282847485999994</v>
      </c>
      <c r="BH137" s="2">
        <v>0</v>
      </c>
      <c r="BI137" s="2">
        <v>12.528676089299999</v>
      </c>
      <c r="BJ137" s="2">
        <v>134.38371401779997</v>
      </c>
      <c r="BK137" s="2">
        <v>432.43949334902516</v>
      </c>
      <c r="BL137" s="2">
        <v>232.33524922263501</v>
      </c>
      <c r="BM137" s="2">
        <v>372.69370684366896</v>
      </c>
      <c r="BN137" s="2">
        <v>144.52521162820003</v>
      </c>
      <c r="BO137" s="2">
        <v>1338.3343358992288</v>
      </c>
      <c r="BQ137" t="s">
        <v>13</v>
      </c>
      <c r="BR137" s="2">
        <v>9.7686574820000001</v>
      </c>
      <c r="BS137" s="2">
        <v>0</v>
      </c>
      <c r="BT137" s="2">
        <v>8.4662218083000003</v>
      </c>
      <c r="BU137" s="2">
        <v>99.670624621200005</v>
      </c>
      <c r="BV137" s="2">
        <v>391.65149993534089</v>
      </c>
      <c r="BW137" s="2">
        <v>218.61089574321105</v>
      </c>
      <c r="BX137" s="2">
        <v>325.00498109608407</v>
      </c>
      <c r="BY137" s="2">
        <v>182.8786340762</v>
      </c>
      <c r="BZ137" s="2">
        <v>1236.0515147623366</v>
      </c>
      <c r="CB137">
        <v>1236.051514762336</v>
      </c>
      <c r="CC137" s="2"/>
      <c r="CD137" s="2"/>
      <c r="CE137" s="2"/>
      <c r="CF137" s="2"/>
      <c r="CG137" s="2"/>
      <c r="CH137" s="2"/>
      <c r="CI137" s="2"/>
      <c r="CJ137" s="2"/>
    </row>
    <row r="138" spans="3:90" x14ac:dyDescent="0.2">
      <c r="C138" t="s">
        <v>14</v>
      </c>
      <c r="D138" s="2">
        <v>2301.9275482703902</v>
      </c>
      <c r="E138" s="2">
        <v>1551.0871317757012</v>
      </c>
      <c r="F138" s="2">
        <v>2703.5070343910015</v>
      </c>
      <c r="G138" s="2">
        <v>3383.0015229046649</v>
      </c>
      <c r="H138" s="2">
        <v>5144.273243429875</v>
      </c>
      <c r="I138" s="2">
        <v>3611.501745854609</v>
      </c>
      <c r="J138" s="2">
        <v>2544.3570703537916</v>
      </c>
      <c r="K138" s="2"/>
      <c r="L138" s="2">
        <v>21239.655296980174</v>
      </c>
      <c r="N138" t="s">
        <v>14</v>
      </c>
      <c r="O138" s="2">
        <v>2449.3734392089286</v>
      </c>
      <c r="P138" s="2">
        <v>1563.5067039787803</v>
      </c>
      <c r="Q138" s="2">
        <v>2648.5908439609229</v>
      </c>
      <c r="R138" s="2">
        <v>3413.7240057366198</v>
      </c>
      <c r="S138" s="2">
        <v>5157.0313386150247</v>
      </c>
      <c r="T138" s="2">
        <v>3612.4564249732775</v>
      </c>
      <c r="U138" s="2">
        <v>3248.1542635012288</v>
      </c>
      <c r="V138" s="2"/>
      <c r="W138" s="2">
        <v>22092.838020170137</v>
      </c>
      <c r="Y138" t="s">
        <v>14</v>
      </c>
      <c r="Z138" s="2">
        <v>2444.9631565978602</v>
      </c>
      <c r="AA138" s="2">
        <v>1574.0845899426695</v>
      </c>
      <c r="AB138" s="2">
        <v>2771.4238056384993</v>
      </c>
      <c r="AC138" s="2">
        <v>3418.2328018276366</v>
      </c>
      <c r="AD138" s="2">
        <v>5260.2171076618715</v>
      </c>
      <c r="AE138" s="2">
        <v>3651.2349132596537</v>
      </c>
      <c r="AF138" s="2">
        <v>3449.7345517492686</v>
      </c>
      <c r="AG138" s="2">
        <v>541.1870835131499</v>
      </c>
      <c r="AH138" s="2">
        <v>23111.078010190591</v>
      </c>
      <c r="AJ138" t="s">
        <v>14</v>
      </c>
      <c r="AK138" s="2">
        <v>2431.2538307928107</v>
      </c>
      <c r="AL138" s="2">
        <v>1531.4537453314108</v>
      </c>
      <c r="AM138" s="2">
        <v>2587.4425779164503</v>
      </c>
      <c r="AN138" s="2">
        <v>3196.7299932818896</v>
      </c>
      <c r="AO138" s="2">
        <v>5075.6584089944672</v>
      </c>
      <c r="AP138" s="2">
        <v>3674.1848455390459</v>
      </c>
      <c r="AQ138" s="2">
        <v>3384.2359158921777</v>
      </c>
      <c r="AR138" s="2">
        <v>1193.10350546418</v>
      </c>
      <c r="AS138" s="2">
        <v>23074.062823212374</v>
      </c>
      <c r="AU138" t="s">
        <v>14</v>
      </c>
      <c r="AV138" s="2">
        <v>2141.3754222956113</v>
      </c>
      <c r="AW138" s="2">
        <v>1513.8445711738004</v>
      </c>
      <c r="AX138" s="2">
        <v>2513.5819113927992</v>
      </c>
      <c r="AY138" s="2">
        <v>3137.2182444667528</v>
      </c>
      <c r="AZ138" s="2">
        <v>5396.8016062322413</v>
      </c>
      <c r="BA138" s="2">
        <v>3568.7359761212738</v>
      </c>
      <c r="BB138" s="2">
        <v>3448.6700898220406</v>
      </c>
      <c r="BC138" s="2">
        <v>2143.8336294986893</v>
      </c>
      <c r="BD138" s="2">
        <v>23864.061451003261</v>
      </c>
      <c r="BF138" t="s">
        <v>14</v>
      </c>
      <c r="BG138" s="2">
        <v>2141.3754222956113</v>
      </c>
      <c r="BH138" s="2">
        <v>1513.8445711738004</v>
      </c>
      <c r="BI138" s="2">
        <v>2513.5819113927992</v>
      </c>
      <c r="BJ138" s="2">
        <v>3137.2182444667528</v>
      </c>
      <c r="BK138" s="2">
        <v>5396.8016062322413</v>
      </c>
      <c r="BL138" s="2">
        <v>3568.7359761212738</v>
      </c>
      <c r="BM138" s="2">
        <v>3448.6700898220406</v>
      </c>
      <c r="BN138" s="2">
        <v>2143.8336294986893</v>
      </c>
      <c r="BO138" s="2">
        <v>23864.061451003261</v>
      </c>
      <c r="BQ138" t="s">
        <v>14</v>
      </c>
      <c r="BR138" s="2">
        <v>2195.6158562805113</v>
      </c>
      <c r="BS138" s="2">
        <v>1487.5521526290001</v>
      </c>
      <c r="BT138" s="2">
        <v>2569.2183795780575</v>
      </c>
      <c r="BU138" s="2">
        <v>3085.9788831435912</v>
      </c>
      <c r="BV138" s="2">
        <v>4940.7338869233899</v>
      </c>
      <c r="BW138" s="2">
        <v>3450.5871027658955</v>
      </c>
      <c r="BX138" s="2">
        <v>3251.2641182764251</v>
      </c>
      <c r="BY138" s="2">
        <v>3419.584117393164</v>
      </c>
      <c r="BZ138" s="2">
        <v>24400.534496990094</v>
      </c>
      <c r="CB138">
        <v>24400.534496990032</v>
      </c>
    </row>
    <row r="139" spans="3:90" x14ac:dyDescent="0.2">
      <c r="BP139" s="1"/>
    </row>
    <row r="140" spans="3:90" x14ac:dyDescent="0.2">
      <c r="C140" s="1" t="s">
        <v>16</v>
      </c>
      <c r="N140" s="1" t="s">
        <v>16</v>
      </c>
      <c r="Y140" s="1" t="s">
        <v>16</v>
      </c>
      <c r="AJ140" s="1" t="s">
        <v>16</v>
      </c>
      <c r="AU140" s="1" t="s">
        <v>16</v>
      </c>
      <c r="BF140" s="1" t="s">
        <v>16</v>
      </c>
      <c r="BQ140" s="1" t="s">
        <v>16</v>
      </c>
      <c r="CC140" s="2"/>
      <c r="CD140" s="2"/>
      <c r="CE140" s="2"/>
      <c r="CF140" s="2"/>
      <c r="CG140" s="2"/>
      <c r="CH140" s="2"/>
      <c r="CI140" s="2"/>
      <c r="CJ140" s="2"/>
    </row>
    <row r="141" spans="3:90" x14ac:dyDescent="0.2">
      <c r="C141" t="s">
        <v>9</v>
      </c>
      <c r="D141" s="2">
        <v>559</v>
      </c>
      <c r="E141" s="2">
        <v>434</v>
      </c>
      <c r="F141" s="2">
        <v>776</v>
      </c>
      <c r="G141" s="2">
        <v>810</v>
      </c>
      <c r="H141" s="2">
        <v>1174</v>
      </c>
      <c r="I141" s="2">
        <v>704</v>
      </c>
      <c r="J141" s="2">
        <v>632</v>
      </c>
      <c r="K141" s="2"/>
      <c r="L141" s="2">
        <v>5089</v>
      </c>
      <c r="N141" t="s">
        <v>9</v>
      </c>
      <c r="O141" s="2">
        <v>724</v>
      </c>
      <c r="P141" s="2">
        <v>539</v>
      </c>
      <c r="Q141" s="2">
        <v>991</v>
      </c>
      <c r="R141" s="2">
        <v>946</v>
      </c>
      <c r="S141" s="2">
        <v>1265</v>
      </c>
      <c r="T141" s="2">
        <v>797</v>
      </c>
      <c r="U141" s="2">
        <v>962</v>
      </c>
      <c r="V141" s="2"/>
      <c r="W141" s="2">
        <v>6226</v>
      </c>
      <c r="Y141" t="s">
        <v>9</v>
      </c>
      <c r="Z141" s="2">
        <v>625</v>
      </c>
      <c r="AA141" s="2">
        <v>448</v>
      </c>
      <c r="AB141" s="2">
        <v>785</v>
      </c>
      <c r="AC141" s="2">
        <v>832</v>
      </c>
      <c r="AD141" s="2">
        <v>1192</v>
      </c>
      <c r="AE141" s="2">
        <v>768</v>
      </c>
      <c r="AF141" s="2">
        <v>1038</v>
      </c>
      <c r="AG141" s="2">
        <v>142</v>
      </c>
      <c r="AH141" s="2">
        <v>5830</v>
      </c>
      <c r="AJ141" t="s">
        <v>9</v>
      </c>
      <c r="AK141" s="2">
        <v>761</v>
      </c>
      <c r="AL141" s="2">
        <v>542</v>
      </c>
      <c r="AM141" s="2">
        <v>969</v>
      </c>
      <c r="AN141" s="2">
        <v>900</v>
      </c>
      <c r="AO141" s="2">
        <v>1270</v>
      </c>
      <c r="AP141" s="2">
        <v>834</v>
      </c>
      <c r="AQ141" s="2">
        <v>1173</v>
      </c>
      <c r="AR141" s="2">
        <v>383</v>
      </c>
      <c r="AS141" s="2">
        <v>6832</v>
      </c>
      <c r="AU141" t="s">
        <v>9</v>
      </c>
      <c r="AV141" s="2">
        <v>591</v>
      </c>
      <c r="AW141" s="2">
        <v>432</v>
      </c>
      <c r="AX141" s="2">
        <v>730</v>
      </c>
      <c r="AY141" s="2">
        <v>763</v>
      </c>
      <c r="AZ141" s="2">
        <v>1215</v>
      </c>
      <c r="BA141" s="2">
        <v>748</v>
      </c>
      <c r="BB141" s="2">
        <v>991</v>
      </c>
      <c r="BC141" s="2">
        <v>591</v>
      </c>
      <c r="BD141" s="2">
        <v>6061</v>
      </c>
      <c r="BF141" t="s">
        <v>9</v>
      </c>
      <c r="BG141" s="2">
        <v>591</v>
      </c>
      <c r="BH141" s="2">
        <v>432</v>
      </c>
      <c r="BI141" s="2">
        <v>730</v>
      </c>
      <c r="BJ141" s="2">
        <v>763</v>
      </c>
      <c r="BK141" s="2">
        <v>1215</v>
      </c>
      <c r="BL141" s="2">
        <v>748</v>
      </c>
      <c r="BM141" s="2">
        <v>991</v>
      </c>
      <c r="BN141" s="2">
        <v>591</v>
      </c>
      <c r="BO141" s="2">
        <v>6061</v>
      </c>
      <c r="BQ141" t="s">
        <v>9</v>
      </c>
      <c r="BR141" s="2">
        <v>527</v>
      </c>
      <c r="BS141" s="2">
        <v>371</v>
      </c>
      <c r="BT141" s="2">
        <v>660</v>
      </c>
      <c r="BU141" s="2">
        <v>663</v>
      </c>
      <c r="BV141" s="2">
        <v>997</v>
      </c>
      <c r="BW141" s="2">
        <v>682</v>
      </c>
      <c r="BX141" s="2">
        <v>881</v>
      </c>
      <c r="BY141" s="2">
        <v>907</v>
      </c>
      <c r="BZ141" s="2">
        <v>5688</v>
      </c>
      <c r="CB141">
        <v>5688</v>
      </c>
      <c r="CC141" s="2"/>
      <c r="CD141" s="2"/>
      <c r="CE141" s="2"/>
      <c r="CF141" s="2"/>
      <c r="CG141" s="2"/>
      <c r="CH141" s="2"/>
      <c r="CI141" s="2"/>
      <c r="CJ141" s="2"/>
    </row>
    <row r="142" spans="3:90" x14ac:dyDescent="0.2">
      <c r="C142" t="s">
        <v>10</v>
      </c>
      <c r="D142" s="2">
        <v>557</v>
      </c>
      <c r="E142" s="2">
        <v>433</v>
      </c>
      <c r="F142" s="2">
        <v>762</v>
      </c>
      <c r="G142" s="2">
        <v>737</v>
      </c>
      <c r="H142" s="2">
        <v>954</v>
      </c>
      <c r="I142" s="2">
        <v>631</v>
      </c>
      <c r="J142" s="2">
        <v>586</v>
      </c>
      <c r="K142" s="2"/>
      <c r="L142" s="2">
        <v>4660</v>
      </c>
      <c r="N142" t="s">
        <v>10</v>
      </c>
      <c r="O142" s="2">
        <v>721</v>
      </c>
      <c r="P142" s="2">
        <v>538</v>
      </c>
      <c r="Q142" s="2">
        <v>978</v>
      </c>
      <c r="R142" s="2">
        <v>880</v>
      </c>
      <c r="S142" s="2">
        <v>1048</v>
      </c>
      <c r="T142" s="2">
        <v>723</v>
      </c>
      <c r="U142" s="2">
        <v>899</v>
      </c>
      <c r="V142" s="2"/>
      <c r="W142" s="2">
        <v>5787</v>
      </c>
      <c r="Y142" t="s">
        <v>10</v>
      </c>
      <c r="Z142" s="2">
        <v>621</v>
      </c>
      <c r="AA142" s="2">
        <v>446</v>
      </c>
      <c r="AB142" s="2">
        <v>774</v>
      </c>
      <c r="AC142" s="2">
        <v>760</v>
      </c>
      <c r="AD142" s="2">
        <v>988</v>
      </c>
      <c r="AE142" s="2">
        <v>694</v>
      </c>
      <c r="AF142" s="2">
        <v>962</v>
      </c>
      <c r="AG142" s="2">
        <v>135</v>
      </c>
      <c r="AH142" s="2">
        <v>5380</v>
      </c>
      <c r="AJ142" t="s">
        <v>10</v>
      </c>
      <c r="AK142" s="2">
        <v>758</v>
      </c>
      <c r="AL142" s="2">
        <v>542</v>
      </c>
      <c r="AM142" s="2">
        <v>957</v>
      </c>
      <c r="AN142" s="2">
        <v>839</v>
      </c>
      <c r="AO142" s="2">
        <v>1071</v>
      </c>
      <c r="AP142" s="2">
        <v>750</v>
      </c>
      <c r="AQ142" s="2">
        <v>1099</v>
      </c>
      <c r="AR142" s="2">
        <v>364</v>
      </c>
      <c r="AS142" s="2">
        <v>6380</v>
      </c>
      <c r="AU142" t="s">
        <v>10</v>
      </c>
      <c r="AV142" s="2">
        <v>587</v>
      </c>
      <c r="AW142" s="2">
        <v>432</v>
      </c>
      <c r="AX142" s="2">
        <v>725</v>
      </c>
      <c r="AY142" s="2">
        <v>722</v>
      </c>
      <c r="AZ142" s="2">
        <v>1061</v>
      </c>
      <c r="BA142" s="2">
        <v>662</v>
      </c>
      <c r="BB142" s="2">
        <v>898</v>
      </c>
      <c r="BC142" s="2">
        <v>537</v>
      </c>
      <c r="BD142" s="2">
        <v>5624</v>
      </c>
      <c r="BF142" t="s">
        <v>10</v>
      </c>
      <c r="BG142" s="2">
        <v>587</v>
      </c>
      <c r="BH142" s="2">
        <v>432</v>
      </c>
      <c r="BI142" s="2">
        <v>725</v>
      </c>
      <c r="BJ142" s="2">
        <v>722</v>
      </c>
      <c r="BK142" s="2">
        <v>1061</v>
      </c>
      <c r="BL142" s="2">
        <v>662</v>
      </c>
      <c r="BM142" s="2">
        <v>898</v>
      </c>
      <c r="BN142" s="2">
        <v>537</v>
      </c>
      <c r="BO142" s="2">
        <v>5624</v>
      </c>
      <c r="BQ142" t="s">
        <v>10</v>
      </c>
      <c r="BR142" s="2">
        <v>523</v>
      </c>
      <c r="BS142" s="2">
        <v>371</v>
      </c>
      <c r="BT142" s="2">
        <v>657</v>
      </c>
      <c r="BU142" s="2">
        <v>635</v>
      </c>
      <c r="BV142" s="2">
        <v>878</v>
      </c>
      <c r="BW142" s="2">
        <v>601</v>
      </c>
      <c r="BX142" s="2">
        <v>797</v>
      </c>
      <c r="BY142" s="2">
        <v>863</v>
      </c>
      <c r="BZ142" s="2">
        <v>5325</v>
      </c>
      <c r="CB142">
        <v>5325</v>
      </c>
      <c r="CC142" s="2"/>
      <c r="CD142" s="2"/>
      <c r="CE142" s="2"/>
      <c r="CF142" s="2"/>
      <c r="CG142" s="2"/>
      <c r="CH142" s="2"/>
      <c r="CI142" s="2"/>
      <c r="CJ142" s="2"/>
    </row>
    <row r="143" spans="3:90" x14ac:dyDescent="0.2">
      <c r="C143" t="s">
        <v>11</v>
      </c>
      <c r="D143" s="2">
        <v>8</v>
      </c>
      <c r="E143" s="2">
        <v>0</v>
      </c>
      <c r="F143" s="2">
        <v>4</v>
      </c>
      <c r="G143" s="2">
        <v>5</v>
      </c>
      <c r="H143" s="2">
        <v>9</v>
      </c>
      <c r="I143" s="2">
        <v>8</v>
      </c>
      <c r="J143" s="2">
        <v>18</v>
      </c>
      <c r="K143" s="2"/>
      <c r="L143" s="2">
        <v>52</v>
      </c>
      <c r="N143" t="s">
        <v>11</v>
      </c>
      <c r="O143" s="2">
        <v>34</v>
      </c>
      <c r="P143" s="2">
        <v>26</v>
      </c>
      <c r="Q143" s="2">
        <v>31</v>
      </c>
      <c r="R143" s="2">
        <v>67</v>
      </c>
      <c r="S143" s="2">
        <v>146</v>
      </c>
      <c r="T143" s="2">
        <v>121</v>
      </c>
      <c r="U143" s="2">
        <v>109</v>
      </c>
      <c r="V143" s="2"/>
      <c r="W143" s="2">
        <v>534</v>
      </c>
      <c r="Y143" t="s">
        <v>11</v>
      </c>
      <c r="Z143" s="2">
        <v>38</v>
      </c>
      <c r="AA143" s="2">
        <v>24</v>
      </c>
      <c r="AB143" s="2">
        <v>34</v>
      </c>
      <c r="AC143" s="2">
        <v>74</v>
      </c>
      <c r="AD143" s="2">
        <v>151</v>
      </c>
      <c r="AE143" s="2">
        <v>133</v>
      </c>
      <c r="AF143" s="2">
        <v>127</v>
      </c>
      <c r="AG143" s="2">
        <v>20</v>
      </c>
      <c r="AH143" s="2">
        <v>601</v>
      </c>
      <c r="AJ143" t="s">
        <v>11</v>
      </c>
      <c r="AK143" s="2">
        <v>48</v>
      </c>
      <c r="AL143" s="2">
        <v>29</v>
      </c>
      <c r="AM143" s="2">
        <v>37</v>
      </c>
      <c r="AN143" s="2">
        <v>66</v>
      </c>
      <c r="AO143" s="2">
        <v>154</v>
      </c>
      <c r="AP143" s="2">
        <v>130</v>
      </c>
      <c r="AQ143" s="2">
        <v>108</v>
      </c>
      <c r="AR143" s="2">
        <v>32</v>
      </c>
      <c r="AS143" s="2">
        <v>604</v>
      </c>
      <c r="AU143" t="s">
        <v>11</v>
      </c>
      <c r="AV143" s="2">
        <v>31</v>
      </c>
      <c r="AW143" s="2">
        <v>26</v>
      </c>
      <c r="AX143" s="2">
        <v>28</v>
      </c>
      <c r="AY143" s="2">
        <v>50</v>
      </c>
      <c r="AZ143" s="2">
        <v>122</v>
      </c>
      <c r="BA143" s="2">
        <v>103</v>
      </c>
      <c r="BB143" s="2">
        <v>72</v>
      </c>
      <c r="BC143" s="2">
        <v>38</v>
      </c>
      <c r="BD143" s="2">
        <v>470</v>
      </c>
      <c r="BF143" t="s">
        <v>11</v>
      </c>
      <c r="BG143" s="2">
        <v>31</v>
      </c>
      <c r="BH143" s="2">
        <v>26</v>
      </c>
      <c r="BI143" s="2">
        <v>28</v>
      </c>
      <c r="BJ143" s="2">
        <v>50</v>
      </c>
      <c r="BK143" s="2">
        <v>122</v>
      </c>
      <c r="BL143" s="2">
        <v>103</v>
      </c>
      <c r="BM143" s="2">
        <v>72</v>
      </c>
      <c r="BN143" s="2">
        <v>38</v>
      </c>
      <c r="BO143" s="2">
        <v>470</v>
      </c>
      <c r="BQ143" t="s">
        <v>11</v>
      </c>
      <c r="BR143" s="2">
        <v>18</v>
      </c>
      <c r="BS143" s="2">
        <v>16</v>
      </c>
      <c r="BT143" s="2">
        <v>19</v>
      </c>
      <c r="BU143" s="2">
        <v>36</v>
      </c>
      <c r="BV143" s="2">
        <v>100</v>
      </c>
      <c r="BW143" s="2">
        <v>73</v>
      </c>
      <c r="BX143" s="2">
        <v>63</v>
      </c>
      <c r="BY143" s="2">
        <v>74</v>
      </c>
      <c r="BZ143" s="2">
        <v>399</v>
      </c>
      <c r="CB143">
        <v>399</v>
      </c>
      <c r="CC143" s="2"/>
      <c r="CD143" s="2"/>
      <c r="CE143" s="2"/>
      <c r="CF143" s="2"/>
      <c r="CG143" s="2"/>
      <c r="CH143" s="2"/>
      <c r="CI143" s="2"/>
      <c r="CJ143" s="2"/>
    </row>
    <row r="144" spans="3:90" x14ac:dyDescent="0.2">
      <c r="C144" t="s">
        <v>12</v>
      </c>
      <c r="D144" s="2">
        <v>18</v>
      </c>
      <c r="E144" s="2">
        <v>7</v>
      </c>
      <c r="F144" s="2">
        <v>6</v>
      </c>
      <c r="G144" s="2">
        <v>21</v>
      </c>
      <c r="H144" s="2">
        <v>40</v>
      </c>
      <c r="I144" s="2">
        <v>23</v>
      </c>
      <c r="J144" s="2">
        <v>37</v>
      </c>
      <c r="K144" s="2"/>
      <c r="L144" s="2">
        <v>152</v>
      </c>
      <c r="N144" t="s">
        <v>12</v>
      </c>
      <c r="O144" s="2">
        <v>219</v>
      </c>
      <c r="P144" s="2">
        <v>97</v>
      </c>
      <c r="Q144" s="2">
        <v>181</v>
      </c>
      <c r="R144" s="2">
        <v>330</v>
      </c>
      <c r="S144" s="2">
        <v>472</v>
      </c>
      <c r="T144" s="2">
        <v>419</v>
      </c>
      <c r="U144" s="2">
        <v>146</v>
      </c>
      <c r="V144" s="2"/>
      <c r="W144" s="2">
        <v>1864</v>
      </c>
      <c r="Y144" t="s">
        <v>12</v>
      </c>
      <c r="Z144" s="2">
        <v>190</v>
      </c>
      <c r="AA144" s="2">
        <v>95</v>
      </c>
      <c r="AB144" s="2">
        <v>166</v>
      </c>
      <c r="AC144" s="2">
        <v>336</v>
      </c>
      <c r="AD144" s="2">
        <v>512</v>
      </c>
      <c r="AE144" s="2">
        <v>431</v>
      </c>
      <c r="AF144" s="2">
        <v>168</v>
      </c>
      <c r="AG144" s="2">
        <v>19</v>
      </c>
      <c r="AH144" s="2">
        <v>1917</v>
      </c>
      <c r="AJ144" t="s">
        <v>12</v>
      </c>
      <c r="AK144" s="2">
        <v>275</v>
      </c>
      <c r="AL144" s="2">
        <v>142</v>
      </c>
      <c r="AM144" s="2">
        <v>257</v>
      </c>
      <c r="AN144" s="2">
        <v>450</v>
      </c>
      <c r="AO144" s="2">
        <v>642</v>
      </c>
      <c r="AP144" s="2">
        <v>529</v>
      </c>
      <c r="AQ144" s="2">
        <v>287</v>
      </c>
      <c r="AR144" s="2">
        <v>93</v>
      </c>
      <c r="AS144" s="2">
        <v>2675</v>
      </c>
      <c r="AU144" t="s">
        <v>12</v>
      </c>
      <c r="AV144" s="2">
        <v>177</v>
      </c>
      <c r="AW144" s="2">
        <v>98</v>
      </c>
      <c r="AX144" s="2">
        <v>183</v>
      </c>
      <c r="AY144" s="2">
        <v>348</v>
      </c>
      <c r="AZ144" s="2">
        <v>623</v>
      </c>
      <c r="BA144" s="2">
        <v>441</v>
      </c>
      <c r="BB144" s="2">
        <v>237</v>
      </c>
      <c r="BC144" s="2">
        <v>149</v>
      </c>
      <c r="BD144" s="2">
        <v>2256</v>
      </c>
      <c r="BF144" t="s">
        <v>12</v>
      </c>
      <c r="BG144" s="2">
        <v>177</v>
      </c>
      <c r="BH144" s="2">
        <v>98</v>
      </c>
      <c r="BI144" s="2">
        <v>183</v>
      </c>
      <c r="BJ144" s="2">
        <v>348</v>
      </c>
      <c r="BK144" s="2">
        <v>623</v>
      </c>
      <c r="BL144" s="2">
        <v>441</v>
      </c>
      <c r="BM144" s="2">
        <v>237</v>
      </c>
      <c r="BN144" s="2">
        <v>149</v>
      </c>
      <c r="BO144" s="2">
        <v>2256</v>
      </c>
      <c r="BQ144" t="s">
        <v>12</v>
      </c>
      <c r="BR144" s="2">
        <v>183</v>
      </c>
      <c r="BS144" s="2">
        <v>89</v>
      </c>
      <c r="BT144" s="2">
        <v>166</v>
      </c>
      <c r="BU144" s="2">
        <v>327</v>
      </c>
      <c r="BV144" s="2">
        <v>559</v>
      </c>
      <c r="BW144" s="2">
        <v>459</v>
      </c>
      <c r="BX144" s="2">
        <v>228</v>
      </c>
      <c r="BY144" s="2">
        <v>227</v>
      </c>
      <c r="BZ144" s="2">
        <v>2238</v>
      </c>
      <c r="CB144">
        <v>2238</v>
      </c>
      <c r="CC144" s="2"/>
      <c r="CD144" s="2"/>
      <c r="CE144" s="2"/>
      <c r="CF144" s="2"/>
      <c r="CG144" s="2"/>
      <c r="CH144" s="2"/>
      <c r="CI144" s="2"/>
      <c r="CJ144" s="2"/>
    </row>
    <row r="145" spans="3:111" x14ac:dyDescent="0.2">
      <c r="C145" t="s">
        <v>13</v>
      </c>
      <c r="D145" s="2">
        <v>2</v>
      </c>
      <c r="E145" s="2">
        <v>1</v>
      </c>
      <c r="F145" s="2">
        <v>14</v>
      </c>
      <c r="G145" s="2">
        <v>73</v>
      </c>
      <c r="H145" s="2">
        <v>220</v>
      </c>
      <c r="I145" s="2">
        <v>73</v>
      </c>
      <c r="J145" s="2">
        <v>46</v>
      </c>
      <c r="K145" s="2"/>
      <c r="L145" s="2">
        <v>429</v>
      </c>
      <c r="N145" t="s">
        <v>13</v>
      </c>
      <c r="O145" s="2">
        <v>3</v>
      </c>
      <c r="P145" s="2">
        <v>1</v>
      </c>
      <c r="Q145" s="2">
        <v>13</v>
      </c>
      <c r="R145" s="2">
        <v>66</v>
      </c>
      <c r="S145" s="2">
        <v>217</v>
      </c>
      <c r="T145" s="2">
        <v>74</v>
      </c>
      <c r="U145" s="2">
        <v>63</v>
      </c>
      <c r="V145" s="2"/>
      <c r="W145" s="2">
        <v>439</v>
      </c>
      <c r="Y145" t="s">
        <v>13</v>
      </c>
      <c r="Z145" s="2">
        <v>4</v>
      </c>
      <c r="AA145" s="2">
        <v>2</v>
      </c>
      <c r="AB145" s="2">
        <v>11</v>
      </c>
      <c r="AC145" s="2">
        <v>72</v>
      </c>
      <c r="AD145" s="2">
        <v>204</v>
      </c>
      <c r="AE145" s="2">
        <v>74</v>
      </c>
      <c r="AF145" s="2">
        <v>76</v>
      </c>
      <c r="AG145" s="2">
        <v>7</v>
      </c>
      <c r="AH145" s="2">
        <v>450</v>
      </c>
      <c r="AJ145" t="s">
        <v>13</v>
      </c>
      <c r="AK145" s="2">
        <v>3</v>
      </c>
      <c r="AL145" s="2">
        <v>0</v>
      </c>
      <c r="AM145" s="2">
        <v>12</v>
      </c>
      <c r="AN145" s="2">
        <v>61</v>
      </c>
      <c r="AO145" s="2">
        <v>199</v>
      </c>
      <c r="AP145" s="2">
        <v>84</v>
      </c>
      <c r="AQ145" s="2">
        <v>74</v>
      </c>
      <c r="AR145" s="2">
        <v>19</v>
      </c>
      <c r="AS145" s="2">
        <v>452</v>
      </c>
      <c r="AU145" t="s">
        <v>13</v>
      </c>
      <c r="AV145" s="2">
        <v>4</v>
      </c>
      <c r="AW145" s="2">
        <v>0</v>
      </c>
      <c r="AX145" s="2">
        <v>5</v>
      </c>
      <c r="AY145" s="2">
        <v>41</v>
      </c>
      <c r="AZ145" s="2">
        <v>154</v>
      </c>
      <c r="BA145" s="2">
        <v>86</v>
      </c>
      <c r="BB145" s="2">
        <v>93</v>
      </c>
      <c r="BC145" s="2">
        <v>54</v>
      </c>
      <c r="BD145" s="2">
        <v>437</v>
      </c>
      <c r="BF145" t="s">
        <v>13</v>
      </c>
      <c r="BG145" s="2">
        <v>4</v>
      </c>
      <c r="BH145" s="2">
        <v>0</v>
      </c>
      <c r="BI145" s="2">
        <v>5</v>
      </c>
      <c r="BJ145" s="2">
        <v>41</v>
      </c>
      <c r="BK145" s="2">
        <v>154</v>
      </c>
      <c r="BL145" s="2">
        <v>86</v>
      </c>
      <c r="BM145" s="2">
        <v>93</v>
      </c>
      <c r="BN145" s="2">
        <v>54</v>
      </c>
      <c r="BO145" s="2">
        <v>437</v>
      </c>
      <c r="BQ145" t="s">
        <v>13</v>
      </c>
      <c r="BR145" s="2">
        <v>4</v>
      </c>
      <c r="BS145" s="2">
        <v>0</v>
      </c>
      <c r="BT145" s="2">
        <v>3</v>
      </c>
      <c r="BU145" s="2">
        <v>28</v>
      </c>
      <c r="BV145" s="2">
        <v>119</v>
      </c>
      <c r="BW145" s="2">
        <v>81</v>
      </c>
      <c r="BX145" s="2">
        <v>84</v>
      </c>
      <c r="BY145" s="2">
        <v>44</v>
      </c>
      <c r="BZ145" s="2">
        <v>363</v>
      </c>
      <c r="CB145">
        <v>363</v>
      </c>
      <c r="CC145" s="2"/>
      <c r="CD145" s="2"/>
      <c r="CE145" s="2"/>
      <c r="CF145" s="2"/>
      <c r="CG145" s="2"/>
      <c r="CH145" s="2"/>
      <c r="CI145" s="2"/>
      <c r="CJ145" s="2"/>
    </row>
    <row r="146" spans="3:111" x14ac:dyDescent="0.2">
      <c r="C146" t="s">
        <v>14</v>
      </c>
      <c r="D146" s="2">
        <v>585</v>
      </c>
      <c r="E146" s="2">
        <v>441</v>
      </c>
      <c r="F146" s="2">
        <v>786</v>
      </c>
      <c r="G146" s="2">
        <v>837</v>
      </c>
      <c r="H146" s="2">
        <v>1223</v>
      </c>
      <c r="I146" s="2">
        <v>735</v>
      </c>
      <c r="J146" s="2">
        <v>687</v>
      </c>
      <c r="K146" s="2"/>
      <c r="L146" s="2">
        <v>5294</v>
      </c>
      <c r="N146" t="s">
        <v>14</v>
      </c>
      <c r="O146" s="2">
        <v>977</v>
      </c>
      <c r="P146" s="2">
        <v>662</v>
      </c>
      <c r="Q146" s="2">
        <v>1203</v>
      </c>
      <c r="R146" s="2">
        <v>1343</v>
      </c>
      <c r="S146" s="2">
        <v>1883</v>
      </c>
      <c r="T146" s="2">
        <v>1337</v>
      </c>
      <c r="U146" s="2">
        <v>1217</v>
      </c>
      <c r="V146" s="2"/>
      <c r="W146" s="2">
        <v>8624</v>
      </c>
      <c r="Y146" t="s">
        <v>14</v>
      </c>
      <c r="Z146" s="2">
        <v>853</v>
      </c>
      <c r="AA146" s="2">
        <v>567</v>
      </c>
      <c r="AB146" s="2">
        <v>985</v>
      </c>
      <c r="AC146" s="2">
        <v>1242</v>
      </c>
      <c r="AD146" s="2">
        <v>1855</v>
      </c>
      <c r="AE146" s="2">
        <v>1332</v>
      </c>
      <c r="AF146" s="2">
        <v>1333</v>
      </c>
      <c r="AG146" s="2">
        <v>181</v>
      </c>
      <c r="AH146" s="2">
        <v>8348</v>
      </c>
      <c r="AJ146" t="s">
        <v>14</v>
      </c>
      <c r="AK146" s="2">
        <v>1084</v>
      </c>
      <c r="AL146" s="2">
        <v>713</v>
      </c>
      <c r="AM146" s="2">
        <v>1263</v>
      </c>
      <c r="AN146" s="2">
        <v>1416</v>
      </c>
      <c r="AO146" s="2">
        <v>2066</v>
      </c>
      <c r="AP146" s="2">
        <v>1493</v>
      </c>
      <c r="AQ146" s="2">
        <v>1568</v>
      </c>
      <c r="AR146" s="2">
        <v>508</v>
      </c>
      <c r="AS146" s="2">
        <v>10111</v>
      </c>
      <c r="AU146" t="s">
        <v>14</v>
      </c>
      <c r="AV146" s="2">
        <v>799</v>
      </c>
      <c r="AW146" s="2">
        <v>556</v>
      </c>
      <c r="AX146" s="2">
        <v>941</v>
      </c>
      <c r="AY146" s="2">
        <v>1161</v>
      </c>
      <c r="AZ146" s="2">
        <v>1960</v>
      </c>
      <c r="BA146" s="2">
        <v>1292</v>
      </c>
      <c r="BB146" s="2">
        <v>1300</v>
      </c>
      <c r="BC146" s="2">
        <v>778</v>
      </c>
      <c r="BD146" s="2">
        <v>8787</v>
      </c>
      <c r="BF146" t="s">
        <v>14</v>
      </c>
      <c r="BG146" s="2">
        <v>799</v>
      </c>
      <c r="BH146" s="2">
        <v>556</v>
      </c>
      <c r="BI146" s="2">
        <v>941</v>
      </c>
      <c r="BJ146" s="2">
        <v>1161</v>
      </c>
      <c r="BK146" s="2">
        <v>1960</v>
      </c>
      <c r="BL146" s="2">
        <v>1292</v>
      </c>
      <c r="BM146" s="2">
        <v>1300</v>
      </c>
      <c r="BN146" s="2">
        <v>778</v>
      </c>
      <c r="BO146" s="2">
        <v>8787</v>
      </c>
      <c r="BQ146" t="s">
        <v>14</v>
      </c>
      <c r="BR146" s="2">
        <v>728</v>
      </c>
      <c r="BS146" s="2">
        <v>476</v>
      </c>
      <c r="BT146" s="2">
        <v>845</v>
      </c>
      <c r="BU146" s="2">
        <v>1026</v>
      </c>
      <c r="BV146" s="2">
        <v>1656</v>
      </c>
      <c r="BW146" s="2">
        <v>1214</v>
      </c>
      <c r="BX146" s="2">
        <v>1172</v>
      </c>
      <c r="BY146" s="2">
        <v>1208</v>
      </c>
      <c r="BZ146" s="2">
        <v>8325</v>
      </c>
      <c r="CB146">
        <v>8325</v>
      </c>
    </row>
    <row r="147" spans="3:111" x14ac:dyDescent="0.2">
      <c r="AV147" t="s">
        <v>26</v>
      </c>
      <c r="AW147" t="s">
        <v>26</v>
      </c>
      <c r="AX147" t="s">
        <v>26</v>
      </c>
      <c r="AY147" t="s">
        <v>26</v>
      </c>
      <c r="AZ147" t="s">
        <v>26</v>
      </c>
      <c r="BG147" t="s">
        <v>26</v>
      </c>
      <c r="BH147" t="s">
        <v>26</v>
      </c>
      <c r="BI147" t="s">
        <v>26</v>
      </c>
      <c r="BJ147" t="s">
        <v>26</v>
      </c>
      <c r="BK147" t="s">
        <v>26</v>
      </c>
      <c r="CC147" s="3"/>
    </row>
    <row r="148" spans="3:111" x14ac:dyDescent="0.2">
      <c r="C148" t="s">
        <v>17</v>
      </c>
      <c r="E148" s="3">
        <v>31.108342066829152</v>
      </c>
      <c r="N148" t="s">
        <v>17</v>
      </c>
      <c r="P148" s="3">
        <v>34.788718808178864</v>
      </c>
      <c r="Y148" t="s">
        <v>17</v>
      </c>
      <c r="AA148" s="3">
        <v>36.767150139604453</v>
      </c>
      <c r="AJ148" t="s">
        <v>17</v>
      </c>
      <c r="AL148" s="3">
        <v>37.84717773647882</v>
      </c>
      <c r="AU148" t="s">
        <v>17</v>
      </c>
      <c r="AW148" s="3">
        <v>40.646768115959183</v>
      </c>
      <c r="AX148" t="s">
        <v>26</v>
      </c>
      <c r="AY148" t="s">
        <v>26</v>
      </c>
      <c r="AZ148" t="s">
        <v>26</v>
      </c>
      <c r="BF148" t="s">
        <v>17</v>
      </c>
      <c r="BH148" s="3">
        <v>40.646768115959183</v>
      </c>
      <c r="BI148" t="s">
        <v>26</v>
      </c>
      <c r="BJ148" t="s">
        <v>26</v>
      </c>
      <c r="BK148" t="s">
        <v>26</v>
      </c>
      <c r="BQ148" t="s">
        <v>17</v>
      </c>
      <c r="BS148" s="3">
        <v>43.311182902224772</v>
      </c>
    </row>
    <row r="149" spans="3:111" ht="15.75" x14ac:dyDescent="0.25">
      <c r="BP149" s="6"/>
      <c r="CA149" s="6"/>
    </row>
    <row r="152" spans="3:111" x14ac:dyDescent="0.2">
      <c r="BP152" s="1"/>
      <c r="BY152" s="2"/>
      <c r="CA152" s="1"/>
      <c r="CE152">
        <v>1989</v>
      </c>
      <c r="CO152" t="s">
        <v>31</v>
      </c>
      <c r="CY152">
        <f>CY5</f>
        <v>0</v>
      </c>
    </row>
    <row r="153" spans="3:111" x14ac:dyDescent="0.2">
      <c r="BQ153" s="2"/>
      <c r="BR153" s="2"/>
      <c r="BS153" s="2"/>
      <c r="BT153" s="2"/>
      <c r="BU153" s="2"/>
      <c r="BV153" s="2"/>
      <c r="BW153" s="2"/>
      <c r="BX153" s="2"/>
      <c r="BY153" s="2"/>
      <c r="CB153" s="2"/>
      <c r="CC153" s="2"/>
      <c r="CD153" s="2"/>
      <c r="CE153">
        <v>1991</v>
      </c>
      <c r="CO153" t="str">
        <f>CO6</f>
        <v>Actual</v>
      </c>
      <c r="CP153" t="str">
        <f>CP6</f>
        <v>Predicted</v>
      </c>
      <c r="CY153">
        <f>CY6</f>
        <v>0</v>
      </c>
      <c r="CZ153">
        <f>CZ6</f>
        <v>0</v>
      </c>
    </row>
    <row r="154" spans="3:111" x14ac:dyDescent="0.2">
      <c r="BQ154" s="2"/>
      <c r="BR154" s="2"/>
      <c r="BS154" s="2"/>
      <c r="BT154" s="2"/>
      <c r="BU154" s="2"/>
      <c r="BV154" s="2"/>
      <c r="BW154" s="2"/>
      <c r="BX154" s="2"/>
      <c r="BY154" s="2"/>
      <c r="CB154" s="2"/>
      <c r="CC154" s="2"/>
      <c r="CD154" s="2"/>
      <c r="CE154">
        <v>1993</v>
      </c>
      <c r="CN154">
        <f>CE42</f>
        <v>2009</v>
      </c>
    </row>
    <row r="155" spans="3:111" x14ac:dyDescent="0.2">
      <c r="BQ155" s="2"/>
      <c r="BR155" s="2"/>
      <c r="BS155" s="2"/>
      <c r="BT155" s="2"/>
      <c r="BU155" s="2"/>
      <c r="BV155" s="2"/>
      <c r="BW155" s="2"/>
      <c r="BX155" s="2"/>
      <c r="BY155" s="2"/>
      <c r="CB155" s="2"/>
      <c r="CC155" s="2"/>
      <c r="CD155" s="2"/>
      <c r="CE155">
        <v>1995</v>
      </c>
      <c r="CN155">
        <f>CE43</f>
        <v>0</v>
      </c>
    </row>
    <row r="156" spans="3:111" x14ac:dyDescent="0.2">
      <c r="BQ156" s="2"/>
      <c r="BR156" s="2"/>
      <c r="BS156" s="2"/>
      <c r="BT156" s="2"/>
      <c r="BU156" s="2"/>
      <c r="BV156" s="2"/>
      <c r="BW156" s="2"/>
      <c r="BX156" s="2"/>
      <c r="BY156" s="2"/>
      <c r="CB156" s="2"/>
      <c r="CC156" s="2"/>
      <c r="CD156" s="2"/>
      <c r="CE156" s="11">
        <f t="shared" ref="CE156:CL163" si="74">CE7</f>
        <v>1997</v>
      </c>
      <c r="CF156" s="2">
        <f t="shared" si="74"/>
        <v>13238.675573965274</v>
      </c>
      <c r="CG156" s="2">
        <f t="shared" si="74"/>
        <v>5697.0200151893705</v>
      </c>
      <c r="CH156" s="2">
        <f t="shared" si="74"/>
        <v>10383.325308685691</v>
      </c>
      <c r="CI156" s="2">
        <f t="shared" si="74"/>
        <v>10044.144882481836</v>
      </c>
      <c r="CJ156" s="2">
        <f t="shared" si="74"/>
        <v>12384.14874034989</v>
      </c>
      <c r="CK156" s="2">
        <f t="shared" si="74"/>
        <v>8876.9727430982784</v>
      </c>
      <c r="CL156" s="2">
        <f t="shared" si="74"/>
        <v>7327.0950881031804</v>
      </c>
      <c r="CN156">
        <f>CE152</f>
        <v>1989</v>
      </c>
    </row>
    <row r="157" spans="3:111" x14ac:dyDescent="0.2">
      <c r="BQ157" s="2"/>
      <c r="BR157" s="2"/>
      <c r="BS157" s="2"/>
      <c r="BT157" s="2"/>
      <c r="BU157" s="2"/>
      <c r="BV157" s="2"/>
      <c r="BW157" s="2"/>
      <c r="BX157" s="2"/>
      <c r="BY157" s="2"/>
      <c r="CB157" s="2"/>
      <c r="CC157" s="2"/>
      <c r="CD157" s="2"/>
      <c r="CE157" s="11">
        <f t="shared" si="74"/>
        <v>1999</v>
      </c>
      <c r="CF157" s="2">
        <f t="shared" si="74"/>
        <v>13731.725805588263</v>
      </c>
      <c r="CG157" s="2">
        <f t="shared" si="74"/>
        <v>5890.630524605147</v>
      </c>
      <c r="CH157" s="2">
        <f t="shared" si="74"/>
        <v>10393.762094314892</v>
      </c>
      <c r="CI157" s="2">
        <f t="shared" si="74"/>
        <v>10272.317825172686</v>
      </c>
      <c r="CJ157" s="2">
        <f t="shared" si="74"/>
        <v>12848.628085373453</v>
      </c>
      <c r="CK157" s="2">
        <f t="shared" si="74"/>
        <v>8834.1477718180067</v>
      </c>
      <c r="CL157" s="2">
        <f t="shared" si="74"/>
        <v>9527.7993463470375</v>
      </c>
      <c r="CN157">
        <f>CE153</f>
        <v>1991</v>
      </c>
    </row>
    <row r="158" spans="3:111" x14ac:dyDescent="0.2">
      <c r="BQ158" s="2"/>
      <c r="BR158" s="2"/>
      <c r="BS158" s="2"/>
      <c r="BT158" s="2"/>
      <c r="BU158" s="2"/>
      <c r="BV158" s="2"/>
      <c r="BW158" s="2"/>
      <c r="BX158" s="2"/>
      <c r="BY158" s="2"/>
      <c r="CB158" s="2"/>
      <c r="CC158" s="2"/>
      <c r="CD158" s="2"/>
      <c r="CE158" s="11">
        <f t="shared" si="74"/>
        <v>2001</v>
      </c>
      <c r="CF158" s="2">
        <f t="shared" si="74"/>
        <v>13789.339534451954</v>
      </c>
      <c r="CG158" s="2">
        <f t="shared" si="74"/>
        <v>5828.8465457168131</v>
      </c>
      <c r="CH158" s="2">
        <f t="shared" si="74"/>
        <v>10535.531481864553</v>
      </c>
      <c r="CI158" s="2">
        <f t="shared" si="74"/>
        <v>10345.51575882086</v>
      </c>
      <c r="CJ158" s="2">
        <f t="shared" si="74"/>
        <v>13273.609398621491</v>
      </c>
      <c r="CK158" s="2">
        <f t="shared" si="74"/>
        <v>8932.7566775058731</v>
      </c>
      <c r="CL158" s="2">
        <f t="shared" si="74"/>
        <v>9912.1062027953794</v>
      </c>
      <c r="CN158">
        <f>CE154</f>
        <v>1993</v>
      </c>
    </row>
    <row r="159" spans="3:111" x14ac:dyDescent="0.2">
      <c r="BQ159" s="2"/>
      <c r="BR159" s="2"/>
      <c r="BS159" s="2"/>
      <c r="BT159" s="2"/>
      <c r="BU159" s="2"/>
      <c r="BV159" s="2"/>
      <c r="BW159" s="2"/>
      <c r="BX159" s="2"/>
      <c r="BY159" s="2"/>
      <c r="CB159" s="2"/>
      <c r="CC159" s="2"/>
      <c r="CD159" s="2"/>
      <c r="CE159" s="11">
        <f t="shared" si="74"/>
        <v>2003</v>
      </c>
      <c r="CF159" s="2">
        <f t="shared" si="74"/>
        <v>11401.696009983711</v>
      </c>
      <c r="CG159" s="2">
        <f t="shared" si="74"/>
        <v>4827.8687214986767</v>
      </c>
      <c r="CH159" s="2">
        <f t="shared" si="74"/>
        <v>8665.2082190328711</v>
      </c>
      <c r="CI159" s="2">
        <f t="shared" si="74"/>
        <v>8551.3783304057306</v>
      </c>
      <c r="CJ159" s="2">
        <f t="shared" si="74"/>
        <v>11094.551894367072</v>
      </c>
      <c r="CK159" s="2">
        <f t="shared" si="74"/>
        <v>7727.0187700456236</v>
      </c>
      <c r="CL159" s="2">
        <f t="shared" si="74"/>
        <v>10365.44176412544</v>
      </c>
      <c r="CN159">
        <f>CE155</f>
        <v>1995</v>
      </c>
    </row>
    <row r="160" spans="3:111" x14ac:dyDescent="0.2">
      <c r="BP160" s="1"/>
      <c r="BQ160" s="2"/>
      <c r="BR160" s="2"/>
      <c r="BS160" s="2"/>
      <c r="BT160" s="2"/>
      <c r="BU160" s="2"/>
      <c r="BV160" s="2"/>
      <c r="BW160" s="2"/>
      <c r="BX160" s="2"/>
      <c r="BY160" s="2"/>
      <c r="CA160" s="1"/>
      <c r="CB160" s="2"/>
      <c r="CC160" s="2"/>
      <c r="CD160" s="2"/>
      <c r="CE160" s="11">
        <f t="shared" si="74"/>
        <v>2005</v>
      </c>
      <c r="CF160" s="2">
        <f t="shared" si="74"/>
        <v>10753.951476837317</v>
      </c>
      <c r="CG160" s="2">
        <f t="shared" si="74"/>
        <v>4674.4401837973646</v>
      </c>
      <c r="CH160" s="2">
        <f t="shared" si="74"/>
        <v>8413.825297271027</v>
      </c>
      <c r="CI160" s="2">
        <f t="shared" si="74"/>
        <v>8345.6027434721782</v>
      </c>
      <c r="CJ160" s="2">
        <f t="shared" si="74"/>
        <v>11576.563220518887</v>
      </c>
      <c r="CK160" s="2">
        <f t="shared" si="74"/>
        <v>7327.6660439064726</v>
      </c>
      <c r="CL160" s="2">
        <f t="shared" si="74"/>
        <v>8829.9476182295457</v>
      </c>
      <c r="CN160" s="11">
        <f t="shared" ref="CN160:CW167" si="75">CN7</f>
        <v>1997</v>
      </c>
      <c r="CO160" s="2">
        <f t="shared" si="75"/>
        <v>60624.28726377034</v>
      </c>
      <c r="CP160">
        <f t="shared" si="75"/>
        <v>60381.521584820293</v>
      </c>
      <c r="CQ160">
        <f t="shared" si="75"/>
        <v>11.012450871696785</v>
      </c>
      <c r="CR160">
        <f t="shared" si="75"/>
        <v>0</v>
      </c>
      <c r="CS160">
        <f t="shared" si="75"/>
        <v>11.012450871696785</v>
      </c>
      <c r="CT160">
        <f t="shared" si="75"/>
        <v>11.008438403089391</v>
      </c>
      <c r="CU160">
        <f t="shared" si="75"/>
        <v>0</v>
      </c>
      <c r="CV160">
        <f t="shared" si="75"/>
        <v>-6.9537728640026546E-3</v>
      </c>
      <c r="CW160">
        <f t="shared" si="75"/>
        <v>11.008438403089391</v>
      </c>
      <c r="CY160" s="2">
        <f t="shared" ref="CY160:DG167" si="76">CY7</f>
        <v>0</v>
      </c>
      <c r="CZ160">
        <f t="shared" si="76"/>
        <v>1997</v>
      </c>
      <c r="DA160">
        <f t="shared" si="76"/>
        <v>6166.0808005615136</v>
      </c>
      <c r="DB160">
        <f t="shared" si="76"/>
        <v>1608.0287468728714</v>
      </c>
      <c r="DC160">
        <f t="shared" si="76"/>
        <v>1974.0038961175023</v>
      </c>
      <c r="DD160">
        <f t="shared" si="76"/>
        <v>3537.2808487035782</v>
      </c>
      <c r="DE160">
        <f t="shared" si="76"/>
        <v>5814.3768939900547</v>
      </c>
      <c r="DF160">
        <f t="shared" si="76"/>
        <v>4331.8750069505513</v>
      </c>
      <c r="DG160">
        <f t="shared" si="76"/>
        <v>1556.818229577101</v>
      </c>
    </row>
    <row r="161" spans="68:111" x14ac:dyDescent="0.2">
      <c r="BQ161" s="2"/>
      <c r="BR161" s="2"/>
      <c r="BS161" s="2"/>
      <c r="BT161" s="2"/>
      <c r="BU161" s="2"/>
      <c r="BV161" s="2"/>
      <c r="BW161" s="2"/>
      <c r="BX161" s="2"/>
      <c r="BY161" s="2"/>
      <c r="CB161" s="2"/>
      <c r="CC161" s="2"/>
      <c r="CD161" s="2"/>
      <c r="CE161" s="11">
        <f t="shared" si="74"/>
        <v>2007</v>
      </c>
      <c r="CF161" s="2">
        <f t="shared" si="74"/>
        <v>12078.063377388717</v>
      </c>
      <c r="CG161" s="2">
        <f t="shared" si="74"/>
        <v>5429.1595781670403</v>
      </c>
      <c r="CH161" s="2">
        <f t="shared" si="74"/>
        <v>9802.8829778502059</v>
      </c>
      <c r="CI161" s="2">
        <f t="shared" si="74"/>
        <v>9557.115396180654</v>
      </c>
      <c r="CJ161" s="2">
        <f t="shared" si="74"/>
        <v>13360.712287146218</v>
      </c>
      <c r="CK161" s="2">
        <f t="shared" si="74"/>
        <v>8673.202046190574</v>
      </c>
      <c r="CL161" s="2">
        <f t="shared" si="74"/>
        <v>9576.7934702747243</v>
      </c>
      <c r="CN161" s="11">
        <f t="shared" si="75"/>
        <v>1999</v>
      </c>
      <c r="CO161" s="2">
        <f t="shared" si="75"/>
        <v>61971.212106872452</v>
      </c>
      <c r="CP161">
        <f t="shared" si="75"/>
        <v>59547.575326879902</v>
      </c>
      <c r="CQ161">
        <f t="shared" si="75"/>
        <v>11.034425235340024</v>
      </c>
      <c r="CR161">
        <f t="shared" si="75"/>
        <v>2</v>
      </c>
      <c r="CS161">
        <f t="shared" si="75"/>
        <v>11.034425235340024</v>
      </c>
      <c r="CT161">
        <f t="shared" si="75"/>
        <v>10.994530857361386</v>
      </c>
      <c r="CU161">
        <f t="shared" si="75"/>
        <v>0</v>
      </c>
      <c r="CV161">
        <f t="shared" si="75"/>
        <v>7.8402146698374961E-3</v>
      </c>
      <c r="CW161">
        <f t="shared" si="75"/>
        <v>5.6536592005488127E-2</v>
      </c>
      <c r="CY161" s="2">
        <f t="shared" si="76"/>
        <v>0</v>
      </c>
      <c r="CZ161">
        <f t="shared" si="76"/>
        <v>1999</v>
      </c>
      <c r="DA161">
        <f t="shared" si="76"/>
        <v>5759.8137758875009</v>
      </c>
      <c r="DB161">
        <f t="shared" si="76"/>
        <v>1519.3258619064379</v>
      </c>
      <c r="DC161">
        <f t="shared" si="76"/>
        <v>1797.9806068493858</v>
      </c>
      <c r="DD161">
        <f t="shared" si="76"/>
        <v>3354.406284914096</v>
      </c>
      <c r="DE161">
        <f t="shared" si="76"/>
        <v>5659.8456081821523</v>
      </c>
      <c r="DF161">
        <f t="shared" si="76"/>
        <v>4403.1582061558338</v>
      </c>
      <c r="DG161">
        <f t="shared" si="76"/>
        <v>2021.0920180915298</v>
      </c>
    </row>
    <row r="162" spans="68:111" x14ac:dyDescent="0.2">
      <c r="BQ162" s="2"/>
      <c r="BR162" s="2"/>
      <c r="BS162" s="2"/>
      <c r="BT162" s="2"/>
      <c r="BU162" s="2"/>
      <c r="BV162" s="2"/>
      <c r="BW162" s="2"/>
      <c r="BX162" s="2"/>
      <c r="BY162" s="2"/>
      <c r="CB162" s="2"/>
      <c r="CC162" s="2"/>
      <c r="CD162" s="2"/>
      <c r="CE162" s="11">
        <f t="shared" si="74"/>
        <v>2009</v>
      </c>
      <c r="CF162" s="2">
        <f t="shared" si="74"/>
        <v>12070.971824672715</v>
      </c>
      <c r="CG162" s="2">
        <f t="shared" si="74"/>
        <v>5406.101715699635</v>
      </c>
      <c r="CH162" s="2">
        <f t="shared" si="74"/>
        <v>10035.850078851259</v>
      </c>
      <c r="CI162" s="2">
        <f t="shared" si="74"/>
        <v>9691.9670145747459</v>
      </c>
      <c r="CJ162" s="2">
        <f t="shared" si="74"/>
        <v>13131.638337768671</v>
      </c>
      <c r="CK162" s="2">
        <f t="shared" si="74"/>
        <v>8634.0608837270975</v>
      </c>
      <c r="CL162" s="2">
        <f t="shared" si="74"/>
        <v>9439.5839263324015</v>
      </c>
      <c r="CN162" s="11">
        <f t="shared" si="75"/>
        <v>2001</v>
      </c>
      <c r="CO162" s="2">
        <f t="shared" si="75"/>
        <v>62705.599396981546</v>
      </c>
      <c r="CP162">
        <f t="shared" si="75"/>
        <v>58725.146936374324</v>
      </c>
      <c r="CQ162">
        <f t="shared" si="75"/>
        <v>11.046206027210653</v>
      </c>
      <c r="CR162">
        <f t="shared" si="75"/>
        <v>4</v>
      </c>
      <c r="CS162">
        <f t="shared" si="75"/>
        <v>11.046206027210653</v>
      </c>
      <c r="CT162">
        <f t="shared" si="75"/>
        <v>10.98062331163338</v>
      </c>
      <c r="CU162">
        <f t="shared" si="75"/>
        <v>0</v>
      </c>
      <c r="CV162">
        <f t="shared" si="75"/>
        <v>0.1359431710628127</v>
      </c>
      <c r="CW162">
        <f t="shared" si="75"/>
        <v>8.2973032967001578E-2</v>
      </c>
      <c r="CY162" s="2">
        <f t="shared" si="76"/>
        <v>0</v>
      </c>
      <c r="CZ162">
        <f t="shared" si="76"/>
        <v>2001</v>
      </c>
      <c r="DA162">
        <f t="shared" si="76"/>
        <v>5375.390605161022</v>
      </c>
      <c r="DB162">
        <f t="shared" si="76"/>
        <v>1425.8982580970769</v>
      </c>
      <c r="DC162">
        <f t="shared" si="76"/>
        <v>1864.9057159787992</v>
      </c>
      <c r="DD162">
        <f t="shared" si="76"/>
        <v>3456.4629761369074</v>
      </c>
      <c r="DE162">
        <f t="shared" si="76"/>
        <v>5550.1231868986506</v>
      </c>
      <c r="DF162">
        <f t="shared" si="76"/>
        <v>4365.8980092340289</v>
      </c>
      <c r="DG162">
        <f t="shared" si="76"/>
        <v>2190.3728615456898</v>
      </c>
    </row>
    <row r="163" spans="68:111" x14ac:dyDescent="0.2">
      <c r="BQ163" s="2"/>
      <c r="BR163" s="2"/>
      <c r="BS163" s="2"/>
      <c r="BT163" s="2"/>
      <c r="BU163" s="2"/>
      <c r="BV163" s="2"/>
      <c r="BW163" s="2"/>
      <c r="BX163" s="2"/>
      <c r="BY163" s="2"/>
      <c r="CB163" s="2"/>
      <c r="CC163" s="2"/>
      <c r="CD163" s="2"/>
      <c r="CE163" s="11">
        <f t="shared" si="74"/>
        <v>0</v>
      </c>
      <c r="CF163" s="12">
        <f t="shared" si="74"/>
        <v>0.87905715534753193</v>
      </c>
      <c r="CG163" s="12">
        <f t="shared" si="74"/>
        <v>0.91774584963670081</v>
      </c>
      <c r="CH163" s="12">
        <f t="shared" si="74"/>
        <v>0.96556472890028899</v>
      </c>
      <c r="CI163" s="12">
        <f t="shared" si="74"/>
        <v>0.94350342147944743</v>
      </c>
      <c r="CJ163" s="12">
        <f t="shared" si="74"/>
        <v>1.022026495787312</v>
      </c>
      <c r="CK163" s="12">
        <f t="shared" si="74"/>
        <v>0.9773507424531418</v>
      </c>
      <c r="CL163" s="12">
        <f t="shared" si="74"/>
        <v>0.99074125967519899</v>
      </c>
      <c r="CN163" s="11">
        <f t="shared" si="75"/>
        <v>2003</v>
      </c>
      <c r="CO163" s="2">
        <f t="shared" si="75"/>
        <v>52267.72194533368</v>
      </c>
      <c r="CP163">
        <f t="shared" si="75"/>
        <v>57914.077336781775</v>
      </c>
      <c r="CQ163">
        <f t="shared" si="75"/>
        <v>10.864134288307133</v>
      </c>
      <c r="CR163">
        <f t="shared" si="75"/>
        <v>6</v>
      </c>
      <c r="CS163">
        <f t="shared" si="75"/>
        <v>10.864134288307133</v>
      </c>
      <c r="CT163">
        <f t="shared" si="75"/>
        <v>10.966715765905375</v>
      </c>
      <c r="CU163">
        <f t="shared" si="75"/>
        <v>0</v>
      </c>
      <c r="CV163">
        <f t="shared" si="75"/>
        <v>0.7866564241499393</v>
      </c>
      <c r="CW163">
        <f t="shared" si="75"/>
        <v>5</v>
      </c>
      <c r="CY163" s="2">
        <f t="shared" si="76"/>
        <v>0</v>
      </c>
      <c r="CZ163">
        <f t="shared" si="76"/>
        <v>2003</v>
      </c>
      <c r="DA163">
        <f t="shared" si="76"/>
        <v>4488.3721785049784</v>
      </c>
      <c r="DB163">
        <f t="shared" si="76"/>
        <v>1249.9864695576634</v>
      </c>
      <c r="DC163">
        <f t="shared" si="76"/>
        <v>1553.3023987212409</v>
      </c>
      <c r="DD163">
        <f t="shared" si="76"/>
        <v>2918.2275341376289</v>
      </c>
      <c r="DE163">
        <f t="shared" si="76"/>
        <v>4959.0302202475896</v>
      </c>
      <c r="DF163">
        <f t="shared" si="76"/>
        <v>3518.266219058396</v>
      </c>
      <c r="DG163">
        <f t="shared" si="76"/>
        <v>2142.8868165171134</v>
      </c>
    </row>
    <row r="164" spans="68:111" x14ac:dyDescent="0.2">
      <c r="BQ164" s="2"/>
      <c r="BR164" s="2"/>
      <c r="BS164" s="2"/>
      <c r="BT164" s="2"/>
      <c r="BU164" s="2"/>
      <c r="BV164" s="2"/>
      <c r="BW164" s="2"/>
      <c r="BX164" s="2"/>
      <c r="BY164" s="2"/>
      <c r="CB164" s="2"/>
      <c r="CC164" s="2"/>
      <c r="CD164" s="2"/>
      <c r="CE164" s="2"/>
      <c r="CF164" s="2"/>
      <c r="CG164" s="2"/>
      <c r="CH164" s="2"/>
      <c r="CI164" s="2"/>
      <c r="CJ164" s="2"/>
      <c r="CN164" s="11">
        <f t="shared" si="75"/>
        <v>2005</v>
      </c>
      <c r="CO164" s="2">
        <f t="shared" si="75"/>
        <v>51092.048965803246</v>
      </c>
      <c r="CP164">
        <f t="shared" si="75"/>
        <v>57114.209648630946</v>
      </c>
      <c r="CQ164">
        <f t="shared" si="75"/>
        <v>10.841384166547146</v>
      </c>
      <c r="CR164">
        <f t="shared" si="75"/>
        <v>8</v>
      </c>
      <c r="CS164">
        <f t="shared" si="75"/>
        <v>10.841384166547146</v>
      </c>
      <c r="CT164">
        <f t="shared" si="75"/>
        <v>10.952808220177371</v>
      </c>
      <c r="CU164">
        <f t="shared" si="75"/>
        <v>0</v>
      </c>
      <c r="CV164">
        <f t="shared" si="75"/>
        <v>5.4157551889436537E-3</v>
      </c>
      <c r="CW164">
        <f t="shared" si="75"/>
        <v>3.4422620998715653E-2</v>
      </c>
      <c r="CY164" s="2">
        <f t="shared" si="76"/>
        <v>0</v>
      </c>
      <c r="CZ164">
        <f t="shared" si="76"/>
        <v>2005</v>
      </c>
      <c r="DA164">
        <f t="shared" si="76"/>
        <v>4388.1954489065183</v>
      </c>
      <c r="DB164">
        <f t="shared" si="76"/>
        <v>1131.6410754208607</v>
      </c>
      <c r="DC164">
        <f t="shared" si="76"/>
        <v>1431.8067089736855</v>
      </c>
      <c r="DD164">
        <f t="shared" si="76"/>
        <v>2824.3241485444996</v>
      </c>
      <c r="DE164">
        <f t="shared" si="76"/>
        <v>5765.2767027017117</v>
      </c>
      <c r="DF164">
        <f t="shared" si="76"/>
        <v>3607.2213862492631</v>
      </c>
      <c r="DG164">
        <f t="shared" si="76"/>
        <v>1892.6034517285993</v>
      </c>
    </row>
    <row r="165" spans="68:111" x14ac:dyDescent="0.2">
      <c r="BQ165" s="2"/>
      <c r="BR165" s="2"/>
      <c r="BS165" s="2"/>
      <c r="BT165" s="2"/>
      <c r="BU165" s="2"/>
      <c r="BV165" s="2"/>
      <c r="BW165" s="2"/>
      <c r="BX165" s="2"/>
      <c r="BY165" s="2"/>
      <c r="CB165" s="2"/>
      <c r="CC165" s="2"/>
      <c r="CD165" s="2"/>
      <c r="CE165" s="2"/>
      <c r="CF165" s="2"/>
      <c r="CG165" s="2"/>
      <c r="CH165" s="2"/>
      <c r="CI165" s="2"/>
      <c r="CJ165" s="2"/>
      <c r="CN165" s="11">
        <f t="shared" si="75"/>
        <v>2007</v>
      </c>
      <c r="CO165" s="2">
        <f t="shared" si="75"/>
        <v>58901.135662923407</v>
      </c>
      <c r="CP165">
        <f t="shared" si="75"/>
        <v>56325.389159157239</v>
      </c>
      <c r="CQ165">
        <f t="shared" si="75"/>
        <v>10.983615650657931</v>
      </c>
      <c r="CR165">
        <f t="shared" si="75"/>
        <v>10</v>
      </c>
      <c r="CS165">
        <f t="shared" si="75"/>
        <v>10.983615650657931</v>
      </c>
      <c r="CT165">
        <f t="shared" si="75"/>
        <v>10.938900674449364</v>
      </c>
      <c r="CU165">
        <f t="shared" si="75"/>
        <v>0</v>
      </c>
      <c r="CV165" t="e">
        <f t="shared" si="75"/>
        <v>#N/A</v>
      </c>
      <c r="CW165" t="e">
        <f t="shared" si="75"/>
        <v>#N/A</v>
      </c>
      <c r="CY165" s="2">
        <f t="shared" si="76"/>
        <v>0</v>
      </c>
      <c r="CZ165">
        <f t="shared" si="76"/>
        <v>2007</v>
      </c>
      <c r="DA165">
        <f t="shared" si="76"/>
        <v>5135.8761804665846</v>
      </c>
      <c r="DB165">
        <f t="shared" si="76"/>
        <v>1352.8438240596797</v>
      </c>
      <c r="DC165">
        <f t="shared" si="76"/>
        <v>1652.183367812502</v>
      </c>
      <c r="DD165">
        <f t="shared" si="76"/>
        <v>3453.8515442937687</v>
      </c>
      <c r="DE165">
        <f t="shared" si="76"/>
        <v>6890.5215294910695</v>
      </c>
      <c r="DF165">
        <f t="shared" si="76"/>
        <v>4017.0437280411384</v>
      </c>
      <c r="DG165">
        <f t="shared" si="76"/>
        <v>2099.5647129915405</v>
      </c>
    </row>
    <row r="166" spans="68:111" x14ac:dyDescent="0.2">
      <c r="BQ166" s="2"/>
      <c r="BR166" s="2"/>
      <c r="BS166" s="2"/>
      <c r="BT166" s="2"/>
      <c r="BU166" s="2"/>
      <c r="BV166" s="2"/>
      <c r="BW166" s="2"/>
      <c r="BX166" s="2"/>
      <c r="BY166" s="2"/>
      <c r="CB166" s="2"/>
      <c r="CC166" s="2"/>
      <c r="CD166" s="2"/>
      <c r="CE166" s="2"/>
      <c r="CF166" s="2"/>
      <c r="CG166" s="2"/>
      <c r="CH166" s="2"/>
      <c r="CI166" s="2"/>
      <c r="CJ166" s="2"/>
      <c r="CN166" s="11">
        <f t="shared" si="75"/>
        <v>2009</v>
      </c>
      <c r="CO166" s="2">
        <f t="shared" si="75"/>
        <v>58970.589855294129</v>
      </c>
      <c r="CP166">
        <f t="shared" si="75"/>
        <v>55547.463292378088</v>
      </c>
      <c r="CQ166">
        <f t="shared" si="75"/>
        <v>10.984794121577966</v>
      </c>
      <c r="CR166">
        <f t="shared" si="75"/>
        <v>12</v>
      </c>
      <c r="CS166">
        <f t="shared" si="75"/>
        <v>10.984794121577966</v>
      </c>
      <c r="CT166">
        <f t="shared" si="75"/>
        <v>10.92499312872136</v>
      </c>
      <c r="CU166">
        <f t="shared" si="75"/>
        <v>0</v>
      </c>
      <c r="CV166">
        <f t="shared" si="75"/>
        <v>0</v>
      </c>
      <c r="CW166">
        <f t="shared" si="75"/>
        <v>0</v>
      </c>
      <c r="CY166" s="2">
        <f t="shared" si="76"/>
        <v>0</v>
      </c>
      <c r="CZ166">
        <f t="shared" si="76"/>
        <v>2009</v>
      </c>
      <c r="DA166">
        <f t="shared" si="76"/>
        <v>4762.2398021134541</v>
      </c>
      <c r="DB166">
        <f t="shared" si="76"/>
        <v>1285.1783581023469</v>
      </c>
      <c r="DC166">
        <f t="shared" si="76"/>
        <v>1679.7863224350169</v>
      </c>
      <c r="DD166">
        <f t="shared" si="76"/>
        <v>3232.2716333262219</v>
      </c>
      <c r="DE166">
        <f t="shared" si="76"/>
        <v>6620.0929300840835</v>
      </c>
      <c r="DF166">
        <f t="shared" si="76"/>
        <v>4024.5158034563065</v>
      </c>
      <c r="DG166">
        <f t="shared" si="76"/>
        <v>2109.8537334612402</v>
      </c>
    </row>
    <row r="167" spans="68:111" x14ac:dyDescent="0.2">
      <c r="CN167">
        <f t="shared" si="75"/>
        <v>0</v>
      </c>
      <c r="CO167" s="2">
        <f t="shared" si="75"/>
        <v>0</v>
      </c>
      <c r="CP167">
        <f t="shared" si="75"/>
        <v>0</v>
      </c>
      <c r="CQ167">
        <f t="shared" si="75"/>
        <v>0</v>
      </c>
      <c r="CR167">
        <f t="shared" si="75"/>
        <v>0</v>
      </c>
      <c r="CS167">
        <f t="shared" si="75"/>
        <v>0</v>
      </c>
      <c r="CT167">
        <f t="shared" si="75"/>
        <v>0</v>
      </c>
      <c r="CU167">
        <f t="shared" si="75"/>
        <v>0</v>
      </c>
      <c r="CV167">
        <f t="shared" si="75"/>
        <v>0</v>
      </c>
      <c r="CW167">
        <f t="shared" si="75"/>
        <v>0</v>
      </c>
      <c r="CY167" s="2">
        <f t="shared" si="76"/>
        <v>0</v>
      </c>
      <c r="CZ167">
        <f t="shared" si="76"/>
        <v>0</v>
      </c>
      <c r="DA167">
        <f t="shared" si="76"/>
        <v>0.82680447448661898</v>
      </c>
      <c r="DB167">
        <f t="shared" si="76"/>
        <v>0.84588723875845528</v>
      </c>
      <c r="DC167">
        <f t="shared" si="76"/>
        <v>0.93426275902859623</v>
      </c>
      <c r="DD167">
        <f t="shared" si="76"/>
        <v>0.9635897857283553</v>
      </c>
      <c r="DE167">
        <f t="shared" si="76"/>
        <v>1.1696596317952119</v>
      </c>
      <c r="DF167">
        <f t="shared" si="76"/>
        <v>0.91400663229175672</v>
      </c>
      <c r="DG167">
        <f t="shared" si="76"/>
        <v>1.0439177012106189</v>
      </c>
    </row>
    <row r="168" spans="68:111" x14ac:dyDescent="0.2">
      <c r="BP168" s="1"/>
      <c r="CA168" s="1"/>
    </row>
    <row r="169" spans="68:111" x14ac:dyDescent="0.2">
      <c r="BQ169" s="2"/>
      <c r="BR169" s="2"/>
      <c r="BS169" s="2"/>
      <c r="BT169" s="2"/>
      <c r="BU169" s="2"/>
      <c r="BV169" s="2"/>
      <c r="BW169" s="2"/>
      <c r="BX169" s="2"/>
      <c r="BY169" s="2"/>
      <c r="CB169" s="2"/>
      <c r="CC169" s="2"/>
      <c r="CD169" s="2"/>
      <c r="CE169" s="2"/>
      <c r="CF169" s="2"/>
      <c r="CG169" s="2"/>
      <c r="CH169" s="2"/>
      <c r="CI169" s="2"/>
      <c r="CJ169" s="2"/>
    </row>
    <row r="170" spans="68:111" x14ac:dyDescent="0.2">
      <c r="BQ170" s="2"/>
      <c r="BR170" s="2"/>
      <c r="BS170" s="2"/>
      <c r="BT170" s="2"/>
      <c r="BU170" s="2"/>
      <c r="BV170" s="2"/>
      <c r="BW170" s="2"/>
      <c r="BX170" s="2"/>
      <c r="BY170" s="2"/>
      <c r="CB170" s="2"/>
      <c r="CC170" s="2"/>
      <c r="CD170" s="2"/>
      <c r="CE170" s="2"/>
      <c r="CF170" s="2"/>
      <c r="CG170" s="2"/>
      <c r="CH170" s="2"/>
      <c r="CI170" s="2"/>
      <c r="CJ170" s="2"/>
    </row>
    <row r="171" spans="68:111" x14ac:dyDescent="0.2">
      <c r="BQ171" s="2"/>
      <c r="BR171" s="2"/>
      <c r="BS171" s="2"/>
      <c r="BT171" s="2"/>
      <c r="BU171" s="2"/>
      <c r="BV171" s="2"/>
      <c r="BW171" s="2"/>
      <c r="BX171" s="2"/>
      <c r="BY171" s="2"/>
      <c r="CB171" s="2"/>
      <c r="CC171" s="2"/>
      <c r="CD171" s="2"/>
      <c r="CE171" s="2"/>
      <c r="CF171" s="2"/>
      <c r="CG171" s="2"/>
      <c r="CH171" s="2"/>
      <c r="CI171" s="2"/>
      <c r="CJ171" s="2"/>
    </row>
    <row r="172" spans="68:111" x14ac:dyDescent="0.2">
      <c r="BQ172" s="2"/>
      <c r="BR172" s="2"/>
      <c r="BS172" s="2"/>
      <c r="BT172" s="2"/>
      <c r="BU172" s="2"/>
      <c r="BV172" s="2"/>
      <c r="BW172" s="2"/>
      <c r="BX172" s="2"/>
      <c r="BY172" s="2"/>
      <c r="CB172" s="2"/>
      <c r="CC172" s="2"/>
      <c r="CD172" s="2"/>
      <c r="CE172" s="2"/>
      <c r="CF172" s="2"/>
      <c r="CG172" s="2"/>
      <c r="CH172" s="2"/>
      <c r="CI172" s="2"/>
      <c r="CJ172" s="2"/>
    </row>
    <row r="173" spans="68:111" x14ac:dyDescent="0.2">
      <c r="BQ173" s="2"/>
      <c r="BR173" s="2"/>
      <c r="BS173" s="2"/>
      <c r="BT173" s="2"/>
      <c r="BU173" s="2"/>
      <c r="BV173" s="2"/>
      <c r="BW173" s="2"/>
      <c r="BX173" s="2"/>
      <c r="BY173" s="2"/>
      <c r="CB173" s="2"/>
      <c r="CC173" s="2"/>
      <c r="CD173" s="2"/>
      <c r="CE173" s="2"/>
      <c r="CF173" s="2"/>
      <c r="CG173" s="2"/>
      <c r="CH173" s="2"/>
      <c r="CI173" s="2"/>
      <c r="CJ173" s="2"/>
    </row>
    <row r="174" spans="68:111" x14ac:dyDescent="0.2">
      <c r="BQ174" s="2"/>
      <c r="BR174" s="2"/>
      <c r="BS174" s="2"/>
      <c r="BT174" s="2"/>
      <c r="BU174" s="2"/>
      <c r="BV174" s="2"/>
      <c r="BW174" s="2"/>
      <c r="BX174" s="2"/>
      <c r="BY174" s="2"/>
      <c r="CB174" s="2"/>
      <c r="CC174" s="2"/>
      <c r="CD174" s="2"/>
      <c r="CE174" s="2"/>
      <c r="CF174" s="2"/>
      <c r="CG174" s="2"/>
      <c r="CH174" s="2"/>
      <c r="CI174" s="2"/>
      <c r="CJ174" s="2"/>
    </row>
    <row r="176" spans="68:111" x14ac:dyDescent="0.2">
      <c r="BR176" s="3"/>
      <c r="CC176" s="3"/>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dimension ref="A4:AZ39"/>
  <sheetViews>
    <sheetView workbookViewId="0">
      <selection activeCell="K21" sqref="K21"/>
    </sheetView>
  </sheetViews>
  <sheetFormatPr defaultRowHeight="12.75" x14ac:dyDescent="0.2"/>
  <sheetData>
    <row r="4" spans="1:52" x14ac:dyDescent="0.2">
      <c r="A4" t="s">
        <v>350</v>
      </c>
    </row>
    <row r="6" spans="1:52" x14ac:dyDescent="0.2">
      <c r="A6">
        <v>77371.132743362832</v>
      </c>
      <c r="B6">
        <v>1978</v>
      </c>
      <c r="C6" s="7">
        <f>[1]National!T44</f>
        <v>134.57705901076559</v>
      </c>
    </row>
    <row r="7" spans="1:52" x14ac:dyDescent="0.2">
      <c r="A7">
        <v>78809.185840707971</v>
      </c>
      <c r="B7">
        <v>1979</v>
      </c>
      <c r="C7" s="7">
        <f>[1]National!T45</f>
        <v>137.65210572489016</v>
      </c>
    </row>
    <row r="8" spans="1:52" x14ac:dyDescent="0.2">
      <c r="A8">
        <v>80776</v>
      </c>
      <c r="B8">
        <v>1980</v>
      </c>
      <c r="C8" s="7">
        <f>[1]National!T46</f>
        <v>141.06102941176471</v>
      </c>
      <c r="W8" t="s">
        <v>259</v>
      </c>
      <c r="AK8" t="s">
        <v>33</v>
      </c>
      <c r="AV8" t="s">
        <v>322</v>
      </c>
    </row>
    <row r="9" spans="1:52" x14ac:dyDescent="0.2">
      <c r="A9">
        <v>82368</v>
      </c>
      <c r="B9">
        <v>1981</v>
      </c>
      <c r="C9" s="7">
        <f>[1]National!T47</f>
        <v>143.09207132530119</v>
      </c>
      <c r="K9">
        <f>RECS_4_adj!$W$9</f>
        <v>119.00999999999999</v>
      </c>
    </row>
    <row r="10" spans="1:52" x14ac:dyDescent="0.2">
      <c r="A10">
        <v>83527</v>
      </c>
      <c r="B10">
        <v>1982</v>
      </c>
      <c r="C10" s="7">
        <f>[1]National!T48</f>
        <v>141.80651897374699</v>
      </c>
    </row>
    <row r="11" spans="1:52" x14ac:dyDescent="0.2">
      <c r="A11">
        <v>83918</v>
      </c>
      <c r="B11">
        <v>1983</v>
      </c>
      <c r="C11" s="7">
        <f>[1]National!T49</f>
        <v>141.41617688234402</v>
      </c>
      <c r="J11" t="s">
        <v>155</v>
      </c>
      <c r="K11" t="s">
        <v>156</v>
      </c>
      <c r="W11" t="s">
        <v>155</v>
      </c>
      <c r="X11" t="s">
        <v>156</v>
      </c>
      <c r="AK11" t="s">
        <v>155</v>
      </c>
      <c r="AL11" t="s">
        <v>156</v>
      </c>
      <c r="AW11" t="s">
        <v>155</v>
      </c>
      <c r="AX11" t="s">
        <v>156</v>
      </c>
      <c r="AY11" t="s">
        <v>323</v>
      </c>
      <c r="AZ11" t="s">
        <v>324</v>
      </c>
    </row>
    <row r="12" spans="1:52" x14ac:dyDescent="0.2">
      <c r="A12">
        <v>85290</v>
      </c>
      <c r="B12">
        <v>1984</v>
      </c>
      <c r="C12" s="7">
        <f>[1]National!T50</f>
        <v>142.67050289687137</v>
      </c>
      <c r="I12">
        <f>B12</f>
        <v>1984</v>
      </c>
      <c r="J12" s="27">
        <v>97</v>
      </c>
      <c r="K12">
        <f>RECS_4_adj!$W12</f>
        <v>117.36</v>
      </c>
      <c r="V12">
        <f>I12</f>
        <v>1984</v>
      </c>
      <c r="W12" s="208">
        <v>21.1</v>
      </c>
      <c r="X12">
        <f>RECS_4_adj!$X12</f>
        <v>22.7</v>
      </c>
      <c r="AJ12">
        <f>I12</f>
        <v>1984</v>
      </c>
      <c r="AK12" s="208">
        <v>4.4000000000000004</v>
      </c>
      <c r="AL12">
        <f>RECS_4_adj!$O12</f>
        <v>4.3</v>
      </c>
      <c r="AV12">
        <f>I12</f>
        <v>1984</v>
      </c>
      <c r="AW12" s="5">
        <f>J12+W12+AK12</f>
        <v>122.5</v>
      </c>
      <c r="AX12" s="5">
        <f>K12+X12+AL12</f>
        <v>144.36000000000001</v>
      </c>
      <c r="AZ12" s="7">
        <f>C12</f>
        <v>142.67050289687137</v>
      </c>
    </row>
    <row r="13" spans="1:52" x14ac:dyDescent="0.2">
      <c r="A13">
        <v>86789</v>
      </c>
      <c r="B13">
        <v>1985</v>
      </c>
      <c r="C13" s="7">
        <f>[1]National!T51</f>
        <v>146.99176488816488</v>
      </c>
      <c r="I13">
        <f>B13</f>
        <v>1985</v>
      </c>
      <c r="J13" s="2">
        <f>Total_stock_SF!CJ15</f>
        <v>108.03747267576522</v>
      </c>
      <c r="V13">
        <f t="shared" ref="V13:V37" si="0">I13</f>
        <v>1985</v>
      </c>
      <c r="W13" s="5">
        <f>Total_stock_MF!DF15</f>
        <v>20.673839539465316</v>
      </c>
      <c r="AJ13">
        <f t="shared" ref="AJ13:AJ37" si="1">I13</f>
        <v>1985</v>
      </c>
      <c r="AK13" s="5">
        <f>Total_stock_MH!CN15</f>
        <v>4.6984810321451462</v>
      </c>
      <c r="AV13">
        <f t="shared" ref="AV13:AV37" si="2">I13</f>
        <v>1985</v>
      </c>
      <c r="AW13" s="5">
        <f t="shared" ref="AW13:AW37" si="3">J13+W13+AK13</f>
        <v>133.40979324737566</v>
      </c>
      <c r="AX13" s="5"/>
      <c r="AY13">
        <f>(AW13/AW12-1)*1000</f>
        <v>89.059536713270717</v>
      </c>
      <c r="AZ13" s="7">
        <f t="shared" ref="AZ13:AZ37" si="4">C13</f>
        <v>146.99176488816488</v>
      </c>
    </row>
    <row r="14" spans="1:52" x14ac:dyDescent="0.2">
      <c r="A14">
        <v>88458</v>
      </c>
      <c r="B14">
        <v>1986</v>
      </c>
      <c r="C14" s="7">
        <f>[1]National!T52</f>
        <v>151.652212994058</v>
      </c>
      <c r="I14">
        <f t="shared" ref="I14:I37" si="5">B14</f>
        <v>1986</v>
      </c>
      <c r="J14" s="2">
        <f>Total_stock_SF!CJ16</f>
        <v>109.73397740185293</v>
      </c>
      <c r="V14">
        <f t="shared" si="0"/>
        <v>1986</v>
      </c>
      <c r="W14" s="5">
        <f>Total_stock_MF!DF16</f>
        <v>20.914261402075891</v>
      </c>
      <c r="AJ14">
        <f t="shared" si="1"/>
        <v>1986</v>
      </c>
      <c r="AK14" s="5">
        <f>Total_stock_MH!CN16</f>
        <v>4.9609432850900212</v>
      </c>
      <c r="AV14">
        <f t="shared" si="2"/>
        <v>1986</v>
      </c>
      <c r="AW14" s="5">
        <f t="shared" si="3"/>
        <v>135.60918208901884</v>
      </c>
      <c r="AX14" s="5"/>
      <c r="AY14">
        <f t="shared" ref="AY14:AY37" si="6">(AW14/AW13-1)*1000</f>
        <v>16.485962447786441</v>
      </c>
      <c r="AZ14" s="7">
        <f t="shared" si="4"/>
        <v>151.652212994058</v>
      </c>
    </row>
    <row r="15" spans="1:52" x14ac:dyDescent="0.2">
      <c r="A15">
        <v>89479</v>
      </c>
      <c r="B15">
        <v>1987</v>
      </c>
      <c r="C15" s="7">
        <f>[1]National!T53</f>
        <v>155.23220763274335</v>
      </c>
      <c r="I15">
        <f t="shared" si="5"/>
        <v>1987</v>
      </c>
      <c r="J15" s="2">
        <f>Total_stock_SF!CJ17</f>
        <v>112.51927535964501</v>
      </c>
      <c r="K15">
        <f>RECS_4_adj!$W13</f>
        <v>128.87</v>
      </c>
      <c r="V15">
        <f t="shared" si="0"/>
        <v>1987</v>
      </c>
      <c r="W15" s="5">
        <f>Total_stock_MF!DF17</f>
        <v>21.150807326741305</v>
      </c>
      <c r="X15">
        <f>RECS_4_adj!$X13</f>
        <v>23.54</v>
      </c>
      <c r="AJ15">
        <f t="shared" si="1"/>
        <v>1987</v>
      </c>
      <c r="AK15" s="5">
        <f>Total_stock_MH!CN17</f>
        <v>5.0646078256533853</v>
      </c>
      <c r="AL15">
        <f>RECS_4_adj!$O13</f>
        <v>4.41</v>
      </c>
      <c r="AV15">
        <f t="shared" si="2"/>
        <v>1987</v>
      </c>
      <c r="AW15" s="5">
        <f t="shared" si="3"/>
        <v>138.73469051203969</v>
      </c>
      <c r="AX15" s="5">
        <f>K15+X15+AL15</f>
        <v>156.82</v>
      </c>
      <c r="AY15">
        <f t="shared" si="6"/>
        <v>23.047911467891204</v>
      </c>
      <c r="AZ15" s="7">
        <f t="shared" si="4"/>
        <v>155.23220763274335</v>
      </c>
    </row>
    <row r="16" spans="1:52" x14ac:dyDescent="0.2">
      <c r="A16">
        <v>91124</v>
      </c>
      <c r="B16">
        <v>1988</v>
      </c>
      <c r="C16" s="7">
        <f>[1]National!T54</f>
        <v>160.09502829316344</v>
      </c>
      <c r="I16">
        <f t="shared" si="5"/>
        <v>1988</v>
      </c>
      <c r="J16" s="2">
        <f>Total_stock_SF!CJ18</f>
        <v>115.09427508559475</v>
      </c>
      <c r="V16">
        <f t="shared" si="0"/>
        <v>1988</v>
      </c>
      <c r="W16" s="5">
        <f>Total_stock_MF!DF18</f>
        <v>21.657203001478855</v>
      </c>
      <c r="AJ16">
        <f t="shared" si="1"/>
        <v>1988</v>
      </c>
      <c r="AK16" s="5">
        <f>Total_stock_MH!CN18</f>
        <v>5.2236543727717537</v>
      </c>
      <c r="AV16">
        <f t="shared" si="2"/>
        <v>1988</v>
      </c>
      <c r="AW16" s="5">
        <f t="shared" si="3"/>
        <v>141.97513245984536</v>
      </c>
      <c r="AX16" s="5"/>
      <c r="AY16">
        <f t="shared" si="6"/>
        <v>23.357113753206924</v>
      </c>
      <c r="AZ16" s="7">
        <f t="shared" si="4"/>
        <v>160.09502829316344</v>
      </c>
    </row>
    <row r="17" spans="1:52" x14ac:dyDescent="0.2">
      <c r="A17">
        <v>92830</v>
      </c>
      <c r="B17">
        <v>1989</v>
      </c>
      <c r="C17" s="7">
        <f>[1]National!T55</f>
        <v>165.12202883026924</v>
      </c>
      <c r="I17">
        <f t="shared" si="5"/>
        <v>1989</v>
      </c>
      <c r="J17" s="2">
        <f>Total_stock_SF!CJ19</f>
        <v>117.58880948552878</v>
      </c>
      <c r="V17">
        <f t="shared" si="0"/>
        <v>1989</v>
      </c>
      <c r="W17" s="5">
        <f>Total_stock_MF!DF19</f>
        <v>22.134916039471516</v>
      </c>
      <c r="AJ17">
        <f t="shared" si="1"/>
        <v>1989</v>
      </c>
      <c r="AK17" s="5">
        <f>Total_stock_MH!CN19</f>
        <v>5.3683479363039721</v>
      </c>
      <c r="AV17">
        <f t="shared" si="2"/>
        <v>1989</v>
      </c>
      <c r="AW17" s="5">
        <f t="shared" si="3"/>
        <v>145.09207346130427</v>
      </c>
      <c r="AX17" s="5"/>
      <c r="AY17">
        <f t="shared" si="6"/>
        <v>21.954133427841469</v>
      </c>
      <c r="AZ17" s="7">
        <f t="shared" si="4"/>
        <v>165.12202883026924</v>
      </c>
    </row>
    <row r="18" spans="1:52" x14ac:dyDescent="0.2">
      <c r="A18">
        <v>93347</v>
      </c>
      <c r="B18">
        <v>1990</v>
      </c>
      <c r="C18" s="7">
        <f>[1]National!T56</f>
        <v>168.05439159574465</v>
      </c>
      <c r="I18">
        <f t="shared" si="5"/>
        <v>1990</v>
      </c>
      <c r="J18" s="2">
        <f>Total_stock_SF!CJ20</f>
        <v>119.31670987327701</v>
      </c>
      <c r="K18">
        <f>RECS_4_adj!$W14</f>
        <v>140.87</v>
      </c>
      <c r="V18">
        <f t="shared" si="0"/>
        <v>1990</v>
      </c>
      <c r="W18" s="5">
        <f>Total_stock_MF!DF20</f>
        <v>22.244549778805101</v>
      </c>
      <c r="X18">
        <f>RECS_4_adj!$X14</f>
        <v>23.46</v>
      </c>
      <c r="AJ18">
        <f t="shared" si="1"/>
        <v>1990</v>
      </c>
      <c r="AK18" s="5">
        <f>Total_stock_MH!CN20</f>
        <v>5.5292276739261856</v>
      </c>
      <c r="AL18">
        <f>RECS_4_adj!$O14</f>
        <v>4.9000000000000004</v>
      </c>
      <c r="AV18">
        <f t="shared" si="2"/>
        <v>1990</v>
      </c>
      <c r="AW18" s="5">
        <f t="shared" si="3"/>
        <v>147.09048732600829</v>
      </c>
      <c r="AX18" s="5">
        <f>K18+X18+AL18</f>
        <v>169.23000000000002</v>
      </c>
      <c r="AY18">
        <f t="shared" si="6"/>
        <v>13.773418609507981</v>
      </c>
      <c r="AZ18" s="7">
        <f t="shared" si="4"/>
        <v>168.05439159574465</v>
      </c>
    </row>
    <row r="19" spans="1:52" x14ac:dyDescent="0.2">
      <c r="A19">
        <v>94312</v>
      </c>
      <c r="B19">
        <v>1991</v>
      </c>
      <c r="C19" s="7">
        <f>[1]National!T57</f>
        <v>172.16956690439326</v>
      </c>
      <c r="I19">
        <f t="shared" si="5"/>
        <v>1991</v>
      </c>
      <c r="J19" s="2">
        <f>Total_stock_SF!CJ21</f>
        <v>120.7298805053244</v>
      </c>
      <c r="V19">
        <f t="shared" si="0"/>
        <v>1991</v>
      </c>
      <c r="W19" s="5">
        <f>Total_stock_MF!DF21</f>
        <v>22.319201114570731</v>
      </c>
      <c r="AJ19">
        <f t="shared" si="1"/>
        <v>1991</v>
      </c>
      <c r="AK19" s="5">
        <f>Total_stock_MH!CN21</f>
        <v>5.6697814150059465</v>
      </c>
      <c r="AV19">
        <f t="shared" si="2"/>
        <v>1991</v>
      </c>
      <c r="AW19" s="5">
        <f t="shared" si="3"/>
        <v>148.71886303490109</v>
      </c>
      <c r="AX19" s="5"/>
      <c r="AY19">
        <f t="shared" si="6"/>
        <v>11.070571173536825</v>
      </c>
      <c r="AZ19" s="7">
        <f t="shared" si="4"/>
        <v>172.16956690439326</v>
      </c>
    </row>
    <row r="20" spans="1:52" x14ac:dyDescent="0.2">
      <c r="A20">
        <v>95669</v>
      </c>
      <c r="B20">
        <v>1992</v>
      </c>
      <c r="C20" s="7">
        <f>[1]National!T58</f>
        <v>177.12719345923185</v>
      </c>
      <c r="I20">
        <f t="shared" si="5"/>
        <v>1992</v>
      </c>
      <c r="J20" s="2">
        <f>Total_stock_SF!CJ22</f>
        <v>123.99117357647596</v>
      </c>
      <c r="V20">
        <f t="shared" si="0"/>
        <v>1992</v>
      </c>
      <c r="W20" s="5">
        <f>Total_stock_MF!DF22</f>
        <v>22.770554075499714</v>
      </c>
      <c r="AJ20">
        <f t="shared" si="1"/>
        <v>1992</v>
      </c>
      <c r="AK20" s="5">
        <f>Total_stock_MH!CN22</f>
        <v>5.8168331837679306</v>
      </c>
      <c r="AV20">
        <f t="shared" si="2"/>
        <v>1992</v>
      </c>
      <c r="AW20" s="5">
        <f t="shared" si="3"/>
        <v>152.57856083574359</v>
      </c>
      <c r="AX20" s="5"/>
      <c r="AY20">
        <f t="shared" si="6"/>
        <v>25.952980826223104</v>
      </c>
      <c r="AZ20" s="7">
        <f t="shared" si="4"/>
        <v>177.12719345923185</v>
      </c>
    </row>
    <row r="21" spans="1:52" x14ac:dyDescent="0.2">
      <c r="A21">
        <v>96426</v>
      </c>
      <c r="B21">
        <v>1993</v>
      </c>
      <c r="C21" s="7">
        <f>[1]National!T59</f>
        <v>181.08103336787565</v>
      </c>
      <c r="I21">
        <f t="shared" si="5"/>
        <v>1993</v>
      </c>
      <c r="J21" s="2">
        <f>Total_stock_SF!CJ23</f>
        <v>127.43586188845045</v>
      </c>
      <c r="K21">
        <f>RECS_4_adj!$W15</f>
        <v>152.19999999999999</v>
      </c>
      <c r="V21">
        <f t="shared" si="0"/>
        <v>1993</v>
      </c>
      <c r="W21" s="5">
        <f>Total_stock_MF!DF23</f>
        <v>23.205065634727109</v>
      </c>
      <c r="X21">
        <f>RECS_4_adj!$X15</f>
        <v>23.58</v>
      </c>
      <c r="AJ21">
        <f t="shared" si="1"/>
        <v>1993</v>
      </c>
      <c r="AK21" s="5">
        <f>Total_stock_MH!CN23</f>
        <v>5.9912560685077372</v>
      </c>
      <c r="AL21">
        <f>RECS_4_adj!$O15</f>
        <v>5.44</v>
      </c>
      <c r="AV21">
        <f t="shared" si="2"/>
        <v>1993</v>
      </c>
      <c r="AW21" s="5">
        <f t="shared" si="3"/>
        <v>156.6321835916853</v>
      </c>
      <c r="AX21" s="5">
        <f>K21+X21+AL21</f>
        <v>181.21999999999997</v>
      </c>
      <c r="AY21">
        <f t="shared" si="6"/>
        <v>26.567446525502358</v>
      </c>
      <c r="AZ21" s="7">
        <f t="shared" si="4"/>
        <v>181.08103336787565</v>
      </c>
    </row>
    <row r="22" spans="1:52" x14ac:dyDescent="0.2">
      <c r="A22">
        <v>97107</v>
      </c>
      <c r="B22">
        <v>1994</v>
      </c>
      <c r="C22" s="7">
        <f>[1]National!T60</f>
        <v>185.69757992987459</v>
      </c>
      <c r="I22">
        <f t="shared" si="5"/>
        <v>1994</v>
      </c>
      <c r="J22" s="2">
        <f>Total_stock_SF!CJ24</f>
        <v>130.51959822161481</v>
      </c>
      <c r="V22">
        <f t="shared" si="0"/>
        <v>1994</v>
      </c>
      <c r="W22" s="5">
        <f>Total_stock_MF!DF24</f>
        <v>23.522665661579065</v>
      </c>
      <c r="AJ22">
        <f t="shared" si="1"/>
        <v>1994</v>
      </c>
      <c r="AK22" s="5">
        <f>Total_stock_MH!CN24</f>
        <v>6.2244293158776642</v>
      </c>
      <c r="AV22">
        <f t="shared" si="2"/>
        <v>1994</v>
      </c>
      <c r="AW22" s="5">
        <f t="shared" si="3"/>
        <v>160.26669319907154</v>
      </c>
      <c r="AX22" s="5"/>
      <c r="AY22">
        <f t="shared" si="6"/>
        <v>23.204104827273532</v>
      </c>
      <c r="AZ22" s="7">
        <f t="shared" si="4"/>
        <v>185.69757992987459</v>
      </c>
    </row>
    <row r="23" spans="1:52" x14ac:dyDescent="0.2">
      <c r="A23">
        <v>98990</v>
      </c>
      <c r="B23">
        <v>1995</v>
      </c>
      <c r="C23" s="7">
        <f>[1]National!T61</f>
        <v>192.74274162472835</v>
      </c>
      <c r="I23">
        <f t="shared" si="5"/>
        <v>1995</v>
      </c>
      <c r="J23" s="2">
        <f>Total_stock_SF!CJ25</f>
        <v>133.37110644407292</v>
      </c>
      <c r="V23">
        <f t="shared" si="0"/>
        <v>1995</v>
      </c>
      <c r="W23" s="5">
        <f>Total_stock_MF!DF25</f>
        <v>23.863357814120228</v>
      </c>
      <c r="AJ23">
        <f t="shared" si="1"/>
        <v>1995</v>
      </c>
      <c r="AK23" s="5">
        <f>Total_stock_MH!CN25</f>
        <v>6.4847382895538503</v>
      </c>
      <c r="AV23">
        <f t="shared" si="2"/>
        <v>1995</v>
      </c>
      <c r="AW23" s="5">
        <f t="shared" si="3"/>
        <v>163.71920254774702</v>
      </c>
      <c r="AX23" s="5"/>
      <c r="AY23">
        <f t="shared" si="6"/>
        <v>21.542276063480248</v>
      </c>
      <c r="AZ23" s="7">
        <f t="shared" si="4"/>
        <v>192.74274162472835</v>
      </c>
    </row>
    <row r="24" spans="1:52" x14ac:dyDescent="0.2">
      <c r="A24">
        <v>99627</v>
      </c>
      <c r="B24">
        <v>1996</v>
      </c>
      <c r="C24" s="7">
        <f>[1]National!T62</f>
        <v>197.49013448973238</v>
      </c>
      <c r="I24">
        <f t="shared" si="5"/>
        <v>1996</v>
      </c>
      <c r="J24" s="2">
        <f>Total_stock_SF!CJ26</f>
        <v>135.5001584899133</v>
      </c>
      <c r="V24">
        <f t="shared" si="0"/>
        <v>1996</v>
      </c>
      <c r="W24" s="5">
        <f>Total_stock_MF!DF26</f>
        <v>24.159287395098588</v>
      </c>
      <c r="AJ24">
        <f t="shared" si="1"/>
        <v>1996</v>
      </c>
      <c r="AK24" s="5">
        <f>Total_stock_MH!CN26</f>
        <v>6.7354113530809991</v>
      </c>
      <c r="AV24">
        <f t="shared" si="2"/>
        <v>1996</v>
      </c>
      <c r="AW24" s="5">
        <f t="shared" si="3"/>
        <v>166.3948572380929</v>
      </c>
      <c r="AX24" s="5"/>
      <c r="AY24">
        <f t="shared" si="6"/>
        <v>16.342949688907371</v>
      </c>
      <c r="AZ24" s="7">
        <f t="shared" si="4"/>
        <v>197.49013448973238</v>
      </c>
    </row>
    <row r="25" spans="1:52" x14ac:dyDescent="0.2">
      <c r="A25">
        <v>101018</v>
      </c>
      <c r="B25">
        <v>1997</v>
      </c>
      <c r="C25" s="7">
        <f>[1]National!T63</f>
        <v>203.8432695113201</v>
      </c>
      <c r="D25">
        <v>175</v>
      </c>
      <c r="E25">
        <v>201</v>
      </c>
      <c r="I25">
        <f t="shared" si="5"/>
        <v>1997</v>
      </c>
      <c r="J25" s="2">
        <f>Total_stock_SF!CJ27</f>
        <v>137.59738305138623</v>
      </c>
      <c r="K25">
        <f>RECS_4_adj!$W16</f>
        <v>143.46</v>
      </c>
      <c r="V25">
        <f t="shared" si="0"/>
        <v>1997</v>
      </c>
      <c r="W25" s="5">
        <f>Total_stock_MF!DF27</f>
        <v>24.466419324412328</v>
      </c>
      <c r="X25">
        <f>RECS_4_adj!$X16</f>
        <v>19.07</v>
      </c>
      <c r="AJ25">
        <f t="shared" si="1"/>
        <v>1997</v>
      </c>
      <c r="AK25" s="5">
        <f>Total_stock_MH!CN27</f>
        <v>6.985661542565242</v>
      </c>
      <c r="AL25">
        <f>RECS_4_adj!$O16</f>
        <v>6.27</v>
      </c>
      <c r="AV25">
        <f t="shared" si="2"/>
        <v>1997</v>
      </c>
      <c r="AW25" s="5">
        <f t="shared" si="3"/>
        <v>169.04946391836381</v>
      </c>
      <c r="AX25" s="5">
        <f>K25+X25+AL25</f>
        <v>168.8</v>
      </c>
      <c r="AY25">
        <f t="shared" si="6"/>
        <v>15.953658209955757</v>
      </c>
      <c r="AZ25" s="7">
        <f t="shared" si="4"/>
        <v>203.8432695113201</v>
      </c>
    </row>
    <row r="26" spans="1:52" x14ac:dyDescent="0.2">
      <c r="A26">
        <v>102815.75</v>
      </c>
      <c r="B26">
        <v>1998</v>
      </c>
      <c r="C26" s="7">
        <f>[1]National!T64</f>
        <v>208.62932140979257</v>
      </c>
      <c r="I26">
        <f t="shared" si="5"/>
        <v>1998</v>
      </c>
      <c r="J26" s="2">
        <f>Total_stock_SF!CJ28</f>
        <v>140.9052333973365</v>
      </c>
      <c r="V26">
        <f t="shared" si="0"/>
        <v>1998</v>
      </c>
      <c r="W26" s="5">
        <f>Total_stock_MF!DF28</f>
        <v>24.477789286883272</v>
      </c>
      <c r="AJ26">
        <f t="shared" si="1"/>
        <v>1998</v>
      </c>
      <c r="AK26" s="5">
        <f>Total_stock_MH!CN28</f>
        <v>7.3196172509097561</v>
      </c>
      <c r="AV26">
        <f t="shared" si="2"/>
        <v>1998</v>
      </c>
      <c r="AW26" s="5">
        <f t="shared" si="3"/>
        <v>172.70263993512953</v>
      </c>
      <c r="AX26" s="5"/>
      <c r="AY26">
        <f t="shared" si="6"/>
        <v>21.610101162638841</v>
      </c>
      <c r="AZ26" s="7">
        <f t="shared" si="4"/>
        <v>208.62932140979257</v>
      </c>
    </row>
    <row r="27" spans="1:52" x14ac:dyDescent="0.2">
      <c r="A27">
        <v>104613.5</v>
      </c>
      <c r="B27">
        <v>1999</v>
      </c>
      <c r="C27" s="7">
        <f>[1]National!T65</f>
        <v>213.51672013010224</v>
      </c>
      <c r="I27">
        <f t="shared" si="5"/>
        <v>1999</v>
      </c>
      <c r="J27" s="2">
        <f>Total_stock_SF!CJ29</f>
        <v>144.52380076185449</v>
      </c>
      <c r="V27">
        <f t="shared" si="0"/>
        <v>1999</v>
      </c>
      <c r="W27" s="5">
        <f>Total_stock_MF!DF29</f>
        <v>24.495492834497853</v>
      </c>
      <c r="AJ27">
        <f t="shared" si="1"/>
        <v>1999</v>
      </c>
      <c r="AK27" s="5">
        <f>Total_stock_MH!CN29</f>
        <v>7.6226170376411542</v>
      </c>
      <c r="AV27">
        <f t="shared" si="2"/>
        <v>1999</v>
      </c>
      <c r="AW27" s="5">
        <f t="shared" si="3"/>
        <v>176.64191063399349</v>
      </c>
      <c r="AX27" s="5"/>
      <c r="AY27">
        <f t="shared" si="6"/>
        <v>22.809556937540833</v>
      </c>
      <c r="AZ27" s="7">
        <f t="shared" si="4"/>
        <v>213.51672013010224</v>
      </c>
    </row>
    <row r="28" spans="1:52" x14ac:dyDescent="0.2">
      <c r="A28">
        <v>106411.25</v>
      </c>
      <c r="B28">
        <v>2000</v>
      </c>
      <c r="C28" s="7">
        <f>[1]National!T66</f>
        <v>218.50614083826025</v>
      </c>
      <c r="I28">
        <f t="shared" si="5"/>
        <v>2000</v>
      </c>
      <c r="J28" s="2">
        <f>Total_stock_SF!CJ30</f>
        <v>147.51150081215135</v>
      </c>
      <c r="V28">
        <f t="shared" si="0"/>
        <v>2000</v>
      </c>
      <c r="W28" s="5">
        <f>Total_stock_MF!DF30</f>
        <v>24.907116319611436</v>
      </c>
      <c r="AJ28">
        <f t="shared" si="1"/>
        <v>2000</v>
      </c>
      <c r="AK28" s="5">
        <f>Total_stock_MH!CN30</f>
        <v>0</v>
      </c>
      <c r="AV28">
        <f t="shared" si="2"/>
        <v>2000</v>
      </c>
      <c r="AW28" s="5">
        <f t="shared" si="3"/>
        <v>172.4186171317628</v>
      </c>
      <c r="AX28" s="5"/>
      <c r="AY28">
        <f t="shared" si="6"/>
        <v>-23.908785220181805</v>
      </c>
      <c r="AZ28" s="7">
        <f t="shared" si="4"/>
        <v>218.50614083826025</v>
      </c>
    </row>
    <row r="29" spans="1:52" x14ac:dyDescent="0.2">
      <c r="A29">
        <v>108209</v>
      </c>
      <c r="B29">
        <v>2001</v>
      </c>
      <c r="C29" s="7">
        <f>[1]National!T67</f>
        <v>223.5982233644861</v>
      </c>
      <c r="I29">
        <f t="shared" si="5"/>
        <v>2001</v>
      </c>
      <c r="J29" s="2">
        <f>Total_stock_SF!CJ31</f>
        <v>150.60150728970891</v>
      </c>
      <c r="K29">
        <f>RECS_4_adj!$W17</f>
        <v>186.226</v>
      </c>
      <c r="V29">
        <f t="shared" si="0"/>
        <v>2001</v>
      </c>
      <c r="W29" s="5">
        <f>Total_stock_MF!DF31</f>
        <v>25.316090134005492</v>
      </c>
      <c r="X29">
        <f>RECS_4_adj!$X17</f>
        <v>27.622999999999998</v>
      </c>
      <c r="AJ29">
        <f t="shared" si="1"/>
        <v>2001</v>
      </c>
      <c r="AK29" s="5">
        <f>Total_stock_MH!CN31</f>
        <v>0</v>
      </c>
      <c r="AL29">
        <f>RECS_4_adj!$O17</f>
        <v>7.2290000000000001</v>
      </c>
      <c r="AV29">
        <f t="shared" si="2"/>
        <v>2001</v>
      </c>
      <c r="AW29" s="5">
        <f t="shared" si="3"/>
        <v>175.9175974237144</v>
      </c>
      <c r="AX29" s="5">
        <f>K29+X29+AL29</f>
        <v>221.078</v>
      </c>
      <c r="AY29">
        <f t="shared" si="6"/>
        <v>20.293517893590796</v>
      </c>
      <c r="AZ29" s="7">
        <f t="shared" si="4"/>
        <v>223.5982233644861</v>
      </c>
    </row>
    <row r="30" spans="1:52" x14ac:dyDescent="0.2">
      <c r="A30">
        <v>109291</v>
      </c>
      <c r="B30">
        <v>2002</v>
      </c>
      <c r="C30" s="7">
        <f>[1]National!T68</f>
        <v>229.15556104698237</v>
      </c>
      <c r="I30">
        <f t="shared" si="5"/>
        <v>2002</v>
      </c>
      <c r="J30" s="2">
        <f>Total_stock_SF!CJ32</f>
        <v>153.38791254831452</v>
      </c>
      <c r="V30">
        <f t="shared" si="0"/>
        <v>2002</v>
      </c>
      <c r="W30" s="5">
        <f>Total_stock_MF!DF32</f>
        <v>25.900760435571783</v>
      </c>
      <c r="AJ30">
        <f t="shared" si="1"/>
        <v>2002</v>
      </c>
      <c r="AK30" s="5">
        <f>Total_stock_MH!CN32</f>
        <v>0</v>
      </c>
      <c r="AV30">
        <f t="shared" si="2"/>
        <v>2002</v>
      </c>
      <c r="AW30" s="5">
        <f t="shared" si="3"/>
        <v>179.2886729838863</v>
      </c>
      <c r="AX30" s="5"/>
      <c r="AY30">
        <f t="shared" si="6"/>
        <v>19.162810369973027</v>
      </c>
      <c r="AZ30" s="7">
        <f t="shared" si="4"/>
        <v>229.15556104698237</v>
      </c>
    </row>
    <row r="31" spans="1:52" x14ac:dyDescent="0.2">
      <c r="A31">
        <v>111278</v>
      </c>
      <c r="B31">
        <v>2003</v>
      </c>
      <c r="C31" s="7">
        <f>[1]National!T69</f>
        <v>236.71265154104569</v>
      </c>
      <c r="I31">
        <f t="shared" si="5"/>
        <v>2003</v>
      </c>
      <c r="J31" s="2">
        <f>Total_stock_SF!CJ33</f>
        <v>156.29264756912559</v>
      </c>
      <c r="V31">
        <f t="shared" si="0"/>
        <v>2003</v>
      </c>
      <c r="W31" s="5">
        <f>Total_stock_MF!DF33</f>
        <v>26.490436327215569</v>
      </c>
      <c r="AJ31">
        <f t="shared" si="1"/>
        <v>2003</v>
      </c>
      <c r="AK31" s="5">
        <f>Total_stock_MH!CN33</f>
        <v>0</v>
      </c>
      <c r="AV31">
        <f t="shared" si="2"/>
        <v>2003</v>
      </c>
      <c r="AW31" s="5">
        <f t="shared" si="3"/>
        <v>182.78308389634117</v>
      </c>
      <c r="AX31" s="5"/>
      <c r="AY31">
        <f t="shared" si="6"/>
        <v>19.490416512642383</v>
      </c>
      <c r="AZ31" s="7">
        <f t="shared" si="4"/>
        <v>236.71265154104569</v>
      </c>
    </row>
    <row r="32" spans="1:52" x14ac:dyDescent="0.2">
      <c r="A32">
        <v>112000</v>
      </c>
      <c r="B32">
        <v>2004</v>
      </c>
      <c r="C32" s="7">
        <f>[1]National!T70</f>
        <v>241.6708950003636</v>
      </c>
      <c r="I32">
        <f t="shared" si="5"/>
        <v>2004</v>
      </c>
      <c r="J32" s="2">
        <f>Total_stock_SF!CJ34</f>
        <v>160.02434242162172</v>
      </c>
      <c r="V32">
        <f t="shared" si="0"/>
        <v>2004</v>
      </c>
      <c r="W32" s="5">
        <f>Total_stock_MF!DF34</f>
        <v>26.798308645884397</v>
      </c>
      <c r="AJ32">
        <f t="shared" si="1"/>
        <v>2004</v>
      </c>
      <c r="AK32" s="5">
        <f>Total_stock_MH!CN34</f>
        <v>0</v>
      </c>
      <c r="AV32">
        <f t="shared" si="2"/>
        <v>2004</v>
      </c>
      <c r="AW32" s="5">
        <f t="shared" si="3"/>
        <v>186.82265106750611</v>
      </c>
      <c r="AX32" s="5"/>
      <c r="AY32">
        <f t="shared" si="6"/>
        <v>22.100333822225203</v>
      </c>
      <c r="AZ32" s="7">
        <f t="shared" si="4"/>
        <v>241.6708950003636</v>
      </c>
    </row>
    <row r="33" spans="1:52" x14ac:dyDescent="0.2">
      <c r="A33">
        <v>113343</v>
      </c>
      <c r="B33">
        <v>2005</v>
      </c>
      <c r="C33" s="7">
        <f>[1]National!T71</f>
        <v>248.04241495135557</v>
      </c>
      <c r="D33">
        <v>206</v>
      </c>
      <c r="E33">
        <v>256</v>
      </c>
      <c r="F33">
        <f>C33/C25</f>
        <v>1.216829064535687</v>
      </c>
      <c r="G33">
        <f>D33/D25</f>
        <v>1.177142857142857</v>
      </c>
      <c r="H33">
        <f>E33/E25</f>
        <v>1.2736318407960199</v>
      </c>
      <c r="I33">
        <f t="shared" si="5"/>
        <v>2005</v>
      </c>
      <c r="J33" s="2">
        <f>Total_stock_SF!CJ35</f>
        <v>164.12906772619303</v>
      </c>
      <c r="K33">
        <f>RECS_4_adj!$W18</f>
        <v>226.04947681555001</v>
      </c>
      <c r="V33">
        <f t="shared" si="0"/>
        <v>2005</v>
      </c>
      <c r="W33" s="5">
        <f>Total_stock_MF!DF35</f>
        <v>27.105454925970442</v>
      </c>
      <c r="X33">
        <f>RECS_4_adj!$X18</f>
        <v>23.041200838849999</v>
      </c>
      <c r="AJ33">
        <f t="shared" si="1"/>
        <v>2005</v>
      </c>
      <c r="AK33" s="5">
        <f>Total_stock_MH!CN35</f>
        <v>0</v>
      </c>
      <c r="AL33">
        <f>RECS_4_adj!$O18</f>
        <v>7.3737365746599997</v>
      </c>
      <c r="AV33">
        <f t="shared" si="2"/>
        <v>2005</v>
      </c>
      <c r="AW33" s="5">
        <f t="shared" si="3"/>
        <v>191.23452265216346</v>
      </c>
      <c r="AX33" s="5">
        <f>K33+X33+AL33</f>
        <v>256.46441422905997</v>
      </c>
      <c r="AY33">
        <f t="shared" si="6"/>
        <v>23.615292682380272</v>
      </c>
      <c r="AZ33" s="7">
        <f t="shared" si="4"/>
        <v>248.04241495135557</v>
      </c>
    </row>
    <row r="34" spans="1:52" x14ac:dyDescent="0.2">
      <c r="A34">
        <v>114384</v>
      </c>
      <c r="B34">
        <v>2006</v>
      </c>
      <c r="C34" s="7">
        <f>[1]National!T72</f>
        <v>252.22044492082662</v>
      </c>
      <c r="I34">
        <f t="shared" si="5"/>
        <v>2006</v>
      </c>
      <c r="J34" s="2">
        <f>Total_stock_SF!CJ36</f>
        <v>167.31277157534649</v>
      </c>
      <c r="V34">
        <f t="shared" si="0"/>
        <v>2006</v>
      </c>
      <c r="W34" s="5">
        <f>Total_stock_MF!DF36</f>
        <v>27.499353600161964</v>
      </c>
      <c r="AJ34">
        <f t="shared" si="1"/>
        <v>2006</v>
      </c>
      <c r="AK34" s="5">
        <f>Total_stock_MH!CN36</f>
        <v>0</v>
      </c>
      <c r="AV34">
        <f t="shared" si="2"/>
        <v>2006</v>
      </c>
      <c r="AW34" s="5">
        <f t="shared" si="3"/>
        <v>194.81212517550844</v>
      </c>
      <c r="AX34" s="5"/>
      <c r="AY34">
        <f t="shared" si="6"/>
        <v>18.707932405344518</v>
      </c>
      <c r="AZ34" s="7">
        <f t="shared" si="4"/>
        <v>252.22044492082662</v>
      </c>
    </row>
    <row r="35" spans="1:52" x14ac:dyDescent="0.2">
      <c r="A35">
        <v>116011</v>
      </c>
      <c r="B35">
        <v>2007</v>
      </c>
      <c r="C35" s="7">
        <f>[1]National!T73</f>
        <v>257.98300621365854</v>
      </c>
      <c r="D35">
        <v>212</v>
      </c>
      <c r="I35">
        <f t="shared" si="5"/>
        <v>2007</v>
      </c>
      <c r="J35" s="2">
        <f>Total_stock_SF!CJ37</f>
        <v>169.37270627869484</v>
      </c>
      <c r="V35">
        <f t="shared" si="0"/>
        <v>2007</v>
      </c>
      <c r="W35" s="5">
        <f>Total_stock_MF!DF37</f>
        <v>27.895220949173606</v>
      </c>
      <c r="AJ35">
        <f t="shared" si="1"/>
        <v>2007</v>
      </c>
      <c r="AK35" s="5">
        <f>Total_stock_MH!CN37</f>
        <v>0</v>
      </c>
      <c r="AV35">
        <f t="shared" si="2"/>
        <v>2007</v>
      </c>
      <c r="AW35" s="5">
        <f t="shared" si="3"/>
        <v>197.26792722786843</v>
      </c>
      <c r="AX35" s="5"/>
      <c r="AY35">
        <f t="shared" si="6"/>
        <v>12.606002065567168</v>
      </c>
      <c r="AZ35" s="7">
        <f t="shared" si="4"/>
        <v>257.98300621365854</v>
      </c>
    </row>
    <row r="36" spans="1:52" x14ac:dyDescent="0.2">
      <c r="A36">
        <v>116783</v>
      </c>
      <c r="B36">
        <v>2008</v>
      </c>
      <c r="C36" s="7">
        <f>[1]National!T74</f>
        <v>261.90928622658834</v>
      </c>
      <c r="I36">
        <f t="shared" si="5"/>
        <v>2008</v>
      </c>
      <c r="J36" s="2">
        <f>Total_stock_SF!CJ38</f>
        <v>171.47322949288872</v>
      </c>
      <c r="V36">
        <f t="shared" si="0"/>
        <v>2008</v>
      </c>
      <c r="W36" s="5">
        <f>Total_stock_MF!DF38</f>
        <v>28.136021450510462</v>
      </c>
      <c r="AJ36">
        <f t="shared" si="1"/>
        <v>2008</v>
      </c>
      <c r="AK36" s="5">
        <f>Total_stock_MH!CN38</f>
        <v>0</v>
      </c>
      <c r="AV36">
        <f t="shared" si="2"/>
        <v>2008</v>
      </c>
      <c r="AW36" s="5">
        <f t="shared" si="3"/>
        <v>199.60925094339919</v>
      </c>
      <c r="AX36" s="5"/>
      <c r="AY36">
        <f t="shared" si="6"/>
        <v>11.868750021518881</v>
      </c>
      <c r="AZ36" s="7">
        <f t="shared" si="4"/>
        <v>261.90928622658834</v>
      </c>
    </row>
    <row r="37" spans="1:52" x14ac:dyDescent="0.2">
      <c r="A37">
        <v>116783</v>
      </c>
      <c r="B37">
        <v>2009</v>
      </c>
      <c r="C37" s="7">
        <f>[1]National!T75</f>
        <v>265.03926399223411</v>
      </c>
      <c r="D37">
        <v>218.8</v>
      </c>
      <c r="F37">
        <f>C37/C25</f>
        <v>1.3002110132339473</v>
      </c>
      <c r="G37">
        <f>D37/D25</f>
        <v>1.2502857142857144</v>
      </c>
      <c r="I37">
        <f t="shared" si="5"/>
        <v>2009</v>
      </c>
      <c r="J37" s="2">
        <f>Total_stock_SF!CJ39</f>
        <v>172.7981515553783</v>
      </c>
      <c r="M37">
        <f>J37/J25</f>
        <v>1.2558244039484836</v>
      </c>
      <c r="V37">
        <f t="shared" si="0"/>
        <v>2009</v>
      </c>
      <c r="W37" s="5">
        <f>Total_stock_MF!DF39</f>
        <v>28.322078346682169</v>
      </c>
      <c r="AJ37">
        <f t="shared" si="1"/>
        <v>2009</v>
      </c>
      <c r="AK37" s="5">
        <f>Total_stock_MH!CN39</f>
        <v>0</v>
      </c>
      <c r="AV37">
        <f t="shared" si="2"/>
        <v>2009</v>
      </c>
      <c r="AW37" s="5">
        <f t="shared" si="3"/>
        <v>201.12022990206046</v>
      </c>
      <c r="AX37" s="5"/>
      <c r="AY37">
        <f t="shared" si="6"/>
        <v>7.5696840277694744</v>
      </c>
      <c r="AZ37" s="7">
        <f t="shared" si="4"/>
        <v>265.03926399223411</v>
      </c>
    </row>
    <row r="39" spans="1:52" x14ac:dyDescent="0.2">
      <c r="AV39" t="s">
        <v>325</v>
      </c>
      <c r="AW39" s="24">
        <f>AW37/AW13</f>
        <v>1.5075372280139319</v>
      </c>
      <c r="AZ39" s="24">
        <f>AZ37/AZ13</f>
        <v>1.8030892015881488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A209"/>
  <sheetViews>
    <sheetView topLeftCell="A141" workbookViewId="0">
      <selection activeCell="A151" sqref="A151"/>
    </sheetView>
  </sheetViews>
  <sheetFormatPr defaultRowHeight="12.75" x14ac:dyDescent="0.2"/>
  <cols>
    <col min="18" max="18" width="11.5703125" customWidth="1"/>
    <col min="19" max="19" width="12.5703125" customWidth="1"/>
  </cols>
  <sheetData>
    <row r="1" spans="1:24" ht="13.5" thickBot="1" x14ac:dyDescent="0.25">
      <c r="D1" s="16" t="s">
        <v>44</v>
      </c>
      <c r="E1" s="17">
        <v>1</v>
      </c>
      <c r="F1" s="17">
        <v>2</v>
      </c>
      <c r="G1" s="17">
        <v>3</v>
      </c>
      <c r="H1" s="17">
        <v>4</v>
      </c>
      <c r="I1" s="17">
        <v>5</v>
      </c>
      <c r="K1" t="s">
        <v>555</v>
      </c>
    </row>
    <row r="2" spans="1:24" x14ac:dyDescent="0.2">
      <c r="A2" s="19" t="s">
        <v>70</v>
      </c>
      <c r="B2" s="18" t="s">
        <v>45</v>
      </c>
      <c r="C2" s="18"/>
      <c r="D2" s="18"/>
      <c r="E2" t="s">
        <v>46</v>
      </c>
      <c r="F2" t="s">
        <v>47</v>
      </c>
      <c r="G2" s="19" t="s">
        <v>48</v>
      </c>
      <c r="H2" t="s">
        <v>49</v>
      </c>
      <c r="I2" t="s">
        <v>50</v>
      </c>
    </row>
    <row r="3" spans="1:24" x14ac:dyDescent="0.2">
      <c r="A3" s="19" t="s">
        <v>71</v>
      </c>
      <c r="B3" t="s">
        <v>51</v>
      </c>
      <c r="C3">
        <f>T181</f>
        <v>2.4896011039716348</v>
      </c>
      <c r="E3">
        <f>BT6</f>
        <v>0</v>
      </c>
      <c r="F3">
        <f>DY172</f>
        <v>0</v>
      </c>
      <c r="G3">
        <f>EQ172</f>
        <v>0</v>
      </c>
      <c r="H3">
        <v>1.7</v>
      </c>
      <c r="I3" s="20">
        <v>5.4</v>
      </c>
      <c r="U3">
        <v>4.9562375505253273</v>
      </c>
      <c r="V3">
        <v>14.13915138705844</v>
      </c>
      <c r="W3">
        <v>4.6109441012490082</v>
      </c>
    </row>
    <row r="4" spans="1:24" x14ac:dyDescent="0.2">
      <c r="A4" s="20">
        <v>1</v>
      </c>
      <c r="B4" t="s">
        <v>52</v>
      </c>
      <c r="C4">
        <f>T182</f>
        <v>85.897558532137552</v>
      </c>
      <c r="E4">
        <f>BT7</f>
        <v>0</v>
      </c>
      <c r="F4">
        <f>DZ172</f>
        <v>0</v>
      </c>
      <c r="G4">
        <f>ER172</f>
        <v>0</v>
      </c>
      <c r="H4">
        <v>81.5</v>
      </c>
      <c r="I4" s="20">
        <v>59</v>
      </c>
      <c r="U4">
        <v>38.374574598292824</v>
      </c>
      <c r="V4">
        <v>82.8214665201846</v>
      </c>
      <c r="W4">
        <v>87.992895469975167</v>
      </c>
    </row>
    <row r="5" spans="1:24" x14ac:dyDescent="0.2">
      <c r="W5">
        <v>0.99794010414212653</v>
      </c>
    </row>
    <row r="6" spans="1:24" x14ac:dyDescent="0.2">
      <c r="C6">
        <v>3.9227641501562127</v>
      </c>
      <c r="G6" s="448" t="s">
        <v>53</v>
      </c>
      <c r="H6" s="449"/>
      <c r="I6" s="449"/>
      <c r="J6" s="449"/>
      <c r="K6" s="449"/>
      <c r="L6" s="449"/>
      <c r="M6" s="449"/>
      <c r="N6" s="449"/>
      <c r="O6" s="449"/>
      <c r="P6" s="449"/>
      <c r="Q6" s="449"/>
      <c r="R6" s="449"/>
    </row>
    <row r="7" spans="1:24" x14ac:dyDescent="0.2">
      <c r="C7">
        <v>73.223812016884864</v>
      </c>
    </row>
    <row r="8" spans="1:24" x14ac:dyDescent="0.2">
      <c r="G8" s="21"/>
      <c r="H8" s="21"/>
      <c r="I8" s="21"/>
      <c r="J8" s="21"/>
      <c r="K8" s="21"/>
      <c r="L8" s="21"/>
      <c r="M8" s="21"/>
      <c r="N8" s="21"/>
      <c r="O8" s="21"/>
      <c r="P8" s="21"/>
      <c r="Q8" s="21"/>
      <c r="R8" s="21"/>
    </row>
    <row r="9" spans="1:24" ht="13.5" thickBot="1" x14ac:dyDescent="0.25">
      <c r="A9" s="16" t="s">
        <v>72</v>
      </c>
      <c r="C9" t="s">
        <v>54</v>
      </c>
      <c r="D9" t="s">
        <v>55</v>
      </c>
      <c r="E9" t="s">
        <v>56</v>
      </c>
      <c r="F9" t="s">
        <v>57</v>
      </c>
      <c r="G9" t="s">
        <v>58</v>
      </c>
      <c r="H9" t="s">
        <v>59</v>
      </c>
      <c r="I9" t="s">
        <v>60</v>
      </c>
      <c r="J9" t="s">
        <v>61</v>
      </c>
      <c r="K9" t="s">
        <v>62</v>
      </c>
      <c r="L9" t="s">
        <v>63</v>
      </c>
      <c r="M9" t="s">
        <v>64</v>
      </c>
      <c r="N9" t="s">
        <v>65</v>
      </c>
      <c r="O9" t="s">
        <v>66</v>
      </c>
      <c r="P9" t="s">
        <v>67</v>
      </c>
      <c r="Q9" t="s">
        <v>68</v>
      </c>
      <c r="R9" t="s">
        <v>69</v>
      </c>
    </row>
    <row r="15" spans="1:24" x14ac:dyDescent="0.2">
      <c r="J15" t="s">
        <v>0</v>
      </c>
      <c r="K15" t="s">
        <v>1</v>
      </c>
      <c r="L15" t="s">
        <v>2</v>
      </c>
      <c r="M15" t="s">
        <v>3</v>
      </c>
      <c r="N15" t="s">
        <v>4</v>
      </c>
      <c r="O15" t="s">
        <v>5</v>
      </c>
      <c r="P15" t="s">
        <v>6</v>
      </c>
      <c r="R15" t="s">
        <v>0</v>
      </c>
      <c r="S15" t="s">
        <v>1</v>
      </c>
      <c r="T15" t="s">
        <v>2</v>
      </c>
      <c r="U15" t="s">
        <v>3</v>
      </c>
      <c r="V15" t="s">
        <v>4</v>
      </c>
      <c r="W15" t="s">
        <v>5</v>
      </c>
      <c r="X15" t="s">
        <v>6</v>
      </c>
    </row>
    <row r="16" spans="1:24" x14ac:dyDescent="0.2">
      <c r="F16" t="s">
        <v>74</v>
      </c>
      <c r="J16" s="2">
        <f>AHS_tables!JU4</f>
        <v>13731.725805588263</v>
      </c>
      <c r="K16" s="2">
        <f>AHS_tables!JV4</f>
        <v>5890.630524605147</v>
      </c>
      <c r="L16" s="2">
        <f>AHS_tables!JW4</f>
        <v>10393.762094314892</v>
      </c>
      <c r="M16" s="2">
        <f>AHS_tables!JX4</f>
        <v>10272.317825172686</v>
      </c>
      <c r="N16" s="2">
        <f>AHS_tables!JY4</f>
        <v>12848.628085373453</v>
      </c>
      <c r="O16" s="2">
        <f>AHS_tables!JZ4</f>
        <v>8834.1477718180067</v>
      </c>
      <c r="P16" s="2">
        <f>AHS_tables!KA4</f>
        <v>9527.7993463470375</v>
      </c>
      <c r="R16" s="2">
        <f>J16</f>
        <v>13731.725805588263</v>
      </c>
      <c r="S16" s="2">
        <f t="shared" ref="S16:X16" si="0">K16</f>
        <v>5890.630524605147</v>
      </c>
      <c r="T16" s="2">
        <f t="shared" si="0"/>
        <v>10393.762094314892</v>
      </c>
      <c r="U16" s="2">
        <f t="shared" si="0"/>
        <v>10272.317825172686</v>
      </c>
      <c r="V16" s="2">
        <f t="shared" si="0"/>
        <v>12848.628085373453</v>
      </c>
      <c r="W16" s="2">
        <f t="shared" si="0"/>
        <v>8834.1477718180067</v>
      </c>
      <c r="X16" s="2">
        <f t="shared" si="0"/>
        <v>9527.7993463470375</v>
      </c>
    </row>
    <row r="17" spans="1:9" x14ac:dyDescent="0.2">
      <c r="A17">
        <f t="shared" ref="A17:A48" si="1">I17</f>
        <v>1870</v>
      </c>
      <c r="C17">
        <v>150</v>
      </c>
      <c r="D17" s="22">
        <f>PRODUCT(1/(1+(C17/$C$4)^$C$3))</f>
        <v>0.19974281488916615</v>
      </c>
      <c r="E17" s="11">
        <f>0</f>
        <v>0</v>
      </c>
      <c r="F17" s="25">
        <f>PRODUCT(1/(1+(E17/$C$4)^$C$3))</f>
        <v>1</v>
      </c>
      <c r="H17" s="23">
        <f t="shared" ref="H17:H48" si="2">1/D17</f>
        <v>5.0064379064392517</v>
      </c>
      <c r="I17">
        <v>1870</v>
      </c>
    </row>
    <row r="18" spans="1:9" x14ac:dyDescent="0.2">
      <c r="A18">
        <f t="shared" si="1"/>
        <v>1871</v>
      </c>
      <c r="C18">
        <f>C17-1</f>
        <v>149</v>
      </c>
      <c r="D18" s="22">
        <f t="shared" ref="D18:D81" si="3">PRODUCT(1/(1+(C18/$C$4)^$C$3))</f>
        <v>0.20241802466861356</v>
      </c>
      <c r="E18" s="11">
        <f>E17+1</f>
        <v>1</v>
      </c>
      <c r="F18" s="25">
        <f t="shared" ref="F18:F81" si="4">PRODUCT(1/(1+(E18/$C$4)^$C$3))</f>
        <v>0.99998468374587324</v>
      </c>
      <c r="H18" s="23">
        <f t="shared" si="2"/>
        <v>4.9402715081186024</v>
      </c>
      <c r="I18">
        <f>I17+1</f>
        <v>1871</v>
      </c>
    </row>
    <row r="19" spans="1:9" x14ac:dyDescent="0.2">
      <c r="A19">
        <f t="shared" si="1"/>
        <v>1872</v>
      </c>
      <c r="C19">
        <f t="shared" ref="C19:C66" si="5">C18-1</f>
        <v>148</v>
      </c>
      <c r="D19" s="22">
        <f t="shared" si="3"/>
        <v>0.20513816527662312</v>
      </c>
      <c r="E19" s="11">
        <f t="shared" ref="E19:E82" si="6">E18+1</f>
        <v>2</v>
      </c>
      <c r="F19" s="25">
        <f t="shared" si="4"/>
        <v>0.99991398653008901</v>
      </c>
      <c r="H19" s="23">
        <f t="shared" si="2"/>
        <v>4.8747633023407797</v>
      </c>
      <c r="I19">
        <f t="shared" ref="I19:I66" si="7">I18+1</f>
        <v>1872</v>
      </c>
    </row>
    <row r="20" spans="1:9" x14ac:dyDescent="0.2">
      <c r="A20">
        <f t="shared" si="1"/>
        <v>1873</v>
      </c>
      <c r="C20">
        <f t="shared" si="5"/>
        <v>147</v>
      </c>
      <c r="D20" s="22">
        <f t="shared" si="3"/>
        <v>0.20790404947356747</v>
      </c>
      <c r="E20" s="11">
        <f t="shared" si="6"/>
        <v>3</v>
      </c>
      <c r="F20" s="25">
        <f t="shared" si="4"/>
        <v>0.99976400743780991</v>
      </c>
      <c r="H20" s="23">
        <f t="shared" si="2"/>
        <v>4.8099111226168692</v>
      </c>
      <c r="I20">
        <f t="shared" si="7"/>
        <v>1873</v>
      </c>
    </row>
    <row r="21" spans="1:9" x14ac:dyDescent="0.2">
      <c r="A21">
        <f t="shared" si="1"/>
        <v>1874</v>
      </c>
      <c r="C21">
        <f t="shared" si="5"/>
        <v>146</v>
      </c>
      <c r="D21" s="22">
        <f t="shared" si="3"/>
        <v>0.21071650207302339</v>
      </c>
      <c r="E21" s="11">
        <f t="shared" si="6"/>
        <v>4</v>
      </c>
      <c r="F21" s="25">
        <f t="shared" si="4"/>
        <v>0.99951712060728348</v>
      </c>
      <c r="H21" s="23">
        <f t="shared" si="2"/>
        <v>4.7457127949734659</v>
      </c>
      <c r="I21">
        <f t="shared" si="7"/>
        <v>1874</v>
      </c>
    </row>
    <row r="22" spans="1:9" x14ac:dyDescent="0.2">
      <c r="A22">
        <f t="shared" si="1"/>
        <v>1875</v>
      </c>
      <c r="C22">
        <f t="shared" si="5"/>
        <v>145</v>
      </c>
      <c r="D22" s="22">
        <f t="shared" si="3"/>
        <v>0.21357635986272738</v>
      </c>
      <c r="E22" s="11">
        <f t="shared" si="6"/>
        <v>5</v>
      </c>
      <c r="F22" s="25">
        <f t="shared" si="4"/>
        <v>0.99915870136426765</v>
      </c>
      <c r="H22" s="23">
        <f t="shared" si="2"/>
        <v>4.6821661378756207</v>
      </c>
      <c r="I22">
        <f t="shared" si="7"/>
        <v>1875</v>
      </c>
    </row>
    <row r="23" spans="1:9" x14ac:dyDescent="0.2">
      <c r="A23">
        <f t="shared" si="1"/>
        <v>1876</v>
      </c>
      <c r="C23">
        <f t="shared" si="5"/>
        <v>144</v>
      </c>
      <c r="D23" s="22">
        <f t="shared" si="3"/>
        <v>0.21648447150279951</v>
      </c>
      <c r="E23" s="11">
        <f t="shared" si="6"/>
        <v>6</v>
      </c>
      <c r="F23" s="25">
        <f t="shared" si="4"/>
        <v>0.99867605463283105</v>
      </c>
      <c r="H23" s="23">
        <f t="shared" si="2"/>
        <v>4.6192689621484853</v>
      </c>
      <c r="I23">
        <f t="shared" si="7"/>
        <v>1876</v>
      </c>
    </row>
    <row r="24" spans="1:9" x14ac:dyDescent="0.2">
      <c r="A24">
        <f t="shared" si="1"/>
        <v>1877</v>
      </c>
      <c r="C24">
        <f t="shared" si="5"/>
        <v>143</v>
      </c>
      <c r="D24" s="22">
        <f t="shared" si="3"/>
        <v>0.21944169739957503</v>
      </c>
      <c r="E24" s="11">
        <f t="shared" si="6"/>
        <v>7</v>
      </c>
      <c r="F24" s="25">
        <f t="shared" si="4"/>
        <v>0.99805789831703007</v>
      </c>
      <c r="H24" s="23">
        <f t="shared" si="2"/>
        <v>4.5570190708975833</v>
      </c>
      <c r="I24">
        <f t="shared" si="7"/>
        <v>1877</v>
      </c>
    </row>
    <row r="25" spans="1:9" x14ac:dyDescent="0.2">
      <c r="A25">
        <f t="shared" si="1"/>
        <v>1878</v>
      </c>
      <c r="C25">
        <f t="shared" si="5"/>
        <v>142</v>
      </c>
      <c r="D25" s="22">
        <f t="shared" si="3"/>
        <v>0.22244890955328964</v>
      </c>
      <c r="E25" s="11">
        <f t="shared" si="6"/>
        <v>8</v>
      </c>
      <c r="F25" s="25">
        <f t="shared" si="4"/>
        <v>0.99729407172089668</v>
      </c>
      <c r="H25" s="23">
        <f t="shared" si="2"/>
        <v>4.4954142594276956</v>
      </c>
      <c r="I25">
        <f t="shared" si="7"/>
        <v>1878</v>
      </c>
    </row>
    <row r="26" spans="1:9" x14ac:dyDescent="0.2">
      <c r="A26">
        <f t="shared" si="1"/>
        <v>1879</v>
      </c>
      <c r="C26">
        <f t="shared" si="5"/>
        <v>141</v>
      </c>
      <c r="D26" s="22">
        <f t="shared" si="3"/>
        <v>0.22550699137777225</v>
      </c>
      <c r="E26" s="11">
        <f t="shared" si="6"/>
        <v>9</v>
      </c>
      <c r="F26" s="25">
        <f t="shared" si="4"/>
        <v>0.99637535567137236</v>
      </c>
      <c r="H26" s="23">
        <f t="shared" si="2"/>
        <v>4.4344523151603177</v>
      </c>
      <c r="I26">
        <f t="shared" si="7"/>
        <v>1879</v>
      </c>
    </row>
    <row r="27" spans="1:9" x14ac:dyDescent="0.2">
      <c r="A27">
        <f t="shared" si="1"/>
        <v>1880</v>
      </c>
      <c r="C27">
        <f t="shared" si="5"/>
        <v>140</v>
      </c>
      <c r="D27" s="22">
        <f t="shared" si="3"/>
        <v>0.22861683749020195</v>
      </c>
      <c r="E27" s="11">
        <f t="shared" si="6"/>
        <v>10</v>
      </c>
      <c r="F27" s="25">
        <f t="shared" si="4"/>
        <v>0.99529335520377815</v>
      </c>
      <c r="H27" s="23">
        <f t="shared" si="2"/>
        <v>4.3741310175496499</v>
      </c>
      <c r="I27">
        <f t="shared" si="7"/>
        <v>1880</v>
      </c>
    </row>
    <row r="28" spans="1:9" x14ac:dyDescent="0.2">
      <c r="A28">
        <f t="shared" si="1"/>
        <v>1881</v>
      </c>
      <c r="C28">
        <f t="shared" si="5"/>
        <v>139</v>
      </c>
      <c r="D28" s="22">
        <f t="shared" si="3"/>
        <v>0.23177935346888448</v>
      </c>
      <c r="E28" s="11">
        <f t="shared" si="6"/>
        <v>11</v>
      </c>
      <c r="F28" s="25">
        <f t="shared" si="4"/>
        <v>0.99404042021614281</v>
      </c>
      <c r="H28" s="23">
        <f t="shared" si="2"/>
        <v>4.3144481379970987</v>
      </c>
      <c r="I28">
        <f t="shared" si="7"/>
        <v>1881</v>
      </c>
    </row>
    <row r="29" spans="1:9" x14ac:dyDescent="0.2">
      <c r="A29">
        <f t="shared" si="1"/>
        <v>1882</v>
      </c>
      <c r="C29">
        <f t="shared" si="5"/>
        <v>138</v>
      </c>
      <c r="D29" s="22">
        <f t="shared" si="3"/>
        <v>0.23499545557690196</v>
      </c>
      <c r="E29" s="11">
        <f t="shared" si="6"/>
        <v>12</v>
      </c>
      <c r="F29" s="25">
        <f t="shared" si="4"/>
        <v>0.99260959048776132</v>
      </c>
      <c r="H29" s="23">
        <f t="shared" si="2"/>
        <v>4.2554014397642312</v>
      </c>
      <c r="I29">
        <f t="shared" si="7"/>
        <v>1882</v>
      </c>
    </row>
    <row r="30" spans="1:9" x14ac:dyDescent="0.2">
      <c r="A30">
        <f t="shared" si="1"/>
        <v>1883</v>
      </c>
      <c r="C30">
        <f t="shared" si="5"/>
        <v>137</v>
      </c>
      <c r="D30" s="22">
        <f t="shared" si="3"/>
        <v>0.23826607044938017</v>
      </c>
      <c r="E30" s="11">
        <f t="shared" si="6"/>
        <v>13</v>
      </c>
      <c r="F30" s="25">
        <f t="shared" si="4"/>
        <v>0.99099455694939909</v>
      </c>
      <c r="H30" s="23">
        <f t="shared" si="2"/>
        <v>4.1969886778841676</v>
      </c>
      <c r="I30">
        <f t="shared" si="7"/>
        <v>1883</v>
      </c>
    </row>
    <row r="31" spans="1:9" x14ac:dyDescent="0.2">
      <c r="A31">
        <f t="shared" si="1"/>
        <v>1884</v>
      </c>
      <c r="C31">
        <f t="shared" si="5"/>
        <v>136</v>
      </c>
      <c r="D31" s="22">
        <f t="shared" si="3"/>
        <v>0.24159213474201099</v>
      </c>
      <c r="E31" s="11">
        <f t="shared" si="6"/>
        <v>14</v>
      </c>
      <c r="F31" s="25">
        <f t="shared" si="4"/>
        <v>0.98918963407289151</v>
      </c>
      <c r="H31" s="23">
        <f t="shared" si="2"/>
        <v>4.1392075990713444</v>
      </c>
      <c r="I31">
        <f t="shared" si="7"/>
        <v>1884</v>
      </c>
    </row>
    <row r="32" spans="1:9" x14ac:dyDescent="0.2">
      <c r="A32">
        <f t="shared" si="1"/>
        <v>1885</v>
      </c>
      <c r="C32">
        <f t="shared" si="5"/>
        <v>135</v>
      </c>
      <c r="D32" s="22">
        <f t="shared" si="3"/>
        <v>0.24497459473835201</v>
      </c>
      <c r="E32" s="11">
        <f t="shared" si="6"/>
        <v>15</v>
      </c>
      <c r="F32" s="25">
        <f t="shared" si="4"/>
        <v>0.98718973997313852</v>
      </c>
      <c r="H32" s="23">
        <f t="shared" si="2"/>
        <v>4.082055941629628</v>
      </c>
      <c r="I32">
        <f t="shared" si="7"/>
        <v>1885</v>
      </c>
    </row>
    <row r="33" spans="1:9" x14ac:dyDescent="0.2">
      <c r="A33">
        <f t="shared" si="1"/>
        <v>1886</v>
      </c>
      <c r="C33">
        <f t="shared" si="5"/>
        <v>134</v>
      </c>
      <c r="D33" s="22">
        <f t="shared" si="3"/>
        <v>0.24841440591331143</v>
      </c>
      <c r="E33" s="11">
        <f t="shared" si="6"/>
        <v>16</v>
      </c>
      <c r="F33" s="25">
        <f t="shared" si="4"/>
        <v>0.98499038186823373</v>
      </c>
      <c r="H33" s="23">
        <f t="shared" si="2"/>
        <v>4.0255314353587348</v>
      </c>
      <c r="I33">
        <f t="shared" si="7"/>
        <v>1886</v>
      </c>
    </row>
    <row r="34" spans="1:9" x14ac:dyDescent="0.2">
      <c r="A34">
        <f t="shared" si="1"/>
        <v>1887</v>
      </c>
      <c r="C34">
        <f t="shared" si="5"/>
        <v>133</v>
      </c>
      <c r="D34" s="22">
        <f t="shared" si="3"/>
        <v>0.25191253245010931</v>
      </c>
      <c r="E34" s="11">
        <f t="shared" si="6"/>
        <v>17</v>
      </c>
      <c r="F34" s="25">
        <f t="shared" si="4"/>
        <v>0.98258764521506248</v>
      </c>
      <c r="H34" s="23">
        <f t="shared" si="2"/>
        <v>3.9696318014588958</v>
      </c>
      <c r="I34">
        <f t="shared" si="7"/>
        <v>1887</v>
      </c>
    </row>
    <row r="35" spans="1:9" x14ac:dyDescent="0.2">
      <c r="A35">
        <f t="shared" si="1"/>
        <v>1888</v>
      </c>
      <c r="C35">
        <f t="shared" si="5"/>
        <v>132</v>
      </c>
      <c r="D35" s="22">
        <f t="shared" si="3"/>
        <v>0.25546994670788398</v>
      </c>
      <c r="E35" s="11">
        <f t="shared" si="6"/>
        <v>18</v>
      </c>
      <c r="F35" s="25">
        <f t="shared" si="4"/>
        <v>0.97997818528312852</v>
      </c>
      <c r="H35" s="23">
        <f t="shared" si="2"/>
        <v>3.9143547524337401</v>
      </c>
      <c r="I35">
        <f t="shared" si="7"/>
        <v>1888</v>
      </c>
    </row>
    <row r="36" spans="1:9" x14ac:dyDescent="0.2">
      <c r="A36">
        <f t="shared" si="1"/>
        <v>1889</v>
      </c>
      <c r="C36">
        <f t="shared" si="5"/>
        <v>131</v>
      </c>
      <c r="D36" s="22">
        <f t="shared" si="3"/>
        <v>0.25908762863699325</v>
      </c>
      <c r="E36" s="11">
        <f t="shared" si="6"/>
        <v>19</v>
      </c>
      <c r="F36" s="25">
        <f t="shared" si="4"/>
        <v>0.97715922023532442</v>
      </c>
      <c r="H36" s="23">
        <f t="shared" si="2"/>
        <v>3.8596979919913368</v>
      </c>
      <c r="I36">
        <f t="shared" si="7"/>
        <v>1889</v>
      </c>
    </row>
    <row r="37" spans="1:9" x14ac:dyDescent="0.2">
      <c r="A37">
        <f t="shared" si="1"/>
        <v>1890</v>
      </c>
      <c r="C37">
        <f t="shared" si="5"/>
        <v>130</v>
      </c>
      <c r="D37" s="22">
        <f t="shared" si="3"/>
        <v>0.26276656513893465</v>
      </c>
      <c r="E37" s="11">
        <f t="shared" si="6"/>
        <v>20</v>
      </c>
      <c r="F37" s="25">
        <f t="shared" si="4"/>
        <v>0.97412852500149461</v>
      </c>
      <c r="H37" s="23">
        <f t="shared" si="2"/>
        <v>3.805659214943355</v>
      </c>
      <c r="I37">
        <f t="shared" si="7"/>
        <v>1890</v>
      </c>
    </row>
    <row r="38" spans="1:9" x14ac:dyDescent="0.2">
      <c r="A38">
        <f t="shared" si="1"/>
        <v>1891</v>
      </c>
      <c r="C38">
        <f t="shared" si="5"/>
        <v>129</v>
      </c>
      <c r="D38" s="22">
        <f t="shared" si="3"/>
        <v>0.26650774936768645</v>
      </c>
      <c r="E38" s="11">
        <f t="shared" si="6"/>
        <v>21</v>
      </c>
      <c r="F38" s="25">
        <f t="shared" si="4"/>
        <v>0.97088442538958741</v>
      </c>
      <c r="H38" s="23">
        <f t="shared" si="2"/>
        <v>3.7522361071022878</v>
      </c>
      <c r="I38">
        <f t="shared" si="7"/>
        <v>1891</v>
      </c>
    </row>
    <row r="39" spans="1:9" x14ac:dyDescent="0.2">
      <c r="A39">
        <f t="shared" si="1"/>
        <v>1892</v>
      </c>
      <c r="C39">
        <f t="shared" si="5"/>
        <v>128</v>
      </c>
      <c r="D39" s="22">
        <f t="shared" si="3"/>
        <v>0.27031217996914642</v>
      </c>
      <c r="E39" s="11">
        <f t="shared" si="6"/>
        <v>22</v>
      </c>
      <c r="F39" s="25">
        <f t="shared" si="4"/>
        <v>0.96742579199910583</v>
      </c>
      <c r="H39" s="23">
        <f t="shared" si="2"/>
        <v>3.6994263451766791</v>
      </c>
      <c r="I39">
        <f t="shared" si="7"/>
        <v>1892</v>
      </c>
    </row>
    <row r="40" spans="1:9" x14ac:dyDescent="0.2">
      <c r="A40">
        <f t="shared" si="1"/>
        <v>1893</v>
      </c>
      <c r="C40">
        <f t="shared" si="5"/>
        <v>127</v>
      </c>
      <c r="D40" s="22">
        <f t="shared" si="3"/>
        <v>0.27418086025521921</v>
      </c>
      <c r="E40" s="11">
        <f t="shared" si="6"/>
        <v>23</v>
      </c>
      <c r="F40" s="25">
        <f t="shared" si="4"/>
        <v>0.96375203359467987</v>
      </c>
      <c r="H40" s="23">
        <f t="shared" si="2"/>
        <v>3.6472275966643242</v>
      </c>
      <c r="I40">
        <f t="shared" si="7"/>
        <v>1893</v>
      </c>
    </row>
    <row r="41" spans="1:9" x14ac:dyDescent="0.2">
      <c r="A41">
        <f t="shared" si="1"/>
        <v>1894</v>
      </c>
      <c r="C41">
        <f t="shared" si="5"/>
        <v>126</v>
      </c>
      <c r="D41" s="22">
        <f t="shared" si="3"/>
        <v>0.27811479730898397</v>
      </c>
      <c r="E41" s="11">
        <f t="shared" si="6"/>
        <v>24</v>
      </c>
      <c r="F41" s="25">
        <f t="shared" si="4"/>
        <v>0.95986308967192713</v>
      </c>
      <c r="H41" s="23">
        <f t="shared" si="2"/>
        <v>3.5956375197433514</v>
      </c>
      <c r="I41">
        <f t="shared" si="7"/>
        <v>1894</v>
      </c>
    </row>
    <row r="42" spans="1:9" x14ac:dyDescent="0.2">
      <c r="A42">
        <f t="shared" si="1"/>
        <v>1895</v>
      </c>
      <c r="C42">
        <f t="shared" si="5"/>
        <v>125</v>
      </c>
      <c r="D42" s="22">
        <f t="shared" si="3"/>
        <v>0.2821150010172474</v>
      </c>
      <c r="E42" s="11">
        <f t="shared" si="6"/>
        <v>25</v>
      </c>
      <c r="F42" s="25">
        <f t="shared" si="4"/>
        <v>0.95575942200867836</v>
      </c>
      <c r="H42" s="23">
        <f t="shared" si="2"/>
        <v>3.5446537631611581</v>
      </c>
      <c r="I42">
        <f t="shared" si="7"/>
        <v>1895</v>
      </c>
    </row>
    <row r="43" spans="1:9" x14ac:dyDescent="0.2">
      <c r="A43">
        <f t="shared" si="1"/>
        <v>1896</v>
      </c>
      <c r="C43">
        <f t="shared" si="5"/>
        <v>124</v>
      </c>
      <c r="D43" s="22">
        <f t="shared" si="3"/>
        <v>0.28618248302667121</v>
      </c>
      <c r="E43" s="11">
        <f t="shared" si="6"/>
        <v>26</v>
      </c>
      <c r="F43" s="25">
        <f t="shared" si="4"/>
        <v>0.9514420050457244</v>
      </c>
      <c r="H43" s="23">
        <f t="shared" si="2"/>
        <v>3.4942739661211322</v>
      </c>
      <c r="I43">
        <f t="shared" si="7"/>
        <v>1896</v>
      </c>
    </row>
    <row r="44" spans="1:9" x14ac:dyDescent="0.2">
      <c r="A44">
        <f t="shared" si="1"/>
        <v>1897</v>
      </c>
      <c r="C44">
        <f t="shared" si="5"/>
        <v>123</v>
      </c>
      <c r="D44" s="22">
        <f t="shared" si="3"/>
        <v>0.29031825561954788</v>
      </c>
      <c r="E44" s="11">
        <f t="shared" si="6"/>
        <v>27</v>
      </c>
      <c r="F44" s="25">
        <f t="shared" si="4"/>
        <v>0.94691231498493078</v>
      </c>
      <c r="H44" s="23">
        <f t="shared" si="2"/>
        <v>3.4444957581670845</v>
      </c>
      <c r="I44">
        <f t="shared" si="7"/>
        <v>1897</v>
      </c>
    </row>
    <row r="45" spans="1:9" x14ac:dyDescent="0.2">
      <c r="A45">
        <f t="shared" si="1"/>
        <v>1898</v>
      </c>
      <c r="C45">
        <f t="shared" si="5"/>
        <v>122</v>
      </c>
      <c r="D45" s="22">
        <f t="shared" si="3"/>
        <v>0.29452333050518653</v>
      </c>
      <c r="E45" s="11">
        <f t="shared" si="6"/>
        <v>28</v>
      </c>
      <c r="F45" s="25">
        <f t="shared" si="4"/>
        <v>0.94217231753057684</v>
      </c>
      <c r="H45" s="23">
        <f t="shared" si="2"/>
        <v>3.3953167590653401</v>
      </c>
      <c r="I45">
        <f t="shared" si="7"/>
        <v>1898</v>
      </c>
    </row>
    <row r="46" spans="1:9" x14ac:dyDescent="0.2">
      <c r="A46">
        <f t="shared" si="1"/>
        <v>1899</v>
      </c>
      <c r="C46">
        <f t="shared" si="5"/>
        <v>121</v>
      </c>
      <c r="D46" s="22">
        <f t="shared" si="3"/>
        <v>0.29879871752276616</v>
      </c>
      <c r="E46" s="11">
        <f t="shared" si="6"/>
        <v>29</v>
      </c>
      <c r="F46" s="25">
        <f t="shared" si="4"/>
        <v>0.93722445423321243</v>
      </c>
      <c r="H46" s="23">
        <f t="shared" si="2"/>
        <v>3.3467345786844205</v>
      </c>
      <c r="I46">
        <f t="shared" si="7"/>
        <v>1899</v>
      </c>
    </row>
    <row r="47" spans="1:9" x14ac:dyDescent="0.2">
      <c r="A47">
        <f t="shared" si="1"/>
        <v>1900</v>
      </c>
      <c r="C47">
        <f t="shared" si="5"/>
        <v>120</v>
      </c>
      <c r="D47" s="22">
        <f t="shared" si="3"/>
        <v>0.3031454232514168</v>
      </c>
      <c r="E47" s="11">
        <f t="shared" si="6"/>
        <v>30</v>
      </c>
      <c r="F47" s="25">
        <f t="shared" si="4"/>
        <v>0.93207162742501681</v>
      </c>
      <c r="H47" s="23">
        <f t="shared" si="2"/>
        <v>3.2987468168722431</v>
      </c>
      <c r="I47">
        <f t="shared" si="7"/>
        <v>1900</v>
      </c>
    </row>
    <row r="48" spans="1:9" x14ac:dyDescent="0.2">
      <c r="A48">
        <f t="shared" si="1"/>
        <v>1901</v>
      </c>
      <c r="B48">
        <f>C4</f>
        <v>85.897558532137552</v>
      </c>
      <c r="C48">
        <f t="shared" si="5"/>
        <v>119</v>
      </c>
      <c r="D48" s="22">
        <f t="shared" si="3"/>
        <v>0.30756444952320083</v>
      </c>
      <c r="E48" s="11">
        <f t="shared" si="6"/>
        <v>31</v>
      </c>
      <c r="F48" s="25">
        <f t="shared" si="4"/>
        <v>0.92671718376209222</v>
      </c>
      <c r="H48" s="23">
        <f t="shared" si="2"/>
        <v>3.2513510633307634</v>
      </c>
      <c r="I48">
        <f t="shared" si="7"/>
        <v>1901</v>
      </c>
    </row>
    <row r="49" spans="1:9" x14ac:dyDescent="0.2">
      <c r="A49">
        <f t="shared" ref="A49:A80" si="8">I49</f>
        <v>1902</v>
      </c>
      <c r="C49">
        <f t="shared" si="5"/>
        <v>118</v>
      </c>
      <c r="D49" s="22">
        <f t="shared" si="3"/>
        <v>0.31205679183458668</v>
      </c>
      <c r="E49" s="11">
        <f t="shared" si="6"/>
        <v>32</v>
      </c>
      <c r="F49" s="25">
        <f t="shared" si="4"/>
        <v>0.92116489641269972</v>
      </c>
      <c r="H49" s="23">
        <f t="shared" ref="H49:H80" si="9">1/D49</f>
        <v>3.2045448974880011</v>
      </c>
      <c r="I49">
        <f t="shared" si="7"/>
        <v>1902</v>
      </c>
    </row>
    <row r="50" spans="1:9" x14ac:dyDescent="0.2">
      <c r="A50">
        <f t="shared" si="8"/>
        <v>1903</v>
      </c>
      <c r="C50">
        <f t="shared" si="5"/>
        <v>117</v>
      </c>
      <c r="D50" s="22">
        <f t="shared" si="3"/>
        <v>0.31662343765194489</v>
      </c>
      <c r="E50" s="11">
        <f t="shared" si="6"/>
        <v>33</v>
      </c>
      <c r="F50" s="25">
        <f t="shared" si="4"/>
        <v>0.91541894595137341</v>
      </c>
      <c r="H50" s="23">
        <f t="shared" si="9"/>
        <v>3.1583258883673402</v>
      </c>
      <c r="I50">
        <f t="shared" si="7"/>
        <v>1903</v>
      </c>
    </row>
    <row r="51" spans="1:9" x14ac:dyDescent="0.2">
      <c r="A51">
        <f t="shared" si="8"/>
        <v>1904</v>
      </c>
      <c r="C51">
        <f t="shared" si="5"/>
        <v>116</v>
      </c>
      <c r="D51" s="22">
        <f t="shared" si="3"/>
        <v>0.32126536460654093</v>
      </c>
      <c r="E51" s="11">
        <f t="shared" si="6"/>
        <v>34</v>
      </c>
      <c r="F51" s="25">
        <f t="shared" si="4"/>
        <v>0.90948390003730295</v>
      </c>
      <c r="H51" s="23">
        <f t="shared" si="9"/>
        <v>3.1126915944540636</v>
      </c>
      <c r="I51">
        <f t="shared" si="7"/>
        <v>1904</v>
      </c>
    </row>
    <row r="52" spans="1:9" x14ac:dyDescent="0.2">
      <c r="A52">
        <f t="shared" si="8"/>
        <v>1905</v>
      </c>
      <c r="C52">
        <f t="shared" si="5"/>
        <v>115</v>
      </c>
      <c r="D52" s="22">
        <f t="shared" si="3"/>
        <v>0.32598353857446771</v>
      </c>
      <c r="E52" s="11">
        <f t="shared" si="6"/>
        <v>35</v>
      </c>
      <c r="F52" s="25">
        <f t="shared" si="4"/>
        <v>0.90336469197142155</v>
      </c>
      <c r="H52" s="23">
        <f t="shared" si="9"/>
        <v>3.0676395635590046</v>
      </c>
      <c r="I52">
        <f t="shared" si="7"/>
        <v>1905</v>
      </c>
    </row>
    <row r="53" spans="1:9" x14ac:dyDescent="0.2">
      <c r="A53">
        <f t="shared" si="8"/>
        <v>1906</v>
      </c>
      <c r="C53">
        <f t="shared" si="5"/>
        <v>114</v>
      </c>
      <c r="D53" s="22">
        <f t="shared" si="3"/>
        <v>0.33077891163694317</v>
      </c>
      <c r="E53" s="11">
        <f t="shared" si="6"/>
        <v>36</v>
      </c>
      <c r="F53" s="25">
        <f t="shared" si="4"/>
        <v>0.89706659824039237</v>
      </c>
      <c r="H53" s="23">
        <f t="shared" si="9"/>
        <v>3.0231673326792414</v>
      </c>
      <c r="I53">
        <f t="shared" si="7"/>
        <v>1906</v>
      </c>
    </row>
    <row r="54" spans="1:9" x14ac:dyDescent="0.2">
      <c r="A54">
        <f t="shared" si="8"/>
        <v>1907</v>
      </c>
      <c r="C54">
        <f t="shared" si="5"/>
        <v>113</v>
      </c>
      <c r="D54" s="22">
        <f t="shared" si="3"/>
        <v>0.33565241991640266</v>
      </c>
      <c r="E54" s="11">
        <f t="shared" si="6"/>
        <v>37</v>
      </c>
      <c r="F54" s="25">
        <f t="shared" si="4"/>
        <v>0.89059521516716211</v>
      </c>
      <c r="H54" s="23">
        <f t="shared" si="9"/>
        <v>2.9792724278557539</v>
      </c>
      <c r="I54">
        <f t="shared" si="7"/>
        <v>1907</v>
      </c>
    </row>
    <row r="55" spans="1:9" x14ac:dyDescent="0.2">
      <c r="A55">
        <f t="shared" si="8"/>
        <v>1908</v>
      </c>
      <c r="C55">
        <f t="shared" si="5"/>
        <v>112</v>
      </c>
      <c r="D55" s="22">
        <f t="shared" si="3"/>
        <v>0.34060498128384781</v>
      </c>
      <c r="E55" s="11">
        <f t="shared" si="6"/>
        <v>38</v>
      </c>
      <c r="F55" s="25">
        <f t="shared" si="4"/>
        <v>0.88395643479702424</v>
      </c>
      <c r="H55" s="23">
        <f t="shared" si="9"/>
        <v>2.9359523640279246</v>
      </c>
      <c r="I55">
        <f t="shared" si="7"/>
        <v>1908</v>
      </c>
    </row>
    <row r="56" spans="1:9" x14ac:dyDescent="0.2">
      <c r="A56">
        <f t="shared" si="8"/>
        <v>1909</v>
      </c>
      <c r="C56">
        <f t="shared" si="5"/>
        <v>111</v>
      </c>
      <c r="D56" s="22">
        <f t="shared" si="3"/>
        <v>0.34563749293296697</v>
      </c>
      <c r="E56" s="11">
        <f t="shared" si="6"/>
        <v>39</v>
      </c>
      <c r="F56" s="25">
        <f t="shared" si="4"/>
        <v>0.87715642015525297</v>
      </c>
      <c r="H56" s="23">
        <f t="shared" si="9"/>
        <v>2.8932046448848077</v>
      </c>
      <c r="I56">
        <f t="shared" si="7"/>
        <v>1909</v>
      </c>
    </row>
    <row r="57" spans="1:9" x14ac:dyDescent="0.2">
      <c r="A57">
        <f t="shared" si="8"/>
        <v>1910</v>
      </c>
      <c r="C57">
        <f t="shared" si="5"/>
        <v>110</v>
      </c>
      <c r="D57" s="22">
        <f t="shared" si="3"/>
        <v>0.35075082881663078</v>
      </c>
      <c r="E57" s="11">
        <f t="shared" si="6"/>
        <v>40</v>
      </c>
      <c r="F57" s="25">
        <f t="shared" si="4"/>
        <v>0.87020158001738046</v>
      </c>
      <c r="H57" s="23">
        <f t="shared" si="9"/>
        <v>2.8510267627130554</v>
      </c>
      <c r="I57">
        <f t="shared" si="7"/>
        <v>1910</v>
      </c>
    </row>
    <row r="58" spans="1:9" x14ac:dyDescent="0.2">
      <c r="A58">
        <f t="shared" si="8"/>
        <v>1911</v>
      </c>
      <c r="C58">
        <f t="shared" si="5"/>
        <v>109</v>
      </c>
      <c r="D58" s="22">
        <f t="shared" si="3"/>
        <v>0.35594583694148485</v>
      </c>
      <c r="E58" s="11">
        <f t="shared" si="6"/>
        <v>41</v>
      </c>
      <c r="F58" s="25">
        <f t="shared" si="4"/>
        <v>0.86309854333619884</v>
      </c>
      <c r="H58" s="23">
        <f t="shared" si="9"/>
        <v>2.8094161982414012</v>
      </c>
      <c r="I58">
        <f t="shared" si="7"/>
        <v>1911</v>
      </c>
    </row>
    <row r="59" spans="1:9" x14ac:dyDescent="0.2">
      <c r="A59">
        <f t="shared" si="8"/>
        <v>1912</v>
      </c>
      <c r="C59">
        <f t="shared" si="5"/>
        <v>108</v>
      </c>
      <c r="D59" s="22">
        <f t="shared" si="3"/>
        <v>0.36122333651652183</v>
      </c>
      <c r="E59" s="11">
        <f t="shared" si="6"/>
        <v>42</v>
      </c>
      <c r="F59" s="25">
        <f t="shared" si="4"/>
        <v>0.85585413347063188</v>
      </c>
      <c r="H59" s="23">
        <f t="shared" si="9"/>
        <v>2.7683704204815722</v>
      </c>
      <c r="I59">
        <f t="shared" si="7"/>
        <v>1912</v>
      </c>
    </row>
    <row r="60" spans="1:9" x14ac:dyDescent="0.2">
      <c r="A60">
        <f t="shared" si="8"/>
        <v>1913</v>
      </c>
      <c r="C60">
        <f t="shared" si="5"/>
        <v>107</v>
      </c>
      <c r="D60" s="22">
        <f t="shared" si="3"/>
        <v>0.36658411495170801</v>
      </c>
      <c r="E60" s="11">
        <f t="shared" si="6"/>
        <v>43</v>
      </c>
      <c r="F60" s="25">
        <f t="shared" si="4"/>
        <v>0.84847534236086875</v>
      </c>
      <c r="H60" s="23">
        <f t="shared" si="9"/>
        <v>2.7278868865655435</v>
      </c>
      <c r="I60">
        <f t="shared" si="7"/>
        <v>1913</v>
      </c>
    </row>
    <row r="61" spans="1:9" x14ac:dyDescent="0.2">
      <c r="A61">
        <f t="shared" si="8"/>
        <v>1914</v>
      </c>
      <c r="C61">
        <f t="shared" si="5"/>
        <v>106</v>
      </c>
      <c r="D61" s="22">
        <f t="shared" si="3"/>
        <v>0.37202892470298615</v>
      </c>
      <c r="E61" s="11">
        <f t="shared" si="6"/>
        <v>44</v>
      </c>
      <c r="F61" s="25">
        <f t="shared" si="4"/>
        <v>0.84096930479169851</v>
      </c>
      <c r="H61" s="23">
        <f t="shared" si="9"/>
        <v>2.6879630415789908</v>
      </c>
      <c r="I61">
        <f t="shared" si="7"/>
        <v>1914</v>
      </c>
    </row>
    <row r="62" spans="1:9" x14ac:dyDescent="0.2">
      <c r="A62">
        <f t="shared" si="8"/>
        <v>1915</v>
      </c>
      <c r="C62">
        <f t="shared" si="5"/>
        <v>105</v>
      </c>
      <c r="D62" s="22">
        <f t="shared" si="3"/>
        <v>0.37755847996026676</v>
      </c>
      <c r="E62" s="11">
        <f t="shared" si="6"/>
        <v>45</v>
      </c>
      <c r="F62" s="25">
        <f t="shared" si="4"/>
        <v>0.83334327288195076</v>
      </c>
      <c r="H62" s="23">
        <f t="shared" si="9"/>
        <v>2.6485963183908288</v>
      </c>
      <c r="I62">
        <f t="shared" si="7"/>
        <v>1915</v>
      </c>
    </row>
    <row r="63" spans="1:9" x14ac:dyDescent="0.2">
      <c r="A63">
        <f t="shared" si="8"/>
        <v>1916</v>
      </c>
      <c r="C63">
        <f t="shared" si="5"/>
        <v>104</v>
      </c>
      <c r="D63" s="22">
        <f t="shared" si="3"/>
        <v>0.38317345317536194</v>
      </c>
      <c r="E63" s="11">
        <f t="shared" si="6"/>
        <v>46</v>
      </c>
      <c r="F63" s="25">
        <f t="shared" si="4"/>
        <v>0.82560459093250615</v>
      </c>
      <c r="H63" s="23">
        <f t="shared" si="9"/>
        <v>2.6097841374787079</v>
      </c>
      <c r="I63">
        <f t="shared" si="7"/>
        <v>1916</v>
      </c>
    </row>
    <row r="64" spans="1:9" x14ac:dyDescent="0.2">
      <c r="A64">
        <f t="shared" si="8"/>
        <v>1917</v>
      </c>
      <c r="C64">
        <f t="shared" si="5"/>
        <v>103</v>
      </c>
      <c r="D64" s="22">
        <f t="shared" si="3"/>
        <v>0.38887447142722464</v>
      </c>
      <c r="E64" s="11">
        <f t="shared" si="6"/>
        <v>47</v>
      </c>
      <c r="F64" s="25">
        <f t="shared" si="4"/>
        <v>0.8177606707586258</v>
      </c>
      <c r="H64" s="23">
        <f t="shared" si="9"/>
        <v>2.5715239067503139</v>
      </c>
      <c r="I64">
        <f t="shared" si="7"/>
        <v>1917</v>
      </c>
    </row>
    <row r="65" spans="1:20" x14ac:dyDescent="0.2">
      <c r="A65">
        <f t="shared" si="8"/>
        <v>1918</v>
      </c>
      <c r="C65">
        <f t="shared" si="5"/>
        <v>102</v>
      </c>
      <c r="D65" s="22">
        <f t="shared" si="3"/>
        <v>0.39466211262231088</v>
      </c>
      <c r="E65" s="11">
        <f t="shared" si="6"/>
        <v>48</v>
      </c>
      <c r="F65" s="25">
        <f t="shared" si="4"/>
        <v>0.80981896762453542</v>
      </c>
      <c r="H65" s="23">
        <f t="shared" si="9"/>
        <v>2.5338130213603596</v>
      </c>
      <c r="I65">
        <f t="shared" si="7"/>
        <v>1918</v>
      </c>
    </row>
    <row r="66" spans="1:20" x14ac:dyDescent="0.2">
      <c r="A66">
        <f t="shared" si="8"/>
        <v>1919</v>
      </c>
      <c r="C66">
        <f t="shared" si="5"/>
        <v>101</v>
      </c>
      <c r="D66" s="22">
        <f t="shared" si="3"/>
        <v>0.40053690152842375</v>
      </c>
      <c r="E66" s="11">
        <f t="shared" si="6"/>
        <v>49</v>
      </c>
      <c r="F66" s="25">
        <f t="shared" si="4"/>
        <v>0.80178695688945978</v>
      </c>
      <c r="H66" s="23">
        <f t="shared" si="9"/>
        <v>2.4966488635230926</v>
      </c>
      <c r="I66">
        <f t="shared" si="7"/>
        <v>1919</v>
      </c>
    </row>
    <row r="67" spans="1:20" x14ac:dyDescent="0.2">
      <c r="A67">
        <f t="shared" si="8"/>
        <v>1920</v>
      </c>
      <c r="C67">
        <v>100</v>
      </c>
      <c r="D67" s="22">
        <f t="shared" si="3"/>
        <v>0.40649930564099362</v>
      </c>
      <c r="E67" s="11">
        <f t="shared" si="6"/>
        <v>50</v>
      </c>
      <c r="F67" s="25">
        <f t="shared" si="4"/>
        <v>0.79367211146479977</v>
      </c>
      <c r="H67" s="23">
        <f t="shared" si="9"/>
        <v>2.4600288023201839</v>
      </c>
      <c r="I67">
        <v>1920</v>
      </c>
      <c r="J67" s="24"/>
      <c r="K67" s="24"/>
      <c r="L67" s="24"/>
      <c r="M67" s="24"/>
      <c r="N67" s="24"/>
      <c r="O67" s="24"/>
      <c r="P67" s="24"/>
      <c r="Q67" s="24"/>
      <c r="R67" s="24"/>
      <c r="S67" s="24"/>
      <c r="T67" s="24"/>
    </row>
    <row r="68" spans="1:20" x14ac:dyDescent="0.2">
      <c r="A68">
        <f t="shared" si="8"/>
        <v>1921</v>
      </c>
      <c r="C68">
        <f t="shared" ref="C68:C131" si="10">C67-1</f>
        <v>99</v>
      </c>
      <c r="D68" s="22">
        <f t="shared" si="3"/>
        <v>0.41254973088143299</v>
      </c>
      <c r="E68" s="11">
        <f t="shared" si="6"/>
        <v>51</v>
      </c>
      <c r="F68" s="25">
        <f t="shared" si="4"/>
        <v>0.78548188017205678</v>
      </c>
      <c r="H68" s="23">
        <f t="shared" si="9"/>
        <v>2.4239501935038241</v>
      </c>
      <c r="I68">
        <v>1921</v>
      </c>
      <c r="J68" s="26" t="s">
        <v>73</v>
      </c>
      <c r="K68" s="24"/>
      <c r="L68" s="24"/>
      <c r="M68" s="24"/>
      <c r="N68" s="24"/>
      <c r="O68" s="24"/>
      <c r="P68" s="24"/>
      <c r="Q68" s="24"/>
      <c r="R68" s="24"/>
      <c r="S68" s="24"/>
      <c r="T68" s="24"/>
    </row>
    <row r="69" spans="1:20" x14ac:dyDescent="0.2">
      <c r="A69">
        <f t="shared" si="8"/>
        <v>1922</v>
      </c>
      <c r="C69">
        <f t="shared" si="10"/>
        <v>98</v>
      </c>
      <c r="D69" s="22">
        <f t="shared" si="3"/>
        <v>0.41868851712796151</v>
      </c>
      <c r="E69" s="11">
        <f t="shared" si="6"/>
        <v>52</v>
      </c>
      <c r="F69" s="25">
        <f t="shared" si="4"/>
        <v>0.77722366708059465</v>
      </c>
      <c r="H69" s="23">
        <f t="shared" si="9"/>
        <v>2.388410379294867</v>
      </c>
      <c r="I69">
        <f t="shared" ref="I69:I132" si="11">I68+1</f>
        <v>1922</v>
      </c>
      <c r="J69" s="24"/>
      <c r="K69" s="24"/>
      <c r="L69" s="24"/>
      <c r="M69" s="24"/>
      <c r="N69" s="24"/>
      <c r="O69" s="24"/>
      <c r="P69" s="24"/>
      <c r="Q69" s="24"/>
      <c r="R69" s="24"/>
      <c r="S69" s="24"/>
      <c r="T69" s="24"/>
    </row>
    <row r="70" spans="1:20" x14ac:dyDescent="0.2">
      <c r="A70">
        <f t="shared" si="8"/>
        <v>1923</v>
      </c>
      <c r="C70">
        <f t="shared" si="10"/>
        <v>97</v>
      </c>
      <c r="D70" s="22">
        <f t="shared" si="3"/>
        <v>0.42491593358014801</v>
      </c>
      <c r="E70" s="11">
        <f t="shared" si="6"/>
        <v>53</v>
      </c>
      <c r="F70" s="25">
        <f t="shared" si="4"/>
        <v>0.76890481189356241</v>
      </c>
      <c r="H70" s="23">
        <f t="shared" si="9"/>
        <v>2.3534066881758369</v>
      </c>
      <c r="I70">
        <f t="shared" si="11"/>
        <v>1923</v>
      </c>
      <c r="J70" s="24"/>
      <c r="K70" s="24"/>
      <c r="L70" s="24"/>
      <c r="M70" s="24"/>
      <c r="N70" s="24"/>
      <c r="O70" s="24"/>
      <c r="P70" s="24"/>
      <c r="Q70" s="24"/>
      <c r="R70" s="24"/>
      <c r="S70" s="24"/>
      <c r="T70" s="24"/>
    </row>
    <row r="71" spans="1:20" x14ac:dyDescent="0.2">
      <c r="A71">
        <f t="shared" si="8"/>
        <v>1924</v>
      </c>
      <c r="C71">
        <f t="shared" si="10"/>
        <v>96</v>
      </c>
      <c r="D71" s="22">
        <f t="shared" si="3"/>
        <v>0.43123217395934743</v>
      </c>
      <c r="E71" s="11">
        <f t="shared" si="6"/>
        <v>54</v>
      </c>
      <c r="F71" s="25">
        <f t="shared" si="4"/>
        <v>0.76053257143942443</v>
      </c>
      <c r="H71" s="23">
        <f t="shared" si="9"/>
        <v>2.318936434678621</v>
      </c>
      <c r="I71">
        <f t="shared" si="11"/>
        <v>1924</v>
      </c>
      <c r="J71" s="24"/>
      <c r="K71" s="24"/>
      <c r="L71" s="24"/>
      <c r="M71" s="24"/>
      <c r="N71" s="24"/>
      <c r="O71" s="24"/>
      <c r="P71" s="24"/>
      <c r="Q71" s="24"/>
      <c r="R71" s="24"/>
      <c r="S71" s="24"/>
      <c r="T71" s="24"/>
    </row>
    <row r="72" spans="1:20" x14ac:dyDescent="0.2">
      <c r="A72">
        <f t="shared" si="8"/>
        <v>1925</v>
      </c>
      <c r="C72">
        <f t="shared" si="10"/>
        <v>95</v>
      </c>
      <c r="D72" s="22">
        <f t="shared" si="3"/>
        <v>0.4376373515482469</v>
      </c>
      <c r="E72" s="11">
        <f t="shared" si="6"/>
        <v>55</v>
      </c>
      <c r="F72" s="25">
        <f t="shared" si="4"/>
        <v>0.75211410231569709</v>
      </c>
      <c r="H72" s="23">
        <f t="shared" si="9"/>
        <v>2.2849969191666584</v>
      </c>
      <c r="I72">
        <f t="shared" si="11"/>
        <v>1925</v>
      </c>
      <c r="J72" s="24"/>
      <c r="K72" s="24"/>
      <c r="L72" s="24"/>
      <c r="M72" s="24"/>
      <c r="N72" s="24"/>
      <c r="O72" s="24"/>
      <c r="P72" s="24"/>
      <c r="Q72" s="24"/>
      <c r="R72" s="24"/>
      <c r="S72" s="24"/>
      <c r="T72" s="24"/>
    </row>
    <row r="73" spans="1:20" x14ac:dyDescent="0.2">
      <c r="A73">
        <f t="shared" si="8"/>
        <v>1926</v>
      </c>
      <c r="C73">
        <f t="shared" si="10"/>
        <v>94</v>
      </c>
      <c r="D73" s="22">
        <f t="shared" si="3"/>
        <v>0.44413149407386765</v>
      </c>
      <c r="E73" s="11">
        <f t="shared" si="6"/>
        <v>56</v>
      </c>
      <c r="F73" s="25">
        <f t="shared" si="4"/>
        <v>0.7436564447208317</v>
      </c>
      <c r="H73" s="23">
        <f t="shared" si="9"/>
        <v>2.2515854276114018</v>
      </c>
      <c r="I73">
        <f t="shared" si="11"/>
        <v>1926</v>
      </c>
      <c r="J73" s="24"/>
      <c r="K73" s="24"/>
      <c r="L73" s="24"/>
      <c r="M73" s="24"/>
      <c r="N73" s="24"/>
      <c r="O73" s="24"/>
      <c r="P73" s="24"/>
      <c r="Q73" s="24"/>
      <c r="R73" s="24"/>
      <c r="S73" s="24"/>
      <c r="T73" s="24"/>
    </row>
    <row r="74" spans="1:20" x14ac:dyDescent="0.2">
      <c r="A74">
        <f t="shared" si="8"/>
        <v>1927</v>
      </c>
      <c r="C74">
        <f t="shared" si="10"/>
        <v>93</v>
      </c>
      <c r="D74" s="22">
        <f t="shared" si="3"/>
        <v>0.45071453843959397</v>
      </c>
      <c r="E74" s="11">
        <f t="shared" si="6"/>
        <v>57</v>
      </c>
      <c r="F74" s="25">
        <f t="shared" si="4"/>
        <v>0.73516650749978796</v>
      </c>
      <c r="H74" s="23">
        <f t="shared" si="9"/>
        <v>2.2186992313628746</v>
      </c>
      <c r="I74">
        <f t="shared" si="11"/>
        <v>1927</v>
      </c>
      <c r="J74" s="24"/>
      <c r="K74" s="24"/>
      <c r="L74" s="24"/>
      <c r="M74" s="24"/>
      <c r="N74" s="24"/>
      <c r="O74" s="24"/>
      <c r="P74" s="24"/>
      <c r="Q74" s="24"/>
      <c r="R74" s="24"/>
      <c r="S74" s="24"/>
      <c r="T74" s="24"/>
    </row>
    <row r="75" spans="1:20" x14ac:dyDescent="0.2">
      <c r="A75">
        <f t="shared" si="8"/>
        <v>1928</v>
      </c>
      <c r="C75">
        <f t="shared" si="10"/>
        <v>92</v>
      </c>
      <c r="D75" s="22">
        <f t="shared" si="3"/>
        <v>0.45738632531315271</v>
      </c>
      <c r="E75" s="11">
        <f t="shared" si="6"/>
        <v>58</v>
      </c>
      <c r="F75" s="25">
        <f t="shared" si="4"/>
        <v>0.72665105441885558</v>
      </c>
      <c r="H75" s="23">
        <f t="shared" si="9"/>
        <v>2.1863355869140668</v>
      </c>
      <c r="I75">
        <f t="shared" si="11"/>
        <v>1928</v>
      </c>
      <c r="J75" s="24"/>
      <c r="K75" s="24"/>
      <c r="L75" s="24"/>
      <c r="M75" s="24"/>
      <c r="N75" s="24"/>
      <c r="O75" s="24"/>
      <c r="P75" s="24"/>
      <c r="Q75" s="24"/>
      <c r="R75" s="24"/>
      <c r="S75" s="24"/>
      <c r="T75" s="24"/>
    </row>
    <row r="76" spans="1:20" x14ac:dyDescent="0.2">
      <c r="A76">
        <f t="shared" si="8"/>
        <v>1929</v>
      </c>
      <c r="C76">
        <f t="shared" si="10"/>
        <v>91</v>
      </c>
      <c r="D76" s="22">
        <f t="shared" si="3"/>
        <v>0.46414659357889998</v>
      </c>
      <c r="E76" s="11">
        <f t="shared" si="6"/>
        <v>59</v>
      </c>
      <c r="F76" s="25">
        <f t="shared" si="4"/>
        <v>0.71811669167577774</v>
      </c>
      <c r="H76" s="23">
        <f t="shared" si="9"/>
        <v>2.1544917356589641</v>
      </c>
      <c r="I76">
        <f t="shared" si="11"/>
        <v>1929</v>
      </c>
      <c r="J76" s="24"/>
      <c r="K76" s="24"/>
      <c r="L76" s="24"/>
      <c r="M76" s="24"/>
      <c r="N76" s="24"/>
      <c r="O76" s="24"/>
      <c r="P76" s="24"/>
      <c r="Q76" s="24"/>
      <c r="R76" s="24"/>
      <c r="S76" s="24"/>
      <c r="T76" s="24"/>
    </row>
    <row r="77" spans="1:20" x14ac:dyDescent="0.2">
      <c r="A77">
        <f t="shared" si="8"/>
        <v>1930</v>
      </c>
      <c r="C77">
        <f t="shared" si="10"/>
        <v>90</v>
      </c>
      <c r="D77" s="22">
        <f t="shared" si="3"/>
        <v>0.47099497466434082</v>
      </c>
      <c r="E77" s="11">
        <f t="shared" si="6"/>
        <v>60</v>
      </c>
      <c r="F77" s="25">
        <f t="shared" si="4"/>
        <v>0.70956985664227434</v>
      </c>
      <c r="H77" s="23">
        <f t="shared" si="9"/>
        <v>2.1231649036439504</v>
      </c>
      <c r="I77">
        <f t="shared" si="11"/>
        <v>1930</v>
      </c>
      <c r="J77" s="24"/>
      <c r="K77" s="24"/>
      <c r="L77" s="24"/>
      <c r="M77" s="24"/>
      <c r="N77" s="24"/>
      <c r="O77" s="24"/>
      <c r="P77" s="24"/>
      <c r="Q77" s="24"/>
      <c r="R77" s="24"/>
      <c r="S77" s="24"/>
      <c r="T77" s="24"/>
    </row>
    <row r="78" spans="1:20" x14ac:dyDescent="0.2">
      <c r="A78">
        <f t="shared" si="8"/>
        <v>1931</v>
      </c>
      <c r="C78">
        <f t="shared" si="10"/>
        <v>89</v>
      </c>
      <c r="D78" s="22">
        <f t="shared" si="3"/>
        <v>0.47793098675246826</v>
      </c>
      <c r="E78" s="11">
        <f t="shared" si="6"/>
        <v>61</v>
      </c>
      <c r="F78" s="25">
        <f t="shared" si="4"/>
        <v>0.701016807827749</v>
      </c>
      <c r="H78" s="23">
        <f t="shared" si="9"/>
        <v>2.0923523013123306</v>
      </c>
      <c r="I78">
        <f t="shared" si="11"/>
        <v>1931</v>
      </c>
      <c r="J78" s="24"/>
      <c r="K78" s="24"/>
      <c r="L78" s="24"/>
      <c r="M78" s="24"/>
      <c r="N78" s="24"/>
      <c r="O78" s="24"/>
      <c r="P78" s="24"/>
      <c r="Q78" s="24"/>
      <c r="R78" s="24"/>
      <c r="S78" s="24"/>
      <c r="T78" s="24"/>
    </row>
    <row r="79" spans="1:20" x14ac:dyDescent="0.2">
      <c r="A79">
        <f t="shared" si="8"/>
        <v>1932</v>
      </c>
      <c r="C79">
        <f t="shared" si="10"/>
        <v>88</v>
      </c>
      <c r="D79" s="22">
        <f t="shared" si="3"/>
        <v>0.48495402889328948</v>
      </c>
      <c r="E79" s="11">
        <f t="shared" si="6"/>
        <v>62</v>
      </c>
      <c r="F79" s="25">
        <f t="shared" si="4"/>
        <v>0.69246361604530116</v>
      </c>
      <c r="H79" s="23">
        <f t="shared" si="9"/>
        <v>2.0620511232417096</v>
      </c>
      <c r="I79">
        <f t="shared" si="11"/>
        <v>1932</v>
      </c>
      <c r="J79" s="24"/>
      <c r="K79" s="24"/>
      <c r="L79" s="24"/>
      <c r="M79" s="24"/>
      <c r="N79" s="24"/>
      <c r="O79" s="24"/>
      <c r="P79" s="24"/>
      <c r="Q79" s="24"/>
      <c r="R79" s="24"/>
      <c r="S79" s="24"/>
      <c r="T79" s="24"/>
    </row>
    <row r="80" spans="1:20" x14ac:dyDescent="0.2">
      <c r="A80">
        <f t="shared" si="8"/>
        <v>1933</v>
      </c>
      <c r="C80">
        <f t="shared" si="10"/>
        <v>87</v>
      </c>
      <c r="D80" s="22">
        <f t="shared" si="3"/>
        <v>0.49206337502979453</v>
      </c>
      <c r="E80" s="11">
        <f t="shared" si="6"/>
        <v>63</v>
      </c>
      <c r="F80" s="25">
        <f t="shared" si="4"/>
        <v>0.68391615675421991</v>
      </c>
      <c r="H80" s="23">
        <f t="shared" si="9"/>
        <v>2.0322585478739397</v>
      </c>
      <c r="I80">
        <f t="shared" si="11"/>
        <v>1933</v>
      </c>
      <c r="J80" s="24"/>
      <c r="K80" s="24"/>
      <c r="L80" s="24"/>
      <c r="M80" s="24"/>
      <c r="N80" s="24"/>
      <c r="O80" s="24"/>
      <c r="P80" s="24"/>
      <c r="Q80" s="24"/>
      <c r="R80" s="24"/>
      <c r="S80" s="24"/>
      <c r="T80" s="24"/>
    </row>
    <row r="81" spans="1:20" x14ac:dyDescent="0.2">
      <c r="A81">
        <f t="shared" ref="A81:A112" si="12">I81</f>
        <v>1934</v>
      </c>
      <c r="C81">
        <f t="shared" si="10"/>
        <v>86</v>
      </c>
      <c r="D81" s="22">
        <f t="shared" si="3"/>
        <v>0.49925816795561961</v>
      </c>
      <c r="E81" s="11">
        <f t="shared" si="6"/>
        <v>64</v>
      </c>
      <c r="F81" s="25">
        <f t="shared" si="4"/>
        <v>0.67538010354691702</v>
      </c>
      <c r="H81" s="23">
        <f t="shared" ref="H81:H112" si="13">1/D81</f>
        <v>2.0029717372373419</v>
      </c>
      <c r="I81">
        <f t="shared" si="11"/>
        <v>1934</v>
      </c>
      <c r="J81" s="24"/>
      <c r="K81" s="24"/>
      <c r="L81" s="24"/>
      <c r="M81" s="24"/>
      <c r="N81" s="24"/>
      <c r="O81" s="24"/>
      <c r="P81" s="24"/>
      <c r="Q81" s="24"/>
      <c r="R81" s="24"/>
      <c r="S81" s="24"/>
      <c r="T81" s="24"/>
    </row>
    <row r="82" spans="1:20" x14ac:dyDescent="0.2">
      <c r="A82">
        <f t="shared" si="12"/>
        <v>1935</v>
      </c>
      <c r="C82">
        <f t="shared" si="10"/>
        <v>85</v>
      </c>
      <c r="D82" s="22">
        <f t="shared" ref="D82:D145" si="14">PRODUCT(1/(1+(C82/$C$4)^$C$3))</f>
        <v>0.5065374132237519</v>
      </c>
      <c r="E82" s="11">
        <f t="shared" si="6"/>
        <v>65</v>
      </c>
      <c r="F82" s="25">
        <f t="shared" ref="F82:F145" si="15">PRODUCT(1/(1+(E82/$C$4)^$C$3))</f>
        <v>0.66686092274276154</v>
      </c>
      <c r="H82" s="23">
        <f t="shared" si="13"/>
        <v>1.974187836660886</v>
      </c>
      <c r="I82">
        <f t="shared" si="11"/>
        <v>1935</v>
      </c>
      <c r="J82" s="24"/>
      <c r="K82" s="24"/>
      <c r="L82" s="24"/>
      <c r="M82" s="24"/>
      <c r="N82" s="24"/>
      <c r="O82" s="24"/>
      <c r="P82" s="24"/>
      <c r="Q82" s="24"/>
      <c r="R82" s="24"/>
      <c r="S82" s="24"/>
      <c r="T82" s="24"/>
    </row>
    <row r="83" spans="1:20" x14ac:dyDescent="0.2">
      <c r="A83">
        <f t="shared" si="12"/>
        <v>1936</v>
      </c>
      <c r="C83">
        <f t="shared" si="10"/>
        <v>84</v>
      </c>
      <c r="D83" s="22">
        <f t="shared" si="14"/>
        <v>0.5138999730278202</v>
      </c>
      <c r="E83" s="11">
        <f t="shared" ref="E83:E146" si="16">E82+1</f>
        <v>66</v>
      </c>
      <c r="F83" s="25">
        <f t="shared" si="15"/>
        <v>0.65836386904654065</v>
      </c>
      <c r="H83" s="23">
        <f t="shared" si="13"/>
        <v>1.9459039744799997</v>
      </c>
      <c r="I83">
        <f t="shared" si="11"/>
        <v>1936</v>
      </c>
      <c r="J83" s="24"/>
      <c r="K83" s="24"/>
      <c r="L83" s="24"/>
      <c r="M83" s="24"/>
      <c r="N83" s="24"/>
      <c r="O83" s="24"/>
      <c r="P83" s="24"/>
      <c r="Q83" s="24"/>
      <c r="R83" s="24"/>
      <c r="S83" s="24"/>
      <c r="T83" s="24"/>
    </row>
    <row r="84" spans="1:20" x14ac:dyDescent="0.2">
      <c r="A84">
        <f t="shared" si="12"/>
        <v>1937</v>
      </c>
      <c r="C84">
        <f t="shared" si="10"/>
        <v>83</v>
      </c>
      <c r="D84" s="22">
        <f t="shared" si="14"/>
        <v>0.52134456007979546</v>
      </c>
      <c r="E84" s="11">
        <f t="shared" si="16"/>
        <v>67</v>
      </c>
      <c r="F84" s="25">
        <f t="shared" si="15"/>
        <v>0.64989398222523576</v>
      </c>
      <c r="H84" s="23">
        <f t="shared" si="13"/>
        <v>1.9181172617336659</v>
      </c>
      <c r="I84">
        <f t="shared" si="11"/>
        <v>1937</v>
      </c>
      <c r="J84" s="24"/>
      <c r="K84" s="24"/>
      <c r="L84" s="24"/>
      <c r="M84" s="24"/>
      <c r="N84" s="24"/>
      <c r="O84" s="24"/>
      <c r="P84" s="24"/>
      <c r="Q84" s="24"/>
      <c r="R84" s="24"/>
      <c r="S84" s="24"/>
      <c r="T84" s="24"/>
    </row>
    <row r="85" spans="1:20" x14ac:dyDescent="0.2">
      <c r="A85">
        <f t="shared" si="12"/>
        <v>1938</v>
      </c>
      <c r="C85">
        <f t="shared" si="10"/>
        <v>82</v>
      </c>
      <c r="D85" s="22">
        <f t="shared" si="14"/>
        <v>0.52886973151029093</v>
      </c>
      <c r="E85" s="11">
        <f t="shared" si="16"/>
        <v>68</v>
      </c>
      <c r="F85" s="25">
        <f t="shared" si="15"/>
        <v>0.64145608475348803</v>
      </c>
      <c r="H85" s="23">
        <f t="shared" si="13"/>
        <v>1.8908247918524368</v>
      </c>
      <c r="I85">
        <f t="shared" si="11"/>
        <v>1938</v>
      </c>
      <c r="J85" s="24"/>
      <c r="K85" s="24"/>
      <c r="L85" s="24"/>
      <c r="M85" s="24"/>
      <c r="N85" s="24"/>
      <c r="O85" s="24"/>
      <c r="P85" s="24"/>
      <c r="Q85" s="24"/>
      <c r="R85" s="24"/>
      <c r="S85" s="24"/>
      <c r="T85" s="24"/>
    </row>
    <row r="86" spans="1:20" x14ac:dyDescent="0.2">
      <c r="A86">
        <f t="shared" si="12"/>
        <v>1939</v>
      </c>
      <c r="C86">
        <f t="shared" si="10"/>
        <v>81</v>
      </c>
      <c r="D86" s="22">
        <f t="shared" si="14"/>
        <v>0.53647388282008035</v>
      </c>
      <c r="E86" s="11">
        <f t="shared" si="16"/>
        <v>69</v>
      </c>
      <c r="F86" s="25">
        <f t="shared" si="15"/>
        <v>0.63305478037548346</v>
      </c>
      <c r="H86" s="23">
        <f t="shared" si="13"/>
        <v>1.8640236403369788</v>
      </c>
      <c r="I86">
        <f t="shared" si="11"/>
        <v>1939</v>
      </c>
      <c r="J86" s="24"/>
      <c r="K86" s="24"/>
      <c r="L86" s="24"/>
      <c r="M86" s="24"/>
      <c r="N86" s="24"/>
      <c r="O86" s="24"/>
      <c r="P86" s="24"/>
      <c r="Q86" s="24"/>
      <c r="R86" s="24"/>
      <c r="S86" s="24"/>
      <c r="T86" s="24"/>
    </row>
    <row r="87" spans="1:20" x14ac:dyDescent="0.2">
      <c r="A87">
        <f t="shared" si="12"/>
        <v>1940</v>
      </c>
      <c r="C87">
        <f t="shared" si="10"/>
        <v>80</v>
      </c>
      <c r="D87" s="22">
        <f t="shared" si="14"/>
        <v>0.54415524191393305</v>
      </c>
      <c r="E87" s="11">
        <f t="shared" si="16"/>
        <v>70</v>
      </c>
      <c r="F87" s="25">
        <f t="shared" si="15"/>
        <v>0.62469445352899611</v>
      </c>
      <c r="H87" s="23">
        <f t="shared" si="13"/>
        <v>1.8377108644267479</v>
      </c>
      <c r="I87">
        <f t="shared" si="11"/>
        <v>1940</v>
      </c>
      <c r="J87" s="24"/>
      <c r="K87" s="24"/>
      <c r="L87" s="24"/>
      <c r="M87" s="24"/>
      <c r="N87" s="24"/>
      <c r="O87" s="24"/>
      <c r="P87" s="24"/>
      <c r="Q87" s="24"/>
      <c r="R87" s="24"/>
      <c r="S87" s="24"/>
      <c r="T87" s="24"/>
    </row>
    <row r="88" spans="1:20" x14ac:dyDescent="0.2">
      <c r="A88">
        <f t="shared" si="12"/>
        <v>1941</v>
      </c>
      <c r="C88">
        <f t="shared" si="10"/>
        <v>79</v>
      </c>
      <c r="D88" s="22">
        <f t="shared" si="14"/>
        <v>0.55191186325038477</v>
      </c>
      <c r="E88" s="11">
        <f t="shared" si="16"/>
        <v>71</v>
      </c>
      <c r="F88" s="25">
        <f t="shared" si="15"/>
        <v>0.61637926957593325</v>
      </c>
      <c r="H88" s="23">
        <f t="shared" si="13"/>
        <v>1.8118835027583597</v>
      </c>
      <c r="I88">
        <f t="shared" si="11"/>
        <v>1941</v>
      </c>
      <c r="J88" s="24"/>
      <c r="K88" s="24"/>
      <c r="L88" s="24"/>
      <c r="M88" s="24"/>
      <c r="N88" s="24"/>
      <c r="O88" s="24"/>
      <c r="P88" s="24"/>
      <c r="Q88" s="24"/>
      <c r="R88" s="24"/>
      <c r="S88" s="24"/>
      <c r="T88" s="24"/>
    </row>
    <row r="89" spans="1:20" x14ac:dyDescent="0.2">
      <c r="A89">
        <f t="shared" si="12"/>
        <v>1942</v>
      </c>
      <c r="C89">
        <f t="shared" si="10"/>
        <v>78</v>
      </c>
      <c r="D89" s="22">
        <f t="shared" si="14"/>
        <v>0.55974162214359635</v>
      </c>
      <c r="E89" s="11">
        <f t="shared" si="16"/>
        <v>72</v>
      </c>
      <c r="F89" s="25">
        <f t="shared" si="15"/>
        <v>0.60811317578291202</v>
      </c>
      <c r="H89" s="23">
        <f t="shared" si="13"/>
        <v>1.7865385750132041</v>
      </c>
      <c r="I89">
        <f t="shared" si="11"/>
        <v>1942</v>
      </c>
      <c r="J89" s="24"/>
      <c r="K89" s="24"/>
      <c r="L89" s="24"/>
      <c r="M89" s="24"/>
      <c r="N89" s="24"/>
      <c r="O89" s="24"/>
      <c r="P89" s="24"/>
      <c r="Q89" s="24"/>
      <c r="R89" s="24"/>
      <c r="S89" s="24"/>
      <c r="T89" s="24"/>
    </row>
    <row r="90" spans="1:20" x14ac:dyDescent="0.2">
      <c r="A90">
        <f t="shared" si="12"/>
        <v>1943</v>
      </c>
      <c r="C90">
        <f t="shared" si="10"/>
        <v>77</v>
      </c>
      <c r="D90" s="22">
        <f t="shared" si="14"/>
        <v>0.56764220925597808</v>
      </c>
      <c r="E90" s="11">
        <f t="shared" si="16"/>
        <v>73</v>
      </c>
      <c r="F90" s="25">
        <f t="shared" si="15"/>
        <v>0.59989990299509455</v>
      </c>
      <c r="H90" s="23">
        <f t="shared" si="13"/>
        <v>1.7616730815538248</v>
      </c>
      <c r="I90">
        <f t="shared" si="11"/>
        <v>1943</v>
      </c>
      <c r="J90" s="24"/>
      <c r="K90" s="24"/>
      <c r="L90" s="24"/>
      <c r="M90" s="24"/>
      <c r="N90" s="24"/>
      <c r="O90" s="24"/>
      <c r="P90" s="24"/>
      <c r="Q90" s="24"/>
      <c r="R90" s="24"/>
      <c r="S90" s="24"/>
      <c r="T90" s="24"/>
    </row>
    <row r="91" spans="1:20" x14ac:dyDescent="0.2">
      <c r="A91">
        <f t="shared" si="12"/>
        <v>1944</v>
      </c>
      <c r="C91">
        <f t="shared" si="10"/>
        <v>76</v>
      </c>
      <c r="D91" s="22">
        <f t="shared" si="14"/>
        <v>0.57561112532275616</v>
      </c>
      <c r="E91" s="11">
        <f t="shared" si="16"/>
        <v>74</v>
      </c>
      <c r="F91" s="25">
        <f t="shared" si="15"/>
        <v>0.59174296794668324</v>
      </c>
      <c r="H91" s="23">
        <f t="shared" si="13"/>
        <v>1.7372840030485528</v>
      </c>
      <c r="I91">
        <f t="shared" si="11"/>
        <v>1944</v>
      </c>
      <c r="J91" s="24"/>
      <c r="K91" s="24"/>
      <c r="L91" s="24"/>
      <c r="M91" s="24"/>
      <c r="N91" s="24"/>
      <c r="O91" s="24"/>
      <c r="P91" s="24"/>
      <c r="Q91" s="24"/>
      <c r="R91" s="24"/>
      <c r="S91" s="24"/>
      <c r="T91" s="24"/>
    </row>
    <row r="92" spans="1:20" x14ac:dyDescent="0.2">
      <c r="A92">
        <f t="shared" si="12"/>
        <v>1945</v>
      </c>
      <c r="C92">
        <f t="shared" si="10"/>
        <v>75</v>
      </c>
      <c r="D92" s="22">
        <f t="shared" si="14"/>
        <v>0.58364567615208818</v>
      </c>
      <c r="E92" s="11">
        <f t="shared" si="16"/>
        <v>75</v>
      </c>
      <c r="F92" s="25">
        <f t="shared" si="15"/>
        <v>0.58364567615208818</v>
      </c>
      <c r="H92" s="23">
        <f t="shared" si="13"/>
        <v>1.7133683000838629</v>
      </c>
      <c r="I92">
        <f t="shared" si="11"/>
        <v>1945</v>
      </c>
      <c r="J92" s="24"/>
      <c r="K92" s="24"/>
      <c r="L92" s="24"/>
      <c r="M92" s="24"/>
      <c r="N92" s="24"/>
      <c r="O92" s="24"/>
      <c r="P92" s="24"/>
      <c r="Q92" s="24"/>
      <c r="R92" s="24"/>
      <c r="S92" s="24"/>
      <c r="T92" s="24"/>
    </row>
    <row r="93" spans="1:20" x14ac:dyDescent="0.2">
      <c r="A93">
        <f t="shared" si="12"/>
        <v>1946</v>
      </c>
      <c r="C93">
        <f t="shared" si="10"/>
        <v>74</v>
      </c>
      <c r="D93" s="22">
        <f t="shared" si="14"/>
        <v>0.59174296794668324</v>
      </c>
      <c r="E93" s="11">
        <f t="shared" si="16"/>
        <v>76</v>
      </c>
      <c r="F93" s="25">
        <f t="shared" si="15"/>
        <v>0.57561112532275616</v>
      </c>
      <c r="H93" s="23">
        <f t="shared" si="13"/>
        <v>1.6899229127638762</v>
      </c>
      <c r="I93">
        <f t="shared" si="11"/>
        <v>1946</v>
      </c>
      <c r="J93" s="24"/>
      <c r="K93" s="24"/>
      <c r="L93" s="24"/>
      <c r="M93" s="24"/>
      <c r="N93" s="24"/>
      <c r="O93" s="24"/>
      <c r="P93" s="24"/>
      <c r="Q93" s="24"/>
      <c r="R93" s="24"/>
      <c r="S93" s="24"/>
      <c r="T93" s="24"/>
    </row>
    <row r="94" spans="1:20" x14ac:dyDescent="0.2">
      <c r="A94">
        <f t="shared" si="12"/>
        <v>1947</v>
      </c>
      <c r="C94">
        <f t="shared" si="10"/>
        <v>73</v>
      </c>
      <c r="D94" s="22">
        <f t="shared" si="14"/>
        <v>0.59989990299509455</v>
      </c>
      <c r="E94" s="11">
        <f t="shared" si="16"/>
        <v>77</v>
      </c>
      <c r="F94" s="25">
        <f t="shared" si="15"/>
        <v>0.56764220925597808</v>
      </c>
      <c r="H94" s="23">
        <f t="shared" si="13"/>
        <v>1.6669447602964143</v>
      </c>
      <c r="I94">
        <f t="shared" si="11"/>
        <v>1947</v>
      </c>
      <c r="J94" s="24"/>
      <c r="K94" s="24"/>
      <c r="L94" s="24"/>
      <c r="M94" s="24"/>
      <c r="N94" s="24"/>
      <c r="O94" s="24"/>
      <c r="P94" s="24"/>
      <c r="Q94" s="24"/>
      <c r="R94" s="24"/>
      <c r="S94" s="24"/>
      <c r="T94" s="24"/>
    </row>
    <row r="95" spans="1:20" x14ac:dyDescent="0.2">
      <c r="A95">
        <f t="shared" si="12"/>
        <v>1948</v>
      </c>
      <c r="C95">
        <f t="shared" si="10"/>
        <v>72</v>
      </c>
      <c r="D95" s="22">
        <f t="shared" si="14"/>
        <v>0.60811317578291202</v>
      </c>
      <c r="E95" s="11">
        <f t="shared" si="16"/>
        <v>78</v>
      </c>
      <c r="F95" s="25">
        <f t="shared" si="15"/>
        <v>0.55974162214359635</v>
      </c>
      <c r="H95" s="23">
        <f t="shared" si="13"/>
        <v>1.6444307405649539</v>
      </c>
      <c r="I95">
        <f t="shared" si="11"/>
        <v>1948</v>
      </c>
      <c r="J95" s="24"/>
      <c r="K95" s="24"/>
      <c r="L95" s="24"/>
      <c r="M95" s="24"/>
      <c r="N95" s="24"/>
      <c r="O95" s="24"/>
      <c r="P95" s="24"/>
      <c r="Q95" s="24"/>
      <c r="R95" s="24"/>
      <c r="S95" s="24"/>
      <c r="T95" s="24"/>
    </row>
    <row r="96" spans="1:20" x14ac:dyDescent="0.2">
      <c r="A96">
        <f t="shared" si="12"/>
        <v>1949</v>
      </c>
      <c r="C96">
        <f t="shared" si="10"/>
        <v>71</v>
      </c>
      <c r="D96" s="22">
        <f t="shared" si="14"/>
        <v>0.61637926957593325</v>
      </c>
      <c r="E96" s="11">
        <f t="shared" si="16"/>
        <v>79</v>
      </c>
      <c r="F96" s="25">
        <f t="shared" si="15"/>
        <v>0.55191186325038477</v>
      </c>
      <c r="H96" s="23">
        <f t="shared" si="13"/>
        <v>1.6223777296858093</v>
      </c>
      <c r="I96">
        <f t="shared" si="11"/>
        <v>1949</v>
      </c>
      <c r="J96" s="24"/>
      <c r="K96" s="24"/>
      <c r="L96" s="24"/>
      <c r="M96" s="24"/>
      <c r="N96" s="24"/>
      <c r="O96" s="24"/>
      <c r="P96" s="24"/>
      <c r="Q96" s="24"/>
      <c r="R96" s="24"/>
      <c r="S96" s="24"/>
      <c r="T96" s="24"/>
    </row>
    <row r="97" spans="1:20" x14ac:dyDescent="0.2">
      <c r="A97">
        <f t="shared" si="12"/>
        <v>1950</v>
      </c>
      <c r="C97">
        <f t="shared" si="10"/>
        <v>70</v>
      </c>
      <c r="D97" s="22">
        <f t="shared" si="14"/>
        <v>0.62469445352899611</v>
      </c>
      <c r="E97" s="11">
        <f t="shared" si="16"/>
        <v>80</v>
      </c>
      <c r="F97" s="25">
        <f t="shared" si="15"/>
        <v>0.54415524191393305</v>
      </c>
      <c r="H97" s="23">
        <f t="shared" si="13"/>
        <v>1.6007825815498193</v>
      </c>
      <c r="I97">
        <f t="shared" si="11"/>
        <v>1950</v>
      </c>
      <c r="J97" s="24"/>
      <c r="K97" s="24"/>
      <c r="L97" s="24"/>
      <c r="M97" s="24"/>
      <c r="N97" s="24"/>
      <c r="O97" s="24"/>
      <c r="P97" s="24"/>
      <c r="Q97" s="24"/>
      <c r="R97" s="24"/>
      <c r="S97" s="24"/>
      <c r="T97" s="24"/>
    </row>
    <row r="98" spans="1:20" x14ac:dyDescent="0.2">
      <c r="A98">
        <f t="shared" si="12"/>
        <v>1951</v>
      </c>
      <c r="C98">
        <f t="shared" si="10"/>
        <v>69</v>
      </c>
      <c r="D98" s="22">
        <f t="shared" si="14"/>
        <v>0.63305478037548346</v>
      </c>
      <c r="E98" s="11">
        <f t="shared" si="16"/>
        <v>81</v>
      </c>
      <c r="F98" s="25">
        <f t="shared" si="15"/>
        <v>0.53647388282008035</v>
      </c>
      <c r="H98" s="23">
        <f t="shared" si="13"/>
        <v>1.5796421273477637</v>
      </c>
      <c r="I98">
        <f t="shared" si="11"/>
        <v>1951</v>
      </c>
      <c r="J98" s="24"/>
      <c r="K98" s="24"/>
      <c r="L98" s="24"/>
      <c r="M98" s="24"/>
      <c r="N98" s="24"/>
      <c r="O98" s="24"/>
      <c r="P98" s="24"/>
      <c r="Q98" s="24"/>
      <c r="R98" s="24"/>
      <c r="S98" s="24"/>
      <c r="T98" s="24"/>
    </row>
    <row r="99" spans="1:20" x14ac:dyDescent="0.2">
      <c r="A99">
        <f t="shared" si="12"/>
        <v>1952</v>
      </c>
      <c r="C99">
        <f t="shared" si="10"/>
        <v>68</v>
      </c>
      <c r="D99" s="22">
        <f t="shared" si="14"/>
        <v>0.64145608475348803</v>
      </c>
      <c r="E99" s="11">
        <f t="shared" si="16"/>
        <v>82</v>
      </c>
      <c r="F99" s="25">
        <f t="shared" si="15"/>
        <v>0.52886973151029093</v>
      </c>
      <c r="H99" s="23">
        <f t="shared" si="13"/>
        <v>1.5589531750786971</v>
      </c>
      <c r="I99">
        <f t="shared" si="11"/>
        <v>1952</v>
      </c>
      <c r="J99" s="24"/>
      <c r="K99" s="24"/>
      <c r="L99" s="24"/>
      <c r="M99" s="24"/>
      <c r="N99" s="24"/>
      <c r="O99" s="24"/>
      <c r="P99" s="24"/>
      <c r="Q99" s="24"/>
      <c r="R99" s="24"/>
      <c r="S99" s="24"/>
      <c r="T99" s="24"/>
    </row>
    <row r="100" spans="1:20" x14ac:dyDescent="0.2">
      <c r="A100">
        <f t="shared" si="12"/>
        <v>1953</v>
      </c>
      <c r="C100">
        <f t="shared" si="10"/>
        <v>67</v>
      </c>
      <c r="D100" s="22">
        <f t="shared" si="14"/>
        <v>0.64989398222523576</v>
      </c>
      <c r="E100" s="11">
        <f t="shared" si="16"/>
        <v>83</v>
      </c>
      <c r="F100" s="25">
        <f t="shared" si="15"/>
        <v>0.52134456007979546</v>
      </c>
      <c r="H100" s="23">
        <f t="shared" si="13"/>
        <v>1.5387125090403235</v>
      </c>
      <c r="I100">
        <f t="shared" si="11"/>
        <v>1953</v>
      </c>
      <c r="J100" s="24"/>
      <c r="K100" s="24"/>
      <c r="L100" s="24"/>
      <c r="M100" s="24"/>
      <c r="N100" s="24"/>
      <c r="O100" s="24"/>
      <c r="P100" s="24"/>
      <c r="Q100" s="24"/>
      <c r="R100" s="24"/>
      <c r="S100" s="24"/>
      <c r="T100" s="24"/>
    </row>
    <row r="101" spans="1:20" x14ac:dyDescent="0.2">
      <c r="A101">
        <f t="shared" si="12"/>
        <v>1954</v>
      </c>
      <c r="C101">
        <f t="shared" si="10"/>
        <v>66</v>
      </c>
      <c r="D101" s="22">
        <f t="shared" si="14"/>
        <v>0.65836386904654065</v>
      </c>
      <c r="E101" s="11">
        <f t="shared" si="16"/>
        <v>84</v>
      </c>
      <c r="F101" s="25">
        <f t="shared" si="15"/>
        <v>0.5138999730278202</v>
      </c>
      <c r="H101" s="23">
        <f t="shared" si="13"/>
        <v>1.5189168893004799</v>
      </c>
      <c r="I101">
        <f t="shared" si="11"/>
        <v>1954</v>
      </c>
      <c r="J101" s="24"/>
      <c r="K101" s="24"/>
      <c r="L101" s="24"/>
      <c r="M101" s="24"/>
      <c r="N101" s="24"/>
      <c r="O101" s="24"/>
      <c r="P101" s="24"/>
      <c r="Q101" s="24"/>
      <c r="R101" s="24"/>
      <c r="S101" s="24"/>
      <c r="T101" s="24"/>
    </row>
    <row r="102" spans="1:20" x14ac:dyDescent="0.2">
      <c r="A102">
        <f t="shared" si="12"/>
        <v>1955</v>
      </c>
      <c r="C102">
        <f t="shared" si="10"/>
        <v>65</v>
      </c>
      <c r="D102" s="22">
        <f t="shared" si="14"/>
        <v>0.66686092274276154</v>
      </c>
      <c r="E102" s="11">
        <f t="shared" si="16"/>
        <v>85</v>
      </c>
      <c r="F102" s="25">
        <f t="shared" si="15"/>
        <v>0.5065374132237519</v>
      </c>
      <c r="H102" s="23">
        <f t="shared" si="13"/>
        <v>1.4995630511487406</v>
      </c>
      <c r="I102">
        <f t="shared" si="11"/>
        <v>1955</v>
      </c>
      <c r="J102" s="24"/>
      <c r="K102" s="24"/>
      <c r="L102" s="24"/>
      <c r="M102" s="24"/>
      <c r="N102" s="24"/>
      <c r="O102" s="24"/>
      <c r="P102" s="24"/>
      <c r="Q102" s="24"/>
      <c r="R102" s="24"/>
      <c r="S102" s="24"/>
      <c r="T102" s="24"/>
    </row>
    <row r="103" spans="1:20" x14ac:dyDescent="0.2">
      <c r="A103">
        <f t="shared" si="12"/>
        <v>1956</v>
      </c>
      <c r="C103">
        <f t="shared" si="10"/>
        <v>64</v>
      </c>
      <c r="D103" s="22">
        <f t="shared" si="14"/>
        <v>0.67538010354691702</v>
      </c>
      <c r="E103" s="11">
        <f t="shared" si="16"/>
        <v>86</v>
      </c>
      <c r="F103" s="25">
        <f t="shared" si="15"/>
        <v>0.49925816795561961</v>
      </c>
      <c r="H103" s="23">
        <f t="shared" si="13"/>
        <v>1.4806477045270736</v>
      </c>
      <c r="I103">
        <f t="shared" si="11"/>
        <v>1956</v>
      </c>
      <c r="J103" s="24"/>
      <c r="K103" s="24"/>
      <c r="L103" s="24"/>
      <c r="M103" s="24"/>
      <c r="N103" s="24"/>
      <c r="O103" s="24"/>
      <c r="P103" s="24"/>
      <c r="Q103" s="24"/>
      <c r="R103" s="24"/>
      <c r="S103" s="24"/>
      <c r="T103" s="24"/>
    </row>
    <row r="104" spans="1:20" x14ac:dyDescent="0.2">
      <c r="A104">
        <f t="shared" si="12"/>
        <v>1957</v>
      </c>
      <c r="C104">
        <f t="shared" si="10"/>
        <v>63</v>
      </c>
      <c r="D104" s="22">
        <f t="shared" si="14"/>
        <v>0.68391615675421991</v>
      </c>
      <c r="E104" s="11">
        <f t="shared" si="16"/>
        <v>87</v>
      </c>
      <c r="F104" s="25">
        <f t="shared" si="15"/>
        <v>0.49206337502979453</v>
      </c>
      <c r="H104" s="23">
        <f t="shared" si="13"/>
        <v>1.4621675334384177</v>
      </c>
      <c r="I104">
        <f t="shared" si="11"/>
        <v>1957</v>
      </c>
      <c r="J104" s="24"/>
      <c r="K104" s="24"/>
      <c r="L104" s="24"/>
      <c r="M104" s="24"/>
      <c r="N104" s="24"/>
      <c r="O104" s="24"/>
      <c r="P104" s="24"/>
      <c r="Q104" s="24"/>
      <c r="R104" s="24"/>
      <c r="S104" s="24"/>
      <c r="T104" s="24"/>
    </row>
    <row r="105" spans="1:20" x14ac:dyDescent="0.2">
      <c r="A105">
        <f t="shared" si="12"/>
        <v>1958</v>
      </c>
      <c r="C105">
        <f t="shared" si="10"/>
        <v>62</v>
      </c>
      <c r="D105" s="22">
        <f t="shared" si="14"/>
        <v>0.69246361604530116</v>
      </c>
      <c r="E105" s="11">
        <f t="shared" si="16"/>
        <v>88</v>
      </c>
      <c r="F105" s="25">
        <f t="shared" si="15"/>
        <v>0.48495402889328948</v>
      </c>
      <c r="H105" s="23">
        <f t="shared" si="13"/>
        <v>1.4441191953319605</v>
      </c>
      <c r="I105">
        <f t="shared" si="11"/>
        <v>1958</v>
      </c>
      <c r="J105" s="24"/>
      <c r="K105" s="24"/>
      <c r="L105" s="24"/>
      <c r="M105" s="24"/>
      <c r="N105" s="24"/>
      <c r="O105" s="24"/>
      <c r="P105" s="24"/>
      <c r="Q105" s="24"/>
      <c r="R105" s="24"/>
      <c r="S105" s="24"/>
      <c r="T105" s="24"/>
    </row>
    <row r="106" spans="1:20" x14ac:dyDescent="0.2">
      <c r="A106">
        <f t="shared" si="12"/>
        <v>1959</v>
      </c>
      <c r="C106">
        <f t="shared" si="10"/>
        <v>61</v>
      </c>
      <c r="D106" s="22">
        <f t="shared" si="14"/>
        <v>0.701016807827749</v>
      </c>
      <c r="E106" s="11">
        <f t="shared" si="16"/>
        <v>89</v>
      </c>
      <c r="F106" s="25">
        <f t="shared" si="15"/>
        <v>0.47793098675246826</v>
      </c>
      <c r="H106" s="23">
        <f t="shared" si="13"/>
        <v>1.4264993204638197</v>
      </c>
      <c r="I106">
        <f t="shared" si="11"/>
        <v>1959</v>
      </c>
      <c r="J106" s="24"/>
      <c r="K106" s="24"/>
      <c r="L106" s="24"/>
      <c r="M106" s="24"/>
      <c r="N106" s="24"/>
      <c r="O106" s="24"/>
      <c r="P106" s="24"/>
      <c r="Q106" s="24"/>
      <c r="R106" s="24"/>
      <c r="S106" s="24"/>
      <c r="T106" s="24"/>
    </row>
    <row r="107" spans="1:20" x14ac:dyDescent="0.2">
      <c r="A107">
        <f t="shared" si="12"/>
        <v>1960</v>
      </c>
      <c r="C107">
        <f t="shared" si="10"/>
        <v>60</v>
      </c>
      <c r="D107" s="22">
        <f t="shared" si="14"/>
        <v>0.70956985664227434</v>
      </c>
      <c r="E107" s="11">
        <f t="shared" si="16"/>
        <v>90</v>
      </c>
      <c r="F107" s="25">
        <f t="shared" si="15"/>
        <v>0.47099497466434082</v>
      </c>
      <c r="H107" s="23">
        <f t="shared" si="13"/>
        <v>1.4093045112317171</v>
      </c>
      <c r="I107">
        <f t="shared" si="11"/>
        <v>1960</v>
      </c>
      <c r="J107" s="24"/>
      <c r="K107" s="24"/>
      <c r="L107" s="24"/>
      <c r="M107" s="24"/>
      <c r="N107" s="24"/>
      <c r="O107" s="24"/>
      <c r="P107" s="24"/>
      <c r="Q107" s="24"/>
      <c r="R107" s="24"/>
      <c r="S107" s="24"/>
      <c r="T107" s="24"/>
    </row>
    <row r="108" spans="1:20" x14ac:dyDescent="0.2">
      <c r="A108">
        <f t="shared" si="12"/>
        <v>1961</v>
      </c>
      <c r="C108">
        <f t="shared" si="10"/>
        <v>59</v>
      </c>
      <c r="D108" s="22">
        <f t="shared" si="14"/>
        <v>0.71811669167577774</v>
      </c>
      <c r="E108" s="11">
        <f t="shared" si="16"/>
        <v>91</v>
      </c>
      <c r="F108" s="25">
        <f t="shared" si="15"/>
        <v>0.46414659357889998</v>
      </c>
      <c r="H108" s="23">
        <f t="shared" si="13"/>
        <v>1.3925313414821581</v>
      </c>
      <c r="I108">
        <f t="shared" si="11"/>
        <v>1961</v>
      </c>
      <c r="J108" s="24"/>
      <c r="K108" s="24"/>
      <c r="L108" s="24"/>
      <c r="M108" s="24"/>
      <c r="N108" s="24"/>
      <c r="O108" s="24"/>
      <c r="P108" s="24"/>
      <c r="Q108" s="24"/>
      <c r="R108" s="24"/>
      <c r="S108" s="24"/>
      <c r="T108" s="24"/>
    </row>
    <row r="109" spans="1:20" x14ac:dyDescent="0.2">
      <c r="A109">
        <f t="shared" si="12"/>
        <v>1962</v>
      </c>
      <c r="C109">
        <f t="shared" si="10"/>
        <v>58</v>
      </c>
      <c r="D109" s="22">
        <f t="shared" si="14"/>
        <v>0.72665105441885558</v>
      </c>
      <c r="E109" s="11">
        <f t="shared" si="16"/>
        <v>92</v>
      </c>
      <c r="F109" s="25">
        <f t="shared" si="15"/>
        <v>0.45738632531315271</v>
      </c>
      <c r="H109" s="23">
        <f t="shared" si="13"/>
        <v>1.3761763557884839</v>
      </c>
      <c r="I109">
        <f t="shared" si="11"/>
        <v>1962</v>
      </c>
      <c r="J109" s="24"/>
      <c r="K109" s="24"/>
      <c r="L109" s="24"/>
      <c r="M109" s="24"/>
      <c r="N109" s="24"/>
      <c r="O109" s="24"/>
      <c r="P109" s="24"/>
      <c r="Q109" s="24"/>
      <c r="R109" s="24"/>
      <c r="S109" s="24"/>
      <c r="T109" s="24"/>
    </row>
    <row r="110" spans="1:20" x14ac:dyDescent="0.2">
      <c r="A110">
        <f t="shared" si="12"/>
        <v>1963</v>
      </c>
      <c r="C110">
        <f t="shared" si="10"/>
        <v>57</v>
      </c>
      <c r="D110" s="22">
        <f t="shared" si="14"/>
        <v>0.73516650749978796</v>
      </c>
      <c r="E110" s="11">
        <f t="shared" si="16"/>
        <v>93</v>
      </c>
      <c r="F110" s="25">
        <f t="shared" si="15"/>
        <v>0.45071453843959397</v>
      </c>
      <c r="H110" s="23">
        <f t="shared" si="13"/>
        <v>1.3602360686980677</v>
      </c>
      <c r="I110">
        <f t="shared" si="11"/>
        <v>1963</v>
      </c>
      <c r="J110" s="24"/>
      <c r="K110" s="24"/>
      <c r="L110" s="24"/>
      <c r="M110" s="24"/>
      <c r="N110" s="24"/>
      <c r="O110" s="24"/>
      <c r="P110" s="24"/>
      <c r="Q110" s="24"/>
      <c r="R110" s="24"/>
      <c r="S110" s="24"/>
      <c r="T110" s="24"/>
    </row>
    <row r="111" spans="1:20" x14ac:dyDescent="0.2">
      <c r="A111">
        <f t="shared" si="12"/>
        <v>1964</v>
      </c>
      <c r="C111">
        <f t="shared" si="10"/>
        <v>56</v>
      </c>
      <c r="D111" s="22">
        <f t="shared" si="14"/>
        <v>0.7436564447208317</v>
      </c>
      <c r="E111" s="11">
        <f t="shared" si="16"/>
        <v>94</v>
      </c>
      <c r="F111" s="25">
        <f t="shared" si="15"/>
        <v>0.44413149407386765</v>
      </c>
      <c r="H111" s="23">
        <f t="shared" si="13"/>
        <v>1.3447069639467719</v>
      </c>
      <c r="I111">
        <f t="shared" si="11"/>
        <v>1964</v>
      </c>
      <c r="J111" s="24"/>
      <c r="K111" s="24"/>
      <c r="L111" s="24"/>
      <c r="M111" s="24"/>
      <c r="N111" s="24"/>
      <c r="O111" s="24"/>
      <c r="P111" s="24"/>
      <c r="Q111" s="24"/>
      <c r="R111" s="24"/>
      <c r="S111" s="24"/>
      <c r="T111" s="24"/>
    </row>
    <row r="112" spans="1:20" x14ac:dyDescent="0.2">
      <c r="A112">
        <f t="shared" si="12"/>
        <v>1965</v>
      </c>
      <c r="C112">
        <f t="shared" si="10"/>
        <v>55</v>
      </c>
      <c r="D112" s="22">
        <f t="shared" si="14"/>
        <v>0.75211410231569709</v>
      </c>
      <c r="E112" s="11">
        <f t="shared" si="16"/>
        <v>95</v>
      </c>
      <c r="F112" s="25">
        <f t="shared" si="15"/>
        <v>0.4376373515482469</v>
      </c>
      <c r="H112" s="23">
        <f t="shared" si="13"/>
        <v>1.3295854936386418</v>
      </c>
      <c r="I112">
        <f t="shared" si="11"/>
        <v>1965</v>
      </c>
      <c r="J112" s="24"/>
      <c r="K112" s="24"/>
      <c r="L112" s="24"/>
      <c r="M112" s="24"/>
      <c r="N112" s="24"/>
      <c r="O112" s="24"/>
      <c r="P112" s="24"/>
      <c r="Q112" s="24"/>
      <c r="R112" s="24"/>
      <c r="S112" s="24"/>
      <c r="T112" s="24"/>
    </row>
    <row r="113" spans="1:26" x14ac:dyDescent="0.2">
      <c r="A113">
        <f t="shared" ref="A113:A144" si="17">I113</f>
        <v>1966</v>
      </c>
      <c r="C113">
        <f t="shared" si="10"/>
        <v>54</v>
      </c>
      <c r="D113" s="22">
        <f t="shared" si="14"/>
        <v>0.76053257143942443</v>
      </c>
      <c r="E113" s="11">
        <f t="shared" si="16"/>
        <v>96</v>
      </c>
      <c r="F113" s="25">
        <f t="shared" si="15"/>
        <v>0.43123217395934743</v>
      </c>
      <c r="H113" s="23">
        <f t="shared" ref="H113:H144" si="18">1/D113</f>
        <v>1.3148680773886472</v>
      </c>
      <c r="I113">
        <f t="shared" si="11"/>
        <v>1966</v>
      </c>
      <c r="J113" s="24"/>
      <c r="K113" s="24"/>
      <c r="L113" s="24"/>
      <c r="M113" s="24"/>
      <c r="N113" s="24"/>
      <c r="O113" s="24"/>
      <c r="P113" s="24"/>
      <c r="Q113" s="24"/>
      <c r="R113" s="24"/>
      <c r="S113" s="24"/>
      <c r="T113" s="24"/>
    </row>
    <row r="114" spans="1:26" x14ac:dyDescent="0.2">
      <c r="A114">
        <f t="shared" si="17"/>
        <v>1967</v>
      </c>
      <c r="C114">
        <f t="shared" si="10"/>
        <v>53</v>
      </c>
      <c r="D114" s="22">
        <f t="shared" si="14"/>
        <v>0.76890481189356241</v>
      </c>
      <c r="E114" s="11">
        <f t="shared" si="16"/>
        <v>97</v>
      </c>
      <c r="F114" s="25">
        <f t="shared" si="15"/>
        <v>0.42491593358014801</v>
      </c>
      <c r="H114" s="23">
        <f t="shared" si="18"/>
        <v>1.3005511014260989</v>
      </c>
      <c r="I114">
        <f t="shared" si="11"/>
        <v>1967</v>
      </c>
      <c r="J114" s="24"/>
      <c r="K114" s="24"/>
      <c r="L114" s="24"/>
      <c r="M114" s="24"/>
      <c r="N114" s="24"/>
      <c r="O114" s="24"/>
      <c r="P114" s="24"/>
      <c r="Q114" s="24"/>
      <c r="R114" s="24"/>
      <c r="S114" s="24"/>
      <c r="T114" s="24"/>
    </row>
    <row r="115" spans="1:26" x14ac:dyDescent="0.2">
      <c r="A115">
        <f t="shared" si="17"/>
        <v>1968</v>
      </c>
      <c r="C115">
        <f t="shared" si="10"/>
        <v>52</v>
      </c>
      <c r="D115" s="22">
        <f t="shared" si="14"/>
        <v>0.77722366708059465</v>
      </c>
      <c r="E115" s="11">
        <f t="shared" si="16"/>
        <v>98</v>
      </c>
      <c r="F115" s="25">
        <f t="shared" si="15"/>
        <v>0.41868851712796151</v>
      </c>
      <c r="H115" s="23">
        <f t="shared" si="18"/>
        <v>1.2866309176561712</v>
      </c>
      <c r="I115">
        <f t="shared" si="11"/>
        <v>1968</v>
      </c>
      <c r="J115" s="24"/>
      <c r="K115" s="24"/>
      <c r="L115" s="24"/>
      <c r="M115" s="24"/>
      <c r="N115" s="24"/>
      <c r="O115" s="24"/>
      <c r="P115" s="24"/>
      <c r="Q115" s="24"/>
      <c r="R115" s="24"/>
      <c r="S115" s="24"/>
      <c r="T115" s="24"/>
    </row>
    <row r="116" spans="1:26" x14ac:dyDescent="0.2">
      <c r="A116">
        <f t="shared" si="17"/>
        <v>1969</v>
      </c>
      <c r="C116">
        <f t="shared" si="10"/>
        <v>51</v>
      </c>
      <c r="D116" s="22">
        <f t="shared" si="14"/>
        <v>0.78548188017205678</v>
      </c>
      <c r="E116" s="11">
        <f t="shared" si="16"/>
        <v>99</v>
      </c>
      <c r="F116" s="25">
        <f t="shared" si="15"/>
        <v>0.41254973088143299</v>
      </c>
      <c r="H116" s="23">
        <f t="shared" si="18"/>
        <v>1.2731038426767449</v>
      </c>
      <c r="I116">
        <f t="shared" si="11"/>
        <v>1969</v>
      </c>
      <c r="J116" s="24"/>
      <c r="K116" s="24"/>
      <c r="L116" s="24"/>
      <c r="M116" s="24"/>
      <c r="N116" s="24"/>
      <c r="O116" s="24"/>
      <c r="P116" s="24"/>
      <c r="Q116" s="24"/>
      <c r="R116" s="24"/>
      <c r="S116" s="24"/>
      <c r="T116" s="24"/>
    </row>
    <row r="117" spans="1:26" x14ac:dyDescent="0.2">
      <c r="A117">
        <f t="shared" si="17"/>
        <v>1970</v>
      </c>
      <c r="C117">
        <f t="shared" si="10"/>
        <v>50</v>
      </c>
      <c r="D117" s="22">
        <f t="shared" si="14"/>
        <v>0.79367211146479977</v>
      </c>
      <c r="E117" s="11">
        <f t="shared" si="16"/>
        <v>100</v>
      </c>
      <c r="F117" s="25">
        <f t="shared" si="15"/>
        <v>0.40649930564099362</v>
      </c>
      <c r="H117" s="23">
        <f t="shared" si="18"/>
        <v>1.2599661567475287</v>
      </c>
      <c r="I117">
        <f t="shared" si="11"/>
        <v>1970</v>
      </c>
      <c r="J117" s="24"/>
      <c r="K117" s="24"/>
      <c r="L117" s="24"/>
      <c r="M117" s="24"/>
      <c r="N117" s="24"/>
      <c r="O117" s="24"/>
      <c r="P117" s="24"/>
      <c r="Q117" s="24"/>
      <c r="R117" s="24"/>
      <c r="S117" s="24"/>
      <c r="T117" s="24"/>
    </row>
    <row r="118" spans="1:26" x14ac:dyDescent="0.2">
      <c r="A118">
        <f t="shared" si="17"/>
        <v>1971</v>
      </c>
      <c r="C118">
        <f t="shared" si="10"/>
        <v>49</v>
      </c>
      <c r="D118" s="22">
        <f t="shared" si="14"/>
        <v>0.80178695688945978</v>
      </c>
      <c r="E118" s="11">
        <f t="shared" si="16"/>
        <v>101</v>
      </c>
      <c r="F118" s="25">
        <f t="shared" si="15"/>
        <v>0.40053690152842375</v>
      </c>
      <c r="H118" s="23">
        <f t="shared" si="18"/>
        <v>1.2472141027081678</v>
      </c>
      <c r="I118">
        <f t="shared" si="11"/>
        <v>1971</v>
      </c>
      <c r="J118" s="24"/>
      <c r="K118" s="24"/>
      <c r="L118" s="24"/>
      <c r="M118" s="24"/>
      <c r="N118" s="24"/>
      <c r="O118" s="24"/>
      <c r="P118" s="24"/>
      <c r="Q118" s="24"/>
      <c r="R118" s="24"/>
      <c r="S118" s="24"/>
      <c r="T118" s="24"/>
    </row>
    <row r="119" spans="1:26" x14ac:dyDescent="0.2">
      <c r="A119">
        <f t="shared" si="17"/>
        <v>1972</v>
      </c>
      <c r="C119">
        <f t="shared" si="10"/>
        <v>48</v>
      </c>
      <c r="D119" s="22">
        <f t="shared" si="14"/>
        <v>0.80981896762453542</v>
      </c>
      <c r="E119" s="11">
        <f t="shared" si="16"/>
        <v>102</v>
      </c>
      <c r="F119" s="25">
        <f t="shared" si="15"/>
        <v>0.39466211262231088</v>
      </c>
      <c r="H119" s="23">
        <f t="shared" si="18"/>
        <v>1.2348438848417294</v>
      </c>
      <c r="I119">
        <f t="shared" si="11"/>
        <v>1972</v>
      </c>
      <c r="J119" s="24"/>
      <c r="K119" s="24"/>
      <c r="L119" s="24"/>
      <c r="M119" s="24"/>
      <c r="N119" s="24"/>
      <c r="O119" s="24"/>
      <c r="P119" s="24"/>
      <c r="Q119" s="24"/>
      <c r="R119" s="24"/>
      <c r="S119" s="24"/>
      <c r="T119" s="24"/>
    </row>
    <row r="120" spans="1:26" x14ac:dyDescent="0.2">
      <c r="A120">
        <f t="shared" si="17"/>
        <v>1973</v>
      </c>
      <c r="C120">
        <f t="shared" si="10"/>
        <v>47</v>
      </c>
      <c r="D120" s="22">
        <f t="shared" si="14"/>
        <v>0.8177606707586258</v>
      </c>
      <c r="E120" s="11">
        <f t="shared" si="16"/>
        <v>103</v>
      </c>
      <c r="F120" s="25">
        <f t="shared" si="15"/>
        <v>0.38887447142722464</v>
      </c>
      <c r="H120" s="23">
        <f t="shared" si="18"/>
        <v>1.2228516676796319</v>
      </c>
      <c r="I120">
        <f t="shared" si="11"/>
        <v>1973</v>
      </c>
      <c r="J120" s="24"/>
      <c r="K120" s="24"/>
      <c r="L120" s="24"/>
      <c r="M120" s="24"/>
      <c r="N120" s="24"/>
      <c r="O120" s="24"/>
      <c r="P120" s="24"/>
      <c r="Q120" s="24"/>
      <c r="R120" s="24"/>
      <c r="S120" s="24"/>
      <c r="T120" s="24"/>
    </row>
    <row r="121" spans="1:26" x14ac:dyDescent="0.2">
      <c r="A121">
        <f t="shared" si="17"/>
        <v>1974</v>
      </c>
      <c r="C121">
        <f t="shared" si="10"/>
        <v>46</v>
      </c>
      <c r="D121" s="22">
        <f t="shared" si="14"/>
        <v>0.82560459093250615</v>
      </c>
      <c r="E121" s="11">
        <f t="shared" si="16"/>
        <v>104</v>
      </c>
      <c r="F121" s="25">
        <f t="shared" si="15"/>
        <v>0.38317345317536194</v>
      </c>
      <c r="H121" s="23">
        <f t="shared" si="18"/>
        <v>1.2112335747437126</v>
      </c>
      <c r="I121">
        <f t="shared" si="11"/>
        <v>1974</v>
      </c>
      <c r="J121" s="24"/>
      <c r="K121" s="24"/>
      <c r="L121" s="24"/>
      <c r="M121" s="24"/>
      <c r="N121" s="24"/>
      <c r="O121" s="24"/>
      <c r="P121" s="24"/>
      <c r="Q121" s="24"/>
      <c r="R121" s="24"/>
      <c r="S121" s="24"/>
      <c r="T121" s="24"/>
    </row>
    <row r="122" spans="1:26" x14ac:dyDescent="0.2">
      <c r="A122">
        <f t="shared" si="17"/>
        <v>1975</v>
      </c>
      <c r="C122">
        <f t="shared" si="10"/>
        <v>45</v>
      </c>
      <c r="D122" s="22">
        <f t="shared" si="14"/>
        <v>0.83334327288195076</v>
      </c>
      <c r="E122" s="11">
        <f t="shared" si="16"/>
        <v>105</v>
      </c>
      <c r="F122" s="25">
        <f t="shared" si="15"/>
        <v>0.37755847996026676</v>
      </c>
      <c r="H122" s="23">
        <f t="shared" si="18"/>
        <v>1.199985687220706</v>
      </c>
      <c r="I122">
        <f t="shared" si="11"/>
        <v>1975</v>
      </c>
      <c r="J122" s="24"/>
      <c r="K122" s="24"/>
      <c r="L122" s="24"/>
      <c r="M122" s="24"/>
      <c r="N122" s="24"/>
      <c r="O122" s="24"/>
      <c r="P122" s="24"/>
      <c r="Q122" s="24"/>
      <c r="R122" s="24"/>
      <c r="S122" s="24"/>
      <c r="T122" s="24"/>
    </row>
    <row r="123" spans="1:26" x14ac:dyDescent="0.2">
      <c r="A123">
        <f t="shared" si="17"/>
        <v>1976</v>
      </c>
      <c r="C123">
        <f t="shared" si="10"/>
        <v>44</v>
      </c>
      <c r="D123" s="22">
        <f t="shared" si="14"/>
        <v>0.84096930479169851</v>
      </c>
      <c r="E123" s="11">
        <f t="shared" si="16"/>
        <v>106</v>
      </c>
      <c r="F123" s="25">
        <f t="shared" si="15"/>
        <v>0.37202892470298615</v>
      </c>
      <c r="H123" s="23">
        <f t="shared" si="18"/>
        <v>1.1891040425639461</v>
      </c>
      <c r="I123">
        <f t="shared" si="11"/>
        <v>1976</v>
      </c>
      <c r="J123" s="24"/>
      <c r="K123" s="24"/>
      <c r="L123" s="24"/>
      <c r="M123" s="24"/>
      <c r="N123" s="24"/>
      <c r="O123" s="24"/>
      <c r="P123" s="24"/>
      <c r="Q123" s="24"/>
      <c r="R123" s="24"/>
      <c r="S123" s="24"/>
      <c r="T123" s="24"/>
    </row>
    <row r="124" spans="1:26" x14ac:dyDescent="0.2">
      <c r="A124">
        <f t="shared" si="17"/>
        <v>1977</v>
      </c>
      <c r="C124">
        <f t="shared" si="10"/>
        <v>43</v>
      </c>
      <c r="D124" s="22">
        <f t="shared" si="14"/>
        <v>0.84847534236086875</v>
      </c>
      <c r="E124" s="11">
        <f t="shared" si="16"/>
        <v>107</v>
      </c>
      <c r="F124" s="25">
        <f t="shared" si="15"/>
        <v>0.36658411495170801</v>
      </c>
      <c r="H124" s="23">
        <f t="shared" si="18"/>
        <v>1.1785846330165781</v>
      </c>
      <c r="I124">
        <f t="shared" si="11"/>
        <v>1977</v>
      </c>
      <c r="J124" s="24"/>
      <c r="K124" s="24"/>
      <c r="L124" s="24"/>
      <c r="M124" s="24"/>
      <c r="N124" s="24"/>
      <c r="O124" s="24"/>
      <c r="P124" s="24"/>
      <c r="Q124" s="24"/>
      <c r="R124" s="24"/>
      <c r="S124" s="24"/>
      <c r="T124" s="24"/>
    </row>
    <row r="125" spans="1:26" x14ac:dyDescent="0.2">
      <c r="A125">
        <f t="shared" si="17"/>
        <v>1978</v>
      </c>
      <c r="C125">
        <f t="shared" si="10"/>
        <v>42</v>
      </c>
      <c r="D125" s="22">
        <f t="shared" si="14"/>
        <v>0.85585413347063188</v>
      </c>
      <c r="E125" s="11">
        <f t="shared" si="16"/>
        <v>108</v>
      </c>
      <c r="F125" s="25">
        <f t="shared" si="15"/>
        <v>0.36122333651652183</v>
      </c>
      <c r="H125" s="23">
        <f t="shared" si="18"/>
        <v>1.1684234040499781</v>
      </c>
      <c r="I125">
        <f t="shared" si="11"/>
        <v>1978</v>
      </c>
      <c r="J125" s="24"/>
      <c r="K125" s="24"/>
      <c r="L125" s="24"/>
      <c r="M125" s="24"/>
      <c r="N125" s="24"/>
      <c r="O125" s="24"/>
      <c r="P125" s="24"/>
      <c r="Q125" s="24"/>
      <c r="R125" s="24"/>
      <c r="S125" s="24"/>
      <c r="T125" s="24"/>
      <c r="Z125" t="s">
        <v>84</v>
      </c>
    </row>
    <row r="126" spans="1:26" x14ac:dyDescent="0.2">
      <c r="A126">
        <f t="shared" si="17"/>
        <v>1979</v>
      </c>
      <c r="C126">
        <f t="shared" si="10"/>
        <v>41</v>
      </c>
      <c r="D126" s="22">
        <f t="shared" si="14"/>
        <v>0.86309854333619884</v>
      </c>
      <c r="E126" s="11">
        <f t="shared" si="16"/>
        <v>109</v>
      </c>
      <c r="F126" s="25">
        <f t="shared" si="15"/>
        <v>0.35594583694148485</v>
      </c>
      <c r="H126" s="23">
        <f t="shared" si="18"/>
        <v>1.1586162527104098</v>
      </c>
      <c r="I126">
        <f t="shared" si="11"/>
        <v>1979</v>
      </c>
      <c r="J126">
        <f>VLOOKUP($I126-J$168,$C$17:$D$167,2,FALSE)</f>
        <v>0.63305478037548346</v>
      </c>
      <c r="K126">
        <f>VLOOKUP($I126-K$168,$C$17:$D$167,2,FALSE)</f>
        <v>0.92671718376209222</v>
      </c>
      <c r="L126">
        <f t="shared" ref="L126:N127" si="19">VLOOKUP($I126-L$168,$C$17:$D$167,2,FALSE)</f>
        <v>0.95986308967192713</v>
      </c>
      <c r="M126">
        <f t="shared" si="19"/>
        <v>0.98918963407289151</v>
      </c>
      <c r="N126">
        <f t="shared" si="19"/>
        <v>0.99951712060728348</v>
      </c>
      <c r="O126">
        <f>IF(I126&lt;O$168,1,VLOOKUP($I126-O$168,$C$17:$D$167,2,FALSE))</f>
        <v>1</v>
      </c>
      <c r="P126">
        <f>IF(J126&lt;P$168,1,VLOOKUP($I126-P$168,$C$17:$D$167,2,FALSE))</f>
        <v>1</v>
      </c>
      <c r="Q126" s="24"/>
      <c r="R126" s="24">
        <f t="shared" ref="R126:X126" si="20">R$16*J126/J$146</f>
        <v>18188.681849447257</v>
      </c>
      <c r="S126" s="24">
        <f t="shared" si="20"/>
        <v>6949.8083509569133</v>
      </c>
      <c r="T126" s="24">
        <f t="shared" si="20"/>
        <v>11863.201831885142</v>
      </c>
      <c r="U126" s="24">
        <f t="shared" si="20"/>
        <v>11172.567551933838</v>
      </c>
      <c r="V126" s="24">
        <f t="shared" si="20"/>
        <v>13379.432843944209</v>
      </c>
      <c r="W126" s="24">
        <f t="shared" si="20"/>
        <v>8930.6918183566759</v>
      </c>
      <c r="X126" s="24">
        <f t="shared" si="20"/>
        <v>9532.4023470034881</v>
      </c>
      <c r="Y126" s="24">
        <f>SUM(R126:X126)</f>
        <v>80016.786593527533</v>
      </c>
    </row>
    <row r="127" spans="1:26" x14ac:dyDescent="0.2">
      <c r="A127">
        <f t="shared" si="17"/>
        <v>1980</v>
      </c>
      <c r="C127">
        <f t="shared" si="10"/>
        <v>40</v>
      </c>
      <c r="D127" s="22">
        <f t="shared" si="14"/>
        <v>0.87020158001738046</v>
      </c>
      <c r="E127" s="11">
        <f t="shared" si="16"/>
        <v>110</v>
      </c>
      <c r="F127" s="25">
        <f t="shared" si="15"/>
        <v>0.35075082881663078</v>
      </c>
      <c r="H127" s="23">
        <f t="shared" si="18"/>
        <v>1.1491590258661988</v>
      </c>
      <c r="I127">
        <f t="shared" si="11"/>
        <v>1980</v>
      </c>
      <c r="J127">
        <f>VLOOKUP($I127-J$168,$C$17:$D$167,2,FALSE)</f>
        <v>0.62469445352899611</v>
      </c>
      <c r="K127">
        <f>VLOOKUP($I127-K$168,$C$17:$D$167,2,FALSE)</f>
        <v>0.92116489641269972</v>
      </c>
      <c r="L127">
        <f t="shared" si="19"/>
        <v>0.95575942200867836</v>
      </c>
      <c r="M127">
        <f t="shared" si="19"/>
        <v>0.98718973997313852</v>
      </c>
      <c r="N127">
        <f t="shared" si="19"/>
        <v>0.99915870136426765</v>
      </c>
      <c r="O127">
        <f>IF(I127&lt;O$168,1,VLOOKUP($I127-O$168,$C$17:$D$167,2,FALSE))</f>
        <v>1</v>
      </c>
      <c r="P127">
        <f>IF(J127&lt;P$168,1,VLOOKUP($I127-P$168,$C$17:$D$167,2,FALSE))</f>
        <v>1</v>
      </c>
      <c r="Q127" s="24"/>
      <c r="R127" s="24">
        <f>R$16*J127/J$146</f>
        <v>17948.476214987062</v>
      </c>
      <c r="S127" s="24">
        <f t="shared" ref="S127:X142" si="21">S$16*K127/K$146</f>
        <v>6908.1696140651775</v>
      </c>
      <c r="T127" s="24">
        <f t="shared" si="21"/>
        <v>11812.483517717295</v>
      </c>
      <c r="U127" s="24">
        <f t="shared" si="21"/>
        <v>11149.979413970641</v>
      </c>
      <c r="V127" s="24">
        <f t="shared" si="21"/>
        <v>13374.635081011451</v>
      </c>
      <c r="W127" s="24">
        <f t="shared" si="21"/>
        <v>8930.6918183566759</v>
      </c>
      <c r="X127" s="24">
        <f t="shared" si="21"/>
        <v>9532.4023470034881</v>
      </c>
      <c r="Y127" s="24">
        <f>SUM(R127:X127)</f>
        <v>79656.838007111801</v>
      </c>
      <c r="Z127" s="24">
        <f>Y127-Y126</f>
        <v>-359.94858641573228</v>
      </c>
    </row>
    <row r="128" spans="1:26" x14ac:dyDescent="0.2">
      <c r="A128">
        <f t="shared" si="17"/>
        <v>1981</v>
      </c>
      <c r="C128">
        <f t="shared" si="10"/>
        <v>39</v>
      </c>
      <c r="D128" s="22">
        <f t="shared" si="14"/>
        <v>0.87715642015525297</v>
      </c>
      <c r="E128" s="11">
        <f t="shared" si="16"/>
        <v>111</v>
      </c>
      <c r="F128" s="25">
        <f t="shared" si="15"/>
        <v>0.34563749293296697</v>
      </c>
      <c r="H128" s="23">
        <f t="shared" si="18"/>
        <v>1.1400475183468466</v>
      </c>
      <c r="I128">
        <f t="shared" si="11"/>
        <v>1981</v>
      </c>
      <c r="J128">
        <f t="shared" ref="J128:P147" si="22">VLOOKUP($I128-J$168,$C$17:$D$167,2,FALSE)</f>
        <v>0.61637926957593325</v>
      </c>
      <c r="K128">
        <f t="shared" si="22"/>
        <v>0.91541894595137341</v>
      </c>
      <c r="L128">
        <f t="shared" si="22"/>
        <v>0.9514420050457244</v>
      </c>
      <c r="M128">
        <f t="shared" si="22"/>
        <v>0.98499038186823373</v>
      </c>
      <c r="N128">
        <f t="shared" si="22"/>
        <v>0.99867605463283105</v>
      </c>
      <c r="O128">
        <f t="shared" ref="O128:P146" si="23">IF(I128&lt;O$168,1,VLOOKUP($I128-O$168,$C$17:$D$167,2,FALSE))</f>
        <v>1</v>
      </c>
      <c r="P128">
        <f t="shared" si="23"/>
        <v>1</v>
      </c>
      <c r="Q128" s="24"/>
      <c r="R128" s="24">
        <f t="shared" ref="R128:R146" si="24">R$16*J128/J$146</f>
        <v>17709.567608448808</v>
      </c>
      <c r="S128" s="24">
        <f t="shared" si="21"/>
        <v>6865.0785230613419</v>
      </c>
      <c r="T128" s="24">
        <f t="shared" si="21"/>
        <v>11759.123419412615</v>
      </c>
      <c r="U128" s="24">
        <f t="shared" si="21"/>
        <v>11125.138396483662</v>
      </c>
      <c r="V128" s="24">
        <f t="shared" si="21"/>
        <v>13368.174421761631</v>
      </c>
      <c r="W128" s="24">
        <f t="shared" si="21"/>
        <v>8930.6918183566759</v>
      </c>
      <c r="X128" s="24">
        <f t="shared" si="21"/>
        <v>9532.4023470034881</v>
      </c>
      <c r="Y128" s="24">
        <f t="shared" ref="Y128:Y145" si="25">SUM(R128:X128)</f>
        <v>79290.176534528218</v>
      </c>
      <c r="Z128" s="24">
        <f t="shared" ref="Z128:Z156" si="26">Y128-Y127</f>
        <v>-366.66147258358251</v>
      </c>
    </row>
    <row r="129" spans="1:27" x14ac:dyDescent="0.2">
      <c r="A129">
        <f t="shared" si="17"/>
        <v>1982</v>
      </c>
      <c r="C129">
        <f t="shared" si="10"/>
        <v>38</v>
      </c>
      <c r="D129" s="22">
        <f t="shared" si="14"/>
        <v>0.88395643479702424</v>
      </c>
      <c r="E129" s="11">
        <f t="shared" si="16"/>
        <v>112</v>
      </c>
      <c r="F129" s="25">
        <f t="shared" si="15"/>
        <v>0.34060498128384781</v>
      </c>
      <c r="H129" s="23">
        <f t="shared" si="18"/>
        <v>1.1312774709645299</v>
      </c>
      <c r="I129">
        <f t="shared" si="11"/>
        <v>1982</v>
      </c>
      <c r="J129">
        <f t="shared" si="22"/>
        <v>0.60811317578291202</v>
      </c>
      <c r="K129">
        <f t="shared" si="22"/>
        <v>0.90948390003730295</v>
      </c>
      <c r="L129">
        <f t="shared" si="22"/>
        <v>0.94691231498493078</v>
      </c>
      <c r="M129">
        <f t="shared" si="22"/>
        <v>0.98258764521506248</v>
      </c>
      <c r="N129">
        <f t="shared" si="22"/>
        <v>0.99805789831703007</v>
      </c>
      <c r="O129">
        <f t="shared" si="23"/>
        <v>1</v>
      </c>
      <c r="P129">
        <f t="shared" si="23"/>
        <v>1</v>
      </c>
      <c r="Q129" s="24"/>
      <c r="R129" s="24">
        <f t="shared" si="24"/>
        <v>17472.069441149953</v>
      </c>
      <c r="S129" s="24">
        <f t="shared" si="21"/>
        <v>6820.5693325772809</v>
      </c>
      <c r="T129" s="24">
        <f t="shared" si="21"/>
        <v>11703.13978174045</v>
      </c>
      <c r="U129" s="24">
        <f t="shared" si="21"/>
        <v>11098.000286011829</v>
      </c>
      <c r="V129" s="24">
        <f t="shared" si="21"/>
        <v>13359.899845224818</v>
      </c>
      <c r="W129" s="24">
        <f t="shared" si="21"/>
        <v>8930.6918183566759</v>
      </c>
      <c r="X129" s="24">
        <f t="shared" si="21"/>
        <v>9532.4023470034881</v>
      </c>
      <c r="Y129" s="24">
        <f t="shared" si="25"/>
        <v>78916.772852064489</v>
      </c>
      <c r="Z129" s="24">
        <f t="shared" si="26"/>
        <v>-373.40368246372964</v>
      </c>
    </row>
    <row r="130" spans="1:27" x14ac:dyDescent="0.2">
      <c r="A130">
        <f t="shared" si="17"/>
        <v>1983</v>
      </c>
      <c r="C130">
        <f>C129-1</f>
        <v>37</v>
      </c>
      <c r="D130" s="22">
        <f t="shared" si="14"/>
        <v>0.89059521516716211</v>
      </c>
      <c r="E130" s="11">
        <f t="shared" si="16"/>
        <v>113</v>
      </c>
      <c r="F130" s="25">
        <f t="shared" si="15"/>
        <v>0.33565241991640266</v>
      </c>
      <c r="H130" s="23">
        <f t="shared" si="18"/>
        <v>1.1228445684073241</v>
      </c>
      <c r="I130">
        <f>I129+1</f>
        <v>1983</v>
      </c>
      <c r="J130">
        <f t="shared" si="22"/>
        <v>0.59989990299509455</v>
      </c>
      <c r="K130">
        <f t="shared" si="22"/>
        <v>0.90336469197142155</v>
      </c>
      <c r="L130">
        <f t="shared" si="22"/>
        <v>0.94217231753057684</v>
      </c>
      <c r="M130">
        <f t="shared" si="22"/>
        <v>0.97997818528312852</v>
      </c>
      <c r="N130">
        <f t="shared" si="22"/>
        <v>0.99729407172089668</v>
      </c>
      <c r="O130">
        <f t="shared" si="23"/>
        <v>1</v>
      </c>
      <c r="P130">
        <f t="shared" si="23"/>
        <v>1</v>
      </c>
      <c r="Q130" s="24"/>
      <c r="R130" s="24">
        <f t="shared" si="24"/>
        <v>17236.088906271554</v>
      </c>
      <c r="S130" s="24">
        <f t="shared" si="21"/>
        <v>6774.6790393328392</v>
      </c>
      <c r="T130" s="24">
        <f t="shared" si="21"/>
        <v>11644.556899359963</v>
      </c>
      <c r="U130" s="24">
        <f t="shared" si="21"/>
        <v>11068.527304937859</v>
      </c>
      <c r="V130" s="24">
        <f t="shared" si="21"/>
        <v>13349.675341375223</v>
      </c>
      <c r="W130" s="24">
        <f t="shared" si="21"/>
        <v>8930.6918183566759</v>
      </c>
      <c r="X130" s="24">
        <f t="shared" si="21"/>
        <v>9532.4023470034881</v>
      </c>
      <c r="Y130" s="24">
        <f t="shared" si="25"/>
        <v>78536.62165663761</v>
      </c>
      <c r="Z130" s="24">
        <f t="shared" si="26"/>
        <v>-380.15119542687899</v>
      </c>
    </row>
    <row r="131" spans="1:27" x14ac:dyDescent="0.2">
      <c r="A131">
        <f t="shared" si="17"/>
        <v>1984</v>
      </c>
      <c r="C131">
        <f t="shared" si="10"/>
        <v>36</v>
      </c>
      <c r="D131" s="22">
        <f t="shared" si="14"/>
        <v>0.89706659824039237</v>
      </c>
      <c r="E131" s="11">
        <f t="shared" si="16"/>
        <v>114</v>
      </c>
      <c r="F131" s="25">
        <f t="shared" si="15"/>
        <v>0.33077891163694317</v>
      </c>
      <c r="H131" s="23">
        <f t="shared" si="18"/>
        <v>1.1147444369922064</v>
      </c>
      <c r="I131">
        <f t="shared" si="11"/>
        <v>1984</v>
      </c>
      <c r="J131">
        <f t="shared" si="22"/>
        <v>0.59174296794668324</v>
      </c>
      <c r="K131">
        <f t="shared" si="22"/>
        <v>0.89706659824039237</v>
      </c>
      <c r="L131">
        <f t="shared" si="22"/>
        <v>0.93722445423321243</v>
      </c>
      <c r="M131">
        <f t="shared" si="22"/>
        <v>0.97715922023532442</v>
      </c>
      <c r="N131">
        <f t="shared" si="22"/>
        <v>0.99637535567137236</v>
      </c>
      <c r="O131">
        <f t="shared" si="23"/>
        <v>1</v>
      </c>
      <c r="P131">
        <f t="shared" si="23"/>
        <v>1</v>
      </c>
      <c r="Q131" s="24"/>
      <c r="R131" s="24">
        <f t="shared" si="24"/>
        <v>17001.727045242467</v>
      </c>
      <c r="S131" s="24">
        <f t="shared" si="21"/>
        <v>6727.447213729557</v>
      </c>
      <c r="T131" s="24">
        <f t="shared" si="21"/>
        <v>11583.404948040246</v>
      </c>
      <c r="U131" s="24">
        <f t="shared" si="21"/>
        <v>11036.688033337879</v>
      </c>
      <c r="V131" s="24">
        <f t="shared" si="21"/>
        <v>13337.377503315385</v>
      </c>
      <c r="W131" s="24">
        <f t="shared" si="21"/>
        <v>8930.6918183566759</v>
      </c>
      <c r="X131" s="24">
        <f t="shared" si="21"/>
        <v>9532.4023470034881</v>
      </c>
      <c r="Y131" s="24">
        <f t="shared" si="25"/>
        <v>78149.738909025706</v>
      </c>
      <c r="Z131" s="24">
        <f t="shared" si="26"/>
        <v>-386.88274761190405</v>
      </c>
    </row>
    <row r="132" spans="1:27" x14ac:dyDescent="0.2">
      <c r="A132">
        <f t="shared" si="17"/>
        <v>1985</v>
      </c>
      <c r="C132">
        <f t="shared" ref="C132:C167" si="27">C131-1</f>
        <v>35</v>
      </c>
      <c r="D132" s="22">
        <f t="shared" si="14"/>
        <v>0.90336469197142155</v>
      </c>
      <c r="E132" s="11">
        <f t="shared" si="16"/>
        <v>115</v>
      </c>
      <c r="F132" s="25">
        <f t="shared" si="15"/>
        <v>0.32598353857446771</v>
      </c>
      <c r="H132" s="23">
        <f t="shared" si="18"/>
        <v>1.1069726422644328</v>
      </c>
      <c r="I132">
        <f t="shared" si="11"/>
        <v>1985</v>
      </c>
      <c r="J132">
        <f t="shared" si="22"/>
        <v>0.58364567615208818</v>
      </c>
      <c r="K132">
        <f t="shared" si="22"/>
        <v>0.89059521516716211</v>
      </c>
      <c r="L132">
        <f t="shared" si="22"/>
        <v>0.93207162742501681</v>
      </c>
      <c r="M132">
        <f t="shared" si="22"/>
        <v>0.97412852500149461</v>
      </c>
      <c r="N132">
        <f t="shared" si="22"/>
        <v>0.99529335520377815</v>
      </c>
      <c r="O132">
        <f t="shared" si="23"/>
        <v>1</v>
      </c>
      <c r="P132">
        <f t="shared" si="23"/>
        <v>1</v>
      </c>
      <c r="Q132" s="24"/>
      <c r="R132" s="24">
        <f t="shared" si="24"/>
        <v>16769.078830807259</v>
      </c>
      <c r="S132" s="24">
        <f t="shared" si="21"/>
        <v>6678.9158247441956</v>
      </c>
      <c r="T132" s="24">
        <f t="shared" si="21"/>
        <v>11519.719798472439</v>
      </c>
      <c r="U132" s="24">
        <f t="shared" si="21"/>
        <v>11002.457339785351</v>
      </c>
      <c r="V132" s="24">
        <f t="shared" si="21"/>
        <v>13322.893956916003</v>
      </c>
      <c r="W132" s="24">
        <f t="shared" si="21"/>
        <v>8930.6918183566759</v>
      </c>
      <c r="X132" s="24">
        <f t="shared" si="21"/>
        <v>9532.4023470034881</v>
      </c>
      <c r="Y132" s="24">
        <f t="shared" si="25"/>
        <v>77756.159916085409</v>
      </c>
      <c r="Z132" s="24">
        <f t="shared" si="26"/>
        <v>-393.5789929402963</v>
      </c>
      <c r="AA132">
        <f>Z132/Y132</f>
        <v>-5.061708208906503E-3</v>
      </c>
    </row>
    <row r="133" spans="1:27" x14ac:dyDescent="0.2">
      <c r="A133">
        <f t="shared" si="17"/>
        <v>1986</v>
      </c>
      <c r="C133">
        <f t="shared" si="27"/>
        <v>34</v>
      </c>
      <c r="D133" s="22">
        <f t="shared" si="14"/>
        <v>0.90948390003730295</v>
      </c>
      <c r="E133" s="11">
        <f t="shared" si="16"/>
        <v>116</v>
      </c>
      <c r="F133" s="25">
        <f t="shared" si="15"/>
        <v>0.32126536460654093</v>
      </c>
      <c r="H133" s="23">
        <f t="shared" si="18"/>
        <v>1.0995246864281869</v>
      </c>
      <c r="I133">
        <f t="shared" ref="I133:I167" si="28">I132+1</f>
        <v>1986</v>
      </c>
      <c r="J133">
        <f t="shared" si="22"/>
        <v>0.57561112532275616</v>
      </c>
      <c r="K133">
        <f t="shared" si="22"/>
        <v>0.88395643479702424</v>
      </c>
      <c r="L133">
        <f t="shared" si="22"/>
        <v>0.92671718376209222</v>
      </c>
      <c r="M133">
        <f t="shared" si="22"/>
        <v>0.97088442538958741</v>
      </c>
      <c r="N133">
        <f t="shared" si="22"/>
        <v>0.99404042021614281</v>
      </c>
      <c r="O133">
        <f t="shared" si="23"/>
        <v>0.99998468374587324</v>
      </c>
      <c r="P133">
        <f t="shared" si="23"/>
        <v>1</v>
      </c>
      <c r="Q133" s="24"/>
      <c r="R133" s="24">
        <f t="shared" si="24"/>
        <v>16538.233265197196</v>
      </c>
      <c r="S133" s="24">
        <f t="shared" si="21"/>
        <v>6629.1290590890576</v>
      </c>
      <c r="T133" s="24">
        <f t="shared" si="21"/>
        <v>11453.542812864582</v>
      </c>
      <c r="U133" s="24">
        <f t="shared" si="21"/>
        <v>10965.816314838496</v>
      </c>
      <c r="V133" s="24">
        <f t="shared" si="21"/>
        <v>13306.122298702974</v>
      </c>
      <c r="W133" s="24">
        <f t="shared" si="21"/>
        <v>8930.5550336112574</v>
      </c>
      <c r="X133" s="24">
        <f t="shared" si="21"/>
        <v>9532.4023470034881</v>
      </c>
      <c r="Y133" s="24">
        <f t="shared" si="25"/>
        <v>77355.80113130706</v>
      </c>
      <c r="Z133" s="24">
        <f t="shared" si="26"/>
        <v>-400.35878477834922</v>
      </c>
    </row>
    <row r="134" spans="1:27" x14ac:dyDescent="0.2">
      <c r="A134">
        <f t="shared" si="17"/>
        <v>1987</v>
      </c>
      <c r="C134">
        <f t="shared" si="27"/>
        <v>33</v>
      </c>
      <c r="D134" s="22">
        <f t="shared" si="14"/>
        <v>0.91541894595137341</v>
      </c>
      <c r="E134" s="11">
        <f t="shared" si="16"/>
        <v>117</v>
      </c>
      <c r="F134" s="25">
        <f t="shared" si="15"/>
        <v>0.31662343765194489</v>
      </c>
      <c r="H134" s="23">
        <f t="shared" si="18"/>
        <v>1.0923960055914328</v>
      </c>
      <c r="I134">
        <f t="shared" si="28"/>
        <v>1987</v>
      </c>
      <c r="J134">
        <f t="shared" si="22"/>
        <v>0.56764220925597808</v>
      </c>
      <c r="K134">
        <f t="shared" si="22"/>
        <v>0.87715642015525297</v>
      </c>
      <c r="L134">
        <f t="shared" si="22"/>
        <v>0.92116489641269972</v>
      </c>
      <c r="M134">
        <f t="shared" si="22"/>
        <v>0.96742579199910583</v>
      </c>
      <c r="N134">
        <f t="shared" si="22"/>
        <v>0.99260959048776132</v>
      </c>
      <c r="O134">
        <f t="shared" si="23"/>
        <v>0.99991398653008901</v>
      </c>
      <c r="P134">
        <f t="shared" si="23"/>
        <v>1</v>
      </c>
      <c r="Q134" s="24"/>
      <c r="R134" s="24">
        <f t="shared" si="24"/>
        <v>16309.273491861932</v>
      </c>
      <c r="S134" s="24">
        <f t="shared" si="21"/>
        <v>6578.1331356594728</v>
      </c>
      <c r="T134" s="24">
        <f t="shared" si="21"/>
        <v>11384.920624801303</v>
      </c>
      <c r="U134" s="24">
        <f t="shared" si="21"/>
        <v>10926.752202294749</v>
      </c>
      <c r="V134" s="24">
        <f t="shared" si="21"/>
        <v>13286.969359881507</v>
      </c>
      <c r="W134" s="24">
        <f t="shared" si="21"/>
        <v>8929.923658564674</v>
      </c>
      <c r="X134" s="24">
        <f t="shared" si="21"/>
        <v>9532.4023470034881</v>
      </c>
      <c r="Y134" s="24">
        <f t="shared" si="25"/>
        <v>76948.374820067125</v>
      </c>
      <c r="Z134" s="24">
        <f t="shared" si="26"/>
        <v>-407.42631123993488</v>
      </c>
    </row>
    <row r="135" spans="1:27" x14ac:dyDescent="0.2">
      <c r="A135">
        <f t="shared" si="17"/>
        <v>1988</v>
      </c>
      <c r="C135">
        <f t="shared" si="27"/>
        <v>32</v>
      </c>
      <c r="D135" s="22">
        <f t="shared" si="14"/>
        <v>0.92116489641269972</v>
      </c>
      <c r="E135" s="11">
        <f t="shared" si="16"/>
        <v>118</v>
      </c>
      <c r="F135" s="25">
        <f t="shared" si="15"/>
        <v>0.31205679183458668</v>
      </c>
      <c r="H135" s="23">
        <f t="shared" si="18"/>
        <v>1.0855819668056268</v>
      </c>
      <c r="I135">
        <f t="shared" si="28"/>
        <v>1988</v>
      </c>
      <c r="J135">
        <f t="shared" si="22"/>
        <v>0.55974162214359635</v>
      </c>
      <c r="K135">
        <f t="shared" si="22"/>
        <v>0.87020158001738046</v>
      </c>
      <c r="L135">
        <f t="shared" si="22"/>
        <v>0.91541894595137341</v>
      </c>
      <c r="M135">
        <f t="shared" si="22"/>
        <v>0.96375203359467987</v>
      </c>
      <c r="N135">
        <f t="shared" si="22"/>
        <v>0.99099455694939909</v>
      </c>
      <c r="O135">
        <f t="shared" si="23"/>
        <v>0.99976400743780991</v>
      </c>
      <c r="P135">
        <f t="shared" si="23"/>
        <v>1</v>
      </c>
      <c r="Q135" s="24"/>
      <c r="R135" s="24">
        <f t="shared" si="24"/>
        <v>16082.276919265607</v>
      </c>
      <c r="S135" s="24">
        <f t="shared" si="21"/>
        <v>6525.9761163264147</v>
      </c>
      <c r="T135" s="24">
        <f t="shared" si="21"/>
        <v>11313.904903109134</v>
      </c>
      <c r="U135" s="24">
        <f t="shared" si="21"/>
        <v>10885.258324347471</v>
      </c>
      <c r="V135" s="24">
        <f t="shared" si="21"/>
        <v>13265.350687903077</v>
      </c>
      <c r="W135" s="24">
        <f t="shared" si="21"/>
        <v>8928.5842415123316</v>
      </c>
      <c r="X135" s="24">
        <f t="shared" si="21"/>
        <v>9532.4023470034881</v>
      </c>
      <c r="Y135" s="24">
        <f t="shared" si="25"/>
        <v>76533.753539467521</v>
      </c>
      <c r="Z135" s="24">
        <f t="shared" si="26"/>
        <v>-414.62128059960378</v>
      </c>
    </row>
    <row r="136" spans="1:27" x14ac:dyDescent="0.2">
      <c r="A136">
        <f t="shared" si="17"/>
        <v>1989</v>
      </c>
      <c r="C136">
        <f t="shared" si="27"/>
        <v>31</v>
      </c>
      <c r="D136" s="22">
        <f t="shared" si="14"/>
        <v>0.92671718376209222</v>
      </c>
      <c r="E136" s="11">
        <f t="shared" si="16"/>
        <v>119</v>
      </c>
      <c r="F136" s="25">
        <f t="shared" si="15"/>
        <v>0.30756444952320083</v>
      </c>
      <c r="H136" s="23">
        <f t="shared" si="18"/>
        <v>1.079077864878268</v>
      </c>
      <c r="I136">
        <f t="shared" si="28"/>
        <v>1989</v>
      </c>
      <c r="J136">
        <f t="shared" si="22"/>
        <v>0.55191186325038477</v>
      </c>
      <c r="K136">
        <f t="shared" si="22"/>
        <v>0.86309854333619884</v>
      </c>
      <c r="L136">
        <f t="shared" si="22"/>
        <v>0.90948390003730295</v>
      </c>
      <c r="M136">
        <f t="shared" si="22"/>
        <v>0.95986308967192713</v>
      </c>
      <c r="N136">
        <f t="shared" si="22"/>
        <v>0.98918963407289151</v>
      </c>
      <c r="O136">
        <f t="shared" si="23"/>
        <v>0.99951712060728348</v>
      </c>
      <c r="P136">
        <f t="shared" si="23"/>
        <v>1</v>
      </c>
      <c r="Q136" s="24"/>
      <c r="R136" s="24">
        <f t="shared" si="24"/>
        <v>15857.315355304212</v>
      </c>
      <c r="S136" s="24">
        <f t="shared" si="21"/>
        <v>6472.7077141547525</v>
      </c>
      <c r="T136" s="24">
        <f t="shared" si="21"/>
        <v>11240.552100696252</v>
      </c>
      <c r="U136" s="24">
        <f t="shared" si="21"/>
        <v>10841.333997619806</v>
      </c>
      <c r="V136" s="24">
        <f t="shared" si="21"/>
        <v>13241.190176875452</v>
      </c>
      <c r="W136" s="24">
        <f t="shared" si="21"/>
        <v>8926.3793713148898</v>
      </c>
      <c r="X136" s="24">
        <f t="shared" si="21"/>
        <v>9532.4023470034881</v>
      </c>
      <c r="Y136" s="24">
        <f t="shared" si="25"/>
        <v>76111.881062968852</v>
      </c>
      <c r="Z136" s="24">
        <f t="shared" si="26"/>
        <v>-421.87247649866913</v>
      </c>
    </row>
    <row r="137" spans="1:27" x14ac:dyDescent="0.2">
      <c r="A137">
        <f t="shared" si="17"/>
        <v>1990</v>
      </c>
      <c r="C137">
        <f t="shared" si="27"/>
        <v>30</v>
      </c>
      <c r="D137" s="22">
        <f t="shared" si="14"/>
        <v>0.93207162742501681</v>
      </c>
      <c r="E137" s="11">
        <f t="shared" si="16"/>
        <v>120</v>
      </c>
      <c r="F137" s="25">
        <f t="shared" si="15"/>
        <v>0.3031454232514168</v>
      </c>
      <c r="H137" s="23">
        <f t="shared" si="18"/>
        <v>1.0728789189331351</v>
      </c>
      <c r="I137">
        <f t="shared" si="28"/>
        <v>1990</v>
      </c>
      <c r="J137">
        <f t="shared" si="22"/>
        <v>0.54415524191393305</v>
      </c>
      <c r="K137">
        <f t="shared" si="22"/>
        <v>0.85585413347063188</v>
      </c>
      <c r="L137">
        <f t="shared" si="22"/>
        <v>0.90336469197142155</v>
      </c>
      <c r="M137">
        <f t="shared" si="22"/>
        <v>0.95575942200867836</v>
      </c>
      <c r="N137">
        <f t="shared" si="22"/>
        <v>0.98718973997313852</v>
      </c>
      <c r="O137">
        <f t="shared" si="23"/>
        <v>0.99915870136426765</v>
      </c>
      <c r="P137">
        <f t="shared" si="23"/>
        <v>1</v>
      </c>
      <c r="Q137" s="24"/>
      <c r="R137" s="24">
        <f t="shared" si="24"/>
        <v>15634.455150960326</v>
      </c>
      <c r="S137" s="24">
        <f t="shared" si="21"/>
        <v>6418.3791001356603</v>
      </c>
      <c r="T137" s="24">
        <f t="shared" si="21"/>
        <v>11164.923189533867</v>
      </c>
      <c r="U137" s="24">
        <f t="shared" si="21"/>
        <v>10794.984437738594</v>
      </c>
      <c r="V137" s="24">
        <f t="shared" si="21"/>
        <v>13214.419801210062</v>
      </c>
      <c r="W137" s="24">
        <f t="shared" si="21"/>
        <v>8923.1784395137474</v>
      </c>
      <c r="X137" s="24">
        <f t="shared" si="21"/>
        <v>9532.4023470034881</v>
      </c>
      <c r="Y137" s="24">
        <f t="shared" si="25"/>
        <v>75682.742466095748</v>
      </c>
      <c r="Z137" s="24">
        <f t="shared" si="26"/>
        <v>-429.13859687310469</v>
      </c>
    </row>
    <row r="138" spans="1:27" x14ac:dyDescent="0.2">
      <c r="A138">
        <f t="shared" si="17"/>
        <v>1991</v>
      </c>
      <c r="C138">
        <f t="shared" si="27"/>
        <v>29</v>
      </c>
      <c r="D138" s="22">
        <f t="shared" si="14"/>
        <v>0.93722445423321243</v>
      </c>
      <c r="E138" s="11">
        <f t="shared" si="16"/>
        <v>121</v>
      </c>
      <c r="F138" s="25">
        <f t="shared" si="15"/>
        <v>0.29879871752276616</v>
      </c>
      <c r="H138" s="23">
        <f t="shared" si="18"/>
        <v>1.0669802686893688</v>
      </c>
      <c r="I138">
        <f t="shared" si="28"/>
        <v>1991</v>
      </c>
      <c r="J138">
        <f t="shared" si="22"/>
        <v>0.53647388282008035</v>
      </c>
      <c r="K138">
        <f t="shared" si="22"/>
        <v>0.84847534236086875</v>
      </c>
      <c r="L138">
        <f t="shared" si="22"/>
        <v>0.89706659824039237</v>
      </c>
      <c r="M138">
        <f t="shared" si="22"/>
        <v>0.9514420050457244</v>
      </c>
      <c r="N138">
        <f t="shared" si="22"/>
        <v>0.98499038186823373</v>
      </c>
      <c r="O138">
        <f t="shared" si="23"/>
        <v>0.99867605463283105</v>
      </c>
      <c r="P138">
        <f t="shared" si="23"/>
        <v>1</v>
      </c>
      <c r="Q138" s="24"/>
      <c r="R138" s="24">
        <f t="shared" si="24"/>
        <v>15413.75735187479</v>
      </c>
      <c r="S138" s="24">
        <f t="shared" si="21"/>
        <v>6363.0427095160121</v>
      </c>
      <c r="T138" s="24">
        <f t="shared" si="21"/>
        <v>11087.083383116405</v>
      </c>
      <c r="U138" s="24">
        <f t="shared" si="21"/>
        <v>10746.220650688121</v>
      </c>
      <c r="V138" s="24">
        <f t="shared" si="21"/>
        <v>13184.979420992784</v>
      </c>
      <c r="W138" s="24">
        <f t="shared" si="21"/>
        <v>8918.8680702981492</v>
      </c>
      <c r="X138" s="24">
        <f t="shared" si="21"/>
        <v>9532.4023470034881</v>
      </c>
      <c r="Y138" s="24">
        <f t="shared" si="25"/>
        <v>75246.35393348975</v>
      </c>
      <c r="Z138" s="24">
        <f t="shared" si="26"/>
        <v>-436.38853260599717</v>
      </c>
    </row>
    <row r="139" spans="1:27" x14ac:dyDescent="0.2">
      <c r="A139">
        <f t="shared" si="17"/>
        <v>1992</v>
      </c>
      <c r="C139">
        <f t="shared" si="27"/>
        <v>28</v>
      </c>
      <c r="D139" s="22">
        <f t="shared" si="14"/>
        <v>0.94217231753057684</v>
      </c>
      <c r="E139" s="11">
        <f t="shared" si="16"/>
        <v>122</v>
      </c>
      <c r="F139" s="25">
        <f t="shared" si="15"/>
        <v>0.29452333050518653</v>
      </c>
      <c r="H139" s="23">
        <f t="shared" si="18"/>
        <v>1.0613769704261624</v>
      </c>
      <c r="I139">
        <f t="shared" si="28"/>
        <v>1992</v>
      </c>
      <c r="J139">
        <f t="shared" si="22"/>
        <v>0.52886973151029093</v>
      </c>
      <c r="K139">
        <f t="shared" si="22"/>
        <v>0.84096930479169851</v>
      </c>
      <c r="L139">
        <f t="shared" si="22"/>
        <v>0.89059521516716211</v>
      </c>
      <c r="M139">
        <f t="shared" si="22"/>
        <v>0.94691231498493078</v>
      </c>
      <c r="N139">
        <f t="shared" si="22"/>
        <v>0.98258764521506248</v>
      </c>
      <c r="O139">
        <f t="shared" si="23"/>
        <v>0.99805789831703007</v>
      </c>
      <c r="P139">
        <f t="shared" si="23"/>
        <v>1</v>
      </c>
      <c r="Q139" s="24"/>
      <c r="R139" s="24">
        <f t="shared" si="24"/>
        <v>15195.277856582485</v>
      </c>
      <c r="S139" s="24">
        <f t="shared" si="21"/>
        <v>6306.7520487892461</v>
      </c>
      <c r="T139" s="24">
        <f t="shared" si="21"/>
        <v>11007.101847879527</v>
      </c>
      <c r="U139" s="24">
        <f t="shared" si="21"/>
        <v>10695.059309676928</v>
      </c>
      <c r="V139" s="24">
        <f t="shared" si="21"/>
        <v>13152.816636554178</v>
      </c>
      <c r="W139" s="24">
        <f t="shared" si="21"/>
        <v>8913.3475067461604</v>
      </c>
      <c r="X139" s="24">
        <f t="shared" si="21"/>
        <v>9532.4023470034881</v>
      </c>
      <c r="Y139" s="24">
        <f t="shared" si="25"/>
        <v>74802.757553232019</v>
      </c>
      <c r="Z139" s="24">
        <f t="shared" si="26"/>
        <v>-443.59638025773165</v>
      </c>
    </row>
    <row r="140" spans="1:27" x14ac:dyDescent="0.2">
      <c r="A140">
        <f t="shared" si="17"/>
        <v>1993</v>
      </c>
      <c r="C140">
        <f t="shared" si="27"/>
        <v>27</v>
      </c>
      <c r="D140" s="22">
        <f t="shared" si="14"/>
        <v>0.94691231498493078</v>
      </c>
      <c r="E140" s="11">
        <f t="shared" si="16"/>
        <v>123</v>
      </c>
      <c r="F140" s="25">
        <f t="shared" si="15"/>
        <v>0.29031825561954788</v>
      </c>
      <c r="H140" s="23">
        <f t="shared" si="18"/>
        <v>1.0560639925946196</v>
      </c>
      <c r="I140">
        <f t="shared" si="28"/>
        <v>1993</v>
      </c>
      <c r="J140">
        <f t="shared" si="22"/>
        <v>0.52134456007979546</v>
      </c>
      <c r="K140">
        <f t="shared" si="22"/>
        <v>0.83334327288195076</v>
      </c>
      <c r="L140">
        <f t="shared" si="22"/>
        <v>0.88395643479702424</v>
      </c>
      <c r="M140">
        <f t="shared" si="22"/>
        <v>0.94217231753057684</v>
      </c>
      <c r="N140">
        <f t="shared" si="22"/>
        <v>0.97997818528312852</v>
      </c>
      <c r="O140">
        <f t="shared" si="23"/>
        <v>0.99729407172089668</v>
      </c>
      <c r="P140">
        <f t="shared" si="23"/>
        <v>1</v>
      </c>
      <c r="Q140" s="24"/>
      <c r="R140" s="24">
        <f t="shared" si="24"/>
        <v>14979.067580229073</v>
      </c>
      <c r="S140" s="24">
        <f t="shared" si="21"/>
        <v>6249.5615043818661</v>
      </c>
      <c r="T140" s="24">
        <f t="shared" si="21"/>
        <v>10925.051405169595</v>
      </c>
      <c r="U140" s="24">
        <f t="shared" si="21"/>
        <v>10641.522616680344</v>
      </c>
      <c r="V140" s="24">
        <f t="shared" si="21"/>
        <v>13117.88667567761</v>
      </c>
      <c r="W140" s="24">
        <f t="shared" si="21"/>
        <v>8906.5260068134285</v>
      </c>
      <c r="X140" s="24">
        <f t="shared" si="21"/>
        <v>9532.4023470034881</v>
      </c>
      <c r="Y140" s="24">
        <f t="shared" si="25"/>
        <v>74352.018135955412</v>
      </c>
      <c r="Z140" s="24">
        <f t="shared" si="26"/>
        <v>-450.73941727660713</v>
      </c>
    </row>
    <row r="141" spans="1:27" x14ac:dyDescent="0.2">
      <c r="A141">
        <f t="shared" si="17"/>
        <v>1994</v>
      </c>
      <c r="C141">
        <f t="shared" si="27"/>
        <v>26</v>
      </c>
      <c r="D141" s="22">
        <f t="shared" si="14"/>
        <v>0.9514420050457244</v>
      </c>
      <c r="E141" s="11">
        <f t="shared" si="16"/>
        <v>124</v>
      </c>
      <c r="F141" s="25">
        <f t="shared" si="15"/>
        <v>0.28618248302667121</v>
      </c>
      <c r="H141" s="23">
        <f t="shared" si="18"/>
        <v>1.0510362110320555</v>
      </c>
      <c r="I141">
        <f t="shared" si="28"/>
        <v>1994</v>
      </c>
      <c r="J141">
        <f t="shared" si="22"/>
        <v>0.5138999730278202</v>
      </c>
      <c r="K141">
        <f t="shared" si="22"/>
        <v>0.82560459093250615</v>
      </c>
      <c r="L141">
        <f t="shared" si="22"/>
        <v>0.87715642015525297</v>
      </c>
      <c r="M141">
        <f t="shared" si="22"/>
        <v>0.93722445423321243</v>
      </c>
      <c r="N141">
        <f t="shared" si="22"/>
        <v>0.97715922023532442</v>
      </c>
      <c r="O141">
        <f t="shared" si="23"/>
        <v>0.99637535567137236</v>
      </c>
      <c r="P141">
        <f t="shared" si="23"/>
        <v>1</v>
      </c>
      <c r="Q141" s="24"/>
      <c r="R141" s="24">
        <f t="shared" si="24"/>
        <v>14765.172622657505</v>
      </c>
      <c r="S141" s="24">
        <f t="shared" si="21"/>
        <v>6191.5261540290057</v>
      </c>
      <c r="T141" s="24">
        <f t="shared" si="21"/>
        <v>10841.008225446249</v>
      </c>
      <c r="U141" s="24">
        <f t="shared" si="21"/>
        <v>10585.638148198879</v>
      </c>
      <c r="V141" s="24">
        <f t="shared" si="21"/>
        <v>13080.152300979149</v>
      </c>
      <c r="W141" s="24">
        <f t="shared" si="21"/>
        <v>8898.3212369065495</v>
      </c>
      <c r="X141" s="24">
        <f t="shared" si="21"/>
        <v>9532.4023470034881</v>
      </c>
      <c r="Y141" s="24">
        <f t="shared" si="25"/>
        <v>73894.221035220835</v>
      </c>
      <c r="Z141" s="24">
        <f t="shared" si="26"/>
        <v>-457.79710073457682</v>
      </c>
    </row>
    <row r="142" spans="1:27" x14ac:dyDescent="0.2">
      <c r="A142">
        <f t="shared" si="17"/>
        <v>1995</v>
      </c>
      <c r="C142">
        <f t="shared" si="27"/>
        <v>25</v>
      </c>
      <c r="D142" s="22">
        <f t="shared" si="14"/>
        <v>0.95575942200867836</v>
      </c>
      <c r="E142" s="11">
        <f t="shared" si="16"/>
        <v>125</v>
      </c>
      <c r="F142" s="25">
        <f t="shared" si="15"/>
        <v>0.2821150010172474</v>
      </c>
      <c r="H142" s="23">
        <f t="shared" si="18"/>
        <v>1.0462884037264766</v>
      </c>
      <c r="I142">
        <f t="shared" si="28"/>
        <v>1995</v>
      </c>
      <c r="J142">
        <f t="shared" si="22"/>
        <v>0.5065374132237519</v>
      </c>
      <c r="K142">
        <f t="shared" si="22"/>
        <v>0.8177606707586258</v>
      </c>
      <c r="L142">
        <f t="shared" si="22"/>
        <v>0.87020158001738046</v>
      </c>
      <c r="M142">
        <f t="shared" si="22"/>
        <v>0.93207162742501681</v>
      </c>
      <c r="N142">
        <f t="shared" si="22"/>
        <v>0.97412852500149461</v>
      </c>
      <c r="O142">
        <f t="shared" si="23"/>
        <v>0.99529335520377815</v>
      </c>
      <c r="P142">
        <f t="shared" si="23"/>
        <v>1</v>
      </c>
      <c r="Q142" s="24"/>
      <c r="R142" s="24">
        <f t="shared" si="24"/>
        <v>14553.634439825526</v>
      </c>
      <c r="S142" s="24">
        <f t="shared" si="21"/>
        <v>6132.7015817820875</v>
      </c>
      <c r="T142" s="24">
        <f t="shared" si="21"/>
        <v>10755.051516461555</v>
      </c>
      <c r="U142" s="24">
        <f t="shared" si="21"/>
        <v>10527.438685108125</v>
      </c>
      <c r="V142" s="24">
        <f t="shared" si="21"/>
        <v>13039.58372789973</v>
      </c>
      <c r="W142" s="24">
        <f t="shared" si="21"/>
        <v>8888.6582241831475</v>
      </c>
      <c r="X142" s="24">
        <f t="shared" si="21"/>
        <v>9532.4023470034881</v>
      </c>
      <c r="Y142" s="24">
        <f t="shared" si="25"/>
        <v>73429.470522263669</v>
      </c>
      <c r="Z142" s="24">
        <f t="shared" si="26"/>
        <v>-464.75051295716548</v>
      </c>
    </row>
    <row r="143" spans="1:27" x14ac:dyDescent="0.2">
      <c r="A143">
        <f t="shared" si="17"/>
        <v>1996</v>
      </c>
      <c r="C143">
        <f t="shared" si="27"/>
        <v>24</v>
      </c>
      <c r="D143" s="22">
        <f t="shared" si="14"/>
        <v>0.95986308967192713</v>
      </c>
      <c r="E143" s="11">
        <f t="shared" si="16"/>
        <v>126</v>
      </c>
      <c r="F143" s="25">
        <f t="shared" si="15"/>
        <v>0.27811479730898397</v>
      </c>
      <c r="H143" s="23">
        <f t="shared" si="18"/>
        <v>1.0418152450697853</v>
      </c>
      <c r="I143">
        <f t="shared" si="28"/>
        <v>1996</v>
      </c>
      <c r="J143">
        <f t="shared" si="22"/>
        <v>0.49925816795561961</v>
      </c>
      <c r="K143">
        <f t="shared" si="22"/>
        <v>0.80981896762453542</v>
      </c>
      <c r="L143">
        <f t="shared" si="22"/>
        <v>0.86309854333619884</v>
      </c>
      <c r="M143">
        <f t="shared" si="22"/>
        <v>0.92671718376209222</v>
      </c>
      <c r="N143">
        <f t="shared" si="22"/>
        <v>0.97088442538958741</v>
      </c>
      <c r="O143">
        <f t="shared" si="23"/>
        <v>0.99404042021614281</v>
      </c>
      <c r="P143">
        <f t="shared" si="23"/>
        <v>1</v>
      </c>
      <c r="Q143" s="24"/>
      <c r="R143" s="24">
        <f t="shared" si="24"/>
        <v>14344.490017588287</v>
      </c>
      <c r="S143" s="24">
        <f t="shared" ref="S143:V146" si="29">S$16*K143/K$146</f>
        <v>6073.1436975330234</v>
      </c>
      <c r="T143" s="24">
        <f t="shared" si="29"/>
        <v>10667.263207196593</v>
      </c>
      <c r="U143" s="24">
        <f t="shared" si="29"/>
        <v>10466.962026774439</v>
      </c>
      <c r="V143" s="24">
        <f t="shared" si="29"/>
        <v>12996.158545877628</v>
      </c>
      <c r="W143" s="24">
        <f t="shared" ref="W143:X146" si="30">W$16*O143/O$146</f>
        <v>8877.4686479401389</v>
      </c>
      <c r="X143" s="24">
        <f t="shared" si="30"/>
        <v>9532.4023470034881</v>
      </c>
      <c r="Y143" s="24">
        <f t="shared" si="25"/>
        <v>72957.888489913603</v>
      </c>
      <c r="Z143" s="24">
        <f t="shared" si="26"/>
        <v>-471.58203235006658</v>
      </c>
    </row>
    <row r="144" spans="1:27" x14ac:dyDescent="0.2">
      <c r="A144">
        <f t="shared" si="17"/>
        <v>1997</v>
      </c>
      <c r="C144">
        <f t="shared" si="27"/>
        <v>23</v>
      </c>
      <c r="D144" s="22">
        <f t="shared" si="14"/>
        <v>0.96375203359467987</v>
      </c>
      <c r="E144" s="11">
        <f t="shared" si="16"/>
        <v>127</v>
      </c>
      <c r="F144" s="25">
        <f t="shared" si="15"/>
        <v>0.27418086025521921</v>
      </c>
      <c r="H144" s="23">
        <f t="shared" si="18"/>
        <v>1.0376112995270366</v>
      </c>
      <c r="I144">
        <f t="shared" si="28"/>
        <v>1997</v>
      </c>
      <c r="J144">
        <f t="shared" si="22"/>
        <v>0.49206337502979453</v>
      </c>
      <c r="K144">
        <f t="shared" si="22"/>
        <v>0.80178695688945978</v>
      </c>
      <c r="L144">
        <f t="shared" si="22"/>
        <v>0.85585413347063188</v>
      </c>
      <c r="M144">
        <f t="shared" si="22"/>
        <v>0.92116489641269972</v>
      </c>
      <c r="N144">
        <f t="shared" si="22"/>
        <v>0.96742579199910583</v>
      </c>
      <c r="O144">
        <f t="shared" si="23"/>
        <v>0.99260959048776132</v>
      </c>
      <c r="P144">
        <f t="shared" si="23"/>
        <v>1</v>
      </c>
      <c r="Q144" s="24"/>
      <c r="R144" s="24">
        <f t="shared" si="24"/>
        <v>14137.772046952528</v>
      </c>
      <c r="S144" s="24">
        <f t="shared" si="29"/>
        <v>6012.9085618738418</v>
      </c>
      <c r="T144" s="24">
        <f t="shared" si="29"/>
        <v>10577.727629349241</v>
      </c>
      <c r="U144" s="24">
        <f t="shared" si="29"/>
        <v>10404.250789877004</v>
      </c>
      <c r="V144" s="24">
        <f t="shared" si="29"/>
        <v>12949.861636874552</v>
      </c>
      <c r="W144" s="24">
        <f t="shared" si="30"/>
        <v>8864.6903485914208</v>
      </c>
      <c r="X144" s="24">
        <f t="shared" si="30"/>
        <v>9532.4023470034881</v>
      </c>
      <c r="Y144" s="24">
        <f t="shared" si="25"/>
        <v>72479.613360522082</v>
      </c>
      <c r="Z144" s="24">
        <f t="shared" si="26"/>
        <v>-478.27512939152075</v>
      </c>
    </row>
    <row r="145" spans="1:27" x14ac:dyDescent="0.2">
      <c r="A145">
        <f t="shared" ref="A145:A167" si="31">I145</f>
        <v>1998</v>
      </c>
      <c r="C145">
        <f t="shared" si="27"/>
        <v>22</v>
      </c>
      <c r="D145" s="22">
        <f t="shared" si="14"/>
        <v>0.96742579199910583</v>
      </c>
      <c r="E145" s="11">
        <f t="shared" si="16"/>
        <v>128</v>
      </c>
      <c r="F145" s="25">
        <f t="shared" si="15"/>
        <v>0.27031217996914642</v>
      </c>
      <c r="H145" s="23">
        <f t="shared" ref="H145:H167" si="32">1/D145</f>
        <v>1.033671014635223</v>
      </c>
      <c r="I145">
        <f t="shared" si="28"/>
        <v>1998</v>
      </c>
      <c r="J145">
        <f t="shared" si="22"/>
        <v>0.48495402889328948</v>
      </c>
      <c r="K145">
        <f t="shared" si="22"/>
        <v>0.79367211146479977</v>
      </c>
      <c r="L145">
        <f t="shared" si="22"/>
        <v>0.84847534236086875</v>
      </c>
      <c r="M145">
        <f t="shared" si="22"/>
        <v>0.91541894595137341</v>
      </c>
      <c r="N145">
        <f t="shared" si="22"/>
        <v>0.96375203359467987</v>
      </c>
      <c r="O145">
        <f t="shared" si="23"/>
        <v>0.99099455694939909</v>
      </c>
      <c r="P145">
        <f t="shared" si="23"/>
        <v>1</v>
      </c>
      <c r="Q145" s="24"/>
      <c r="R145" s="24">
        <f t="shared" si="24"/>
        <v>13933.509099980089</v>
      </c>
      <c r="S145" s="24">
        <f t="shared" si="29"/>
        <v>5952.0522170394015</v>
      </c>
      <c r="T145" s="24">
        <f t="shared" si="29"/>
        <v>10486.531198157831</v>
      </c>
      <c r="U145" s="24">
        <f t="shared" si="29"/>
        <v>10339.352192613191</v>
      </c>
      <c r="V145" s="24">
        <f t="shared" si="29"/>
        <v>12900.685086674963</v>
      </c>
      <c r="W145" s="24">
        <f t="shared" si="30"/>
        <v>8850.2669817839978</v>
      </c>
      <c r="X145" s="24">
        <f t="shared" si="30"/>
        <v>9532.4023470034881</v>
      </c>
      <c r="Y145" s="24">
        <f t="shared" si="25"/>
        <v>71994.799123252975</v>
      </c>
      <c r="Z145" s="24">
        <f t="shared" si="26"/>
        <v>-484.81423726910725</v>
      </c>
    </row>
    <row r="146" spans="1:27" x14ac:dyDescent="0.2">
      <c r="A146">
        <f t="shared" si="31"/>
        <v>1999</v>
      </c>
      <c r="C146">
        <f t="shared" si="27"/>
        <v>21</v>
      </c>
      <c r="D146" s="22">
        <f t="shared" ref="D146:D167" si="33">PRODUCT(1/(1+(C146/$C$4)^$C$3))</f>
        <v>0.97088442538958741</v>
      </c>
      <c r="E146" s="11">
        <f t="shared" si="16"/>
        <v>129</v>
      </c>
      <c r="F146" s="25">
        <f t="shared" ref="F146:F167" si="34">PRODUCT(1/(1+(E146/$C$4)^$C$3))</f>
        <v>0.26650774936768645</v>
      </c>
      <c r="H146" s="23">
        <f t="shared" si="32"/>
        <v>1.0299887132278689</v>
      </c>
      <c r="I146">
        <f t="shared" si="28"/>
        <v>1999</v>
      </c>
      <c r="J146" s="27">
        <f t="shared" si="22"/>
        <v>0.47793098675246826</v>
      </c>
      <c r="K146" s="27">
        <f t="shared" si="22"/>
        <v>0.78548188017205678</v>
      </c>
      <c r="L146" s="27">
        <f t="shared" si="22"/>
        <v>0.84096930479169851</v>
      </c>
      <c r="M146" s="27">
        <f t="shared" si="22"/>
        <v>0.90948390003730295</v>
      </c>
      <c r="N146" s="27">
        <f t="shared" si="22"/>
        <v>0.95986308967192713</v>
      </c>
      <c r="O146" s="27">
        <f t="shared" si="23"/>
        <v>0.98918963407289151</v>
      </c>
      <c r="P146" s="15">
        <f t="shared" si="22"/>
        <v>0.99951712060728348</v>
      </c>
      <c r="Q146" s="28"/>
      <c r="R146" s="28">
        <f t="shared" si="24"/>
        <v>13731.725805588263</v>
      </c>
      <c r="S146" s="28">
        <f t="shared" si="29"/>
        <v>5890.6305246051461</v>
      </c>
      <c r="T146" s="28">
        <f t="shared" si="29"/>
        <v>10393.762094314892</v>
      </c>
      <c r="U146" s="28">
        <f t="shared" si="29"/>
        <v>10272.317825172686</v>
      </c>
      <c r="V146" s="28">
        <f t="shared" si="29"/>
        <v>12848.628085373453</v>
      </c>
      <c r="W146" s="28">
        <f t="shared" si="30"/>
        <v>8834.1477718180067</v>
      </c>
      <c r="X146" s="28">
        <f t="shared" si="30"/>
        <v>9527.7993463470375</v>
      </c>
      <c r="Y146" s="28">
        <f>SUM(R146:X146)</f>
        <v>71499.011453219486</v>
      </c>
      <c r="Z146" s="24">
        <f t="shared" si="26"/>
        <v>-495.78767003348912</v>
      </c>
      <c r="AA146">
        <f>Z146/Y146</f>
        <v>-6.9341891580958995E-3</v>
      </c>
    </row>
    <row r="147" spans="1:27" x14ac:dyDescent="0.2">
      <c r="A147">
        <f t="shared" si="31"/>
        <v>2000</v>
      </c>
      <c r="C147">
        <f t="shared" si="27"/>
        <v>20</v>
      </c>
      <c r="D147" s="22">
        <f t="shared" si="33"/>
        <v>0.97412852500149461</v>
      </c>
      <c r="E147" s="11">
        <f t="shared" ref="E147:E167" si="35">E146+1</f>
        <v>130</v>
      </c>
      <c r="F147" s="25">
        <f t="shared" si="34"/>
        <v>0.26276656513893465</v>
      </c>
      <c r="H147" s="23">
        <f t="shared" si="32"/>
        <v>1.0265585847601226</v>
      </c>
      <c r="I147">
        <f t="shared" si="28"/>
        <v>2000</v>
      </c>
      <c r="J147" s="15">
        <f t="shared" si="22"/>
        <v>0.47099497466434082</v>
      </c>
      <c r="K147" s="15">
        <f t="shared" si="22"/>
        <v>0.77722366708059465</v>
      </c>
      <c r="L147" s="15">
        <f t="shared" si="22"/>
        <v>0.83334327288195076</v>
      </c>
      <c r="M147" s="15">
        <f t="shared" si="22"/>
        <v>0.90336469197142155</v>
      </c>
      <c r="N147" s="15">
        <f t="shared" si="22"/>
        <v>0.95575942200867836</v>
      </c>
      <c r="O147" s="15">
        <f t="shared" si="22"/>
        <v>0.98718973997313852</v>
      </c>
      <c r="P147" s="15">
        <f t="shared" si="22"/>
        <v>0.99915870136426765</v>
      </c>
      <c r="Q147" s="29"/>
      <c r="R147" s="29">
        <f t="shared" ref="R147:R156" si="36">R$16*J147/J$146</f>
        <v>13532.443024562515</v>
      </c>
      <c r="S147" s="29">
        <f t="shared" ref="S147:S156" si="37">S$16*K147/K$146</f>
        <v>5828.6990105330397</v>
      </c>
      <c r="T147" s="29">
        <f t="shared" ref="T147:T156" si="38">T$16*L147/L$146</f>
        <v>10299.509948675397</v>
      </c>
      <c r="U147" s="29">
        <f t="shared" ref="U147:U156" si="39">U$16*M147/M$146</f>
        <v>10203.203407546915</v>
      </c>
      <c r="V147" s="29">
        <f t="shared" ref="V147:V156" si="40">V$16*N147/N$146</f>
        <v>12793.696814280325</v>
      </c>
      <c r="W147" s="29">
        <f t="shared" ref="W147:W156" si="41">W$16*O147/O$146</f>
        <v>8816.2873339437629</v>
      </c>
      <c r="X147" s="29">
        <f t="shared" ref="X147:X156" si="42">X$16*P147/P$146</f>
        <v>9524.3827499137024</v>
      </c>
      <c r="Y147" s="29">
        <f t="shared" ref="Y147:Y156" si="43">SUM(R147:X147)</f>
        <v>70998.222289455662</v>
      </c>
      <c r="Z147" s="24">
        <f t="shared" si="26"/>
        <v>-500.78916376382404</v>
      </c>
    </row>
    <row r="148" spans="1:27" x14ac:dyDescent="0.2">
      <c r="A148">
        <f t="shared" si="31"/>
        <v>2001</v>
      </c>
      <c r="C148">
        <f t="shared" si="27"/>
        <v>19</v>
      </c>
      <c r="D148" s="22">
        <f t="shared" si="33"/>
        <v>0.97715922023532442</v>
      </c>
      <c r="E148" s="11">
        <f t="shared" si="35"/>
        <v>131</v>
      </c>
      <c r="F148" s="25">
        <f t="shared" si="34"/>
        <v>0.25908762863699325</v>
      </c>
      <c r="H148" s="23">
        <f t="shared" si="32"/>
        <v>1.0233746755817081</v>
      </c>
      <c r="I148">
        <f t="shared" si="28"/>
        <v>2001</v>
      </c>
      <c r="J148" s="15">
        <f t="shared" ref="J148:P156" si="44">VLOOKUP($I148-J$168,$C$17:$D$167,2,FALSE)</f>
        <v>0.46414659357889998</v>
      </c>
      <c r="K148" s="15">
        <f t="shared" si="44"/>
        <v>0.76890481189356241</v>
      </c>
      <c r="L148" s="15">
        <f t="shared" si="44"/>
        <v>0.82560459093250615</v>
      </c>
      <c r="M148" s="15">
        <f t="shared" si="44"/>
        <v>0.89706659824039237</v>
      </c>
      <c r="N148" s="15">
        <f t="shared" si="44"/>
        <v>0.9514420050457244</v>
      </c>
      <c r="O148" s="15">
        <f t="shared" si="44"/>
        <v>0.98499038186823373</v>
      </c>
      <c r="P148" s="15">
        <f t="shared" si="44"/>
        <v>0.99867605463283105</v>
      </c>
      <c r="Q148" s="29"/>
      <c r="R148" s="29">
        <f t="shared" si="36"/>
        <v>13335.67802316252</v>
      </c>
      <c r="S148" s="29">
        <f t="shared" si="37"/>
        <v>5766.3127180780593</v>
      </c>
      <c r="T148" s="29">
        <f t="shared" si="38"/>
        <v>10203.865531396672</v>
      </c>
      <c r="U148" s="29">
        <f t="shared" si="39"/>
        <v>10132.068535895853</v>
      </c>
      <c r="V148" s="29">
        <f t="shared" si="40"/>
        <v>12735.904317159262</v>
      </c>
      <c r="W148" s="29">
        <f t="shared" si="41"/>
        <v>8796.6455445106531</v>
      </c>
      <c r="X148" s="29">
        <f t="shared" si="42"/>
        <v>9519.7819670781828</v>
      </c>
      <c r="Y148" s="29">
        <f t="shared" si="43"/>
        <v>70490.256637281214</v>
      </c>
      <c r="Z148" s="24">
        <f t="shared" si="26"/>
        <v>-507.96565217444731</v>
      </c>
    </row>
    <row r="149" spans="1:27" x14ac:dyDescent="0.2">
      <c r="A149">
        <f t="shared" si="31"/>
        <v>2002</v>
      </c>
      <c r="C149">
        <f t="shared" si="27"/>
        <v>18</v>
      </c>
      <c r="D149" s="22">
        <f t="shared" si="33"/>
        <v>0.97997818528312852</v>
      </c>
      <c r="E149" s="11">
        <f t="shared" si="35"/>
        <v>132</v>
      </c>
      <c r="F149" s="25">
        <f t="shared" si="34"/>
        <v>0.25546994670788398</v>
      </c>
      <c r="H149" s="23">
        <f t="shared" si="32"/>
        <v>1.0204308779700917</v>
      </c>
      <c r="I149">
        <f t="shared" si="28"/>
        <v>2002</v>
      </c>
      <c r="J149" s="15">
        <f t="shared" si="44"/>
        <v>0.45738632531315271</v>
      </c>
      <c r="K149" s="15">
        <f t="shared" si="44"/>
        <v>0.76053257143942443</v>
      </c>
      <c r="L149" s="15">
        <f t="shared" si="44"/>
        <v>0.8177606707586258</v>
      </c>
      <c r="M149" s="15">
        <f t="shared" si="44"/>
        <v>0.89059521516716211</v>
      </c>
      <c r="N149" s="15">
        <f t="shared" si="44"/>
        <v>0.94691231498493078</v>
      </c>
      <c r="O149" s="15">
        <f t="shared" si="44"/>
        <v>0.98258764521506248</v>
      </c>
      <c r="P149" s="15">
        <f t="shared" si="44"/>
        <v>0.99805789831703007</v>
      </c>
      <c r="Q149" s="29"/>
      <c r="R149" s="29">
        <f t="shared" si="36"/>
        <v>13141.444644765694</v>
      </c>
      <c r="S149" s="29">
        <f t="shared" si="37"/>
        <v>5703.5260689860697</v>
      </c>
      <c r="T149" s="29">
        <f t="shared" si="38"/>
        <v>10106.920447064133</v>
      </c>
      <c r="U149" s="29">
        <f t="shared" si="39"/>
        <v>10058.976418823811</v>
      </c>
      <c r="V149" s="29">
        <f t="shared" si="40"/>
        <v>12675.270354295828</v>
      </c>
      <c r="W149" s="29">
        <f t="shared" si="41"/>
        <v>8775.187443940511</v>
      </c>
      <c r="X149" s="29">
        <f t="shared" si="42"/>
        <v>9513.8894523626259</v>
      </c>
      <c r="Y149" s="29">
        <f t="shared" si="43"/>
        <v>69975.214830238663</v>
      </c>
      <c r="Z149" s="24">
        <f t="shared" si="26"/>
        <v>-515.04180704255123</v>
      </c>
    </row>
    <row r="150" spans="1:27" x14ac:dyDescent="0.2">
      <c r="A150">
        <f t="shared" si="31"/>
        <v>2003</v>
      </c>
      <c r="C150">
        <f t="shared" si="27"/>
        <v>17</v>
      </c>
      <c r="D150" s="22">
        <f t="shared" si="33"/>
        <v>0.98258764521506248</v>
      </c>
      <c r="E150" s="11">
        <f t="shared" si="35"/>
        <v>133</v>
      </c>
      <c r="F150" s="25">
        <f t="shared" si="34"/>
        <v>0.25191253245010931</v>
      </c>
      <c r="H150" s="23">
        <f t="shared" si="32"/>
        <v>1.0177209176908859</v>
      </c>
      <c r="I150">
        <f t="shared" si="28"/>
        <v>2003</v>
      </c>
      <c r="J150" s="15">
        <f t="shared" si="44"/>
        <v>0.45071453843959397</v>
      </c>
      <c r="K150" s="15">
        <f t="shared" si="44"/>
        <v>0.75211410231569709</v>
      </c>
      <c r="L150" s="15">
        <f t="shared" si="44"/>
        <v>0.80981896762453542</v>
      </c>
      <c r="M150" s="15">
        <f t="shared" si="44"/>
        <v>0.88395643479702424</v>
      </c>
      <c r="N150" s="15">
        <f t="shared" si="44"/>
        <v>0.94217231753057684</v>
      </c>
      <c r="O150" s="15">
        <f t="shared" si="44"/>
        <v>0.97997818528312852</v>
      </c>
      <c r="P150" s="15">
        <f t="shared" si="44"/>
        <v>0.99729407172089668</v>
      </c>
      <c r="Q150" s="29"/>
      <c r="R150" s="29">
        <f t="shared" si="36"/>
        <v>12949.753479052511</v>
      </c>
      <c r="S150" s="29">
        <f t="shared" si="37"/>
        <v>5640.3927333325328</v>
      </c>
      <c r="T150" s="29">
        <f t="shared" si="38"/>
        <v>10008.766837260435</v>
      </c>
      <c r="U150" s="29">
        <f t="shared" si="39"/>
        <v>9983.9936050205361</v>
      </c>
      <c r="V150" s="29">
        <f t="shared" si="40"/>
        <v>12611.821238404282</v>
      </c>
      <c r="W150" s="29">
        <f t="shared" si="41"/>
        <v>8751.8831614760584</v>
      </c>
      <c r="X150" s="29">
        <f t="shared" si="42"/>
        <v>9506.6083499249398</v>
      </c>
      <c r="Y150" s="29">
        <f t="shared" si="43"/>
        <v>69453.219404471296</v>
      </c>
      <c r="Z150" s="24">
        <f t="shared" si="26"/>
        <v>-521.99542576736712</v>
      </c>
    </row>
    <row r="151" spans="1:27" x14ac:dyDescent="0.2">
      <c r="A151">
        <f t="shared" si="31"/>
        <v>2004</v>
      </c>
      <c r="C151">
        <f t="shared" si="27"/>
        <v>16</v>
      </c>
      <c r="D151" s="22">
        <f t="shared" si="33"/>
        <v>0.98499038186823373</v>
      </c>
      <c r="E151" s="11">
        <f t="shared" si="35"/>
        <v>134</v>
      </c>
      <c r="F151" s="25">
        <f t="shared" si="34"/>
        <v>0.24841440591331143</v>
      </c>
      <c r="H151" s="23">
        <f t="shared" si="32"/>
        <v>1.0152383397930216</v>
      </c>
      <c r="I151">
        <f t="shared" si="28"/>
        <v>2004</v>
      </c>
      <c r="J151" s="15">
        <f t="shared" si="44"/>
        <v>0.44413149407386765</v>
      </c>
      <c r="K151" s="15">
        <f t="shared" si="44"/>
        <v>0.7436564447208317</v>
      </c>
      <c r="L151" s="15">
        <f t="shared" si="44"/>
        <v>0.80178695688945978</v>
      </c>
      <c r="M151" s="15">
        <f t="shared" si="44"/>
        <v>0.87715642015525297</v>
      </c>
      <c r="N151" s="15">
        <f t="shared" si="44"/>
        <v>0.93722445423321243</v>
      </c>
      <c r="O151" s="15">
        <f t="shared" si="44"/>
        <v>0.97715922023532442</v>
      </c>
      <c r="P151" s="15">
        <f t="shared" si="44"/>
        <v>0.99637535567137236</v>
      </c>
      <c r="Q151" s="29"/>
      <c r="R151" s="29">
        <f t="shared" si="36"/>
        <v>12760.612028295323</v>
      </c>
      <c r="S151" s="29">
        <f t="shared" si="37"/>
        <v>5576.9655082715808</v>
      </c>
      <c r="T151" s="29">
        <f t="shared" si="38"/>
        <v>9909.4970919276529</v>
      </c>
      <c r="U151" s="29">
        <f t="shared" si="39"/>
        <v>9907.1897038044317</v>
      </c>
      <c r="V151" s="29">
        <f t="shared" si="40"/>
        <v>12545.589651827875</v>
      </c>
      <c r="W151" s="29">
        <f t="shared" si="41"/>
        <v>8726.7078533874028</v>
      </c>
      <c r="X151" s="29">
        <f t="shared" si="42"/>
        <v>9497.8507788982242</v>
      </c>
      <c r="Y151" s="29">
        <f t="shared" si="43"/>
        <v>68924.41261641249</v>
      </c>
      <c r="Z151" s="24">
        <f t="shared" si="26"/>
        <v>-528.80678805880598</v>
      </c>
    </row>
    <row r="152" spans="1:27" x14ac:dyDescent="0.2">
      <c r="A152">
        <f t="shared" si="31"/>
        <v>2005</v>
      </c>
      <c r="C152">
        <f t="shared" si="27"/>
        <v>15</v>
      </c>
      <c r="D152" s="22">
        <f t="shared" si="33"/>
        <v>0.98718973997313852</v>
      </c>
      <c r="E152" s="11">
        <f t="shared" si="35"/>
        <v>135</v>
      </c>
      <c r="F152" s="25">
        <f t="shared" si="34"/>
        <v>0.24497459473835201</v>
      </c>
      <c r="H152" s="23">
        <f t="shared" si="32"/>
        <v>1.0129764922670388</v>
      </c>
      <c r="I152">
        <f t="shared" si="28"/>
        <v>2005</v>
      </c>
      <c r="J152" s="15">
        <f t="shared" si="44"/>
        <v>0.4376373515482469</v>
      </c>
      <c r="K152" s="15">
        <f t="shared" si="44"/>
        <v>0.73516650749978796</v>
      </c>
      <c r="L152" s="15">
        <f t="shared" si="44"/>
        <v>0.79367211146479977</v>
      </c>
      <c r="M152" s="15">
        <f t="shared" si="44"/>
        <v>0.87020158001738046</v>
      </c>
      <c r="N152" s="15">
        <f t="shared" si="44"/>
        <v>0.93207162742501681</v>
      </c>
      <c r="O152" s="15">
        <f t="shared" si="44"/>
        <v>0.97412852500149461</v>
      </c>
      <c r="P152" s="15">
        <f t="shared" si="44"/>
        <v>0.99529335520377815</v>
      </c>
      <c r="Q152" s="29"/>
      <c r="R152" s="29">
        <f t="shared" si="36"/>
        <v>12574.024870366557</v>
      </c>
      <c r="S152" s="29">
        <f t="shared" si="37"/>
        <v>5513.2962058870271</v>
      </c>
      <c r="T152" s="29">
        <f t="shared" si="38"/>
        <v>9809.2035707545474</v>
      </c>
      <c r="U152" s="29">
        <f t="shared" si="39"/>
        <v>9828.6371001612406</v>
      </c>
      <c r="V152" s="29">
        <f t="shared" si="40"/>
        <v>12476.614444885105</v>
      </c>
      <c r="W152" s="29">
        <f t="shared" si="41"/>
        <v>8699.6416482587047</v>
      </c>
      <c r="X152" s="29">
        <f t="shared" si="42"/>
        <v>9487.5367151014707</v>
      </c>
      <c r="Y152" s="29">
        <f t="shared" si="43"/>
        <v>68388.954555414646</v>
      </c>
      <c r="Z152" s="24">
        <f t="shared" si="26"/>
        <v>-535.45806099784386</v>
      </c>
    </row>
    <row r="153" spans="1:27" x14ac:dyDescent="0.2">
      <c r="A153">
        <f t="shared" si="31"/>
        <v>2006</v>
      </c>
      <c r="C153">
        <f t="shared" si="27"/>
        <v>14</v>
      </c>
      <c r="D153" s="22">
        <f t="shared" si="33"/>
        <v>0.98918963407289151</v>
      </c>
      <c r="E153" s="11">
        <f t="shared" si="35"/>
        <v>136</v>
      </c>
      <c r="F153" s="25">
        <f t="shared" si="34"/>
        <v>0.24159213474201099</v>
      </c>
      <c r="H153" s="23">
        <f t="shared" si="32"/>
        <v>1.0109285070877643</v>
      </c>
      <c r="I153">
        <f t="shared" si="28"/>
        <v>2006</v>
      </c>
      <c r="J153" s="15">
        <f t="shared" si="44"/>
        <v>0.43123217395934743</v>
      </c>
      <c r="K153" s="15">
        <f t="shared" si="44"/>
        <v>0.72665105441885558</v>
      </c>
      <c r="L153" s="15">
        <f t="shared" si="44"/>
        <v>0.78548188017205678</v>
      </c>
      <c r="M153" s="15">
        <f t="shared" si="44"/>
        <v>0.86309854333619884</v>
      </c>
      <c r="N153" s="15">
        <f t="shared" si="44"/>
        <v>0.92671718376209222</v>
      </c>
      <c r="O153" s="15">
        <f t="shared" si="44"/>
        <v>0.97088442538958741</v>
      </c>
      <c r="P153" s="15">
        <f t="shared" si="44"/>
        <v>0.99404042021614281</v>
      </c>
      <c r="Q153" s="29"/>
      <c r="R153" s="29">
        <f t="shared" si="36"/>
        <v>12389.993818133442</v>
      </c>
      <c r="S153" s="29">
        <f t="shared" si="37"/>
        <v>5449.4355502619801</v>
      </c>
      <c r="T153" s="29">
        <f t="shared" si="38"/>
        <v>9707.9783356964526</v>
      </c>
      <c r="U153" s="29">
        <f t="shared" si="39"/>
        <v>9748.4106659055451</v>
      </c>
      <c r="V153" s="29">
        <f t="shared" si="40"/>
        <v>12404.940415568573</v>
      </c>
      <c r="W153" s="29">
        <f t="shared" si="41"/>
        <v>8670.6695943967115</v>
      </c>
      <c r="X153" s="29">
        <f t="shared" si="42"/>
        <v>9475.593234684693</v>
      </c>
      <c r="Y153" s="29">
        <f t="shared" si="43"/>
        <v>67847.021614647398</v>
      </c>
      <c r="Z153" s="24">
        <f t="shared" si="26"/>
        <v>-541.93294076724851</v>
      </c>
    </row>
    <row r="154" spans="1:27" x14ac:dyDescent="0.2">
      <c r="A154">
        <f t="shared" si="31"/>
        <v>2007</v>
      </c>
      <c r="C154">
        <f t="shared" si="27"/>
        <v>13</v>
      </c>
      <c r="D154" s="22">
        <f t="shared" si="33"/>
        <v>0.99099455694939909</v>
      </c>
      <c r="E154" s="11">
        <f t="shared" si="35"/>
        <v>137</v>
      </c>
      <c r="F154" s="25">
        <f t="shared" si="34"/>
        <v>0.23826607044938017</v>
      </c>
      <c r="H154" s="23">
        <f t="shared" si="32"/>
        <v>1.0090872780152522</v>
      </c>
      <c r="I154">
        <f t="shared" si="28"/>
        <v>2007</v>
      </c>
      <c r="J154" s="15">
        <f t="shared" si="44"/>
        <v>0.42491593358014801</v>
      </c>
      <c r="K154" s="15">
        <f t="shared" si="44"/>
        <v>0.71811669167577774</v>
      </c>
      <c r="L154" s="15">
        <f t="shared" si="44"/>
        <v>0.77722366708059465</v>
      </c>
      <c r="M154" s="15">
        <f t="shared" si="44"/>
        <v>0.85585413347063188</v>
      </c>
      <c r="N154" s="15">
        <f t="shared" si="44"/>
        <v>0.92116489641269972</v>
      </c>
      <c r="O154" s="15">
        <f t="shared" si="44"/>
        <v>0.96742579199910583</v>
      </c>
      <c r="P154" s="15">
        <f t="shared" si="44"/>
        <v>0.99260959048776132</v>
      </c>
      <c r="Q154" s="29"/>
      <c r="R154" s="29">
        <f t="shared" si="36"/>
        <v>12208.518074954078</v>
      </c>
      <c r="S154" s="29">
        <f t="shared" si="37"/>
        <v>5385.4330838124479</v>
      </c>
      <c r="T154" s="29">
        <f t="shared" si="38"/>
        <v>9605.9128956051827</v>
      </c>
      <c r="U154" s="29">
        <f t="shared" si="39"/>
        <v>9666.5874686044499</v>
      </c>
      <c r="V154" s="29">
        <f t="shared" si="40"/>
        <v>12330.618071118541</v>
      </c>
      <c r="W154" s="29">
        <f t="shared" si="41"/>
        <v>8639.7816054736431</v>
      </c>
      <c r="X154" s="29">
        <f t="shared" si="42"/>
        <v>9461.9539900237069</v>
      </c>
      <c r="Y154" s="29">
        <f t="shared" si="43"/>
        <v>67298.805189592065</v>
      </c>
      <c r="Z154" s="24">
        <f t="shared" si="26"/>
        <v>-548.21642505533237</v>
      </c>
    </row>
    <row r="155" spans="1:27" x14ac:dyDescent="0.2">
      <c r="A155">
        <f t="shared" si="31"/>
        <v>2008</v>
      </c>
      <c r="C155">
        <f t="shared" si="27"/>
        <v>12</v>
      </c>
      <c r="D155" s="22">
        <f t="shared" si="33"/>
        <v>0.99260959048776132</v>
      </c>
      <c r="E155" s="11">
        <f t="shared" si="35"/>
        <v>138</v>
      </c>
      <c r="F155" s="25">
        <f t="shared" si="34"/>
        <v>0.23499545557690196</v>
      </c>
      <c r="H155" s="23">
        <f t="shared" si="32"/>
        <v>1.0074454343208663</v>
      </c>
      <c r="I155">
        <f t="shared" si="28"/>
        <v>2008</v>
      </c>
      <c r="J155" s="15">
        <f t="shared" si="44"/>
        <v>0.41868851712796151</v>
      </c>
      <c r="K155" s="15">
        <f t="shared" si="44"/>
        <v>0.70956985664227434</v>
      </c>
      <c r="L155" s="15">
        <f t="shared" si="44"/>
        <v>0.76890481189356241</v>
      </c>
      <c r="M155" s="15">
        <f t="shared" si="44"/>
        <v>0.84847534236086875</v>
      </c>
      <c r="N155" s="15">
        <f t="shared" si="44"/>
        <v>0.91541894595137341</v>
      </c>
      <c r="O155" s="15">
        <f t="shared" si="44"/>
        <v>0.96375203359467987</v>
      </c>
      <c r="P155" s="15">
        <f t="shared" si="44"/>
        <v>0.99099455694939909</v>
      </c>
      <c r="Q155" s="29"/>
      <c r="R155" s="29">
        <f t="shared" si="36"/>
        <v>12029.594386034692</v>
      </c>
      <c r="S155" s="29">
        <f t="shared" si="37"/>
        <v>5321.3370828632069</v>
      </c>
      <c r="T155" s="29">
        <f t="shared" si="38"/>
        <v>9503.097963813485</v>
      </c>
      <c r="U155" s="29">
        <f t="shared" si="39"/>
        <v>9583.2464798943292</v>
      </c>
      <c r="V155" s="29">
        <f t="shared" si="40"/>
        <v>12253.703372273525</v>
      </c>
      <c r="W155" s="29">
        <f t="shared" si="41"/>
        <v>8606.9724013486175</v>
      </c>
      <c r="X155" s="29">
        <f t="shared" si="42"/>
        <v>9446.5588405321341</v>
      </c>
      <c r="Y155" s="29">
        <f t="shared" si="43"/>
        <v>66744.510526760001</v>
      </c>
      <c r="Z155" s="24">
        <f t="shared" si="26"/>
        <v>-554.2946628320642</v>
      </c>
    </row>
    <row r="156" spans="1:27" x14ac:dyDescent="0.2">
      <c r="A156">
        <f t="shared" si="31"/>
        <v>2009</v>
      </c>
      <c r="C156">
        <f t="shared" si="27"/>
        <v>11</v>
      </c>
      <c r="D156" s="22">
        <f t="shared" si="33"/>
        <v>0.99404042021614281</v>
      </c>
      <c r="E156" s="11">
        <f t="shared" si="35"/>
        <v>139</v>
      </c>
      <c r="F156" s="25">
        <f t="shared" si="34"/>
        <v>0.23177935346888448</v>
      </c>
      <c r="H156" s="23">
        <f t="shared" si="32"/>
        <v>1.0059953093080072</v>
      </c>
      <c r="I156">
        <f t="shared" si="28"/>
        <v>2009</v>
      </c>
      <c r="J156" s="15">
        <f t="shared" si="44"/>
        <v>0.41254973088143299</v>
      </c>
      <c r="K156" s="15">
        <f t="shared" si="44"/>
        <v>0.701016807827749</v>
      </c>
      <c r="L156" s="15">
        <f t="shared" si="44"/>
        <v>0.76053257143942443</v>
      </c>
      <c r="M156" s="15">
        <f t="shared" si="44"/>
        <v>0.84096930479169851</v>
      </c>
      <c r="N156" s="15">
        <f t="shared" si="44"/>
        <v>0.90948390003730295</v>
      </c>
      <c r="O156" s="15">
        <f t="shared" si="44"/>
        <v>0.95986308967192713</v>
      </c>
      <c r="P156" s="15">
        <f t="shared" si="44"/>
        <v>0.98918963407289151</v>
      </c>
      <c r="Q156" s="29"/>
      <c r="R156" s="29">
        <f t="shared" si="36"/>
        <v>11853.217185449234</v>
      </c>
      <c r="S156" s="29">
        <f t="shared" si="37"/>
        <v>5257.1944823817739</v>
      </c>
      <c r="T156" s="29">
        <f t="shared" si="38"/>
        <v>9399.623229383953</v>
      </c>
      <c r="U156" s="29">
        <f t="shared" si="39"/>
        <v>9498.4682847937456</v>
      </c>
      <c r="V156" s="29">
        <f t="shared" si="40"/>
        <v>12174.257461247225</v>
      </c>
      <c r="W156" s="29">
        <f t="shared" si="41"/>
        <v>8572.2414416756401</v>
      </c>
      <c r="X156" s="29">
        <f t="shared" si="42"/>
        <v>9429.3535894679517</v>
      </c>
      <c r="Y156" s="29">
        <f t="shared" si="43"/>
        <v>66184.355674399529</v>
      </c>
      <c r="Z156" s="24">
        <f t="shared" si="26"/>
        <v>-560.15485236047243</v>
      </c>
      <c r="AA156">
        <f>Z156/Y156</f>
        <v>-8.4635537605927524E-3</v>
      </c>
    </row>
    <row r="157" spans="1:27" x14ac:dyDescent="0.2">
      <c r="A157">
        <f t="shared" si="31"/>
        <v>2010</v>
      </c>
      <c r="C157">
        <f t="shared" si="27"/>
        <v>10</v>
      </c>
      <c r="D157" s="22">
        <f t="shared" si="33"/>
        <v>0.99529335520377815</v>
      </c>
      <c r="E157" s="11">
        <f t="shared" si="35"/>
        <v>140</v>
      </c>
      <c r="F157" s="25">
        <f t="shared" si="34"/>
        <v>0.22861683749020195</v>
      </c>
      <c r="H157" s="23">
        <f t="shared" si="32"/>
        <v>1.0047289020584873</v>
      </c>
      <c r="I157">
        <f t="shared" si="28"/>
        <v>2010</v>
      </c>
    </row>
    <row r="158" spans="1:27" x14ac:dyDescent="0.2">
      <c r="A158">
        <f t="shared" si="31"/>
        <v>2011</v>
      </c>
      <c r="C158">
        <f t="shared" si="27"/>
        <v>9</v>
      </c>
      <c r="D158" s="22">
        <f t="shared" si="33"/>
        <v>0.99637535567137236</v>
      </c>
      <c r="E158" s="11">
        <f t="shared" si="35"/>
        <v>141</v>
      </c>
      <c r="F158" s="25">
        <f t="shared" si="34"/>
        <v>0.22550699137777225</v>
      </c>
      <c r="H158" s="23">
        <f t="shared" si="32"/>
        <v>1.0036378301691187</v>
      </c>
      <c r="I158">
        <f t="shared" si="28"/>
        <v>2011</v>
      </c>
    </row>
    <row r="159" spans="1:27" x14ac:dyDescent="0.2">
      <c r="A159">
        <f t="shared" si="31"/>
        <v>2012</v>
      </c>
      <c r="C159">
        <f t="shared" si="27"/>
        <v>8</v>
      </c>
      <c r="D159" s="22">
        <f t="shared" si="33"/>
        <v>0.99729407172089668</v>
      </c>
      <c r="E159" s="11">
        <f t="shared" si="35"/>
        <v>142</v>
      </c>
      <c r="F159" s="25">
        <f t="shared" si="34"/>
        <v>0.22244890955328964</v>
      </c>
      <c r="H159" s="23">
        <f t="shared" si="32"/>
        <v>1.0027132701936492</v>
      </c>
      <c r="I159">
        <f t="shared" si="28"/>
        <v>2012</v>
      </c>
    </row>
    <row r="160" spans="1:27" x14ac:dyDescent="0.2">
      <c r="A160">
        <f t="shared" si="31"/>
        <v>2013</v>
      </c>
      <c r="C160">
        <f t="shared" si="27"/>
        <v>7</v>
      </c>
      <c r="D160" s="22">
        <f t="shared" si="33"/>
        <v>0.99805789831703007</v>
      </c>
      <c r="E160" s="11">
        <f t="shared" si="35"/>
        <v>143</v>
      </c>
      <c r="F160" s="25">
        <f t="shared" si="34"/>
        <v>0.21944169739957503</v>
      </c>
      <c r="H160" s="23">
        <f t="shared" si="32"/>
        <v>1.0019458807813102</v>
      </c>
      <c r="I160">
        <f t="shared" si="28"/>
        <v>2013</v>
      </c>
    </row>
    <row r="161" spans="1:16" x14ac:dyDescent="0.2">
      <c r="A161">
        <f t="shared" si="31"/>
        <v>2014</v>
      </c>
      <c r="C161">
        <f t="shared" si="27"/>
        <v>6</v>
      </c>
      <c r="D161" s="22">
        <f t="shared" si="33"/>
        <v>0.99867605463283105</v>
      </c>
      <c r="E161" s="11">
        <f t="shared" si="35"/>
        <v>144</v>
      </c>
      <c r="F161" s="25">
        <f t="shared" si="34"/>
        <v>0.21648447150279951</v>
      </c>
      <c r="H161" s="23">
        <f t="shared" si="32"/>
        <v>1.0013257005222336</v>
      </c>
      <c r="I161">
        <f t="shared" si="28"/>
        <v>2014</v>
      </c>
    </row>
    <row r="162" spans="1:16" x14ac:dyDescent="0.2">
      <c r="A162">
        <f t="shared" si="31"/>
        <v>2015</v>
      </c>
      <c r="C162">
        <f t="shared" si="27"/>
        <v>5</v>
      </c>
      <c r="D162" s="22">
        <f t="shared" si="33"/>
        <v>0.99915870136426765</v>
      </c>
      <c r="E162" s="11">
        <f t="shared" si="35"/>
        <v>145</v>
      </c>
      <c r="F162" s="25">
        <f t="shared" si="34"/>
        <v>0.21357635986272738</v>
      </c>
      <c r="H162" s="23">
        <f t="shared" si="32"/>
        <v>1.0008420070150854</v>
      </c>
      <c r="I162">
        <f t="shared" si="28"/>
        <v>2015</v>
      </c>
    </row>
    <row r="163" spans="1:16" x14ac:dyDescent="0.2">
      <c r="A163">
        <f t="shared" si="31"/>
        <v>2016</v>
      </c>
      <c r="C163">
        <f t="shared" si="27"/>
        <v>4</v>
      </c>
      <c r="D163" s="22">
        <f t="shared" si="33"/>
        <v>0.99951712060728348</v>
      </c>
      <c r="E163" s="11">
        <f t="shared" si="35"/>
        <v>146</v>
      </c>
      <c r="F163" s="25">
        <f t="shared" si="34"/>
        <v>0.21071650207302339</v>
      </c>
      <c r="H163" s="23">
        <f t="shared" si="32"/>
        <v>1.000483112677873</v>
      </c>
      <c r="I163">
        <f t="shared" si="28"/>
        <v>2016</v>
      </c>
    </row>
    <row r="164" spans="1:16" x14ac:dyDescent="0.2">
      <c r="A164">
        <f t="shared" si="31"/>
        <v>2017</v>
      </c>
      <c r="C164">
        <f t="shared" si="27"/>
        <v>3</v>
      </c>
      <c r="D164" s="22">
        <f t="shared" si="33"/>
        <v>0.99976400743780991</v>
      </c>
      <c r="E164" s="11">
        <f t="shared" si="35"/>
        <v>147</v>
      </c>
      <c r="F164" s="25">
        <f t="shared" si="34"/>
        <v>0.20790404947356747</v>
      </c>
      <c r="H164" s="23">
        <f t="shared" si="32"/>
        <v>1.0002360482678256</v>
      </c>
      <c r="I164">
        <f t="shared" si="28"/>
        <v>2017</v>
      </c>
    </row>
    <row r="165" spans="1:16" x14ac:dyDescent="0.2">
      <c r="A165">
        <f t="shared" si="31"/>
        <v>2018</v>
      </c>
      <c r="C165">
        <f t="shared" si="27"/>
        <v>2</v>
      </c>
      <c r="D165" s="22">
        <f t="shared" si="33"/>
        <v>0.99991398653008901</v>
      </c>
      <c r="E165" s="11">
        <f t="shared" si="35"/>
        <v>148</v>
      </c>
      <c r="F165" s="25">
        <f t="shared" si="34"/>
        <v>0.20513816527662312</v>
      </c>
      <c r="H165" s="23">
        <f t="shared" si="32"/>
        <v>1.0000860208688644</v>
      </c>
      <c r="I165">
        <f t="shared" si="28"/>
        <v>2018</v>
      </c>
    </row>
    <row r="166" spans="1:16" x14ac:dyDescent="0.2">
      <c r="A166">
        <f t="shared" si="31"/>
        <v>2019</v>
      </c>
      <c r="C166">
        <f t="shared" si="27"/>
        <v>1</v>
      </c>
      <c r="D166" s="22">
        <f t="shared" si="33"/>
        <v>0.99998468374587324</v>
      </c>
      <c r="E166" s="11">
        <f t="shared" si="35"/>
        <v>149</v>
      </c>
      <c r="F166" s="25">
        <f t="shared" si="34"/>
        <v>0.20241802466861356</v>
      </c>
      <c r="H166" s="23">
        <f t="shared" si="32"/>
        <v>1.000015316488718</v>
      </c>
      <c r="I166">
        <f t="shared" si="28"/>
        <v>2019</v>
      </c>
    </row>
    <row r="167" spans="1:16" x14ac:dyDescent="0.2">
      <c r="A167">
        <f t="shared" si="31"/>
        <v>2020</v>
      </c>
      <c r="C167">
        <f t="shared" si="27"/>
        <v>0</v>
      </c>
      <c r="D167" s="22">
        <f t="shared" si="33"/>
        <v>1</v>
      </c>
      <c r="E167" s="11">
        <f t="shared" si="35"/>
        <v>150</v>
      </c>
      <c r="F167" s="25">
        <f t="shared" si="34"/>
        <v>0.19974281488916615</v>
      </c>
      <c r="H167" s="23">
        <f t="shared" si="32"/>
        <v>1</v>
      </c>
      <c r="I167">
        <f t="shared" si="28"/>
        <v>2020</v>
      </c>
    </row>
    <row r="168" spans="1:16" x14ac:dyDescent="0.2">
      <c r="I168" t="s">
        <v>75</v>
      </c>
      <c r="J168">
        <v>1910</v>
      </c>
      <c r="K168">
        <v>1948</v>
      </c>
      <c r="L168">
        <v>1955</v>
      </c>
      <c r="M168">
        <v>1965</v>
      </c>
      <c r="N168">
        <v>1975</v>
      </c>
      <c r="O168">
        <v>1985</v>
      </c>
      <c r="P168">
        <v>1995</v>
      </c>
    </row>
    <row r="169" spans="1:16" x14ac:dyDescent="0.2">
      <c r="I169">
        <v>1999</v>
      </c>
      <c r="J169">
        <f t="shared" ref="J169:P169" si="45">$I169-J168</f>
        <v>89</v>
      </c>
      <c r="K169">
        <f t="shared" si="45"/>
        <v>51</v>
      </c>
      <c r="L169">
        <f t="shared" si="45"/>
        <v>44</v>
      </c>
      <c r="M169">
        <f t="shared" si="45"/>
        <v>34</v>
      </c>
      <c r="N169">
        <f t="shared" si="45"/>
        <v>24</v>
      </c>
      <c r="O169">
        <f t="shared" si="45"/>
        <v>14</v>
      </c>
      <c r="P169">
        <f t="shared" si="45"/>
        <v>4</v>
      </c>
    </row>
    <row r="170" spans="1:16" x14ac:dyDescent="0.2">
      <c r="I170">
        <v>2001</v>
      </c>
      <c r="J170">
        <f t="shared" ref="J170:P170" si="46">$I170-J$168</f>
        <v>91</v>
      </c>
      <c r="K170">
        <f t="shared" si="46"/>
        <v>53</v>
      </c>
      <c r="L170">
        <f t="shared" si="46"/>
        <v>46</v>
      </c>
      <c r="M170">
        <f t="shared" si="46"/>
        <v>36</v>
      </c>
      <c r="N170">
        <f t="shared" si="46"/>
        <v>26</v>
      </c>
      <c r="O170">
        <f t="shared" si="46"/>
        <v>16</v>
      </c>
      <c r="P170">
        <f t="shared" si="46"/>
        <v>6</v>
      </c>
    </row>
    <row r="171" spans="1:16" x14ac:dyDescent="0.2">
      <c r="I171">
        <v>2003</v>
      </c>
      <c r="J171">
        <f t="shared" ref="J171:P174" si="47">$I171-J$168</f>
        <v>93</v>
      </c>
      <c r="K171">
        <f t="shared" si="47"/>
        <v>55</v>
      </c>
      <c r="L171">
        <f t="shared" si="47"/>
        <v>48</v>
      </c>
      <c r="M171">
        <f t="shared" si="47"/>
        <v>38</v>
      </c>
      <c r="N171">
        <f t="shared" si="47"/>
        <v>28</v>
      </c>
      <c r="O171">
        <f t="shared" si="47"/>
        <v>18</v>
      </c>
      <c r="P171">
        <f t="shared" si="47"/>
        <v>8</v>
      </c>
    </row>
    <row r="172" spans="1:16" x14ac:dyDescent="0.2">
      <c r="I172">
        <v>2005</v>
      </c>
      <c r="J172">
        <f t="shared" si="47"/>
        <v>95</v>
      </c>
      <c r="K172">
        <f t="shared" si="47"/>
        <v>57</v>
      </c>
      <c r="L172">
        <f t="shared" si="47"/>
        <v>50</v>
      </c>
      <c r="M172">
        <f t="shared" si="47"/>
        <v>40</v>
      </c>
      <c r="N172">
        <f t="shared" si="47"/>
        <v>30</v>
      </c>
      <c r="O172">
        <f t="shared" si="47"/>
        <v>20</v>
      </c>
      <c r="P172">
        <f t="shared" si="47"/>
        <v>10</v>
      </c>
    </row>
    <row r="173" spans="1:16" x14ac:dyDescent="0.2">
      <c r="I173">
        <v>2007</v>
      </c>
      <c r="J173">
        <f t="shared" si="47"/>
        <v>97</v>
      </c>
      <c r="K173">
        <f t="shared" si="47"/>
        <v>59</v>
      </c>
      <c r="L173">
        <f t="shared" si="47"/>
        <v>52</v>
      </c>
      <c r="M173">
        <f t="shared" si="47"/>
        <v>42</v>
      </c>
      <c r="N173">
        <f t="shared" si="47"/>
        <v>32</v>
      </c>
      <c r="O173">
        <f t="shared" si="47"/>
        <v>22</v>
      </c>
      <c r="P173">
        <f t="shared" si="47"/>
        <v>12</v>
      </c>
    </row>
    <row r="174" spans="1:16" x14ac:dyDescent="0.2">
      <c r="I174">
        <v>2009</v>
      </c>
      <c r="J174">
        <f t="shared" si="47"/>
        <v>99</v>
      </c>
      <c r="K174">
        <f t="shared" si="47"/>
        <v>61</v>
      </c>
      <c r="L174">
        <f t="shared" si="47"/>
        <v>54</v>
      </c>
      <c r="M174">
        <f t="shared" si="47"/>
        <v>44</v>
      </c>
      <c r="N174">
        <f t="shared" si="47"/>
        <v>34</v>
      </c>
      <c r="O174">
        <f t="shared" si="47"/>
        <v>24</v>
      </c>
      <c r="P174">
        <f t="shared" si="47"/>
        <v>14</v>
      </c>
    </row>
    <row r="176" spans="1:16" x14ac:dyDescent="0.2">
      <c r="H176" t="s">
        <v>30</v>
      </c>
      <c r="I176">
        <v>1999</v>
      </c>
      <c r="J176">
        <f t="shared" ref="J176:P176" si="48">VLOOKUP(J169,$E17:$F167,2,FALSE)</f>
        <v>0.47793098675246826</v>
      </c>
      <c r="K176">
        <f t="shared" si="48"/>
        <v>0.78548188017205678</v>
      </c>
      <c r="L176">
        <f t="shared" si="48"/>
        <v>0.84096930479169851</v>
      </c>
      <c r="M176">
        <f t="shared" si="48"/>
        <v>0.90948390003730295</v>
      </c>
      <c r="N176">
        <f t="shared" si="48"/>
        <v>0.95986308967192713</v>
      </c>
      <c r="O176">
        <f t="shared" si="48"/>
        <v>0.98918963407289151</v>
      </c>
      <c r="P176">
        <f t="shared" si="48"/>
        <v>0.99951712060728348</v>
      </c>
    </row>
    <row r="177" spans="8:22" x14ac:dyDescent="0.2">
      <c r="H177" t="s">
        <v>560</v>
      </c>
      <c r="I177">
        <v>2001</v>
      </c>
      <c r="J177">
        <f t="shared" ref="J177:K181" si="49">VLOOKUP(J170,$E18:$F168,2,FALSE)</f>
        <v>0.46414659357889998</v>
      </c>
      <c r="K177">
        <f t="shared" si="49"/>
        <v>0.76890481189356241</v>
      </c>
      <c r="L177">
        <f t="shared" ref="L177:P181" si="50">VLOOKUP(L170,$E18:$F168,2,FALSE)</f>
        <v>0.82560459093250615</v>
      </c>
      <c r="M177">
        <f t="shared" si="50"/>
        <v>0.89706659824039237</v>
      </c>
      <c r="N177">
        <f t="shared" si="50"/>
        <v>0.9514420050457244</v>
      </c>
      <c r="O177">
        <f t="shared" si="50"/>
        <v>0.98499038186823373</v>
      </c>
      <c r="P177">
        <f t="shared" si="50"/>
        <v>0.99867605463283105</v>
      </c>
    </row>
    <row r="178" spans="8:22" x14ac:dyDescent="0.2">
      <c r="H178" t="s">
        <v>561</v>
      </c>
      <c r="I178">
        <v>2003</v>
      </c>
      <c r="J178">
        <f t="shared" si="49"/>
        <v>0.45071453843959397</v>
      </c>
      <c r="K178">
        <f t="shared" si="49"/>
        <v>0.75211410231569709</v>
      </c>
      <c r="L178">
        <f t="shared" si="50"/>
        <v>0.80981896762453542</v>
      </c>
      <c r="M178">
        <f t="shared" si="50"/>
        <v>0.88395643479702424</v>
      </c>
      <c r="N178">
        <f t="shared" si="50"/>
        <v>0.94217231753057684</v>
      </c>
      <c r="O178">
        <f t="shared" si="50"/>
        <v>0.97997818528312852</v>
      </c>
      <c r="P178">
        <f t="shared" si="50"/>
        <v>0.99729407172089668</v>
      </c>
      <c r="T178">
        <v>2.4896011039716348</v>
      </c>
    </row>
    <row r="179" spans="8:22" x14ac:dyDescent="0.2">
      <c r="H179" t="s">
        <v>55</v>
      </c>
      <c r="I179">
        <v>2005</v>
      </c>
      <c r="J179">
        <f t="shared" si="49"/>
        <v>0.4376373515482469</v>
      </c>
      <c r="K179">
        <f t="shared" si="49"/>
        <v>0.73516650749978796</v>
      </c>
      <c r="L179">
        <f t="shared" si="50"/>
        <v>0.79367211146479977</v>
      </c>
      <c r="M179">
        <f t="shared" si="50"/>
        <v>0.87020158001738046</v>
      </c>
      <c r="N179">
        <f t="shared" si="50"/>
        <v>0.93207162742501681</v>
      </c>
      <c r="O179">
        <f t="shared" si="50"/>
        <v>0.97412852500149461</v>
      </c>
      <c r="P179">
        <f t="shared" si="50"/>
        <v>0.99529335520377815</v>
      </c>
    </row>
    <row r="180" spans="8:22" x14ac:dyDescent="0.2">
      <c r="I180">
        <v>2007</v>
      </c>
      <c r="J180">
        <f t="shared" si="49"/>
        <v>0.42491593358014801</v>
      </c>
      <c r="K180">
        <f t="shared" si="49"/>
        <v>0.71811669167577774</v>
      </c>
      <c r="L180">
        <f t="shared" si="50"/>
        <v>0.77722366708059465</v>
      </c>
      <c r="M180">
        <f t="shared" si="50"/>
        <v>0.85585413347063188</v>
      </c>
      <c r="N180">
        <f t="shared" si="50"/>
        <v>0.92116489641269972</v>
      </c>
      <c r="O180">
        <f t="shared" si="50"/>
        <v>0.96742579199910583</v>
      </c>
      <c r="P180">
        <f t="shared" si="50"/>
        <v>0.99260959048776132</v>
      </c>
      <c r="R180" s="1" t="s">
        <v>76</v>
      </c>
    </row>
    <row r="181" spans="8:22" x14ac:dyDescent="0.2">
      <c r="I181">
        <v>2009</v>
      </c>
      <c r="J181">
        <f t="shared" si="49"/>
        <v>0.41254973088143299</v>
      </c>
      <c r="K181">
        <f t="shared" si="49"/>
        <v>0.701016807827749</v>
      </c>
      <c r="L181">
        <f t="shared" si="50"/>
        <v>0.76053257143942443</v>
      </c>
      <c r="M181">
        <f t="shared" si="50"/>
        <v>0.84096930479169851</v>
      </c>
      <c r="N181">
        <f t="shared" si="50"/>
        <v>0.90948390003730295</v>
      </c>
      <c r="O181">
        <f t="shared" si="50"/>
        <v>0.95986308967192713</v>
      </c>
      <c r="P181">
        <f t="shared" si="50"/>
        <v>0.98918963407289151</v>
      </c>
      <c r="R181" t="s">
        <v>489</v>
      </c>
      <c r="S181" t="s">
        <v>51</v>
      </c>
      <c r="T181">
        <v>2.4896011039716348</v>
      </c>
      <c r="V181">
        <v>2.5781600983253914</v>
      </c>
    </row>
    <row r="182" spans="8:22" x14ac:dyDescent="0.2">
      <c r="R182" t="s">
        <v>52</v>
      </c>
      <c r="S182" t="s">
        <v>78</v>
      </c>
      <c r="T182">
        <v>85.897558532137552</v>
      </c>
      <c r="V182">
        <v>84.410110100041535</v>
      </c>
    </row>
    <row r="183" spans="8:22" x14ac:dyDescent="0.2">
      <c r="I183">
        <v>1999</v>
      </c>
      <c r="J183">
        <v>1</v>
      </c>
      <c r="K183">
        <v>1</v>
      </c>
      <c r="L183">
        <v>1</v>
      </c>
      <c r="M183">
        <v>1</v>
      </c>
      <c r="N183">
        <v>1</v>
      </c>
      <c r="O183">
        <v>1</v>
      </c>
      <c r="P183">
        <v>1</v>
      </c>
      <c r="R183" t="s">
        <v>490</v>
      </c>
      <c r="S183" t="s">
        <v>81</v>
      </c>
      <c r="T183">
        <v>1.0107109598848509</v>
      </c>
      <c r="V183">
        <v>1.0105662864067084</v>
      </c>
    </row>
    <row r="184" spans="8:22" x14ac:dyDescent="0.2">
      <c r="I184">
        <v>2001</v>
      </c>
      <c r="J184">
        <f t="shared" ref="J184:P184" si="51">J177/J$176</f>
        <v>0.97115819322109043</v>
      </c>
      <c r="K184">
        <f t="shared" si="51"/>
        <v>0.97889567067433403</v>
      </c>
      <c r="L184">
        <f t="shared" si="51"/>
        <v>0.98172975663719608</v>
      </c>
      <c r="M184">
        <f t="shared" si="51"/>
        <v>0.98634687013546773</v>
      </c>
      <c r="N184">
        <f t="shared" si="51"/>
        <v>0.99122678565639921</v>
      </c>
      <c r="O184">
        <f t="shared" si="51"/>
        <v>0.99575485623786031</v>
      </c>
      <c r="P184">
        <f t="shared" si="51"/>
        <v>0.9991585276959124</v>
      </c>
    </row>
    <row r="185" spans="8:22" x14ac:dyDescent="0.2">
      <c r="I185">
        <v>2003</v>
      </c>
      <c r="J185">
        <f t="shared" ref="J185:K188" si="52">J178/J$176</f>
        <v>0.94305360173900943</v>
      </c>
      <c r="K185">
        <f t="shared" si="52"/>
        <v>0.9575193537894845</v>
      </c>
      <c r="L185">
        <f t="shared" ref="L185:P188" si="53">L178/L$176</f>
        <v>0.9629590081472964</v>
      </c>
      <c r="M185">
        <f t="shared" si="53"/>
        <v>0.97193192178637611</v>
      </c>
      <c r="N185">
        <f t="shared" si="53"/>
        <v>0.98156948388608545</v>
      </c>
      <c r="O185">
        <f t="shared" si="53"/>
        <v>0.99068788382684947</v>
      </c>
      <c r="P185">
        <f t="shared" si="53"/>
        <v>0.99777587713051263</v>
      </c>
      <c r="S185" t="s">
        <v>80</v>
      </c>
      <c r="T185">
        <f>SUM(J204:Q209)*0.001</f>
        <v>4642.8519597895565</v>
      </c>
      <c r="V185">
        <v>4690.8404118073277</v>
      </c>
    </row>
    <row r="186" spans="8:22" x14ac:dyDescent="0.2">
      <c r="I186">
        <v>2005</v>
      </c>
      <c r="J186">
        <f t="shared" si="52"/>
        <v>0.91569151965220785</v>
      </c>
      <c r="K186">
        <f t="shared" si="52"/>
        <v>0.93594330570522211</v>
      </c>
      <c r="L186">
        <f t="shared" si="53"/>
        <v>0.94375871621305618</v>
      </c>
      <c r="M186">
        <f t="shared" si="53"/>
        <v>0.95680811939792298</v>
      </c>
      <c r="N186">
        <f t="shared" si="53"/>
        <v>0.9710464309483875</v>
      </c>
      <c r="O186">
        <f t="shared" si="53"/>
        <v>0.98477429549136675</v>
      </c>
      <c r="P186">
        <f t="shared" si="53"/>
        <v>0.99577419404187983</v>
      </c>
      <c r="S186" t="s">
        <v>83</v>
      </c>
      <c r="T186">
        <f>AHS_tables!$IK$16</f>
        <v>231.41068084448949</v>
      </c>
      <c r="V186">
        <v>231.41068084448949</v>
      </c>
    </row>
    <row r="187" spans="8:22" x14ac:dyDescent="0.2">
      <c r="I187">
        <v>2007</v>
      </c>
      <c r="J187">
        <f t="shared" si="52"/>
        <v>0.88907383149070018</v>
      </c>
      <c r="K187">
        <f t="shared" si="52"/>
        <v>0.9142371196627439</v>
      </c>
      <c r="L187">
        <f t="shared" si="53"/>
        <v>0.92419980450190964</v>
      </c>
      <c r="M187">
        <f t="shared" si="53"/>
        <v>0.94103274773256418</v>
      </c>
      <c r="N187">
        <f t="shared" si="53"/>
        <v>0.95968363230588005</v>
      </c>
      <c r="O187">
        <f t="shared" si="53"/>
        <v>0.97799831162385398</v>
      </c>
      <c r="P187">
        <f t="shared" si="53"/>
        <v>0.99308913276510435</v>
      </c>
    </row>
    <row r="188" spans="8:22" x14ac:dyDescent="0.2">
      <c r="I188">
        <v>2009</v>
      </c>
      <c r="J188">
        <f t="shared" si="52"/>
        <v>0.86319937881554898</v>
      </c>
      <c r="K188">
        <f t="shared" si="52"/>
        <v>0.89246719182649248</v>
      </c>
      <c r="L188">
        <f t="shared" si="53"/>
        <v>0.90435235520017265</v>
      </c>
      <c r="M188">
        <f t="shared" si="53"/>
        <v>0.92466651114682263</v>
      </c>
      <c r="N188">
        <f t="shared" si="53"/>
        <v>0.94751419220438682</v>
      </c>
      <c r="O188">
        <f t="shared" si="53"/>
        <v>0.97035296025069007</v>
      </c>
      <c r="P188">
        <f t="shared" si="53"/>
        <v>0.98966752412593273</v>
      </c>
    </row>
    <row r="189" spans="8:22" x14ac:dyDescent="0.2">
      <c r="S189" t="s">
        <v>41</v>
      </c>
      <c r="T189" t="s">
        <v>30</v>
      </c>
      <c r="U189" t="s">
        <v>79</v>
      </c>
    </row>
    <row r="190" spans="8:22" x14ac:dyDescent="0.2">
      <c r="J190">
        <f>J$16*J183*$T$183</f>
        <v>13878.805769841691</v>
      </c>
      <c r="K190">
        <f t="shared" ref="K190:P190" si="54">K$16*K183*$T$183</f>
        <v>5953.7248318506709</v>
      </c>
      <c r="L190">
        <f t="shared" si="54"/>
        <v>10505.089263159784</v>
      </c>
      <c r="M190">
        <f t="shared" si="54"/>
        <v>10382.344209322549</v>
      </c>
      <c r="N190">
        <f t="shared" si="54"/>
        <v>12986.249225371257</v>
      </c>
      <c r="O190">
        <f t="shared" si="54"/>
        <v>8928.7699742187942</v>
      </c>
      <c r="P190">
        <f t="shared" si="54"/>
        <v>9629.8512229366697</v>
      </c>
      <c r="Q190" s="2">
        <f t="shared" ref="Q190:Q195" si="55">SUM(J190:P190)</f>
        <v>72264.834496701427</v>
      </c>
      <c r="R190">
        <f t="shared" ref="R190:R195" si="56">I183</f>
        <v>1999</v>
      </c>
      <c r="S190" s="2">
        <f t="shared" ref="S190:S195" si="57">Q197</f>
        <v>71499.011453219486</v>
      </c>
      <c r="T190">
        <f t="shared" ref="T190:T195" si="58">SUM(J190:P190)*$T$183</f>
        <v>73038.86024008099</v>
      </c>
      <c r="U190">
        <f t="shared" ref="U190:U195" si="59">(S190-T190)^2</f>
        <v>2371134.2863988481</v>
      </c>
    </row>
    <row r="191" spans="8:22" x14ac:dyDescent="0.2">
      <c r="J191">
        <f t="shared" ref="J191:P195" si="60">J$16*J184*$T$183</f>
        <v>13478.515935505902</v>
      </c>
      <c r="K191">
        <f t="shared" si="60"/>
        <v>5828.075462284899</v>
      </c>
      <c r="L191">
        <f t="shared" si="60"/>
        <v>10313.158725773876</v>
      </c>
      <c r="M191">
        <f t="shared" si="60"/>
        <v>10240.592715534394</v>
      </c>
      <c r="N191">
        <f t="shared" si="60"/>
        <v>12872.318077397656</v>
      </c>
      <c r="O191">
        <f t="shared" si="60"/>
        <v>8890.86606205916</v>
      </c>
      <c r="P191">
        <f t="shared" si="60"/>
        <v>9621.7479698400839</v>
      </c>
      <c r="Q191" s="2">
        <f t="shared" si="55"/>
        <v>71245.274948395978</v>
      </c>
      <c r="R191">
        <f t="shared" si="56"/>
        <v>2001</v>
      </c>
      <c r="S191" s="2">
        <f t="shared" si="57"/>
        <v>72617.70559977692</v>
      </c>
      <c r="T191">
        <f t="shared" si="58"/>
        <v>72008.380230353418</v>
      </c>
      <c r="U191">
        <f t="shared" si="59"/>
        <v>371277.40582308808</v>
      </c>
    </row>
    <row r="192" spans="8:22" x14ac:dyDescent="0.2">
      <c r="J192">
        <f t="shared" si="60"/>
        <v>13088.457769085351</v>
      </c>
      <c r="K192">
        <f t="shared" si="60"/>
        <v>5700.8067536340623</v>
      </c>
      <c r="L192">
        <f t="shared" si="60"/>
        <v>10115.970337351158</v>
      </c>
      <c r="M192">
        <f t="shared" si="60"/>
        <v>10090.931760014519</v>
      </c>
      <c r="N192">
        <f t="shared" si="60"/>
        <v>12746.905949763743</v>
      </c>
      <c r="O192">
        <f t="shared" si="60"/>
        <v>8845.6242309355312</v>
      </c>
      <c r="P192">
        <f t="shared" si="60"/>
        <v>9608.4332506019746</v>
      </c>
      <c r="Q192" s="2">
        <f t="shared" si="55"/>
        <v>70197.130051386339</v>
      </c>
      <c r="R192">
        <f t="shared" si="56"/>
        <v>2003</v>
      </c>
      <c r="S192" s="2">
        <f t="shared" si="57"/>
        <v>70152.119647368818</v>
      </c>
      <c r="T192">
        <f t="shared" si="58"/>
        <v>70949.008695398399</v>
      </c>
      <c r="U192">
        <f t="shared" si="59"/>
        <v>635032.1548694924</v>
      </c>
    </row>
    <row r="193" spans="10:21" x14ac:dyDescent="0.2">
      <c r="J193">
        <f t="shared" si="60"/>
        <v>12708.704746344169</v>
      </c>
      <c r="K193">
        <f t="shared" si="60"/>
        <v>5572.3489003815848</v>
      </c>
      <c r="L193">
        <f t="shared" si="60"/>
        <v>9914.269556703237</v>
      </c>
      <c r="M193">
        <f t="shared" si="60"/>
        <v>9933.9112378638256</v>
      </c>
      <c r="N193">
        <f t="shared" si="60"/>
        <v>12610.250961703021</v>
      </c>
      <c r="O193">
        <f t="shared" si="60"/>
        <v>8792.8231609657814</v>
      </c>
      <c r="P193">
        <f t="shared" si="60"/>
        <v>9589.1573402629729</v>
      </c>
      <c r="Q193" s="2">
        <f t="shared" si="55"/>
        <v>69121.465904224591</v>
      </c>
      <c r="R193">
        <f t="shared" si="56"/>
        <v>2005</v>
      </c>
      <c r="S193" s="2">
        <f t="shared" si="57"/>
        <v>68584.372819708093</v>
      </c>
      <c r="T193">
        <f t="shared" si="58"/>
        <v>69861.823152706827</v>
      </c>
      <c r="U193">
        <f t="shared" si="59"/>
        <v>1631879.353278578</v>
      </c>
    </row>
    <row r="194" spans="10:21" x14ac:dyDescent="0.2">
      <c r="J194">
        <f t="shared" si="60"/>
        <v>12339.283022308389</v>
      </c>
      <c r="K194">
        <f t="shared" si="60"/>
        <v>5443.1162415357121</v>
      </c>
      <c r="L194">
        <f t="shared" si="60"/>
        <v>9708.8014432873824</v>
      </c>
      <c r="M194">
        <f t="shared" si="60"/>
        <v>9770.1258992040748</v>
      </c>
      <c r="N194">
        <f t="shared" si="60"/>
        <v>12462.690826633709</v>
      </c>
      <c r="O194">
        <f t="shared" si="60"/>
        <v>8732.3219596637427</v>
      </c>
      <c r="P194">
        <f t="shared" si="60"/>
        <v>9563.3005996431566</v>
      </c>
      <c r="Q194" s="2">
        <f t="shared" si="55"/>
        <v>68019.639992276163</v>
      </c>
      <c r="R194">
        <f t="shared" si="56"/>
        <v>2007</v>
      </c>
      <c r="S194" s="2">
        <f t="shared" si="57"/>
        <v>67477.929133198137</v>
      </c>
      <c r="T194">
        <f t="shared" si="58"/>
        <v>68748.195627615438</v>
      </c>
      <c r="U194">
        <f t="shared" si="59"/>
        <v>1613576.9668392194</v>
      </c>
    </row>
    <row r="195" spans="10:21" x14ac:dyDescent="0.2">
      <c r="J195">
        <f t="shared" si="60"/>
        <v>11980.176519229004</v>
      </c>
      <c r="K195">
        <f t="shared" si="60"/>
        <v>5313.5040815894245</v>
      </c>
      <c r="L195">
        <f t="shared" si="60"/>
        <v>9500.3022167265954</v>
      </c>
      <c r="M195">
        <f t="shared" si="60"/>
        <v>9600.2059975596985</v>
      </c>
      <c r="N195">
        <f t="shared" si="60"/>
        <v>12304.655444542492</v>
      </c>
      <c r="O195">
        <f t="shared" si="60"/>
        <v>8664.0583758806843</v>
      </c>
      <c r="P195">
        <f t="shared" si="60"/>
        <v>9530.3510175048195</v>
      </c>
      <c r="Q195" s="2">
        <f t="shared" si="55"/>
        <v>66893.25365303272</v>
      </c>
      <c r="R195">
        <f t="shared" si="56"/>
        <v>2009</v>
      </c>
      <c r="S195" s="2">
        <f t="shared" si="57"/>
        <v>67410.173781626538</v>
      </c>
      <c r="T195">
        <f t="shared" si="58"/>
        <v>67609.744609477508</v>
      </c>
      <c r="U195">
        <f t="shared" si="59"/>
        <v>39828.515329121539</v>
      </c>
    </row>
    <row r="197" spans="10:21" x14ac:dyDescent="0.2">
      <c r="J197" s="2">
        <f>AHS_tables!JU4</f>
        <v>13731.725805588263</v>
      </c>
      <c r="K197" s="2">
        <f>AHS_tables!JV4</f>
        <v>5890.630524605147</v>
      </c>
      <c r="L197" s="2">
        <f>AHS_tables!JW4</f>
        <v>10393.762094314892</v>
      </c>
      <c r="M197" s="2">
        <f>AHS_tables!JX4</f>
        <v>10272.317825172686</v>
      </c>
      <c r="N197" s="2">
        <f>AHS_tables!JY4</f>
        <v>12848.628085373453</v>
      </c>
      <c r="O197" s="2">
        <f>AHS_tables!JZ4</f>
        <v>8834.1477718180067</v>
      </c>
      <c r="P197" s="2">
        <f>AHS_tables!KA4</f>
        <v>9527.7993463470375</v>
      </c>
      <c r="Q197" s="2">
        <f t="shared" ref="Q197:Q202" si="61">SUM(J197:P197)</f>
        <v>71499.011453219486</v>
      </c>
    </row>
    <row r="198" spans="10:21" x14ac:dyDescent="0.2">
      <c r="J198" s="2">
        <f>AHS_tables!JU5</f>
        <v>13789.339534451954</v>
      </c>
      <c r="K198" s="2">
        <f>AHS_tables!JV5</f>
        <v>5828.8465457168131</v>
      </c>
      <c r="L198" s="2">
        <f>AHS_tables!JW5</f>
        <v>10535.531481864553</v>
      </c>
      <c r="M198" s="2">
        <f>AHS_tables!JX5</f>
        <v>10345.51575882086</v>
      </c>
      <c r="N198" s="2">
        <f>AHS_tables!JY5</f>
        <v>13273.609398621491</v>
      </c>
      <c r="O198" s="2">
        <f>AHS_tables!JZ5</f>
        <v>8932.7566775058731</v>
      </c>
      <c r="P198" s="2">
        <f>AHS_tables!KA5</f>
        <v>9912.1062027953794</v>
      </c>
      <c r="Q198" s="2">
        <f t="shared" si="61"/>
        <v>72617.70559977692</v>
      </c>
    </row>
    <row r="199" spans="10:21" x14ac:dyDescent="0.2">
      <c r="J199" s="2">
        <f>AHS_tables!JU6</f>
        <v>13166.365635428274</v>
      </c>
      <c r="K199" s="2">
        <f>AHS_tables!JV6</f>
        <v>5593.1359783909338</v>
      </c>
      <c r="L199" s="2">
        <f>AHS_tables!JW6</f>
        <v>10018.711324909014</v>
      </c>
      <c r="M199" s="2">
        <f>AHS_tables!JX6</f>
        <v>9859.4062327653228</v>
      </c>
      <c r="N199" s="2">
        <f>AHS_tables!JY6</f>
        <v>12808.310514938008</v>
      </c>
      <c r="O199" s="2">
        <f>AHS_tables!JZ6</f>
        <v>8871.2601802033496</v>
      </c>
      <c r="P199" s="2">
        <f>AHS_tables!KA6</f>
        <v>9834.9297807339226</v>
      </c>
      <c r="Q199" s="2">
        <f t="shared" si="61"/>
        <v>70152.119647368818</v>
      </c>
    </row>
    <row r="200" spans="10:21" x14ac:dyDescent="0.2">
      <c r="J200" s="2">
        <f>AHS_tables!JU7</f>
        <v>12481.297041804262</v>
      </c>
      <c r="K200" s="2">
        <f>AHS_tables!JV7</f>
        <v>5438.3769144300359</v>
      </c>
      <c r="L200" s="2">
        <f>AHS_tables!JW7</f>
        <v>9806.0960087019484</v>
      </c>
      <c r="M200" s="2">
        <f>AHS_tables!JX7</f>
        <v>9712.3691816152623</v>
      </c>
      <c r="N200" s="2">
        <f>AHS_tables!JY7</f>
        <v>12481.377771247651</v>
      </c>
      <c r="O200" s="2">
        <f>AHS_tables!JZ7</f>
        <v>8840.2172084159029</v>
      </c>
      <c r="P200" s="2">
        <f>AHS_tables!KA7</f>
        <v>9824.6386934930324</v>
      </c>
      <c r="Q200" s="2">
        <f t="shared" si="61"/>
        <v>68584.372819708093</v>
      </c>
    </row>
    <row r="201" spans="10:21" x14ac:dyDescent="0.2">
      <c r="J201" s="2">
        <f>AHS_tables!JU8</f>
        <v>12078.063377388717</v>
      </c>
      <c r="K201" s="2">
        <f>AHS_tables!JV8</f>
        <v>5429.1595781670403</v>
      </c>
      <c r="L201" s="2">
        <f>AHS_tables!JW8</f>
        <v>9802.8829778502059</v>
      </c>
      <c r="M201" s="2">
        <f>AHS_tables!JX8</f>
        <v>9557.115396180654</v>
      </c>
      <c r="N201" s="2">
        <f>AHS_tables!JY8</f>
        <v>12360.712287146218</v>
      </c>
      <c r="O201" s="2">
        <f>AHS_tables!JZ8</f>
        <v>8673.202046190574</v>
      </c>
      <c r="P201" s="2">
        <f>AHS_tables!KA8</f>
        <v>9576.7934702747243</v>
      </c>
      <c r="Q201" s="2">
        <f t="shared" si="61"/>
        <v>67477.929133198137</v>
      </c>
    </row>
    <row r="202" spans="10:21" x14ac:dyDescent="0.2">
      <c r="J202" s="2">
        <f>AHS_tables!JU9</f>
        <v>12070.971824672715</v>
      </c>
      <c r="K202" s="2">
        <f>AHS_tables!JV9</f>
        <v>5406.101715699635</v>
      </c>
      <c r="L202" s="2">
        <f>AHS_tables!JW9</f>
        <v>10035.850078851259</v>
      </c>
      <c r="M202" s="2">
        <f>AHS_tables!JX9</f>
        <v>9691.9670145747459</v>
      </c>
      <c r="N202" s="2">
        <f>AHS_tables!JY9</f>
        <v>12131.638337768671</v>
      </c>
      <c r="O202" s="2">
        <f>AHS_tables!JZ9</f>
        <v>8634.0608837270975</v>
      </c>
      <c r="P202" s="2">
        <f>AHS_tables!KA9</f>
        <v>9439.5839263324015</v>
      </c>
      <c r="Q202" s="2">
        <f t="shared" si="61"/>
        <v>67410.173781626538</v>
      </c>
    </row>
    <row r="204" spans="10:21" x14ac:dyDescent="0.2">
      <c r="J204" s="2">
        <f>(J190-J197)^2</f>
        <v>21632.515884789522</v>
      </c>
      <c r="K204" s="2">
        <f t="shared" ref="K204:P204" si="62">(K190-K197)^2</f>
        <v>3980.8916067925634</v>
      </c>
      <c r="L204" s="2">
        <f t="shared" si="62"/>
        <v>12393.73852301893</v>
      </c>
      <c r="M204" s="2">
        <f t="shared" si="62"/>
        <v>12105.805209093354</v>
      </c>
      <c r="N204" s="2">
        <f t="shared" si="62"/>
        <v>18939.578174295104</v>
      </c>
      <c r="O204" s="2">
        <f t="shared" si="62"/>
        <v>8953.3611871755966</v>
      </c>
      <c r="P204" s="2">
        <f t="shared" si="62"/>
        <v>10414.585515465527</v>
      </c>
      <c r="Q204" s="2">
        <f t="shared" ref="Q204:Q209" si="63">(Q190-Q197)^2</f>
        <v>586484.93392794381</v>
      </c>
    </row>
    <row r="205" spans="10:21" x14ac:dyDescent="0.2">
      <c r="J205" s="2">
        <f t="shared" ref="J205:P209" si="64">(J191-J198)^2</f>
        <v>96611.309661776046</v>
      </c>
      <c r="K205" s="2">
        <f t="shared" si="64"/>
        <v>0.59456965897245939</v>
      </c>
      <c r="L205" s="2">
        <f t="shared" si="64"/>
        <v>49449.642651363851</v>
      </c>
      <c r="M205" s="2">
        <f t="shared" si="64"/>
        <v>11008.84501249363</v>
      </c>
      <c r="N205" s="2">
        <f t="shared" si="64"/>
        <v>161034.72448957074</v>
      </c>
      <c r="O205" s="2">
        <f t="shared" si="64"/>
        <v>1754.8236625044005</v>
      </c>
      <c r="P205" s="2">
        <f t="shared" si="64"/>
        <v>84307.903444921671</v>
      </c>
      <c r="Q205" s="2">
        <f t="shared" si="63"/>
        <v>1883565.892849918</v>
      </c>
    </row>
    <row r="206" spans="10:21" x14ac:dyDescent="0.2">
      <c r="J206" s="2">
        <f t="shared" si="64"/>
        <v>6069.6356381067098</v>
      </c>
      <c r="K206" s="2">
        <f t="shared" si="64"/>
        <v>11592.995841456281</v>
      </c>
      <c r="L206" s="2">
        <f t="shared" si="64"/>
        <v>9459.3155012211246</v>
      </c>
      <c r="M206" s="2">
        <f t="shared" si="64"/>
        <v>53604.06976801814</v>
      </c>
      <c r="N206" s="2">
        <f t="shared" si="64"/>
        <v>3770.5206242406039</v>
      </c>
      <c r="O206" s="2">
        <f t="shared" si="64"/>
        <v>657.20189486216043</v>
      </c>
      <c r="P206" s="2">
        <f t="shared" si="64"/>
        <v>51300.678161812437</v>
      </c>
      <c r="Q206" s="2">
        <f t="shared" si="63"/>
        <v>2025.9364698204768</v>
      </c>
    </row>
    <row r="207" spans="10:21" x14ac:dyDescent="0.2">
      <c r="J207" s="2">
        <f t="shared" si="64"/>
        <v>51714.264084109302</v>
      </c>
      <c r="K207" s="2">
        <f t="shared" si="64"/>
        <v>17948.49301980203</v>
      </c>
      <c r="L207" s="2">
        <f t="shared" si="64"/>
        <v>11701.516487187069</v>
      </c>
      <c r="M207" s="2">
        <f t="shared" si="64"/>
        <v>49080.882686841593</v>
      </c>
      <c r="N207" s="2">
        <f t="shared" si="64"/>
        <v>16608.299218145992</v>
      </c>
      <c r="O207" s="2">
        <f t="shared" si="64"/>
        <v>2246.1957337043618</v>
      </c>
      <c r="P207" s="2">
        <f t="shared" si="64"/>
        <v>55451.467719060071</v>
      </c>
      <c r="Q207" s="2">
        <f t="shared" si="63"/>
        <v>288468.98143544659</v>
      </c>
    </row>
    <row r="208" spans="10:21" x14ac:dyDescent="0.2">
      <c r="J208" s="2">
        <f t="shared" si="64"/>
        <v>68235.702891959852</v>
      </c>
      <c r="K208" s="2">
        <f t="shared" si="64"/>
        <v>194.78845238642521</v>
      </c>
      <c r="L208" s="2">
        <f t="shared" si="64"/>
        <v>8851.3351456957407</v>
      </c>
      <c r="M208" s="2">
        <f t="shared" si="64"/>
        <v>45373.474398290775</v>
      </c>
      <c r="N208" s="2">
        <f t="shared" si="64"/>
        <v>10399.622516001702</v>
      </c>
      <c r="O208" s="2">
        <f t="shared" si="64"/>
        <v>3495.1641690749548</v>
      </c>
      <c r="P208" s="2">
        <f t="shared" si="64"/>
        <v>182.05755788022248</v>
      </c>
      <c r="Q208" s="2">
        <f t="shared" si="63"/>
        <v>293450.6548430532</v>
      </c>
    </row>
    <row r="209" spans="10:17" x14ac:dyDescent="0.2">
      <c r="J209" s="2">
        <f t="shared" si="64"/>
        <v>8243.7874906168108</v>
      </c>
      <c r="K209" s="2">
        <f t="shared" si="64"/>
        <v>8574.3218428084183</v>
      </c>
      <c r="L209" s="2">
        <f t="shared" si="64"/>
        <v>286811.512626298</v>
      </c>
      <c r="M209" s="2">
        <f t="shared" si="64"/>
        <v>8420.084243635818</v>
      </c>
      <c r="N209" s="2">
        <f t="shared" si="64"/>
        <v>29934.919236383801</v>
      </c>
      <c r="O209" s="2">
        <f t="shared" si="64"/>
        <v>899.84953550450109</v>
      </c>
      <c r="P209" s="2">
        <f t="shared" si="64"/>
        <v>8238.664839902056</v>
      </c>
      <c r="Q209" s="2">
        <f t="shared" si="63"/>
        <v>267206.41934544925</v>
      </c>
    </row>
  </sheetData>
  <mergeCells count="1">
    <mergeCell ref="G6:R6"/>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Z210"/>
  <sheetViews>
    <sheetView topLeftCell="T1" workbookViewId="0">
      <selection activeCell="AI3" sqref="AI3"/>
    </sheetView>
  </sheetViews>
  <sheetFormatPr defaultRowHeight="12.75" x14ac:dyDescent="0.2"/>
  <cols>
    <col min="18" max="18" width="12.7109375" customWidth="1"/>
    <col min="19" max="19" width="12.5703125" customWidth="1"/>
  </cols>
  <sheetData>
    <row r="1" spans="1:24" ht="13.5" thickBot="1" x14ac:dyDescent="0.25">
      <c r="D1" s="16" t="s">
        <v>44</v>
      </c>
      <c r="E1" s="17">
        <v>1</v>
      </c>
      <c r="F1" s="17">
        <v>2</v>
      </c>
      <c r="G1" s="17">
        <v>3</v>
      </c>
      <c r="H1" s="17">
        <v>4</v>
      </c>
      <c r="I1" s="17">
        <v>5</v>
      </c>
    </row>
    <row r="2" spans="1:24" x14ac:dyDescent="0.2">
      <c r="A2" s="19" t="s">
        <v>70</v>
      </c>
      <c r="B2" s="18" t="s">
        <v>45</v>
      </c>
      <c r="C2" s="18"/>
      <c r="D2" s="18"/>
      <c r="E2" t="s">
        <v>46</v>
      </c>
      <c r="F2" t="s">
        <v>47</v>
      </c>
      <c r="G2" s="19" t="s">
        <v>48</v>
      </c>
      <c r="H2" t="s">
        <v>49</v>
      </c>
      <c r="I2" t="s">
        <v>50</v>
      </c>
    </row>
    <row r="3" spans="1:24" x14ac:dyDescent="0.2">
      <c r="A3" s="19" t="s">
        <v>71</v>
      </c>
      <c r="B3" t="s">
        <v>51</v>
      </c>
      <c r="C3">
        <f>T182</f>
        <v>4.2611726113280701</v>
      </c>
      <c r="E3">
        <f>BT6</f>
        <v>0</v>
      </c>
      <c r="F3">
        <f>DY173</f>
        <v>0</v>
      </c>
      <c r="G3">
        <f>EQ173</f>
        <v>0</v>
      </c>
      <c r="H3">
        <v>1.7</v>
      </c>
      <c r="I3" s="20">
        <v>5.4</v>
      </c>
      <c r="U3">
        <v>4.9562375505253273</v>
      </c>
      <c r="V3">
        <v>14.13915138705844</v>
      </c>
      <c r="W3">
        <v>4.6109441012490082</v>
      </c>
    </row>
    <row r="4" spans="1:24" x14ac:dyDescent="0.2">
      <c r="A4" s="20">
        <v>1</v>
      </c>
      <c r="B4" t="s">
        <v>52</v>
      </c>
      <c r="C4">
        <f>T183</f>
        <v>85.955440784131866</v>
      </c>
      <c r="E4">
        <f>BT7</f>
        <v>0</v>
      </c>
      <c r="F4">
        <f>DZ173</f>
        <v>0</v>
      </c>
      <c r="G4">
        <f>ER173</f>
        <v>0</v>
      </c>
      <c r="H4">
        <v>81.5</v>
      </c>
      <c r="I4" s="20">
        <v>59</v>
      </c>
      <c r="U4">
        <v>38.374574598292824</v>
      </c>
      <c r="V4">
        <v>82.8214665201846</v>
      </c>
      <c r="W4">
        <v>87.992895469975167</v>
      </c>
    </row>
    <row r="5" spans="1:24" x14ac:dyDescent="0.2">
      <c r="W5">
        <v>0.99794010414212653</v>
      </c>
    </row>
    <row r="6" spans="1:24" x14ac:dyDescent="0.2">
      <c r="C6">
        <v>3.9227641501562127</v>
      </c>
      <c r="G6" s="448" t="s">
        <v>53</v>
      </c>
      <c r="H6" s="449"/>
      <c r="I6" s="449"/>
      <c r="J6" s="449"/>
      <c r="K6" s="449"/>
      <c r="L6" s="449"/>
      <c r="M6" s="449"/>
      <c r="N6" s="449"/>
      <c r="O6" s="449"/>
      <c r="P6" s="449"/>
      <c r="Q6" s="449"/>
      <c r="R6" s="449"/>
    </row>
    <row r="7" spans="1:24" x14ac:dyDescent="0.2">
      <c r="C7">
        <v>73.223812016884864</v>
      </c>
    </row>
    <row r="8" spans="1:24" x14ac:dyDescent="0.2">
      <c r="G8" s="21"/>
      <c r="H8" s="21"/>
      <c r="I8" s="21"/>
      <c r="J8" s="21"/>
      <c r="K8" s="21"/>
      <c r="L8" s="21"/>
      <c r="M8" s="21"/>
      <c r="N8" s="21"/>
      <c r="O8" s="21"/>
      <c r="P8" s="21"/>
      <c r="Q8" s="21"/>
      <c r="R8" s="21"/>
    </row>
    <row r="9" spans="1:24" ht="13.5" thickBot="1" x14ac:dyDescent="0.25">
      <c r="A9" s="16" t="s">
        <v>72</v>
      </c>
      <c r="C9" t="s">
        <v>54</v>
      </c>
      <c r="D9" t="s">
        <v>55</v>
      </c>
      <c r="E9" t="s">
        <v>56</v>
      </c>
      <c r="F9" t="s">
        <v>57</v>
      </c>
      <c r="G9" t="s">
        <v>58</v>
      </c>
      <c r="H9" t="s">
        <v>59</v>
      </c>
      <c r="I9" t="s">
        <v>60</v>
      </c>
      <c r="J9" t="s">
        <v>61</v>
      </c>
      <c r="K9" t="s">
        <v>62</v>
      </c>
      <c r="L9" t="s">
        <v>63</v>
      </c>
      <c r="M9" t="s">
        <v>64</v>
      </c>
      <c r="N9" t="s">
        <v>65</v>
      </c>
      <c r="O9" t="s">
        <v>66</v>
      </c>
      <c r="P9" t="s">
        <v>67</v>
      </c>
      <c r="Q9" t="s">
        <v>68</v>
      </c>
      <c r="R9" t="s">
        <v>69</v>
      </c>
    </row>
    <row r="15" spans="1:24" x14ac:dyDescent="0.2">
      <c r="J15" t="s">
        <v>0</v>
      </c>
      <c r="K15" t="s">
        <v>1</v>
      </c>
      <c r="L15" t="s">
        <v>2</v>
      </c>
      <c r="M15" t="s">
        <v>3</v>
      </c>
      <c r="N15" t="s">
        <v>4</v>
      </c>
      <c r="O15" t="s">
        <v>5</v>
      </c>
      <c r="P15" t="s">
        <v>6</v>
      </c>
      <c r="R15" t="s">
        <v>0</v>
      </c>
      <c r="S15" t="s">
        <v>1</v>
      </c>
      <c r="T15" t="s">
        <v>2</v>
      </c>
      <c r="U15" t="s">
        <v>3</v>
      </c>
      <c r="V15" t="s">
        <v>4</v>
      </c>
      <c r="W15" t="s">
        <v>5</v>
      </c>
      <c r="X15" t="s">
        <v>6</v>
      </c>
    </row>
    <row r="16" spans="1:24" x14ac:dyDescent="0.2">
      <c r="F16" t="s">
        <v>74</v>
      </c>
      <c r="J16" s="2">
        <f>AHS_tables!JU17</f>
        <v>5759.8137758875009</v>
      </c>
      <c r="K16" s="2">
        <f>AHS_tables!JV17</f>
        <v>1519.3258619064379</v>
      </c>
      <c r="L16" s="2">
        <f>AHS_tables!JW17</f>
        <v>1797.9806068493858</v>
      </c>
      <c r="M16" s="2">
        <f>AHS_tables!JX17</f>
        <v>3354.406284914096</v>
      </c>
      <c r="N16" s="2">
        <f>AHS_tables!JY17</f>
        <v>5659.8456081821523</v>
      </c>
      <c r="O16" s="2">
        <f>AHS_tables!JZ17</f>
        <v>4403.1582061558338</v>
      </c>
      <c r="P16" s="2">
        <f>AHS_tables!KA17</f>
        <v>2021.0920180915298</v>
      </c>
      <c r="R16" s="2">
        <f>J16</f>
        <v>5759.8137758875009</v>
      </c>
      <c r="S16" s="2">
        <f t="shared" ref="S16:X16" si="0">K16</f>
        <v>1519.3258619064379</v>
      </c>
      <c r="T16" s="2">
        <f t="shared" si="0"/>
        <v>1797.9806068493858</v>
      </c>
      <c r="U16" s="2">
        <f t="shared" si="0"/>
        <v>3354.406284914096</v>
      </c>
      <c r="V16" s="2">
        <f t="shared" si="0"/>
        <v>5659.8456081821523</v>
      </c>
      <c r="W16" s="2">
        <f t="shared" si="0"/>
        <v>4403.1582061558338</v>
      </c>
      <c r="X16" s="2">
        <f t="shared" si="0"/>
        <v>2021.0920180915298</v>
      </c>
    </row>
    <row r="17" spans="1:9" x14ac:dyDescent="0.2">
      <c r="A17">
        <f t="shared" ref="A17:A80" si="1">I17</f>
        <v>1870</v>
      </c>
      <c r="C17">
        <v>150</v>
      </c>
      <c r="D17" s="22">
        <f>PRODUCT(1/(1+(C17/$C$4)^$C$3))</f>
        <v>8.5282375459403564E-2</v>
      </c>
      <c r="E17" s="11">
        <f>0</f>
        <v>0</v>
      </c>
      <c r="F17" s="25">
        <f>PRODUCT(1/(1+(E17/$C$4)^$C$3))</f>
        <v>1</v>
      </c>
      <c r="H17" s="23">
        <f t="shared" ref="H17:H80" si="2">1/D17</f>
        <v>11.725752180484509</v>
      </c>
      <c r="I17">
        <v>1870</v>
      </c>
    </row>
    <row r="18" spans="1:9" x14ac:dyDescent="0.2">
      <c r="A18">
        <f t="shared" si="1"/>
        <v>1871</v>
      </c>
      <c r="C18">
        <f>C17-1</f>
        <v>149</v>
      </c>
      <c r="D18" s="22">
        <f t="shared" ref="D18:D81" si="3">PRODUCT(1/(1+(C18/$C$4)^$C$3))</f>
        <v>8.7532312526709136E-2</v>
      </c>
      <c r="E18" s="11">
        <f>E17+1</f>
        <v>1</v>
      </c>
      <c r="F18" s="25">
        <f t="shared" ref="F18:F81" si="4">PRODUCT(1/(1+(E18/$C$4)^$C$3))</f>
        <v>0.99999999427563546</v>
      </c>
      <c r="H18" s="23">
        <f t="shared" si="2"/>
        <v>11.424352574883308</v>
      </c>
      <c r="I18">
        <f>I17+1</f>
        <v>1871</v>
      </c>
    </row>
    <row r="19" spans="1:9" x14ac:dyDescent="0.2">
      <c r="A19">
        <f t="shared" si="1"/>
        <v>1872</v>
      </c>
      <c r="C19">
        <f t="shared" ref="C19:C66" si="5">C18-1</f>
        <v>148</v>
      </c>
      <c r="D19" s="22">
        <f t="shared" si="3"/>
        <v>8.9851473528134801E-2</v>
      </c>
      <c r="E19" s="11">
        <f t="shared" ref="E19:E82" si="6">E18+1</f>
        <v>2</v>
      </c>
      <c r="F19" s="25">
        <f t="shared" si="4"/>
        <v>0.99999989023395652</v>
      </c>
      <c r="H19" s="23">
        <f t="shared" si="2"/>
        <v>11.129478023383493</v>
      </c>
      <c r="I19">
        <f t="shared" ref="I19:I66" si="7">I18+1</f>
        <v>1872</v>
      </c>
    </row>
    <row r="20" spans="1:9" x14ac:dyDescent="0.2">
      <c r="A20">
        <f t="shared" si="1"/>
        <v>1873</v>
      </c>
      <c r="C20">
        <f t="shared" si="5"/>
        <v>147</v>
      </c>
      <c r="D20" s="22">
        <f t="shared" si="3"/>
        <v>9.2242158450917031E-2</v>
      </c>
      <c r="E20" s="11">
        <f t="shared" si="6"/>
        <v>3</v>
      </c>
      <c r="F20" s="25">
        <f t="shared" si="4"/>
        <v>0.99999938223536866</v>
      </c>
      <c r="H20" s="23">
        <f t="shared" si="2"/>
        <v>10.841029923775146</v>
      </c>
      <c r="I20">
        <f t="shared" si="7"/>
        <v>1873</v>
      </c>
    </row>
    <row r="21" spans="1:9" x14ac:dyDescent="0.2">
      <c r="A21">
        <f t="shared" si="1"/>
        <v>1874</v>
      </c>
      <c r="C21">
        <f t="shared" si="5"/>
        <v>146</v>
      </c>
      <c r="D21" s="22">
        <f t="shared" si="3"/>
        <v>9.4706740719553609E-2</v>
      </c>
      <c r="E21" s="11">
        <f t="shared" si="6"/>
        <v>4</v>
      </c>
      <c r="F21" s="25">
        <f t="shared" si="4"/>
        <v>0.99999789521414317</v>
      </c>
      <c r="H21" s="23">
        <f t="shared" si="2"/>
        <v>10.558910510511689</v>
      </c>
      <c r="I21">
        <f t="shared" si="7"/>
        <v>1874</v>
      </c>
    </row>
    <row r="22" spans="1:9" x14ac:dyDescent="0.2">
      <c r="A22">
        <f t="shared" si="1"/>
        <v>1875</v>
      </c>
      <c r="C22">
        <f t="shared" si="5"/>
        <v>145</v>
      </c>
      <c r="D22" s="22">
        <f t="shared" si="3"/>
        <v>9.7247668732538109E-2</v>
      </c>
      <c r="E22" s="11">
        <f t="shared" si="6"/>
        <v>5</v>
      </c>
      <c r="F22" s="25">
        <f t="shared" si="4"/>
        <v>0.99999455300773576</v>
      </c>
      <c r="H22" s="23">
        <f t="shared" si="2"/>
        <v>10.283022853229692</v>
      </c>
      <c r="I22">
        <f t="shared" si="7"/>
        <v>1875</v>
      </c>
    </row>
    <row r="23" spans="1:9" x14ac:dyDescent="0.2">
      <c r="A23">
        <f t="shared" si="1"/>
        <v>1876</v>
      </c>
      <c r="C23">
        <f t="shared" si="5"/>
        <v>144</v>
      </c>
      <c r="D23" s="22">
        <f t="shared" si="3"/>
        <v>9.9867467329576048E-2</v>
      </c>
      <c r="E23" s="11">
        <f t="shared" si="6"/>
        <v>6</v>
      </c>
      <c r="F23" s="25">
        <f t="shared" si="4"/>
        <v>0.99998815434890775</v>
      </c>
      <c r="H23" s="23">
        <f t="shared" si="2"/>
        <v>10.013270855261261</v>
      </c>
      <c r="I23">
        <f t="shared" si="7"/>
        <v>1876</v>
      </c>
    </row>
    <row r="24" spans="1:9" x14ac:dyDescent="0.2">
      <c r="A24">
        <f t="shared" si="1"/>
        <v>1877</v>
      </c>
      <c r="C24">
        <f t="shared" si="5"/>
        <v>143</v>
      </c>
      <c r="D24" s="22">
        <f t="shared" si="3"/>
        <v>0.10256873917460599</v>
      </c>
      <c r="E24" s="11">
        <f t="shared" si="6"/>
        <v>7</v>
      </c>
      <c r="F24" s="25">
        <f t="shared" si="4"/>
        <v>0.99997715316816216</v>
      </c>
      <c r="H24" s="23">
        <f t="shared" si="2"/>
        <v>9.7495592521388854</v>
      </c>
      <c r="I24">
        <f t="shared" si="7"/>
        <v>1877</v>
      </c>
    </row>
    <row r="25" spans="1:9" x14ac:dyDescent="0.2">
      <c r="A25">
        <f t="shared" si="1"/>
        <v>1878</v>
      </c>
      <c r="C25">
        <f t="shared" si="5"/>
        <v>142</v>
      </c>
      <c r="D25" s="22">
        <f t="shared" si="3"/>
        <v>0.10535416603840841</v>
      </c>
      <c r="E25" s="11">
        <f t="shared" si="6"/>
        <v>8</v>
      </c>
      <c r="F25" s="25">
        <f t="shared" si="4"/>
        <v>0.99995964177326324</v>
      </c>
      <c r="H25" s="23">
        <f t="shared" si="2"/>
        <v>9.4917936100926017</v>
      </c>
      <c r="I25">
        <f t="shared" si="7"/>
        <v>1878</v>
      </c>
    </row>
    <row r="26" spans="1:9" x14ac:dyDescent="0.2">
      <c r="A26">
        <f t="shared" si="1"/>
        <v>1879</v>
      </c>
      <c r="C26">
        <f t="shared" si="5"/>
        <v>141</v>
      </c>
      <c r="D26" s="22">
        <f t="shared" si="3"/>
        <v>0.10822650996292382</v>
      </c>
      <c r="E26" s="11">
        <f t="shared" si="6"/>
        <v>9</v>
      </c>
      <c r="F26" s="25">
        <f t="shared" si="4"/>
        <v>0.99993333615200219</v>
      </c>
      <c r="H26" s="23">
        <f t="shared" si="2"/>
        <v>9.2398803245395182</v>
      </c>
      <c r="I26">
        <f t="shared" si="7"/>
        <v>1879</v>
      </c>
    </row>
    <row r="27" spans="1:9" x14ac:dyDescent="0.2">
      <c r="A27">
        <f t="shared" si="1"/>
        <v>1880</v>
      </c>
      <c r="C27">
        <f t="shared" si="5"/>
        <v>140</v>
      </c>
      <c r="D27" s="22">
        <f t="shared" si="3"/>
        <v>0.11118861428762343</v>
      </c>
      <c r="E27" s="11">
        <f t="shared" si="6"/>
        <v>10</v>
      </c>
      <c r="F27" s="25">
        <f t="shared" si="4"/>
        <v>0.99989556296392978</v>
      </c>
      <c r="H27" s="23">
        <f t="shared" si="2"/>
        <v>8.9937266185654003</v>
      </c>
      <c r="I27">
        <f t="shared" si="7"/>
        <v>1880</v>
      </c>
    </row>
    <row r="28" spans="1:9" x14ac:dyDescent="0.2">
      <c r="A28">
        <f t="shared" si="1"/>
        <v>1881</v>
      </c>
      <c r="C28">
        <f t="shared" si="5"/>
        <v>139</v>
      </c>
      <c r="D28" s="22">
        <f t="shared" si="3"/>
        <v>0.11424340451636221</v>
      </c>
      <c r="E28" s="11">
        <f t="shared" si="6"/>
        <v>11</v>
      </c>
      <c r="F28" s="25">
        <f t="shared" si="4"/>
        <v>0.99984324796371249</v>
      </c>
      <c r="H28" s="23">
        <f t="shared" si="2"/>
        <v>8.7532405413984105</v>
      </c>
      <c r="I28">
        <f t="shared" si="7"/>
        <v>1881</v>
      </c>
    </row>
    <row r="29" spans="1:9" x14ac:dyDescent="0.2">
      <c r="A29">
        <f t="shared" si="1"/>
        <v>1882</v>
      </c>
      <c r="C29">
        <f t="shared" si="5"/>
        <v>138</v>
      </c>
      <c r="D29" s="22">
        <f t="shared" si="3"/>
        <v>0.11739388900110756</v>
      </c>
      <c r="E29" s="11">
        <f t="shared" si="6"/>
        <v>12</v>
      </c>
      <c r="F29" s="25">
        <f t="shared" si="4"/>
        <v>0.99977290570882893</v>
      </c>
      <c r="H29" s="23">
        <f t="shared" si="2"/>
        <v>8.5183309668748208</v>
      </c>
      <c r="I29">
        <f t="shared" si="7"/>
        <v>1882</v>
      </c>
    </row>
    <row r="30" spans="1:9" x14ac:dyDescent="0.2">
      <c r="A30">
        <f t="shared" si="1"/>
        <v>1883</v>
      </c>
      <c r="C30">
        <f t="shared" si="5"/>
        <v>137</v>
      </c>
      <c r="D30" s="22">
        <f t="shared" si="3"/>
        <v>0.1206431594167636</v>
      </c>
      <c r="E30" s="11">
        <f t="shared" si="6"/>
        <v>13</v>
      </c>
      <c r="F30" s="25">
        <f t="shared" si="4"/>
        <v>0.99968063047943412</v>
      </c>
      <c r="H30" s="23">
        <f t="shared" si="2"/>
        <v>8.2889075918965709</v>
      </c>
      <c r="I30">
        <f t="shared" si="7"/>
        <v>1883</v>
      </c>
    </row>
    <row r="31" spans="1:9" x14ac:dyDescent="0.2">
      <c r="A31">
        <f t="shared" si="1"/>
        <v>1884</v>
      </c>
      <c r="C31">
        <f t="shared" si="5"/>
        <v>136</v>
      </c>
      <c r="D31" s="22">
        <f t="shared" si="3"/>
        <v>0.12399439099900324</v>
      </c>
      <c r="E31" s="11">
        <f t="shared" si="6"/>
        <v>14</v>
      </c>
      <c r="F31" s="25">
        <f t="shared" si="4"/>
        <v>0.99956208839352689</v>
      </c>
      <c r="H31" s="23">
        <f t="shared" si="2"/>
        <v>8.0648809348806658</v>
      </c>
      <c r="I31">
        <f t="shared" si="7"/>
        <v>1884</v>
      </c>
    </row>
    <row r="32" spans="1:9" x14ac:dyDescent="0.2">
      <c r="A32">
        <f t="shared" si="1"/>
        <v>1885</v>
      </c>
      <c r="C32">
        <f t="shared" si="5"/>
        <v>135</v>
      </c>
      <c r="D32" s="22">
        <f t="shared" si="3"/>
        <v>0.12745084251458291</v>
      </c>
      <c r="E32" s="11">
        <f t="shared" si="6"/>
        <v>15</v>
      </c>
      <c r="F32" s="25">
        <f t="shared" si="4"/>
        <v>0.99941251074394599</v>
      </c>
      <c r="H32" s="23">
        <f t="shared" si="2"/>
        <v>7.8461623342001845</v>
      </c>
      <c r="I32">
        <f t="shared" si="7"/>
        <v>1885</v>
      </c>
    </row>
    <row r="33" spans="1:9" x14ac:dyDescent="0.2">
      <c r="A33">
        <f t="shared" si="1"/>
        <v>1886</v>
      </c>
      <c r="C33">
        <f t="shared" si="5"/>
        <v>134</v>
      </c>
      <c r="D33" s="22">
        <f t="shared" si="3"/>
        <v>0.13101585593103987</v>
      </c>
      <c r="E33" s="11">
        <f t="shared" si="6"/>
        <v>16</v>
      </c>
      <c r="F33" s="25">
        <f t="shared" si="4"/>
        <v>0.99922668861951447</v>
      </c>
      <c r="H33" s="23">
        <f t="shared" si="2"/>
        <v>7.6326639466168853</v>
      </c>
      <c r="I33">
        <f t="shared" si="7"/>
        <v>1886</v>
      </c>
    </row>
    <row r="34" spans="1:9" x14ac:dyDescent="0.2">
      <c r="A34">
        <f t="shared" si="1"/>
        <v>1887</v>
      </c>
      <c r="C34">
        <f t="shared" si="5"/>
        <v>133</v>
      </c>
      <c r="D34" s="22">
        <f t="shared" si="3"/>
        <v>0.1346928557499745</v>
      </c>
      <c r="E34" s="11">
        <f t="shared" si="6"/>
        <v>17</v>
      </c>
      <c r="F34" s="25">
        <f t="shared" si="4"/>
        <v>0.99899896890334761</v>
      </c>
      <c r="H34" s="23">
        <f t="shared" si="2"/>
        <v>7.424298745705296</v>
      </c>
      <c r="I34">
        <f t="shared" si="7"/>
        <v>1887</v>
      </c>
    </row>
    <row r="35" spans="1:9" x14ac:dyDescent="0.2">
      <c r="A35">
        <f t="shared" si="1"/>
        <v>1888</v>
      </c>
      <c r="C35">
        <f t="shared" si="5"/>
        <v>132</v>
      </c>
      <c r="D35" s="22">
        <f t="shared" si="3"/>
        <v>0.13848534796530215</v>
      </c>
      <c r="E35" s="11">
        <f t="shared" si="6"/>
        <v>18</v>
      </c>
      <c r="F35" s="25">
        <f t="shared" si="4"/>
        <v>0.99872325176836463</v>
      </c>
      <c r="H35" s="23">
        <f t="shared" si="2"/>
        <v>7.2209805202681263</v>
      </c>
      <c r="I35">
        <f t="shared" si="7"/>
        <v>1888</v>
      </c>
    </row>
    <row r="36" spans="1:9" x14ac:dyDescent="0.2">
      <c r="A36">
        <f t="shared" si="1"/>
        <v>1889</v>
      </c>
      <c r="C36">
        <f t="shared" si="5"/>
        <v>131</v>
      </c>
      <c r="D36" s="22">
        <f t="shared" si="3"/>
        <v>0.14239691860492862</v>
      </c>
      <c r="E36" s="11">
        <f t="shared" si="6"/>
        <v>19</v>
      </c>
      <c r="F36" s="25">
        <f t="shared" si="4"/>
        <v>0.99839298981425129</v>
      </c>
      <c r="H36" s="23">
        <f t="shared" si="2"/>
        <v>7.0226238727429049</v>
      </c>
      <c r="I36">
        <f t="shared" si="7"/>
        <v>1889</v>
      </c>
    </row>
    <row r="37" spans="1:9" x14ac:dyDescent="0.2">
      <c r="A37">
        <f t="shared" si="1"/>
        <v>1890</v>
      </c>
      <c r="C37">
        <f t="shared" si="5"/>
        <v>130</v>
      </c>
      <c r="D37" s="22">
        <f t="shared" si="3"/>
        <v>0.14643123181127715</v>
      </c>
      <c r="E37" s="11">
        <f t="shared" si="6"/>
        <v>20</v>
      </c>
      <c r="F37" s="25">
        <f t="shared" si="4"/>
        <v>0.99800118901189872</v>
      </c>
      <c r="H37" s="23">
        <f t="shared" si="2"/>
        <v>6.8291442175998052</v>
      </c>
      <c r="I37">
        <f t="shared" si="7"/>
        <v>1890</v>
      </c>
    </row>
    <row r="38" spans="1:9" x14ac:dyDescent="0.2">
      <c r="A38">
        <f t="shared" si="1"/>
        <v>1891</v>
      </c>
      <c r="C38">
        <f t="shared" si="5"/>
        <v>129</v>
      </c>
      <c r="D38" s="22">
        <f t="shared" si="3"/>
        <v>0.1505920274129959</v>
      </c>
      <c r="E38" s="11">
        <f t="shared" si="6"/>
        <v>21</v>
      </c>
      <c r="F38" s="25">
        <f t="shared" si="4"/>
        <v>0.99754041164089791</v>
      </c>
      <c r="H38" s="23">
        <f t="shared" si="2"/>
        <v>6.6404577797303848</v>
      </c>
      <c r="I38">
        <f t="shared" si="7"/>
        <v>1891</v>
      </c>
    </row>
    <row r="39" spans="1:9" x14ac:dyDescent="0.2">
      <c r="A39">
        <f t="shared" si="1"/>
        <v>1892</v>
      </c>
      <c r="C39">
        <f t="shared" si="5"/>
        <v>128</v>
      </c>
      <c r="D39" s="22">
        <f t="shared" si="3"/>
        <v>0.15488311793700929</v>
      </c>
      <c r="E39" s="11">
        <f t="shared" si="6"/>
        <v>22</v>
      </c>
      <c r="F39" s="25">
        <f t="shared" si="4"/>
        <v>0.99700278142293219</v>
      </c>
      <c r="H39" s="23">
        <f t="shared" si="2"/>
        <v>6.4564815928272976</v>
      </c>
      <c r="I39">
        <f t="shared" si="7"/>
        <v>1892</v>
      </c>
    </row>
    <row r="40" spans="1:9" x14ac:dyDescent="0.2">
      <c r="A40">
        <f t="shared" si="1"/>
        <v>1893</v>
      </c>
      <c r="C40">
        <f t="shared" si="5"/>
        <v>127</v>
      </c>
      <c r="D40" s="22">
        <f t="shared" si="3"/>
        <v>0.15930838500689684</v>
      </c>
      <c r="E40" s="11">
        <f t="shared" si="6"/>
        <v>23</v>
      </c>
      <c r="F40" s="25">
        <f t="shared" si="4"/>
        <v>0.99637999106873743</v>
      </c>
      <c r="H40" s="23">
        <f t="shared" si="2"/>
        <v>6.2771334977547326</v>
      </c>
      <c r="I40">
        <f t="shared" si="7"/>
        <v>1893</v>
      </c>
    </row>
    <row r="41" spans="1:9" x14ac:dyDescent="0.2">
      <c r="A41">
        <f t="shared" si="1"/>
        <v>1894</v>
      </c>
      <c r="C41">
        <f t="shared" si="5"/>
        <v>126</v>
      </c>
      <c r="D41" s="22">
        <f t="shared" si="3"/>
        <v>0.16387177507040204</v>
      </c>
      <c r="E41" s="11">
        <f t="shared" si="6"/>
        <v>24</v>
      </c>
      <c r="F41" s="25">
        <f t="shared" si="4"/>
        <v>0.99566331246840367</v>
      </c>
      <c r="H41" s="23">
        <f t="shared" si="2"/>
        <v>6.1023321409094597</v>
      </c>
      <c r="I41">
        <f t="shared" si="7"/>
        <v>1894</v>
      </c>
    </row>
    <row r="42" spans="1:9" x14ac:dyDescent="0.2">
      <c r="A42">
        <f t="shared" si="1"/>
        <v>1895</v>
      </c>
      <c r="C42">
        <f t="shared" si="5"/>
        <v>125</v>
      </c>
      <c r="D42" s="22">
        <f t="shared" si="3"/>
        <v>0.16857729439574218</v>
      </c>
      <c r="E42" s="11">
        <f t="shared" si="6"/>
        <v>25</v>
      </c>
      <c r="F42" s="25">
        <f t="shared" si="4"/>
        <v>0.9948436097637755</v>
      </c>
      <c r="H42" s="23">
        <f t="shared" si="2"/>
        <v>5.9319969725724659</v>
      </c>
      <c r="I42">
        <f t="shared" si="7"/>
        <v>1895</v>
      </c>
    </row>
    <row r="43" spans="1:9" x14ac:dyDescent="0.2">
      <c r="A43">
        <f t="shared" si="1"/>
        <v>1896</v>
      </c>
      <c r="C43">
        <f t="shared" si="5"/>
        <v>124</v>
      </c>
      <c r="D43" s="22">
        <f t="shared" si="3"/>
        <v>0.17342900327336533</v>
      </c>
      <c r="E43" s="11">
        <f t="shared" si="6"/>
        <v>26</v>
      </c>
      <c r="F43" s="25">
        <f t="shared" si="4"/>
        <v>0.99391135554715382</v>
      </c>
      <c r="H43" s="23">
        <f t="shared" si="2"/>
        <v>5.7660482452508957</v>
      </c>
      <c r="I43">
        <f t="shared" si="7"/>
        <v>1896</v>
      </c>
    </row>
    <row r="44" spans="1:9" x14ac:dyDescent="0.2">
      <c r="A44">
        <f t="shared" si="1"/>
        <v>1897</v>
      </c>
      <c r="C44">
        <f t="shared" si="5"/>
        <v>123</v>
      </c>
      <c r="D44" s="22">
        <f t="shared" si="3"/>
        <v>0.17843100935692044</v>
      </c>
      <c r="E44" s="11">
        <f t="shared" si="6"/>
        <v>27</v>
      </c>
      <c r="F44" s="25">
        <f t="shared" si="4"/>
        <v>0.99285665043186788</v>
      </c>
      <c r="H44" s="23">
        <f t="shared" si="2"/>
        <v>5.6044070120102978</v>
      </c>
      <c r="I44">
        <f t="shared" si="7"/>
        <v>1897</v>
      </c>
    </row>
    <row r="45" spans="1:9" x14ac:dyDescent="0.2">
      <c r="A45">
        <f t="shared" si="1"/>
        <v>1898</v>
      </c>
      <c r="C45">
        <f t="shared" si="5"/>
        <v>122</v>
      </c>
      <c r="D45" s="22">
        <f t="shared" si="3"/>
        <v>0.18358746007456309</v>
      </c>
      <c r="E45" s="11">
        <f t="shared" si="6"/>
        <v>28</v>
      </c>
      <c r="F45" s="25">
        <f t="shared" si="4"/>
        <v>0.99166924623704455</v>
      </c>
      <c r="H45" s="23">
        <f t="shared" si="2"/>
        <v>5.4469951247969508</v>
      </c>
      <c r="I45">
        <f t="shared" si="7"/>
        <v>1898</v>
      </c>
    </row>
    <row r="46" spans="1:9" x14ac:dyDescent="0.2">
      <c r="A46">
        <f t="shared" si="1"/>
        <v>1899</v>
      </c>
      <c r="C46">
        <f t="shared" si="5"/>
        <v>121</v>
      </c>
      <c r="D46" s="22">
        <f t="shared" si="3"/>
        <v>0.18890253403937005</v>
      </c>
      <c r="E46" s="11">
        <f t="shared" si="6"/>
        <v>29</v>
      </c>
      <c r="F46" s="25">
        <f t="shared" si="4"/>
        <v>0.99033857302043671</v>
      </c>
      <c r="H46" s="23">
        <f t="shared" si="2"/>
        <v>5.2937352327501621</v>
      </c>
      <c r="I46">
        <f t="shared" si="7"/>
        <v>1899</v>
      </c>
    </row>
    <row r="47" spans="1:9" x14ac:dyDescent="0.2">
      <c r="A47">
        <f t="shared" si="1"/>
        <v>1900</v>
      </c>
      <c r="C47">
        <f t="shared" si="5"/>
        <v>120</v>
      </c>
      <c r="D47" s="22">
        <f t="shared" si="3"/>
        <v>0.19438043138568234</v>
      </c>
      <c r="E47" s="11">
        <f t="shared" si="6"/>
        <v>30</v>
      </c>
      <c r="F47" s="25">
        <f t="shared" si="4"/>
        <v>0.98885377017892562</v>
      </c>
      <c r="H47" s="23">
        <f t="shared" si="2"/>
        <v>5.1445507805044306</v>
      </c>
      <c r="I47">
        <f t="shared" si="7"/>
        <v>1900</v>
      </c>
    </row>
    <row r="48" spans="1:9" x14ac:dyDescent="0.2">
      <c r="A48">
        <f t="shared" si="1"/>
        <v>1901</v>
      </c>
      <c r="B48">
        <f>C4</f>
        <v>85.955440784131866</v>
      </c>
      <c r="C48">
        <f t="shared" si="5"/>
        <v>119</v>
      </c>
      <c r="D48" s="22">
        <f t="shared" si="3"/>
        <v>0.20002536295673984</v>
      </c>
      <c r="E48" s="11">
        <f t="shared" si="6"/>
        <v>31</v>
      </c>
      <c r="F48" s="25">
        <f t="shared" si="4"/>
        <v>0.98720372181565841</v>
      </c>
      <c r="H48" s="23">
        <f t="shared" si="2"/>
        <v>4.9993660064812548</v>
      </c>
      <c r="I48">
        <f t="shared" si="7"/>
        <v>1901</v>
      </c>
    </row>
    <row r="49" spans="1:9" x14ac:dyDescent="0.2">
      <c r="A49">
        <f t="shared" si="1"/>
        <v>1902</v>
      </c>
      <c r="C49">
        <f t="shared" si="5"/>
        <v>118</v>
      </c>
      <c r="D49" s="22">
        <f t="shared" si="3"/>
        <v>0.20584153826811386</v>
      </c>
      <c r="E49" s="11">
        <f t="shared" si="6"/>
        <v>32</v>
      </c>
      <c r="F49" s="25">
        <f t="shared" si="4"/>
        <v>0.985377096545209</v>
      </c>
      <c r="H49" s="23">
        <f t="shared" si="2"/>
        <v>4.8581059411705061</v>
      </c>
      <c r="I49">
        <f t="shared" si="7"/>
        <v>1902</v>
      </c>
    </row>
    <row r="50" spans="1:9" x14ac:dyDescent="0.2">
      <c r="A50">
        <f t="shared" si="1"/>
        <v>1903</v>
      </c>
      <c r="C50">
        <f t="shared" si="5"/>
        <v>117</v>
      </c>
      <c r="D50" s="22">
        <f t="shared" si="3"/>
        <v>0.21183315217133031</v>
      </c>
      <c r="E50" s="11">
        <f t="shared" si="6"/>
        <v>33</v>
      </c>
      <c r="F50" s="25">
        <f t="shared" si="4"/>
        <v>0.98336239187312824</v>
      </c>
      <c r="H50" s="23">
        <f t="shared" si="2"/>
        <v>4.7206964054011795</v>
      </c>
      <c r="I50">
        <f t="shared" si="7"/>
        <v>1903</v>
      </c>
    </row>
    <row r="51" spans="1:9" x14ac:dyDescent="0.2">
      <c r="A51">
        <f t="shared" si="1"/>
        <v>1904</v>
      </c>
      <c r="C51">
        <f t="shared" si="5"/>
        <v>116</v>
      </c>
      <c r="D51" s="22">
        <f t="shared" si="3"/>
        <v>0.21800437014283325</v>
      </c>
      <c r="E51" s="11">
        <f t="shared" si="6"/>
        <v>34</v>
      </c>
      <c r="F51" s="25">
        <f t="shared" si="4"/>
        <v>0.98114798324342201</v>
      </c>
      <c r="H51" s="23">
        <f t="shared" si="2"/>
        <v>4.587064008601363</v>
      </c>
      <c r="I51">
        <f t="shared" si="7"/>
        <v>1904</v>
      </c>
    </row>
    <row r="52" spans="1:9" x14ac:dyDescent="0.2">
      <c r="A52">
        <f t="shared" si="1"/>
        <v>1905</v>
      </c>
      <c r="C52">
        <f t="shared" si="5"/>
        <v>115</v>
      </c>
      <c r="D52" s="22">
        <f t="shared" si="3"/>
        <v>0.22435931212522328</v>
      </c>
      <c r="E52" s="11">
        <f t="shared" si="6"/>
        <v>35</v>
      </c>
      <c r="F52" s="25">
        <f t="shared" si="4"/>
        <v>0.97872217779654513</v>
      </c>
      <c r="H52" s="23">
        <f t="shared" si="2"/>
        <v>4.457136147047299</v>
      </c>
      <c r="I52">
        <f t="shared" si="7"/>
        <v>1905</v>
      </c>
    </row>
    <row r="53" spans="1:9" x14ac:dyDescent="0.2">
      <c r="A53">
        <f t="shared" si="1"/>
        <v>1906</v>
      </c>
      <c r="C53">
        <f t="shared" si="5"/>
        <v>114</v>
      </c>
      <c r="D53" s="22">
        <f t="shared" si="3"/>
        <v>0.23090203485068986</v>
      </c>
      <c r="E53" s="11">
        <f t="shared" si="6"/>
        <v>36</v>
      </c>
      <c r="F53" s="25">
        <f t="shared" si="4"/>
        <v>0.97607327282135148</v>
      </c>
      <c r="H53" s="23">
        <f t="shared" si="2"/>
        <v>4.330841002101339</v>
      </c>
      <c r="I53">
        <f t="shared" si="7"/>
        <v>1906</v>
      </c>
    </row>
    <row r="54" spans="1:9" x14ac:dyDescent="0.2">
      <c r="A54">
        <f t="shared" si="1"/>
        <v>1907</v>
      </c>
      <c r="C54">
        <f t="shared" si="5"/>
        <v>113</v>
      </c>
      <c r="D54" s="22">
        <f t="shared" si="3"/>
        <v>0.23763651258091167</v>
      </c>
      <c r="E54" s="11">
        <f t="shared" si="6"/>
        <v>37</v>
      </c>
      <c r="F54" s="25">
        <f t="shared" si="4"/>
        <v>0.97318961881714305</v>
      </c>
      <c r="H54" s="23">
        <f t="shared" si="2"/>
        <v>4.2081075384386271</v>
      </c>
      <c r="I54">
        <f t="shared" si="7"/>
        <v>1907</v>
      </c>
    </row>
    <row r="55" spans="1:9" x14ac:dyDescent="0.2">
      <c r="A55">
        <f t="shared" si="1"/>
        <v>1908</v>
      </c>
      <c r="C55">
        <f t="shared" si="5"/>
        <v>112</v>
      </c>
      <c r="D55" s="22">
        <f t="shared" si="3"/>
        <v>0.24456661620361286</v>
      </c>
      <c r="E55" s="11">
        <f t="shared" si="6"/>
        <v>38</v>
      </c>
      <c r="F55" s="25">
        <f t="shared" si="4"/>
        <v>0.97005968700685008</v>
      </c>
      <c r="H55" s="23">
        <f t="shared" si="2"/>
        <v>4.0888655022623954</v>
      </c>
      <c r="I55">
        <f t="shared" si="7"/>
        <v>1908</v>
      </c>
    </row>
    <row r="56" spans="1:9" x14ac:dyDescent="0.2">
      <c r="A56">
        <f t="shared" si="1"/>
        <v>1909</v>
      </c>
      <c r="C56">
        <f t="shared" si="5"/>
        <v>111</v>
      </c>
      <c r="D56" s="22">
        <f t="shared" si="3"/>
        <v>0.25169609063365206</v>
      </c>
      <c r="E56" s="11">
        <f t="shared" si="6"/>
        <v>39</v>
      </c>
      <c r="F56" s="25">
        <f t="shared" si="4"/>
        <v>0.96667214106000876</v>
      </c>
      <c r="H56" s="23">
        <f t="shared" si="2"/>
        <v>3.9730454195075957</v>
      </c>
      <c r="I56">
        <f t="shared" si="7"/>
        <v>1909</v>
      </c>
    </row>
    <row r="57" spans="1:9" x14ac:dyDescent="0.2">
      <c r="A57">
        <f t="shared" si="1"/>
        <v>1910</v>
      </c>
      <c r="C57">
        <f t="shared" si="5"/>
        <v>110</v>
      </c>
      <c r="D57" s="22">
        <f t="shared" si="3"/>
        <v>0.25902853047615043</v>
      </c>
      <c r="E57" s="11">
        <f t="shared" si="6"/>
        <v>40</v>
      </c>
      <c r="F57" s="25">
        <f t="shared" si="4"/>
        <v>0.96301591269546205</v>
      </c>
      <c r="H57" s="23">
        <f t="shared" si="2"/>
        <v>3.8605785940328032</v>
      </c>
      <c r="I57">
        <f t="shared" si="7"/>
        <v>1910</v>
      </c>
    </row>
    <row r="58" spans="1:9" x14ac:dyDescent="0.2">
      <c r="A58">
        <f t="shared" si="1"/>
        <v>1911</v>
      </c>
      <c r="C58">
        <f t="shared" si="5"/>
        <v>109</v>
      </c>
      <c r="D58" s="22">
        <f t="shared" si="3"/>
        <v>0.26656735392099074</v>
      </c>
      <c r="E58" s="11">
        <f t="shared" si="6"/>
        <v>41</v>
      </c>
      <c r="F58" s="25">
        <f t="shared" si="4"/>
        <v>0.95908028073978546</v>
      </c>
      <c r="H58" s="23">
        <f t="shared" si="2"/>
        <v>3.7513971058001165</v>
      </c>
      <c r="I58">
        <f t="shared" si="7"/>
        <v>1911</v>
      </c>
    </row>
    <row r="59" spans="1:9" x14ac:dyDescent="0.2">
      <c r="A59">
        <f t="shared" si="1"/>
        <v>1912</v>
      </c>
      <c r="C59">
        <f t="shared" si="5"/>
        <v>108</v>
      </c>
      <c r="D59" s="22">
        <f t="shared" si="3"/>
        <v>0.27431577485219677</v>
      </c>
      <c r="E59" s="11">
        <f t="shared" si="6"/>
        <v>42</v>
      </c>
      <c r="F59" s="25">
        <f t="shared" si="4"/>
        <v>0.9548549531198296</v>
      </c>
      <c r="H59" s="23">
        <f t="shared" si="2"/>
        <v>3.6454338090429066</v>
      </c>
      <c r="I59">
        <f t="shared" si="7"/>
        <v>1912</v>
      </c>
    </row>
    <row r="60" spans="1:9" x14ac:dyDescent="0.2">
      <c r="A60">
        <f t="shared" si="1"/>
        <v>1913</v>
      </c>
      <c r="C60">
        <f t="shared" si="5"/>
        <v>107</v>
      </c>
      <c r="D60" s="22">
        <f t="shared" si="3"/>
        <v>0.28227677317245792</v>
      </c>
      <c r="E60" s="11">
        <f t="shared" si="6"/>
        <v>43</v>
      </c>
      <c r="F60" s="25">
        <f t="shared" si="4"/>
        <v>0.95033015116836539</v>
      </c>
      <c r="H60" s="23">
        <f t="shared" si="2"/>
        <v>3.5426223304212376</v>
      </c>
      <c r="I60">
        <f t="shared" si="7"/>
        <v>1913</v>
      </c>
    </row>
    <row r="61" spans="1:9" x14ac:dyDescent="0.2">
      <c r="A61">
        <f t="shared" si="1"/>
        <v>1914</v>
      </c>
      <c r="C61">
        <f t="shared" si="5"/>
        <v>106</v>
      </c>
      <c r="D61" s="22">
        <f t="shared" si="3"/>
        <v>0.29045306336257032</v>
      </c>
      <c r="E61" s="11">
        <f t="shared" si="6"/>
        <v>44</v>
      </c>
      <c r="F61" s="25">
        <f t="shared" si="4"/>
        <v>0.94549669552276183</v>
      </c>
      <c r="H61" s="23">
        <f t="shared" si="2"/>
        <v>3.4428970671647132</v>
      </c>
      <c r="I61">
        <f t="shared" si="7"/>
        <v>1914</v>
      </c>
    </row>
    <row r="62" spans="1:9" x14ac:dyDescent="0.2">
      <c r="A62">
        <f t="shared" si="1"/>
        <v>1915</v>
      </c>
      <c r="C62">
        <f t="shared" si="5"/>
        <v>105</v>
      </c>
      <c r="D62" s="22">
        <f t="shared" si="3"/>
        <v>0.29884706131796601</v>
      </c>
      <c r="E62" s="11">
        <f t="shared" si="6"/>
        <v>45</v>
      </c>
      <c r="F62" s="25">
        <f t="shared" si="4"/>
        <v>0.94034609280043069</v>
      </c>
      <c r="H62" s="23">
        <f t="shared" si="2"/>
        <v>3.3461931852025955</v>
      </c>
      <c r="I62">
        <f t="shared" si="7"/>
        <v>1915</v>
      </c>
    </row>
    <row r="63" spans="1:9" x14ac:dyDescent="0.2">
      <c r="A63">
        <f t="shared" si="1"/>
        <v>1916</v>
      </c>
      <c r="C63">
        <f t="shared" si="5"/>
        <v>104</v>
      </c>
      <c r="D63" s="22">
        <f t="shared" si="3"/>
        <v>0.30746084952994562</v>
      </c>
      <c r="E63" s="11">
        <f t="shared" si="6"/>
        <v>46</v>
      </c>
      <c r="F63" s="25">
        <f t="shared" si="4"/>
        <v>0.93487062214415295</v>
      </c>
      <c r="H63" s="23">
        <f t="shared" si="2"/>
        <v>3.2524466172809539</v>
      </c>
      <c r="I63">
        <f t="shared" si="7"/>
        <v>1916</v>
      </c>
    </row>
    <row r="64" spans="1:9" x14ac:dyDescent="0.2">
      <c r="A64">
        <f t="shared" si="1"/>
        <v>1917</v>
      </c>
      <c r="C64">
        <f t="shared" si="5"/>
        <v>103</v>
      </c>
      <c r="D64" s="22">
        <f t="shared" si="3"/>
        <v>0.31629614070777412</v>
      </c>
      <c r="E64" s="11">
        <f t="shared" si="6"/>
        <v>47</v>
      </c>
      <c r="F64" s="25">
        <f t="shared" si="4"/>
        <v>0.92906342064831493</v>
      </c>
      <c r="H64" s="23">
        <f t="shared" si="2"/>
        <v>3.1615940610666495</v>
      </c>
      <c r="I64">
        <f t="shared" si="7"/>
        <v>1917</v>
      </c>
    </row>
    <row r="65" spans="1:20" x14ac:dyDescent="0.2">
      <c r="A65">
        <f t="shared" si="1"/>
        <v>1918</v>
      </c>
      <c r="C65">
        <f t="shared" si="5"/>
        <v>102</v>
      </c>
      <c r="D65" s="22">
        <f t="shared" si="3"/>
        <v>0.32535423996948665</v>
      </c>
      <c r="E65" s="11">
        <f t="shared" si="6"/>
        <v>48</v>
      </c>
      <c r="F65" s="25">
        <f t="shared" si="4"/>
        <v>0.92291856660656513</v>
      </c>
      <c r="H65" s="23">
        <f t="shared" si="2"/>
        <v>3.0735729772379332</v>
      </c>
      <c r="I65">
        <f t="shared" si="7"/>
        <v>1918</v>
      </c>
    </row>
    <row r="66" spans="1:20" x14ac:dyDescent="0.2">
      <c r="A66">
        <f t="shared" si="1"/>
        <v>1919</v>
      </c>
      <c r="C66">
        <f t="shared" si="5"/>
        <v>101</v>
      </c>
      <c r="D66" s="22">
        <f t="shared" si="3"/>
        <v>0.33463600576403768</v>
      </c>
      <c r="E66" s="11">
        <f t="shared" si="6"/>
        <v>49</v>
      </c>
      <c r="F66" s="25">
        <f t="shared" si="4"/>
        <v>0.91643115946554121</v>
      </c>
      <c r="H66" s="23">
        <f t="shared" si="2"/>
        <v>2.9883215875614151</v>
      </c>
      <c r="I66">
        <f t="shared" si="7"/>
        <v>1919</v>
      </c>
    </row>
    <row r="67" spans="1:20" x14ac:dyDescent="0.2">
      <c r="A67">
        <f t="shared" si="1"/>
        <v>1920</v>
      </c>
      <c r="C67">
        <v>100</v>
      </c>
      <c r="D67" s="22">
        <f t="shared" si="3"/>
        <v>0.34414180972517971</v>
      </c>
      <c r="E67" s="11">
        <f t="shared" si="6"/>
        <v>50</v>
      </c>
      <c r="F67" s="25">
        <f t="shared" si="4"/>
        <v>0.90959739533107919</v>
      </c>
      <c r="H67" s="23">
        <f t="shared" si="2"/>
        <v>2.9057788729552128</v>
      </c>
      <c r="I67">
        <v>1920</v>
      </c>
      <c r="J67" s="24"/>
      <c r="K67" s="24"/>
      <c r="L67" s="24"/>
      <c r="M67" s="24"/>
      <c r="N67" s="24"/>
      <c r="O67" s="24"/>
      <c r="P67" s="24"/>
      <c r="Q67" s="24"/>
      <c r="R67" s="24"/>
      <c r="S67" s="24"/>
      <c r="T67" s="24"/>
    </row>
    <row r="68" spans="1:20" x14ac:dyDescent="0.2">
      <c r="A68">
        <f t="shared" si="1"/>
        <v>1921</v>
      </c>
      <c r="C68">
        <f t="shared" ref="C68:C131" si="8">C67-1</f>
        <v>99</v>
      </c>
      <c r="D68" s="22">
        <f t="shared" si="3"/>
        <v>0.35387149569798115</v>
      </c>
      <c r="E68" s="11">
        <f t="shared" si="6"/>
        <v>51</v>
      </c>
      <c r="F68" s="25">
        <f t="shared" si="4"/>
        <v>0.90241463685549106</v>
      </c>
      <c r="H68" s="23">
        <f t="shared" si="2"/>
        <v>2.8258845715379981</v>
      </c>
      <c r="I68">
        <v>1921</v>
      </c>
      <c r="J68" s="26" t="s">
        <v>73</v>
      </c>
      <c r="K68" s="24"/>
      <c r="L68" s="24"/>
      <c r="M68" s="24"/>
      <c r="N68" s="24"/>
      <c r="O68" s="24"/>
      <c r="P68" s="24"/>
      <c r="Q68" s="24"/>
      <c r="R68" s="24"/>
      <c r="S68" s="24"/>
      <c r="T68" s="24"/>
    </row>
    <row r="69" spans="1:20" x14ac:dyDescent="0.2">
      <c r="A69">
        <f t="shared" si="1"/>
        <v>1922</v>
      </c>
      <c r="C69">
        <f t="shared" si="8"/>
        <v>98</v>
      </c>
      <c r="D69" s="22">
        <f t="shared" si="3"/>
        <v>0.36382433822183685</v>
      </c>
      <c r="E69" s="11">
        <f t="shared" si="6"/>
        <v>52</v>
      </c>
      <c r="F69" s="25">
        <f t="shared" si="4"/>
        <v>0.89488147633948223</v>
      </c>
      <c r="H69" s="23">
        <f t="shared" si="2"/>
        <v>2.7485791766637222</v>
      </c>
      <c r="I69">
        <f t="shared" ref="I69:I132" si="9">I68+1</f>
        <v>1922</v>
      </c>
      <c r="J69" s="24"/>
      <c r="K69" s="24"/>
      <c r="L69" s="24"/>
      <c r="M69" s="24"/>
      <c r="N69" s="24"/>
      <c r="O69" s="24"/>
      <c r="P69" s="24"/>
      <c r="Q69" s="24"/>
      <c r="R69" s="24"/>
      <c r="S69" s="24"/>
      <c r="T69" s="24"/>
    </row>
    <row r="70" spans="1:20" x14ac:dyDescent="0.2">
      <c r="A70">
        <f t="shared" si="1"/>
        <v>1923</v>
      </c>
      <c r="C70">
        <f t="shared" si="8"/>
        <v>97</v>
      </c>
      <c r="D70" s="22">
        <f t="shared" si="3"/>
        <v>0.3739990007987532</v>
      </c>
      <c r="E70" s="11">
        <f t="shared" si="6"/>
        <v>53</v>
      </c>
      <c r="F70" s="25">
        <f t="shared" si="4"/>
        <v>0.88699779091202102</v>
      </c>
      <c r="H70" s="23">
        <f t="shared" si="2"/>
        <v>2.6738039349417795</v>
      </c>
      <c r="I70">
        <f t="shared" si="9"/>
        <v>1923</v>
      </c>
      <c r="J70" s="24"/>
      <c r="K70" s="24"/>
      <c r="L70" s="24"/>
      <c r="M70" s="24"/>
      <c r="N70" s="24"/>
      <c r="O70" s="24"/>
      <c r="P70" s="24"/>
      <c r="Q70" s="24"/>
      <c r="R70" s="24"/>
      <c r="S70" s="24"/>
      <c r="T70" s="24"/>
    </row>
    <row r="71" spans="1:20" x14ac:dyDescent="0.2">
      <c r="A71">
        <f t="shared" si="1"/>
        <v>1924</v>
      </c>
      <c r="C71">
        <f t="shared" si="8"/>
        <v>96</v>
      </c>
      <c r="D71" s="22">
        <f t="shared" si="3"/>
        <v>0.38439349432202324</v>
      </c>
      <c r="E71" s="11">
        <f t="shared" si="6"/>
        <v>54</v>
      </c>
      <c r="F71" s="25">
        <f t="shared" si="4"/>
        <v>0.87876478870732311</v>
      </c>
      <c r="H71" s="23">
        <f t="shared" si="2"/>
        <v>2.6015008442423229</v>
      </c>
      <c r="I71">
        <f t="shared" si="9"/>
        <v>1924</v>
      </c>
      <c r="J71" s="24"/>
      <c r="K71" s="24"/>
      <c r="L71" s="24"/>
      <c r="M71" s="24"/>
      <c r="N71" s="24"/>
      <c r="O71" s="24"/>
      <c r="P71" s="24"/>
      <c r="Q71" s="24"/>
      <c r="R71" s="24"/>
      <c r="S71" s="24"/>
      <c r="T71" s="24"/>
    </row>
    <row r="72" spans="1:20" x14ac:dyDescent="0.2">
      <c r="A72">
        <f t="shared" si="1"/>
        <v>1925</v>
      </c>
      <c r="C72">
        <f t="shared" si="8"/>
        <v>95</v>
      </c>
      <c r="D72" s="22">
        <f t="shared" si="3"/>
        <v>0.39500513608739785</v>
      </c>
      <c r="E72" s="11">
        <f t="shared" si="6"/>
        <v>55</v>
      </c>
      <c r="F72" s="25">
        <f t="shared" si="4"/>
        <v>0.87018504504065342</v>
      </c>
      <c r="H72" s="23">
        <f t="shared" si="2"/>
        <v>2.5316126516864896</v>
      </c>
      <c r="I72">
        <f t="shared" si="9"/>
        <v>1925</v>
      </c>
      <c r="J72" s="24"/>
      <c r="K72" s="24"/>
      <c r="L72" s="24"/>
      <c r="M72" s="24"/>
      <c r="N72" s="24"/>
      <c r="O72" s="24"/>
      <c r="P72" s="24"/>
      <c r="Q72" s="24"/>
      <c r="R72" s="24"/>
      <c r="S72" s="24"/>
      <c r="T72" s="24"/>
    </row>
    <row r="73" spans="1:20" x14ac:dyDescent="0.2">
      <c r="A73">
        <f t="shared" si="1"/>
        <v>1926</v>
      </c>
      <c r="C73">
        <f t="shared" si="8"/>
        <v>94</v>
      </c>
      <c r="D73" s="22">
        <f t="shared" si="3"/>
        <v>0.40583050985564101</v>
      </c>
      <c r="E73" s="11">
        <f t="shared" si="6"/>
        <v>56</v>
      </c>
      <c r="F73" s="25">
        <f t="shared" si="4"/>
        <v>0.86126252769370748</v>
      </c>
      <c r="H73" s="23">
        <f t="shared" si="2"/>
        <v>2.4640828516212654</v>
      </c>
      <c r="I73">
        <f t="shared" si="9"/>
        <v>1926</v>
      </c>
      <c r="J73" s="24"/>
      <c r="K73" s="24"/>
      <c r="L73" s="24"/>
      <c r="M73" s="24"/>
      <c r="N73" s="24"/>
      <c r="O73" s="24"/>
      <c r="P73" s="24"/>
      <c r="Q73" s="24"/>
      <c r="R73" s="24"/>
      <c r="S73" s="24"/>
      <c r="T73" s="24"/>
    </row>
    <row r="74" spans="1:20" x14ac:dyDescent="0.2">
      <c r="A74">
        <f t="shared" si="1"/>
        <v>1927</v>
      </c>
      <c r="C74">
        <f t="shared" si="8"/>
        <v>93</v>
      </c>
      <c r="D74" s="22">
        <f t="shared" si="3"/>
        <v>0.41686542748089356</v>
      </c>
      <c r="E74" s="11">
        <f t="shared" si="6"/>
        <v>57</v>
      </c>
      <c r="F74" s="25">
        <f t="shared" si="4"/>
        <v>0.85200261055483129</v>
      </c>
      <c r="H74" s="23">
        <f t="shared" si="2"/>
        <v>2.3988556835786858</v>
      </c>
      <c r="I74">
        <f t="shared" si="9"/>
        <v>1927</v>
      </c>
      <c r="J74" s="24"/>
      <c r="K74" s="24"/>
      <c r="L74" s="24"/>
      <c r="M74" s="24"/>
      <c r="N74" s="24"/>
      <c r="O74" s="24"/>
      <c r="P74" s="24"/>
      <c r="Q74" s="24"/>
      <c r="R74" s="24"/>
      <c r="S74" s="24"/>
      <c r="T74" s="24"/>
    </row>
    <row r="75" spans="1:20" x14ac:dyDescent="0.2">
      <c r="A75">
        <f t="shared" si="1"/>
        <v>1928</v>
      </c>
      <c r="C75">
        <f t="shared" si="8"/>
        <v>92</v>
      </c>
      <c r="D75" s="22">
        <f t="shared" si="3"/>
        <v>0.42810489266234875</v>
      </c>
      <c r="E75" s="11">
        <f t="shared" si="6"/>
        <v>58</v>
      </c>
      <c r="F75" s="25">
        <f t="shared" si="4"/>
        <v>0.84241207501726123</v>
      </c>
      <c r="H75" s="23">
        <f t="shared" si="2"/>
        <v>2.3358761302191224</v>
      </c>
      <c r="I75">
        <f t="shared" si="9"/>
        <v>1928</v>
      </c>
      <c r="J75" s="24"/>
      <c r="K75" s="24"/>
      <c r="L75" s="24"/>
      <c r="M75" s="24"/>
      <c r="N75" s="24"/>
      <c r="O75" s="24"/>
      <c r="P75" s="24"/>
      <c r="Q75" s="24"/>
      <c r="R75" s="24"/>
      <c r="S75" s="24"/>
      <c r="T75" s="24"/>
    </row>
    <row r="76" spans="1:20" x14ac:dyDescent="0.2">
      <c r="A76">
        <f t="shared" si="1"/>
        <v>1929</v>
      </c>
      <c r="C76">
        <f t="shared" si="8"/>
        <v>91</v>
      </c>
      <c r="D76" s="22">
        <f t="shared" si="3"/>
        <v>0.43954306741606547</v>
      </c>
      <c r="E76" s="11">
        <f t="shared" si="6"/>
        <v>59</v>
      </c>
      <c r="F76" s="25">
        <f t="shared" si="4"/>
        <v>0.83249909871707539</v>
      </c>
      <c r="H76" s="23">
        <f t="shared" si="2"/>
        <v>2.2750899152583237</v>
      </c>
      <c r="I76">
        <f t="shared" si="9"/>
        <v>1929</v>
      </c>
      <c r="J76" s="24"/>
      <c r="K76" s="24"/>
      <c r="L76" s="24"/>
      <c r="M76" s="24"/>
      <c r="N76" s="24"/>
      <c r="O76" s="24"/>
      <c r="P76" s="24"/>
      <c r="Q76" s="24"/>
      <c r="R76" s="24"/>
      <c r="S76" s="24"/>
      <c r="T76" s="24"/>
    </row>
    <row r="77" spans="1:20" x14ac:dyDescent="0.2">
      <c r="A77">
        <f t="shared" si="1"/>
        <v>1930</v>
      </c>
      <c r="C77">
        <f t="shared" si="8"/>
        <v>90</v>
      </c>
      <c r="D77" s="22">
        <f t="shared" si="3"/>
        <v>0.45117324189780544</v>
      </c>
      <c r="E77" s="11">
        <f t="shared" si="6"/>
        <v>60</v>
      </c>
      <c r="F77" s="25">
        <f t="shared" si="4"/>
        <v>0.82227323138786079</v>
      </c>
      <c r="H77" s="23">
        <f t="shared" si="2"/>
        <v>2.2164435013779218</v>
      </c>
      <c r="I77">
        <f t="shared" si="9"/>
        <v>1930</v>
      </c>
      <c r="J77" s="24"/>
      <c r="K77" s="24"/>
      <c r="L77" s="24"/>
      <c r="M77" s="24"/>
      <c r="N77" s="24"/>
      <c r="O77" s="24"/>
      <c r="P77" s="24"/>
      <c r="Q77" s="24"/>
      <c r="R77" s="24"/>
      <c r="S77" s="24"/>
      <c r="T77" s="24"/>
    </row>
    <row r="78" spans="1:20" x14ac:dyDescent="0.2">
      <c r="A78">
        <f t="shared" si="1"/>
        <v>1931</v>
      </c>
      <c r="C78">
        <f t="shared" si="8"/>
        <v>89</v>
      </c>
      <c r="D78" s="22">
        <f t="shared" si="3"/>
        <v>0.46298780823503977</v>
      </c>
      <c r="E78" s="11">
        <f t="shared" si="6"/>
        <v>61</v>
      </c>
      <c r="F78" s="25">
        <f t="shared" si="4"/>
        <v>0.81174535781677226</v>
      </c>
      <c r="H78" s="23">
        <f t="shared" si="2"/>
        <v>2.1598840881191008</v>
      </c>
      <c r="I78">
        <f t="shared" si="9"/>
        <v>1931</v>
      </c>
      <c r="J78" s="24"/>
      <c r="K78" s="24"/>
      <c r="L78" s="24"/>
      <c r="M78" s="24"/>
      <c r="N78" s="24"/>
      <c r="O78" s="24"/>
      <c r="P78" s="24"/>
      <c r="Q78" s="24"/>
      <c r="R78" s="24"/>
      <c r="S78" s="24"/>
      <c r="T78" s="24"/>
    </row>
    <row r="79" spans="1:20" x14ac:dyDescent="0.2">
      <c r="A79">
        <f t="shared" si="1"/>
        <v>1932</v>
      </c>
      <c r="C79">
        <f t="shared" si="8"/>
        <v>88</v>
      </c>
      <c r="D79" s="22">
        <f t="shared" si="3"/>
        <v>0.47497823904507858</v>
      </c>
      <c r="E79" s="11">
        <f t="shared" si="6"/>
        <v>62</v>
      </c>
      <c r="F79" s="25">
        <f t="shared" si="4"/>
        <v>0.8009276481015557</v>
      </c>
      <c r="H79" s="23">
        <f t="shared" si="2"/>
        <v>2.1053596097590765</v>
      </c>
      <c r="I79">
        <f t="shared" si="9"/>
        <v>1932</v>
      </c>
      <c r="J79" s="24"/>
      <c r="K79" s="24"/>
      <c r="L79" s="24"/>
      <c r="M79" s="24"/>
      <c r="N79" s="24"/>
      <c r="O79" s="24"/>
      <c r="P79" s="24"/>
      <c r="Q79" s="24"/>
      <c r="R79" s="24"/>
      <c r="S79" s="24"/>
      <c r="T79" s="24"/>
    </row>
    <row r="80" spans="1:20" x14ac:dyDescent="0.2">
      <c r="A80">
        <f t="shared" si="1"/>
        <v>1933</v>
      </c>
      <c r="C80">
        <f t="shared" si="8"/>
        <v>87</v>
      </c>
      <c r="D80" s="22">
        <f t="shared" si="3"/>
        <v>0.48713507132494843</v>
      </c>
      <c r="E80" s="11">
        <f t="shared" si="6"/>
        <v>63</v>
      </c>
      <c r="F80" s="25">
        <f t="shared" si="4"/>
        <v>0.78983349562469707</v>
      </c>
      <c r="H80" s="23">
        <f t="shared" si="2"/>
        <v>2.0528187331700858</v>
      </c>
      <c r="I80">
        <f t="shared" si="9"/>
        <v>1933</v>
      </c>
      <c r="J80" s="24"/>
      <c r="K80" s="24"/>
      <c r="L80" s="24"/>
      <c r="M80" s="24"/>
      <c r="N80" s="24"/>
      <c r="O80" s="24"/>
      <c r="P80" s="24"/>
      <c r="Q80" s="24"/>
      <c r="R80" s="24"/>
      <c r="S80" s="24"/>
      <c r="T80" s="24"/>
    </row>
    <row r="81" spans="1:20" x14ac:dyDescent="0.2">
      <c r="A81">
        <f t="shared" ref="A81:A144" si="10">I81</f>
        <v>1934</v>
      </c>
      <c r="C81">
        <f t="shared" si="8"/>
        <v>86</v>
      </c>
      <c r="D81" s="22">
        <f t="shared" si="3"/>
        <v>0.4994478963955602</v>
      </c>
      <c r="E81" s="11">
        <f t="shared" si="6"/>
        <v>64</v>
      </c>
      <c r="F81" s="25">
        <f t="shared" si="4"/>
        <v>0.77847744337334734</v>
      </c>
      <c r="H81" s="23">
        <f t="shared" ref="H81:H144" si="11">1/D81</f>
        <v>2.0022108556605174</v>
      </c>
      <c r="I81">
        <f t="shared" si="9"/>
        <v>1934</v>
      </c>
      <c r="J81" s="24"/>
      <c r="K81" s="24"/>
      <c r="L81" s="24"/>
      <c r="M81" s="24"/>
      <c r="N81" s="24"/>
      <c r="O81" s="24"/>
      <c r="P81" s="24"/>
      <c r="Q81" s="24"/>
      <c r="R81" s="24"/>
      <c r="S81" s="24"/>
      <c r="T81" s="24"/>
    </row>
    <row r="82" spans="1:20" x14ac:dyDescent="0.2">
      <c r="A82">
        <f t="shared" si="10"/>
        <v>1935</v>
      </c>
      <c r="C82">
        <f t="shared" si="8"/>
        <v>85</v>
      </c>
      <c r="D82" s="22">
        <f t="shared" ref="D82:D145" si="12">PRODUCT(1/(1+(C82/$C$4)^$C$3))</f>
        <v>0.51190535656628089</v>
      </c>
      <c r="E82" s="11">
        <f t="shared" si="6"/>
        <v>65</v>
      </c>
      <c r="F82" s="25">
        <f t="shared" ref="F82:F145" si="13">PRODUCT(1/(1+(E82/$C$4)^$C$3))</f>
        <v>0.76687509943623866</v>
      </c>
      <c r="H82" s="23">
        <f t="shared" si="11"/>
        <v>1.9534861027978347</v>
      </c>
      <c r="I82">
        <f t="shared" si="9"/>
        <v>1935</v>
      </c>
      <c r="J82" s="24"/>
      <c r="K82" s="24"/>
      <c r="L82" s="24"/>
      <c r="M82" s="24"/>
      <c r="N82" s="24"/>
      <c r="O82" s="24"/>
      <c r="P82" s="24"/>
      <c r="Q82" s="24"/>
      <c r="R82" s="24"/>
      <c r="S82" s="24"/>
      <c r="T82" s="24"/>
    </row>
    <row r="83" spans="1:20" x14ac:dyDescent="0.2">
      <c r="A83">
        <f t="shared" si="10"/>
        <v>1936</v>
      </c>
      <c r="C83">
        <f t="shared" si="8"/>
        <v>84</v>
      </c>
      <c r="D83" s="22">
        <f t="shared" si="12"/>
        <v>0.52449514915485007</v>
      </c>
      <c r="E83" s="11">
        <f t="shared" ref="E83:E146" si="14">E82+1</f>
        <v>66</v>
      </c>
      <c r="F83" s="25">
        <f t="shared" si="13"/>
        <v>0.75504304269584266</v>
      </c>
      <c r="H83" s="23">
        <f t="shared" si="11"/>
        <v>1.9065953262129476</v>
      </c>
      <c r="I83">
        <f t="shared" si="9"/>
        <v>1936</v>
      </c>
      <c r="J83" s="24"/>
      <c r="K83" s="24"/>
      <c r="L83" s="24"/>
      <c r="M83" s="24"/>
      <c r="N83" s="24"/>
      <c r="O83" s="24"/>
      <c r="P83" s="24"/>
      <c r="Q83" s="24"/>
      <c r="R83" s="24"/>
      <c r="S83" s="24"/>
      <c r="T83" s="24"/>
    </row>
    <row r="84" spans="1:20" x14ac:dyDescent="0.2">
      <c r="A84">
        <f t="shared" si="10"/>
        <v>1937</v>
      </c>
      <c r="C84">
        <f t="shared" si="8"/>
        <v>83</v>
      </c>
      <c r="D84" s="22">
        <f t="shared" si="12"/>
        <v>0.53720403845050801</v>
      </c>
      <c r="E84" s="11">
        <f t="shared" si="14"/>
        <v>67</v>
      </c>
      <c r="F84" s="25">
        <f t="shared" si="13"/>
        <v>0.74299871990036592</v>
      </c>
      <c r="H84" s="23">
        <f t="shared" si="11"/>
        <v>1.8614901013856187</v>
      </c>
      <c r="I84">
        <f t="shared" si="9"/>
        <v>1937</v>
      </c>
      <c r="J84" s="24"/>
      <c r="K84" s="24"/>
      <c r="L84" s="24"/>
      <c r="M84" s="24"/>
      <c r="N84" s="24"/>
      <c r="O84" s="24"/>
      <c r="P84" s="24"/>
      <c r="Q84" s="24"/>
      <c r="R84" s="24"/>
      <c r="S84" s="24"/>
      <c r="T84" s="24"/>
    </row>
    <row r="85" spans="1:20" x14ac:dyDescent="0.2">
      <c r="A85">
        <f t="shared" si="10"/>
        <v>1938</v>
      </c>
      <c r="C85">
        <f t="shared" si="8"/>
        <v>82</v>
      </c>
      <c r="D85" s="22">
        <f t="shared" si="12"/>
        <v>0.55001787614430364</v>
      </c>
      <c r="E85" s="11">
        <f t="shared" si="14"/>
        <v>68</v>
      </c>
      <c r="F85" s="25">
        <f t="shared" si="13"/>
        <v>0.73076033544126406</v>
      </c>
      <c r="H85" s="23">
        <f t="shared" si="11"/>
        <v>1.8181227254105434</v>
      </c>
      <c r="I85">
        <f t="shared" si="9"/>
        <v>1938</v>
      </c>
      <c r="J85" s="24"/>
      <c r="K85" s="24"/>
      <c r="L85" s="24"/>
      <c r="M85" s="24"/>
      <c r="N85" s="24"/>
      <c r="O85" s="24"/>
      <c r="P85" s="24"/>
      <c r="Q85" s="24"/>
      <c r="R85" s="24"/>
      <c r="S85" s="24"/>
      <c r="T85" s="24"/>
    </row>
    <row r="86" spans="1:20" x14ac:dyDescent="0.2">
      <c r="A86">
        <f t="shared" si="10"/>
        <v>1939</v>
      </c>
      <c r="C86">
        <f t="shared" si="8"/>
        <v>81</v>
      </c>
      <c r="D86" s="22">
        <f t="shared" si="12"/>
        <v>0.56292163066939815</v>
      </c>
      <c r="E86" s="11">
        <f t="shared" si="14"/>
        <v>69</v>
      </c>
      <c r="F86" s="25">
        <f t="shared" si="13"/>
        <v>0.71834673527409276</v>
      </c>
      <c r="H86" s="23">
        <f t="shared" si="11"/>
        <v>1.7764462147436939</v>
      </c>
      <c r="I86">
        <f t="shared" si="9"/>
        <v>1939</v>
      </c>
      <c r="J86" s="24"/>
      <c r="K86" s="24"/>
      <c r="L86" s="24"/>
      <c r="M86" s="24"/>
      <c r="N86" s="24"/>
      <c r="O86" s="24"/>
      <c r="P86" s="24"/>
      <c r="Q86" s="24"/>
      <c r="R86" s="24"/>
      <c r="S86" s="24"/>
      <c r="T86" s="24"/>
    </row>
    <row r="87" spans="1:20" x14ac:dyDescent="0.2">
      <c r="A87">
        <f t="shared" si="10"/>
        <v>1940</v>
      </c>
      <c r="C87">
        <f t="shared" si="8"/>
        <v>80</v>
      </c>
      <c r="D87" s="22">
        <f t="shared" si="12"/>
        <v>0.57589942579571951</v>
      </c>
      <c r="E87" s="11">
        <f t="shared" si="14"/>
        <v>70</v>
      </c>
      <c r="F87" s="25">
        <f t="shared" si="13"/>
        <v>0.70577728650094107</v>
      </c>
      <c r="H87" s="23">
        <f t="shared" si="11"/>
        <v>1.736414302928504</v>
      </c>
      <c r="I87">
        <f t="shared" si="9"/>
        <v>1940</v>
      </c>
      <c r="J87" s="24"/>
      <c r="K87" s="24"/>
      <c r="L87" s="24"/>
      <c r="M87" s="24"/>
      <c r="N87" s="24"/>
      <c r="O87" s="24"/>
      <c r="P87" s="24"/>
      <c r="Q87" s="24"/>
      <c r="R87" s="24"/>
      <c r="S87" s="24"/>
      <c r="T87" s="24"/>
    </row>
    <row r="88" spans="1:20" x14ac:dyDescent="0.2">
      <c r="A88">
        <f t="shared" si="10"/>
        <v>1941</v>
      </c>
      <c r="C88">
        <f t="shared" si="8"/>
        <v>79</v>
      </c>
      <c r="D88" s="22">
        <f t="shared" si="12"/>
        <v>0.58893458870805948</v>
      </c>
      <c r="E88" s="11">
        <f t="shared" si="14"/>
        <v>71</v>
      </c>
      <c r="F88" s="25">
        <f t="shared" si="13"/>
        <v>0.69307175417969769</v>
      </c>
      <c r="H88" s="23">
        <f t="shared" si="11"/>
        <v>1.6979814383014775</v>
      </c>
      <c r="I88">
        <f t="shared" si="9"/>
        <v>1941</v>
      </c>
      <c r="J88" s="24"/>
      <c r="K88" s="24"/>
      <c r="L88" s="24"/>
      <c r="M88" s="24"/>
      <c r="N88" s="24"/>
      <c r="O88" s="24"/>
      <c r="P88" s="24"/>
      <c r="Q88" s="24"/>
      <c r="R88" s="24"/>
      <c r="S88" s="24"/>
      <c r="T88" s="24"/>
    </row>
    <row r="89" spans="1:20" x14ac:dyDescent="0.2">
      <c r="A89">
        <f t="shared" si="10"/>
        <v>1942</v>
      </c>
      <c r="C89">
        <f t="shared" si="8"/>
        <v>78</v>
      </c>
      <c r="D89" s="22">
        <f t="shared" si="12"/>
        <v>0.60200970766575279</v>
      </c>
      <c r="E89" s="11">
        <f t="shared" si="14"/>
        <v>72</v>
      </c>
      <c r="F89" s="25">
        <f t="shared" si="13"/>
        <v>0.68025017693844503</v>
      </c>
      <c r="H89" s="23">
        <f t="shared" si="11"/>
        <v>1.6611027816767683</v>
      </c>
      <c r="I89">
        <f t="shared" si="9"/>
        <v>1942</v>
      </c>
      <c r="J89" s="24"/>
      <c r="K89" s="24"/>
      <c r="L89" s="24"/>
      <c r="M89" s="24"/>
      <c r="N89" s="24"/>
      <c r="O89" s="24"/>
      <c r="P89" s="24"/>
      <c r="Q89" s="24"/>
      <c r="R89" s="24"/>
      <c r="S89" s="24"/>
      <c r="T89" s="24"/>
    </row>
    <row r="90" spans="1:20" x14ac:dyDescent="0.2">
      <c r="A90">
        <f t="shared" si="10"/>
        <v>1943</v>
      </c>
      <c r="C90">
        <f t="shared" si="8"/>
        <v>77</v>
      </c>
      <c r="D90" s="22">
        <f t="shared" si="12"/>
        <v>0.6151066991971198</v>
      </c>
      <c r="E90" s="11">
        <f t="shared" si="14"/>
        <v>73</v>
      </c>
      <c r="F90" s="25">
        <f t="shared" si="13"/>
        <v>0.66733274295282752</v>
      </c>
      <c r="H90" s="23">
        <f t="shared" si="11"/>
        <v>1.6257342040092715</v>
      </c>
      <c r="I90">
        <f t="shared" si="9"/>
        <v>1943</v>
      </c>
      <c r="J90" s="24"/>
      <c r="K90" s="24"/>
      <c r="L90" s="24"/>
      <c r="M90" s="24"/>
      <c r="N90" s="24"/>
      <c r="O90" s="24"/>
      <c r="P90" s="24"/>
      <c r="Q90" s="24"/>
      <c r="R90" s="24"/>
      <c r="S90" s="24"/>
      <c r="T90" s="24"/>
    </row>
    <row r="91" spans="1:20" x14ac:dyDescent="0.2">
      <c r="A91">
        <f t="shared" si="10"/>
        <v>1944</v>
      </c>
      <c r="C91">
        <f t="shared" si="8"/>
        <v>76</v>
      </c>
      <c r="D91" s="22">
        <f t="shared" si="12"/>
        <v>0.62820688462524865</v>
      </c>
      <c r="E91" s="11">
        <f t="shared" si="14"/>
        <v>74</v>
      </c>
      <c r="F91" s="25">
        <f t="shared" si="13"/>
        <v>0.65433966779191644</v>
      </c>
      <c r="H91" s="23">
        <f t="shared" si="11"/>
        <v>1.5918322840357619</v>
      </c>
      <c r="I91">
        <f t="shared" si="9"/>
        <v>1944</v>
      </c>
      <c r="J91" s="24"/>
      <c r="K91" s="24"/>
      <c r="L91" s="24"/>
      <c r="M91" s="24"/>
      <c r="N91" s="24"/>
      <c r="O91" s="24"/>
      <c r="P91" s="24"/>
      <c r="Q91" s="24"/>
      <c r="R91" s="24"/>
      <c r="S91" s="24"/>
      <c r="T91" s="24"/>
    </row>
    <row r="92" spans="1:20" x14ac:dyDescent="0.2">
      <c r="A92">
        <f t="shared" si="10"/>
        <v>1945</v>
      </c>
      <c r="C92">
        <f t="shared" si="8"/>
        <v>75</v>
      </c>
      <c r="D92" s="22">
        <f t="shared" si="12"/>
        <v>0.64129107555640574</v>
      </c>
      <c r="E92" s="11">
        <f t="shared" si="14"/>
        <v>75</v>
      </c>
      <c r="F92" s="25">
        <f t="shared" si="13"/>
        <v>0.64129107555640574</v>
      </c>
      <c r="H92" s="23">
        <f t="shared" si="11"/>
        <v>1.5593543058935699</v>
      </c>
      <c r="I92">
        <f t="shared" si="9"/>
        <v>1945</v>
      </c>
      <c r="J92" s="24"/>
      <c r="K92" s="24"/>
      <c r="L92" s="24"/>
      <c r="M92" s="24"/>
      <c r="N92" s="24"/>
      <c r="O92" s="24"/>
      <c r="P92" s="24"/>
      <c r="Q92" s="24"/>
      <c r="R92" s="24"/>
      <c r="S92" s="24"/>
      <c r="T92" s="24"/>
    </row>
    <row r="93" spans="1:20" x14ac:dyDescent="0.2">
      <c r="A93">
        <f t="shared" si="10"/>
        <v>1946</v>
      </c>
      <c r="C93">
        <f t="shared" si="8"/>
        <v>74</v>
      </c>
      <c r="D93" s="22">
        <f t="shared" si="12"/>
        <v>0.65433966779191644</v>
      </c>
      <c r="E93" s="11">
        <f t="shared" si="14"/>
        <v>76</v>
      </c>
      <c r="F93" s="25">
        <f t="shared" si="13"/>
        <v>0.62820688462524865</v>
      </c>
      <c r="H93" s="23">
        <f t="shared" si="11"/>
        <v>1.5282582567163046</v>
      </c>
      <c r="I93">
        <f t="shared" si="9"/>
        <v>1946</v>
      </c>
      <c r="J93" s="24"/>
      <c r="K93" s="24"/>
      <c r="L93" s="24"/>
      <c r="M93" s="24"/>
      <c r="N93" s="24"/>
      <c r="O93" s="24"/>
      <c r="P93" s="24"/>
      <c r="Q93" s="24"/>
      <c r="R93" s="24"/>
      <c r="S93" s="24"/>
      <c r="T93" s="24"/>
    </row>
    <row r="94" spans="1:20" x14ac:dyDescent="0.2">
      <c r="A94">
        <f t="shared" si="10"/>
        <v>1947</v>
      </c>
      <c r="C94">
        <f t="shared" si="8"/>
        <v>73</v>
      </c>
      <c r="D94" s="22">
        <f t="shared" si="12"/>
        <v>0.66733274295282752</v>
      </c>
      <c r="E94" s="11">
        <f t="shared" si="14"/>
        <v>77</v>
      </c>
      <c r="F94" s="25">
        <f t="shared" si="13"/>
        <v>0.6151066991971198</v>
      </c>
      <c r="H94" s="23">
        <f t="shared" si="11"/>
        <v>1.4985028242060769</v>
      </c>
      <c r="I94">
        <f t="shared" si="9"/>
        <v>1947</v>
      </c>
      <c r="J94" s="24"/>
      <c r="K94" s="24"/>
      <c r="L94" s="24"/>
      <c r="M94" s="24"/>
      <c r="N94" s="24"/>
      <c r="O94" s="24"/>
      <c r="P94" s="24"/>
      <c r="Q94" s="24"/>
      <c r="R94" s="24"/>
      <c r="S94" s="24"/>
      <c r="T94" s="24"/>
    </row>
    <row r="95" spans="1:20" x14ac:dyDescent="0.2">
      <c r="A95">
        <f t="shared" si="10"/>
        <v>1948</v>
      </c>
      <c r="C95">
        <f t="shared" si="8"/>
        <v>72</v>
      </c>
      <c r="D95" s="22">
        <f t="shared" si="12"/>
        <v>0.68025017693844503</v>
      </c>
      <c r="E95" s="11">
        <f t="shared" si="14"/>
        <v>78</v>
      </c>
      <c r="F95" s="25">
        <f t="shared" si="13"/>
        <v>0.60200970766575279</v>
      </c>
      <c r="H95" s="23">
        <f t="shared" si="11"/>
        <v>1.4700473941816978</v>
      </c>
      <c r="I95">
        <f t="shared" si="9"/>
        <v>1948</v>
      </c>
      <c r="J95" s="24"/>
      <c r="K95" s="24"/>
      <c r="L95" s="24"/>
      <c r="M95" s="24"/>
      <c r="N95" s="24"/>
      <c r="O95" s="24"/>
      <c r="P95" s="24"/>
      <c r="Q95" s="24"/>
      <c r="R95" s="24"/>
      <c r="S95" s="24"/>
      <c r="T95" s="24"/>
    </row>
    <row r="96" spans="1:20" x14ac:dyDescent="0.2">
      <c r="A96">
        <f t="shared" si="10"/>
        <v>1949</v>
      </c>
      <c r="C96">
        <f t="shared" si="8"/>
        <v>71</v>
      </c>
      <c r="D96" s="22">
        <f t="shared" si="12"/>
        <v>0.69307175417969769</v>
      </c>
      <c r="E96" s="11">
        <f t="shared" si="14"/>
        <v>79</v>
      </c>
      <c r="F96" s="25">
        <f t="shared" si="13"/>
        <v>0.58893458870805948</v>
      </c>
      <c r="H96" s="23">
        <f t="shared" si="11"/>
        <v>1.4428520481022558</v>
      </c>
      <c r="I96">
        <f t="shared" si="9"/>
        <v>1949</v>
      </c>
      <c r="J96" s="24"/>
      <c r="K96" s="24"/>
      <c r="L96" s="24"/>
      <c r="M96" s="24"/>
      <c r="N96" s="24"/>
      <c r="O96" s="24"/>
      <c r="P96" s="24"/>
      <c r="Q96" s="24"/>
      <c r="R96" s="24"/>
      <c r="S96" s="24"/>
      <c r="T96" s="24"/>
    </row>
    <row r="97" spans="1:20" x14ac:dyDescent="0.2">
      <c r="A97">
        <f t="shared" si="10"/>
        <v>1950</v>
      </c>
      <c r="C97">
        <f t="shared" si="8"/>
        <v>70</v>
      </c>
      <c r="D97" s="22">
        <f t="shared" si="12"/>
        <v>0.70577728650094107</v>
      </c>
      <c r="E97" s="11">
        <f t="shared" si="14"/>
        <v>80</v>
      </c>
      <c r="F97" s="25">
        <f t="shared" si="13"/>
        <v>0.57589942579571951</v>
      </c>
      <c r="H97" s="23">
        <f t="shared" si="11"/>
        <v>1.4168775605655122</v>
      </c>
      <c r="I97">
        <f t="shared" si="9"/>
        <v>1950</v>
      </c>
      <c r="J97" s="24"/>
      <c r="K97" s="24"/>
      <c r="L97" s="24"/>
      <c r="M97" s="24"/>
      <c r="N97" s="24"/>
      <c r="O97" s="24"/>
      <c r="P97" s="24"/>
      <c r="Q97" s="24"/>
      <c r="R97" s="24"/>
      <c r="S97" s="24"/>
      <c r="T97" s="24"/>
    </row>
    <row r="98" spans="1:20" x14ac:dyDescent="0.2">
      <c r="A98">
        <f t="shared" si="10"/>
        <v>1951</v>
      </c>
      <c r="C98">
        <f t="shared" si="8"/>
        <v>69</v>
      </c>
      <c r="D98" s="22">
        <f t="shared" si="12"/>
        <v>0.71834673527409276</v>
      </c>
      <c r="E98" s="11">
        <f t="shared" si="14"/>
        <v>81</v>
      </c>
      <c r="F98" s="25">
        <f t="shared" si="13"/>
        <v>0.56292163066939815</v>
      </c>
      <c r="H98" s="23">
        <f t="shared" si="11"/>
        <v>1.3920853967804829</v>
      </c>
      <c r="I98">
        <f t="shared" si="9"/>
        <v>1951</v>
      </c>
      <c r="J98" s="24"/>
      <c r="K98" s="24"/>
      <c r="L98" s="24"/>
      <c r="M98" s="24"/>
      <c r="N98" s="24"/>
      <c r="O98" s="24"/>
      <c r="P98" s="24"/>
      <c r="Q98" s="24"/>
      <c r="R98" s="24"/>
      <c r="S98" s="24"/>
      <c r="T98" s="24"/>
    </row>
    <row r="99" spans="1:20" x14ac:dyDescent="0.2">
      <c r="A99">
        <f t="shared" si="10"/>
        <v>1952</v>
      </c>
      <c r="C99">
        <f t="shared" si="8"/>
        <v>68</v>
      </c>
      <c r="D99" s="22">
        <f t="shared" si="12"/>
        <v>0.73076033544126406</v>
      </c>
      <c r="E99" s="11">
        <f t="shared" si="14"/>
        <v>82</v>
      </c>
      <c r="F99" s="25">
        <f t="shared" si="13"/>
        <v>0.55001787614430364</v>
      </c>
      <c r="H99" s="23">
        <f t="shared" si="11"/>
        <v>1.3684377100135814</v>
      </c>
      <c r="I99">
        <f t="shared" si="9"/>
        <v>1952</v>
      </c>
      <c r="J99" s="24"/>
      <c r="K99" s="24"/>
      <c r="L99" s="24"/>
      <c r="M99" s="24"/>
      <c r="N99" s="24"/>
      <c r="O99" s="24"/>
      <c r="P99" s="24"/>
      <c r="Q99" s="24"/>
      <c r="R99" s="24"/>
      <c r="S99" s="24"/>
      <c r="T99" s="24"/>
    </row>
    <row r="100" spans="1:20" x14ac:dyDescent="0.2">
      <c r="A100">
        <f t="shared" si="10"/>
        <v>1953</v>
      </c>
      <c r="C100">
        <f t="shared" si="8"/>
        <v>67</v>
      </c>
      <c r="D100" s="22">
        <f t="shared" si="12"/>
        <v>0.74299871990036592</v>
      </c>
      <c r="E100" s="11">
        <f t="shared" si="14"/>
        <v>83</v>
      </c>
      <c r="F100" s="25">
        <f t="shared" si="13"/>
        <v>0.53720403845050801</v>
      </c>
      <c r="H100" s="23">
        <f t="shared" si="11"/>
        <v>1.3458973390076596</v>
      </c>
      <c r="I100">
        <f t="shared" si="9"/>
        <v>1953</v>
      </c>
      <c r="J100" s="24"/>
      <c r="K100" s="24"/>
      <c r="L100" s="24"/>
      <c r="M100" s="24"/>
      <c r="N100" s="24"/>
      <c r="O100" s="24"/>
      <c r="P100" s="24"/>
      <c r="Q100" s="24"/>
      <c r="R100" s="24"/>
      <c r="S100" s="24"/>
      <c r="T100" s="24"/>
    </row>
    <row r="101" spans="1:20" x14ac:dyDescent="0.2">
      <c r="A101">
        <f t="shared" si="10"/>
        <v>1954</v>
      </c>
      <c r="C101">
        <f t="shared" si="8"/>
        <v>66</v>
      </c>
      <c r="D101" s="22">
        <f t="shared" si="12"/>
        <v>0.75504304269584266</v>
      </c>
      <c r="E101" s="11">
        <f t="shared" si="14"/>
        <v>84</v>
      </c>
      <c r="F101" s="25">
        <f t="shared" si="13"/>
        <v>0.52449514915485007</v>
      </c>
      <c r="H101" s="23">
        <f t="shared" si="11"/>
        <v>1.3244278053732552</v>
      </c>
      <c r="I101">
        <f t="shared" si="9"/>
        <v>1954</v>
      </c>
      <c r="J101" s="24"/>
      <c r="K101" s="24"/>
      <c r="L101" s="24"/>
      <c r="M101" s="24"/>
      <c r="N101" s="24"/>
      <c r="O101" s="24"/>
      <c r="P101" s="24"/>
      <c r="Q101" s="24"/>
      <c r="R101" s="24"/>
      <c r="S101" s="24"/>
      <c r="T101" s="24"/>
    </row>
    <row r="102" spans="1:20" x14ac:dyDescent="0.2">
      <c r="A102">
        <f t="shared" si="10"/>
        <v>1955</v>
      </c>
      <c r="C102">
        <f t="shared" si="8"/>
        <v>65</v>
      </c>
      <c r="D102" s="22">
        <f t="shared" si="12"/>
        <v>0.76687509943623866</v>
      </c>
      <c r="E102" s="11">
        <f t="shared" si="14"/>
        <v>85</v>
      </c>
      <c r="F102" s="25">
        <f t="shared" si="13"/>
        <v>0.51190535656628089</v>
      </c>
      <c r="H102" s="23">
        <f t="shared" si="11"/>
        <v>1.3039933109513413</v>
      </c>
      <c r="I102">
        <f t="shared" si="9"/>
        <v>1955</v>
      </c>
      <c r="J102" s="24"/>
      <c r="K102" s="24"/>
      <c r="L102" s="24"/>
      <c r="M102" s="24"/>
      <c r="N102" s="24"/>
      <c r="O102" s="24"/>
      <c r="P102" s="24"/>
      <c r="Q102" s="24"/>
      <c r="R102" s="24"/>
      <c r="S102" s="24"/>
      <c r="T102" s="24"/>
    </row>
    <row r="103" spans="1:20" x14ac:dyDescent="0.2">
      <c r="A103">
        <f t="shared" si="10"/>
        <v>1956</v>
      </c>
      <c r="C103">
        <f t="shared" si="8"/>
        <v>64</v>
      </c>
      <c r="D103" s="22">
        <f t="shared" si="12"/>
        <v>0.77847744337334734</v>
      </c>
      <c r="E103" s="11">
        <f t="shared" si="14"/>
        <v>86</v>
      </c>
      <c r="F103" s="25">
        <f t="shared" si="13"/>
        <v>0.4994478963955602</v>
      </c>
      <c r="H103" s="23">
        <f t="shared" si="11"/>
        <v>1.2845587351468235</v>
      </c>
      <c r="I103">
        <f t="shared" si="9"/>
        <v>1956</v>
      </c>
      <c r="J103" s="24"/>
      <c r="K103" s="24"/>
      <c r="L103" s="24"/>
      <c r="M103" s="24"/>
      <c r="N103" s="24"/>
      <c r="O103" s="24"/>
      <c r="P103" s="24"/>
      <c r="Q103" s="24"/>
      <c r="R103" s="24"/>
      <c r="S103" s="24"/>
      <c r="T103" s="24"/>
    </row>
    <row r="104" spans="1:20" x14ac:dyDescent="0.2">
      <c r="A104">
        <f t="shared" si="10"/>
        <v>1957</v>
      </c>
      <c r="C104">
        <f t="shared" si="8"/>
        <v>63</v>
      </c>
      <c r="D104" s="22">
        <f t="shared" si="12"/>
        <v>0.78983349562469707</v>
      </c>
      <c r="E104" s="11">
        <f t="shared" si="14"/>
        <v>87</v>
      </c>
      <c r="F104" s="25">
        <f t="shared" si="13"/>
        <v>0.48713507132494843</v>
      </c>
      <c r="H104" s="23">
        <f t="shared" si="11"/>
        <v>1.2660896322320156</v>
      </c>
      <c r="I104">
        <f t="shared" si="9"/>
        <v>1957</v>
      </c>
      <c r="J104" s="24"/>
      <c r="K104" s="24"/>
      <c r="L104" s="24"/>
      <c r="M104" s="24"/>
      <c r="N104" s="24"/>
      <c r="O104" s="24"/>
      <c r="P104" s="24"/>
      <c r="Q104" s="24"/>
      <c r="R104" s="24"/>
      <c r="S104" s="24"/>
      <c r="T104" s="24"/>
    </row>
    <row r="105" spans="1:20" x14ac:dyDescent="0.2">
      <c r="A105">
        <f t="shared" si="10"/>
        <v>1958</v>
      </c>
      <c r="C105">
        <f t="shared" si="8"/>
        <v>62</v>
      </c>
      <c r="D105" s="22">
        <f t="shared" si="12"/>
        <v>0.8009276481015557</v>
      </c>
      <c r="E105" s="11">
        <f t="shared" si="14"/>
        <v>88</v>
      </c>
      <c r="F105" s="25">
        <f t="shared" si="13"/>
        <v>0.47497823904507858</v>
      </c>
      <c r="H105" s="23">
        <f t="shared" si="11"/>
        <v>1.2485522286192852</v>
      </c>
      <c r="I105">
        <f t="shared" si="9"/>
        <v>1958</v>
      </c>
      <c r="J105" s="24"/>
      <c r="K105" s="24"/>
      <c r="L105" s="24"/>
      <c r="M105" s="24"/>
      <c r="N105" s="24"/>
      <c r="O105" s="24"/>
      <c r="P105" s="24"/>
      <c r="Q105" s="24"/>
      <c r="R105" s="24"/>
      <c r="S105" s="24"/>
      <c r="T105" s="24"/>
    </row>
    <row r="106" spans="1:20" x14ac:dyDescent="0.2">
      <c r="A106">
        <f t="shared" si="10"/>
        <v>1959</v>
      </c>
      <c r="C106">
        <f t="shared" si="8"/>
        <v>61</v>
      </c>
      <c r="D106" s="22">
        <f t="shared" si="12"/>
        <v>0.81174535781677226</v>
      </c>
      <c r="E106" s="11">
        <f t="shared" si="14"/>
        <v>89</v>
      </c>
      <c r="F106" s="25">
        <f t="shared" si="13"/>
        <v>0.46298780823503977</v>
      </c>
      <c r="H106" s="23">
        <f t="shared" si="11"/>
        <v>1.2319134201020225</v>
      </c>
      <c r="I106">
        <f t="shared" si="9"/>
        <v>1959</v>
      </c>
      <c r="J106" s="24"/>
      <c r="K106" s="24"/>
      <c r="L106" s="24"/>
      <c r="M106" s="24"/>
      <c r="N106" s="24"/>
      <c r="O106" s="24"/>
      <c r="P106" s="24"/>
      <c r="Q106" s="24"/>
      <c r="R106" s="24"/>
      <c r="S106" s="24"/>
      <c r="T106" s="24"/>
    </row>
    <row r="107" spans="1:20" x14ac:dyDescent="0.2">
      <c r="A107">
        <f t="shared" si="10"/>
        <v>1960</v>
      </c>
      <c r="C107">
        <f t="shared" si="8"/>
        <v>60</v>
      </c>
      <c r="D107" s="22">
        <f t="shared" si="12"/>
        <v>0.82227323138786079</v>
      </c>
      <c r="E107" s="11">
        <f t="shared" si="14"/>
        <v>90</v>
      </c>
      <c r="F107" s="25">
        <f t="shared" si="13"/>
        <v>0.45117324189780544</v>
      </c>
      <c r="H107" s="23">
        <f t="shared" si="11"/>
        <v>1.2161407690630595</v>
      </c>
      <c r="I107">
        <f t="shared" si="9"/>
        <v>1960</v>
      </c>
      <c r="J107" s="24"/>
      <c r="K107" s="24"/>
      <c r="L107" s="24"/>
      <c r="M107" s="24"/>
      <c r="N107" s="24"/>
      <c r="O107" s="24"/>
      <c r="P107" s="24"/>
      <c r="Q107" s="24"/>
      <c r="R107" s="24"/>
      <c r="S107" s="24"/>
      <c r="T107" s="24"/>
    </row>
    <row r="108" spans="1:20" x14ac:dyDescent="0.2">
      <c r="A108">
        <f t="shared" si="10"/>
        <v>1961</v>
      </c>
      <c r="C108">
        <f t="shared" si="8"/>
        <v>59</v>
      </c>
      <c r="D108" s="22">
        <f t="shared" si="12"/>
        <v>0.83249909871707539</v>
      </c>
      <c r="E108" s="11">
        <f t="shared" si="14"/>
        <v>91</v>
      </c>
      <c r="F108" s="25">
        <f t="shared" si="13"/>
        <v>0.43954306741606547</v>
      </c>
      <c r="H108" s="23">
        <f t="shared" si="11"/>
        <v>1.2012025016496142</v>
      </c>
      <c r="I108">
        <f t="shared" si="9"/>
        <v>1961</v>
      </c>
      <c r="J108" s="24"/>
      <c r="K108" s="24"/>
      <c r="L108" s="24"/>
      <c r="M108" s="24"/>
      <c r="N108" s="24"/>
      <c r="O108" s="24"/>
      <c r="P108" s="24"/>
      <c r="Q108" s="24"/>
      <c r="R108" s="24"/>
      <c r="S108" s="24"/>
      <c r="T108" s="24"/>
    </row>
    <row r="109" spans="1:20" x14ac:dyDescent="0.2">
      <c r="A109">
        <f t="shared" si="10"/>
        <v>1962</v>
      </c>
      <c r="C109">
        <f t="shared" si="8"/>
        <v>58</v>
      </c>
      <c r="D109" s="22">
        <f t="shared" si="12"/>
        <v>0.84241207501726123</v>
      </c>
      <c r="E109" s="11">
        <f t="shared" si="14"/>
        <v>92</v>
      </c>
      <c r="F109" s="25">
        <f t="shared" si="13"/>
        <v>0.42810489266234875</v>
      </c>
      <c r="H109" s="23">
        <f t="shared" si="11"/>
        <v>1.1870675049138033</v>
      </c>
      <c r="I109">
        <f t="shared" si="9"/>
        <v>1962</v>
      </c>
      <c r="J109" s="24"/>
      <c r="K109" s="24"/>
      <c r="L109" s="24"/>
      <c r="M109" s="24"/>
      <c r="N109" s="24"/>
      <c r="O109" s="24"/>
      <c r="P109" s="24"/>
      <c r="Q109" s="24"/>
      <c r="R109" s="24"/>
      <c r="S109" s="24"/>
      <c r="T109" s="24"/>
    </row>
    <row r="110" spans="1:20" x14ac:dyDescent="0.2">
      <c r="A110">
        <f t="shared" si="10"/>
        <v>1963</v>
      </c>
      <c r="C110">
        <f t="shared" si="8"/>
        <v>57</v>
      </c>
      <c r="D110" s="22">
        <f t="shared" si="12"/>
        <v>0.85200261055483129</v>
      </c>
      <c r="E110" s="11">
        <f t="shared" si="14"/>
        <v>93</v>
      </c>
      <c r="F110" s="25">
        <f t="shared" si="13"/>
        <v>0.41686542748089356</v>
      </c>
      <c r="H110" s="23">
        <f t="shared" si="11"/>
        <v>1.1737053239177184</v>
      </c>
      <c r="I110">
        <f t="shared" si="9"/>
        <v>1963</v>
      </c>
      <c r="J110" s="24"/>
      <c r="K110" s="24"/>
      <c r="L110" s="24"/>
      <c r="M110" s="24"/>
      <c r="N110" s="24"/>
      <c r="O110" s="24"/>
      <c r="P110" s="24"/>
      <c r="Q110" s="24"/>
      <c r="R110" s="24"/>
      <c r="S110" s="24"/>
      <c r="T110" s="24"/>
    </row>
    <row r="111" spans="1:20" x14ac:dyDescent="0.2">
      <c r="A111">
        <f t="shared" si="10"/>
        <v>1964</v>
      </c>
      <c r="C111">
        <f t="shared" si="8"/>
        <v>56</v>
      </c>
      <c r="D111" s="22">
        <f t="shared" si="12"/>
        <v>0.86126252769370748</v>
      </c>
      <c r="E111" s="11">
        <f t="shared" si="14"/>
        <v>94</v>
      </c>
      <c r="F111" s="25">
        <f t="shared" si="13"/>
        <v>0.40583050985564101</v>
      </c>
      <c r="H111" s="23">
        <f t="shared" si="11"/>
        <v>1.161086158802014</v>
      </c>
      <c r="I111">
        <f t="shared" si="9"/>
        <v>1964</v>
      </c>
      <c r="J111" s="24"/>
      <c r="K111" s="24"/>
      <c r="L111" s="24"/>
      <c r="M111" s="24"/>
      <c r="N111" s="24"/>
      <c r="O111" s="24"/>
      <c r="P111" s="24"/>
      <c r="Q111" s="24"/>
      <c r="R111" s="24"/>
      <c r="S111" s="24"/>
      <c r="T111" s="24"/>
    </row>
    <row r="112" spans="1:20" x14ac:dyDescent="0.2">
      <c r="A112">
        <f t="shared" si="10"/>
        <v>1965</v>
      </c>
      <c r="C112">
        <f t="shared" si="8"/>
        <v>55</v>
      </c>
      <c r="D112" s="22">
        <f t="shared" si="12"/>
        <v>0.87018504504065342</v>
      </c>
      <c r="E112" s="11">
        <f t="shared" si="14"/>
        <v>95</v>
      </c>
      <c r="F112" s="25">
        <f t="shared" si="13"/>
        <v>0.39500513608739785</v>
      </c>
      <c r="H112" s="23">
        <f t="shared" si="11"/>
        <v>1.1491808618169046</v>
      </c>
      <c r="I112">
        <f t="shared" si="9"/>
        <v>1965</v>
      </c>
      <c r="J112" s="24"/>
      <c r="K112" s="24"/>
      <c r="L112" s="24"/>
      <c r="M112" s="24"/>
      <c r="N112" s="24"/>
      <c r="O112" s="24"/>
      <c r="P112" s="24"/>
      <c r="Q112" s="24"/>
      <c r="R112" s="24"/>
      <c r="S112" s="24"/>
      <c r="T112" s="24"/>
    </row>
    <row r="113" spans="1:26" x14ac:dyDescent="0.2">
      <c r="A113">
        <f t="shared" si="10"/>
        <v>1966</v>
      </c>
      <c r="C113">
        <f t="shared" si="8"/>
        <v>54</v>
      </c>
      <c r="D113" s="22">
        <f t="shared" si="12"/>
        <v>0.87876478870732311</v>
      </c>
      <c r="E113" s="11">
        <f t="shared" si="14"/>
        <v>96</v>
      </c>
      <c r="F113" s="25">
        <f t="shared" si="13"/>
        <v>0.38439349432202324</v>
      </c>
      <c r="H113" s="23">
        <f t="shared" si="11"/>
        <v>1.1379609343144208</v>
      </c>
      <c r="I113">
        <f t="shared" si="9"/>
        <v>1966</v>
      </c>
      <c r="J113" s="24"/>
      <c r="K113" s="24"/>
      <c r="L113" s="24"/>
      <c r="M113" s="24"/>
      <c r="N113" s="24"/>
      <c r="O113" s="24"/>
      <c r="P113" s="24"/>
      <c r="Q113" s="24"/>
      <c r="R113" s="24"/>
      <c r="S113" s="24"/>
      <c r="T113" s="24"/>
    </row>
    <row r="114" spans="1:26" x14ac:dyDescent="0.2">
      <c r="A114">
        <f t="shared" si="10"/>
        <v>1967</v>
      </c>
      <c r="C114">
        <f t="shared" si="8"/>
        <v>53</v>
      </c>
      <c r="D114" s="22">
        <f t="shared" si="12"/>
        <v>0.88699779091202102</v>
      </c>
      <c r="E114" s="11">
        <f t="shared" si="14"/>
        <v>97</v>
      </c>
      <c r="F114" s="25">
        <f t="shared" si="13"/>
        <v>0.3739990007987532</v>
      </c>
      <c r="H114" s="23">
        <f t="shared" si="11"/>
        <v>1.127398523700706</v>
      </c>
      <c r="I114">
        <f t="shared" si="9"/>
        <v>1967</v>
      </c>
      <c r="J114" s="24"/>
      <c r="K114" s="24"/>
      <c r="L114" s="24"/>
      <c r="M114" s="24"/>
      <c r="N114" s="24"/>
      <c r="O114" s="24"/>
      <c r="P114" s="24"/>
      <c r="Q114" s="24"/>
      <c r="R114" s="24"/>
      <c r="S114" s="24"/>
      <c r="T114" s="24"/>
    </row>
    <row r="115" spans="1:26" x14ac:dyDescent="0.2">
      <c r="A115">
        <f t="shared" si="10"/>
        <v>1968</v>
      </c>
      <c r="C115">
        <f t="shared" si="8"/>
        <v>52</v>
      </c>
      <c r="D115" s="22">
        <f t="shared" si="12"/>
        <v>0.89488147633948223</v>
      </c>
      <c r="E115" s="11">
        <f t="shared" si="14"/>
        <v>98</v>
      </c>
      <c r="F115" s="25">
        <f t="shared" si="13"/>
        <v>0.36382433822183685</v>
      </c>
      <c r="H115" s="23">
        <f t="shared" si="11"/>
        <v>1.1174664203470897</v>
      </c>
      <c r="I115">
        <f t="shared" si="9"/>
        <v>1968</v>
      </c>
      <c r="J115" s="24"/>
      <c r="K115" s="24"/>
      <c r="L115" s="24"/>
      <c r="M115" s="24"/>
      <c r="N115" s="24"/>
      <c r="O115" s="24"/>
      <c r="P115" s="24"/>
      <c r="Q115" s="24"/>
      <c r="R115" s="24"/>
      <c r="S115" s="24"/>
      <c r="T115" s="24"/>
    </row>
    <row r="116" spans="1:26" x14ac:dyDescent="0.2">
      <c r="A116">
        <f t="shared" si="10"/>
        <v>1969</v>
      </c>
      <c r="C116">
        <f t="shared" si="8"/>
        <v>51</v>
      </c>
      <c r="D116" s="22">
        <f t="shared" si="12"/>
        <v>0.90241463685549106</v>
      </c>
      <c r="E116" s="11">
        <f t="shared" si="14"/>
        <v>99</v>
      </c>
      <c r="F116" s="25">
        <f t="shared" si="13"/>
        <v>0.35387149569798115</v>
      </c>
      <c r="H116" s="23">
        <f t="shared" si="11"/>
        <v>1.1081380544585913</v>
      </c>
      <c r="I116">
        <f t="shared" si="9"/>
        <v>1969</v>
      </c>
      <c r="J116" s="24"/>
      <c r="K116" s="24"/>
      <c r="L116" s="24"/>
      <c r="M116" s="24"/>
      <c r="N116" s="24"/>
      <c r="O116" s="24"/>
      <c r="P116" s="24"/>
      <c r="Q116" s="24"/>
      <c r="R116" s="24"/>
      <c r="S116" s="24"/>
      <c r="T116" s="24"/>
    </row>
    <row r="117" spans="1:26" x14ac:dyDescent="0.2">
      <c r="A117">
        <f t="shared" si="10"/>
        <v>1970</v>
      </c>
      <c r="C117">
        <f t="shared" si="8"/>
        <v>50</v>
      </c>
      <c r="D117" s="22">
        <f t="shared" si="12"/>
        <v>0.90959739533107919</v>
      </c>
      <c r="E117" s="11">
        <f t="shared" si="14"/>
        <v>100</v>
      </c>
      <c r="F117" s="25">
        <f t="shared" si="13"/>
        <v>0.34414180972517971</v>
      </c>
      <c r="H117" s="23">
        <f t="shared" si="11"/>
        <v>1.0993874928984551</v>
      </c>
      <c r="I117">
        <f t="shared" si="9"/>
        <v>1970</v>
      </c>
      <c r="J117" s="24"/>
      <c r="K117" s="24"/>
      <c r="L117" s="24"/>
      <c r="M117" s="24"/>
      <c r="N117" s="24"/>
      <c r="O117" s="24"/>
      <c r="P117" s="24"/>
      <c r="Q117" s="24"/>
      <c r="R117" s="24"/>
      <c r="S117" s="24"/>
      <c r="T117" s="24"/>
    </row>
    <row r="118" spans="1:26" x14ac:dyDescent="0.2">
      <c r="A118">
        <f t="shared" si="10"/>
        <v>1971</v>
      </c>
      <c r="C118">
        <f t="shared" si="8"/>
        <v>49</v>
      </c>
      <c r="D118" s="22">
        <f t="shared" si="12"/>
        <v>0.91643115946554121</v>
      </c>
      <c r="E118" s="11">
        <f t="shared" si="14"/>
        <v>101</v>
      </c>
      <c r="F118" s="25">
        <f t="shared" si="13"/>
        <v>0.33463600576403768</v>
      </c>
      <c r="H118" s="23">
        <f t="shared" si="11"/>
        <v>1.0911894359672316</v>
      </c>
      <c r="I118">
        <f t="shared" si="9"/>
        <v>1971</v>
      </c>
      <c r="J118" s="24"/>
      <c r="K118" s="24"/>
      <c r="L118" s="24"/>
      <c r="M118" s="24"/>
      <c r="N118" s="24"/>
      <c r="O118" s="24"/>
      <c r="P118" s="24"/>
      <c r="Q118" s="24"/>
      <c r="R118" s="24"/>
      <c r="S118" s="24"/>
      <c r="T118" s="24"/>
    </row>
    <row r="119" spans="1:26" x14ac:dyDescent="0.2">
      <c r="A119">
        <f t="shared" si="10"/>
        <v>1972</v>
      </c>
      <c r="C119">
        <f t="shared" si="8"/>
        <v>48</v>
      </c>
      <c r="D119" s="22">
        <f t="shared" si="12"/>
        <v>0.92291856660656513</v>
      </c>
      <c r="E119" s="11">
        <f t="shared" si="14"/>
        <v>102</v>
      </c>
      <c r="F119" s="25">
        <f t="shared" si="13"/>
        <v>0.32535423996948665</v>
      </c>
      <c r="H119" s="23">
        <f t="shared" si="11"/>
        <v>1.0835192141348418</v>
      </c>
      <c r="I119">
        <f t="shared" si="9"/>
        <v>1972</v>
      </c>
      <c r="J119" s="24"/>
      <c r="K119" s="24"/>
      <c r="L119" s="24"/>
      <c r="M119" s="24"/>
      <c r="N119" s="24"/>
      <c r="O119" s="24"/>
      <c r="P119" s="24"/>
      <c r="Q119" s="24"/>
      <c r="R119" s="24"/>
      <c r="S119" s="24"/>
      <c r="T119" s="24"/>
    </row>
    <row r="120" spans="1:26" x14ac:dyDescent="0.2">
      <c r="A120">
        <f t="shared" si="10"/>
        <v>1973</v>
      </c>
      <c r="C120">
        <f t="shared" si="8"/>
        <v>47</v>
      </c>
      <c r="D120" s="22">
        <f t="shared" si="12"/>
        <v>0.92906342064831493</v>
      </c>
      <c r="E120" s="11">
        <f t="shared" si="14"/>
        <v>103</v>
      </c>
      <c r="F120" s="25">
        <f t="shared" si="13"/>
        <v>0.31629614070777412</v>
      </c>
      <c r="H120" s="23">
        <f t="shared" si="11"/>
        <v>1.0763527847239798</v>
      </c>
      <c r="I120">
        <f t="shared" si="9"/>
        <v>1973</v>
      </c>
      <c r="J120" s="24"/>
      <c r="K120" s="24"/>
      <c r="L120" s="24"/>
      <c r="M120" s="24"/>
      <c r="N120" s="24"/>
      <c r="O120" s="24"/>
      <c r="P120" s="24"/>
      <c r="Q120" s="24"/>
      <c r="R120" s="24"/>
      <c r="S120" s="24"/>
      <c r="T120" s="24"/>
    </row>
    <row r="121" spans="1:26" x14ac:dyDescent="0.2">
      <c r="A121">
        <f t="shared" si="10"/>
        <v>1974</v>
      </c>
      <c r="C121">
        <f t="shared" si="8"/>
        <v>46</v>
      </c>
      <c r="D121" s="22">
        <f t="shared" si="12"/>
        <v>0.93487062214415295</v>
      </c>
      <c r="E121" s="11">
        <f t="shared" si="14"/>
        <v>104</v>
      </c>
      <c r="F121" s="25">
        <f t="shared" si="13"/>
        <v>0.30746084952994562</v>
      </c>
      <c r="H121" s="23">
        <f t="shared" si="11"/>
        <v>1.0696667285431121</v>
      </c>
      <c r="I121">
        <f t="shared" si="9"/>
        <v>1974</v>
      </c>
      <c r="J121" s="24"/>
      <c r="K121" s="24"/>
      <c r="L121" s="24"/>
      <c r="M121" s="24"/>
      <c r="N121" s="24"/>
      <c r="O121" s="24"/>
      <c r="P121" s="24"/>
      <c r="Q121" s="24"/>
      <c r="R121" s="24"/>
      <c r="S121" s="24"/>
      <c r="T121" s="24"/>
    </row>
    <row r="122" spans="1:26" x14ac:dyDescent="0.2">
      <c r="A122">
        <f t="shared" si="10"/>
        <v>1975</v>
      </c>
      <c r="C122">
        <f t="shared" si="8"/>
        <v>45</v>
      </c>
      <c r="D122" s="22">
        <f t="shared" si="12"/>
        <v>0.94034609280043069</v>
      </c>
      <c r="E122" s="11">
        <f t="shared" si="14"/>
        <v>105</v>
      </c>
      <c r="F122" s="25">
        <f t="shared" si="13"/>
        <v>0.29884706131796601</v>
      </c>
      <c r="H122" s="23">
        <f t="shared" si="11"/>
        <v>1.0634382464672287</v>
      </c>
      <c r="I122">
        <f t="shared" si="9"/>
        <v>1975</v>
      </c>
      <c r="J122" s="24"/>
      <c r="K122" s="24"/>
      <c r="L122" s="24"/>
      <c r="M122" s="24"/>
      <c r="N122" s="24"/>
      <c r="O122" s="24"/>
      <c r="P122" s="24"/>
      <c r="Q122" s="24"/>
      <c r="R122" s="24"/>
      <c r="S122" s="24"/>
      <c r="T122" s="24"/>
    </row>
    <row r="123" spans="1:26" x14ac:dyDescent="0.2">
      <c r="A123">
        <f t="shared" si="10"/>
        <v>1976</v>
      </c>
      <c r="C123">
        <f t="shared" si="8"/>
        <v>44</v>
      </c>
      <c r="D123" s="22">
        <f t="shared" si="12"/>
        <v>0.94549669552276183</v>
      </c>
      <c r="E123" s="11">
        <f t="shared" si="14"/>
        <v>106</v>
      </c>
      <c r="F123" s="25">
        <f t="shared" si="13"/>
        <v>0.29045306336257032</v>
      </c>
      <c r="H123" s="23">
        <f t="shared" si="11"/>
        <v>1.057645155964404</v>
      </c>
      <c r="I123">
        <f t="shared" si="9"/>
        <v>1976</v>
      </c>
      <c r="J123" s="24"/>
      <c r="K123" s="24"/>
      <c r="L123" s="24"/>
      <c r="M123" s="24"/>
      <c r="N123" s="24"/>
      <c r="O123" s="24"/>
      <c r="P123" s="24"/>
      <c r="Q123" s="24"/>
      <c r="R123" s="24"/>
      <c r="S123" s="24"/>
      <c r="T123" s="24"/>
    </row>
    <row r="124" spans="1:26" x14ac:dyDescent="0.2">
      <c r="A124">
        <f t="shared" si="10"/>
        <v>1977</v>
      </c>
      <c r="C124">
        <f t="shared" si="8"/>
        <v>43</v>
      </c>
      <c r="D124" s="22">
        <f t="shared" si="12"/>
        <v>0.95033015116836539</v>
      </c>
      <c r="E124" s="11">
        <f t="shared" si="14"/>
        <v>107</v>
      </c>
      <c r="F124" s="25">
        <f t="shared" si="13"/>
        <v>0.28227677317245792</v>
      </c>
      <c r="H124" s="23">
        <f t="shared" si="11"/>
        <v>1.0522658875660937</v>
      </c>
      <c r="I124">
        <f t="shared" si="9"/>
        <v>1977</v>
      </c>
      <c r="J124" s="24"/>
      <c r="K124" s="24"/>
      <c r="L124" s="24"/>
      <c r="M124" s="24"/>
      <c r="N124" s="24"/>
      <c r="O124" s="24"/>
      <c r="P124" s="24"/>
      <c r="Q124" s="24"/>
      <c r="R124" s="24"/>
      <c r="S124" s="24"/>
      <c r="T124" s="24"/>
    </row>
    <row r="125" spans="1:26" x14ac:dyDescent="0.2">
      <c r="A125">
        <f t="shared" si="10"/>
        <v>1978</v>
      </c>
      <c r="C125">
        <f t="shared" si="8"/>
        <v>42</v>
      </c>
      <c r="D125" s="22">
        <f t="shared" si="12"/>
        <v>0.9548549531198296</v>
      </c>
      <c r="E125" s="11">
        <f t="shared" si="14"/>
        <v>108</v>
      </c>
      <c r="F125" s="25">
        <f t="shared" si="13"/>
        <v>0.27431577485219677</v>
      </c>
      <c r="H125" s="23">
        <f t="shared" si="11"/>
        <v>1.0472794812789801</v>
      </c>
      <c r="I125">
        <f t="shared" si="9"/>
        <v>1978</v>
      </c>
      <c r="J125" s="24"/>
      <c r="K125" s="24"/>
      <c r="L125" s="24"/>
      <c r="M125" s="24"/>
      <c r="N125" s="24"/>
      <c r="O125" s="24"/>
      <c r="P125" s="24"/>
      <c r="Q125" s="24"/>
      <c r="R125" s="24"/>
      <c r="S125" s="24"/>
      <c r="T125" s="24"/>
      <c r="Z125" t="s">
        <v>84</v>
      </c>
    </row>
    <row r="126" spans="1:26" x14ac:dyDescent="0.2">
      <c r="A126">
        <f t="shared" si="10"/>
        <v>1979</v>
      </c>
      <c r="C126">
        <f t="shared" si="8"/>
        <v>41</v>
      </c>
      <c r="D126" s="22">
        <f t="shared" si="12"/>
        <v>0.95908028073978546</v>
      </c>
      <c r="E126" s="11">
        <f t="shared" si="14"/>
        <v>109</v>
      </c>
      <c r="F126" s="25">
        <f t="shared" si="13"/>
        <v>0.26656735392099074</v>
      </c>
      <c r="H126" s="23">
        <f t="shared" si="11"/>
        <v>1.0426655829360303</v>
      </c>
      <c r="I126">
        <f t="shared" si="9"/>
        <v>1979</v>
      </c>
      <c r="J126">
        <f t="shared" ref="J126:N135" si="15">VLOOKUP($I126-J$169,$C$17:$D$167,2,FALSE)</f>
        <v>0.91643115946554121</v>
      </c>
      <c r="K126">
        <f t="shared" si="15"/>
        <v>0.98720372181565841</v>
      </c>
      <c r="L126">
        <f t="shared" si="15"/>
        <v>0.99566331246840367</v>
      </c>
      <c r="M126">
        <f t="shared" si="15"/>
        <v>0.99956208839352689</v>
      </c>
      <c r="N126">
        <f t="shared" si="15"/>
        <v>0.99999789521414317</v>
      </c>
      <c r="O126">
        <f t="shared" ref="O126:O145" si="16">IF(I126&lt;O$169,1,VLOOKUP($I126-O$169,$C$17:$D$167,2,FALSE))</f>
        <v>1</v>
      </c>
      <c r="P126">
        <f t="shared" ref="P126:P145" si="17">IF(J126&lt;P$169,1,VLOOKUP($I126-P$169,$C$17:$D$167,2,FALSE))</f>
        <v>1</v>
      </c>
      <c r="Q126" s="24"/>
      <c r="R126" s="24">
        <f t="shared" ref="R126:X141" si="18">R$16*J126/J$146</f>
        <v>7348.0849257679483</v>
      </c>
      <c r="S126" s="24">
        <f t="shared" si="18"/>
        <v>1662.0786989351591</v>
      </c>
      <c r="T126" s="24">
        <f t="shared" si="18"/>
        <v>1893.3787238461198</v>
      </c>
      <c r="U126" s="24">
        <f t="shared" si="18"/>
        <v>3417.3615078789235</v>
      </c>
      <c r="V126" s="24">
        <f t="shared" si="18"/>
        <v>5684.4855329534639</v>
      </c>
      <c r="W126" s="24">
        <f t="shared" si="18"/>
        <v>4405.0872449879407</v>
      </c>
      <c r="X126" s="24">
        <f t="shared" si="18"/>
        <v>2021.0962720663786</v>
      </c>
      <c r="Y126" s="24">
        <f>SUM(R126:X126)</f>
        <v>26431.572906435929</v>
      </c>
    </row>
    <row r="127" spans="1:26" x14ac:dyDescent="0.2">
      <c r="A127">
        <f t="shared" si="10"/>
        <v>1980</v>
      </c>
      <c r="C127">
        <f t="shared" si="8"/>
        <v>40</v>
      </c>
      <c r="D127" s="22">
        <f t="shared" si="12"/>
        <v>0.96301591269546205</v>
      </c>
      <c r="E127" s="11">
        <f t="shared" si="14"/>
        <v>110</v>
      </c>
      <c r="F127" s="25">
        <f t="shared" si="13"/>
        <v>0.25902853047615043</v>
      </c>
      <c r="H127" s="23">
        <f t="shared" si="11"/>
        <v>1.0384044404842909</v>
      </c>
      <c r="I127">
        <f t="shared" si="9"/>
        <v>1980</v>
      </c>
      <c r="J127">
        <f t="shared" si="15"/>
        <v>0.90959739533107919</v>
      </c>
      <c r="K127">
        <f t="shared" si="15"/>
        <v>0.985377096545209</v>
      </c>
      <c r="L127">
        <f t="shared" si="15"/>
        <v>0.9948436097637755</v>
      </c>
      <c r="M127">
        <f t="shared" si="15"/>
        <v>0.99941251074394599</v>
      </c>
      <c r="N127">
        <f t="shared" si="15"/>
        <v>0.99999455300773576</v>
      </c>
      <c r="O127">
        <f t="shared" si="16"/>
        <v>1</v>
      </c>
      <c r="P127">
        <f t="shared" si="17"/>
        <v>1</v>
      </c>
      <c r="Q127" s="24"/>
      <c r="R127" s="24">
        <f t="shared" ref="R127:R146" si="19">R$16*J127/J$146</f>
        <v>7293.2907617938863</v>
      </c>
      <c r="S127" s="24">
        <f t="shared" si="18"/>
        <v>1659.0033509741861</v>
      </c>
      <c r="T127" s="24">
        <f t="shared" si="18"/>
        <v>1891.8199562975049</v>
      </c>
      <c r="U127" s="24">
        <f t="shared" si="18"/>
        <v>3416.8501230354491</v>
      </c>
      <c r="V127" s="24">
        <f t="shared" si="18"/>
        <v>5684.4665341895034</v>
      </c>
      <c r="W127" s="24">
        <f t="shared" si="18"/>
        <v>4405.0872449879407</v>
      </c>
      <c r="X127" s="24">
        <f t="shared" si="18"/>
        <v>2021.0962720663786</v>
      </c>
      <c r="Y127" s="24">
        <f>SUM(R127:X127)</f>
        <v>26371.614243344844</v>
      </c>
      <c r="Z127" s="24">
        <f>Y127-Y126</f>
        <v>-59.958663091085327</v>
      </c>
    </row>
    <row r="128" spans="1:26" x14ac:dyDescent="0.2">
      <c r="A128">
        <f t="shared" si="10"/>
        <v>1981</v>
      </c>
      <c r="C128">
        <f t="shared" si="8"/>
        <v>39</v>
      </c>
      <c r="D128" s="22">
        <f t="shared" si="12"/>
        <v>0.96667214106000876</v>
      </c>
      <c r="E128" s="11">
        <f t="shared" si="14"/>
        <v>111</v>
      </c>
      <c r="F128" s="25">
        <f t="shared" si="13"/>
        <v>0.25169609063365206</v>
      </c>
      <c r="H128" s="23">
        <f t="shared" si="11"/>
        <v>1.0344769002067706</v>
      </c>
      <c r="I128">
        <f t="shared" si="9"/>
        <v>1981</v>
      </c>
      <c r="J128">
        <f t="shared" si="15"/>
        <v>0.90241463685549106</v>
      </c>
      <c r="K128">
        <f t="shared" si="15"/>
        <v>0.98336239187312824</v>
      </c>
      <c r="L128">
        <f t="shared" si="15"/>
        <v>0.99391135554715382</v>
      </c>
      <c r="M128">
        <f t="shared" si="15"/>
        <v>0.99922668861951447</v>
      </c>
      <c r="N128">
        <f t="shared" si="15"/>
        <v>0.99998815434890775</v>
      </c>
      <c r="O128">
        <f t="shared" si="16"/>
        <v>1</v>
      </c>
      <c r="P128">
        <f t="shared" si="17"/>
        <v>1</v>
      </c>
      <c r="Q128" s="24"/>
      <c r="R128" s="24">
        <f t="shared" si="19"/>
        <v>7235.69830792023</v>
      </c>
      <c r="S128" s="24">
        <f t="shared" si="18"/>
        <v>1655.6113482435321</v>
      </c>
      <c r="T128" s="24">
        <f t="shared" si="18"/>
        <v>1890.0471579259436</v>
      </c>
      <c r="U128" s="24">
        <f t="shared" si="18"/>
        <v>3416.2148234550441</v>
      </c>
      <c r="V128" s="24">
        <f t="shared" si="18"/>
        <v>5684.4301610294087</v>
      </c>
      <c r="W128" s="24">
        <f t="shared" si="18"/>
        <v>4405.0872449879407</v>
      </c>
      <c r="X128" s="24">
        <f t="shared" si="18"/>
        <v>2021.0962720663786</v>
      </c>
      <c r="Y128" s="24">
        <f t="shared" ref="Y128:Y145" si="20">SUM(R128:X128)</f>
        <v>26308.185315628474</v>
      </c>
      <c r="Z128" s="24">
        <f t="shared" ref="Z128:Z156" si="21">Y128-Y127</f>
        <v>-63.428927716369799</v>
      </c>
    </row>
    <row r="129" spans="1:26" x14ac:dyDescent="0.2">
      <c r="A129">
        <f t="shared" si="10"/>
        <v>1982</v>
      </c>
      <c r="C129">
        <f t="shared" si="8"/>
        <v>38</v>
      </c>
      <c r="D129" s="22">
        <f t="shared" si="12"/>
        <v>0.97005968700685008</v>
      </c>
      <c r="E129" s="11">
        <f t="shared" si="14"/>
        <v>112</v>
      </c>
      <c r="F129" s="25">
        <f t="shared" si="13"/>
        <v>0.24456661620361286</v>
      </c>
      <c r="H129" s="23">
        <f t="shared" si="11"/>
        <v>1.0308644028755918</v>
      </c>
      <c r="I129">
        <f t="shared" si="9"/>
        <v>1982</v>
      </c>
      <c r="J129">
        <f t="shared" si="15"/>
        <v>0.89488147633948223</v>
      </c>
      <c r="K129">
        <f t="shared" si="15"/>
        <v>0.98114798324342201</v>
      </c>
      <c r="L129">
        <f t="shared" si="15"/>
        <v>0.99285665043186788</v>
      </c>
      <c r="M129">
        <f t="shared" si="15"/>
        <v>0.99899896890334761</v>
      </c>
      <c r="N129">
        <f t="shared" si="15"/>
        <v>0.99997715316816216</v>
      </c>
      <c r="O129">
        <f t="shared" si="16"/>
        <v>1</v>
      </c>
      <c r="P129">
        <f t="shared" si="17"/>
        <v>1</v>
      </c>
      <c r="Q129" s="24"/>
      <c r="R129" s="24">
        <f t="shared" si="19"/>
        <v>7175.2962769991536</v>
      </c>
      <c r="S129" s="24">
        <f t="shared" si="18"/>
        <v>1651.8831193756307</v>
      </c>
      <c r="T129" s="24">
        <f t="shared" si="18"/>
        <v>1888.0415038055128</v>
      </c>
      <c r="U129" s="24">
        <f t="shared" si="18"/>
        <v>3415.4362819300604</v>
      </c>
      <c r="V129" s="24">
        <f t="shared" si="18"/>
        <v>5684.3676248449892</v>
      </c>
      <c r="W129" s="24">
        <f t="shared" si="18"/>
        <v>4405.0872449879407</v>
      </c>
      <c r="X129" s="24">
        <f t="shared" si="18"/>
        <v>2021.0962720663786</v>
      </c>
      <c r="Y129" s="24">
        <f t="shared" si="20"/>
        <v>26241.208324009665</v>
      </c>
      <c r="Z129" s="24">
        <f t="shared" si="21"/>
        <v>-66.976991618808825</v>
      </c>
    </row>
    <row r="130" spans="1:26" x14ac:dyDescent="0.2">
      <c r="A130">
        <f t="shared" si="10"/>
        <v>1983</v>
      </c>
      <c r="C130">
        <f>C129-1</f>
        <v>37</v>
      </c>
      <c r="D130" s="22">
        <f t="shared" si="12"/>
        <v>0.97318961881714305</v>
      </c>
      <c r="E130" s="11">
        <f t="shared" si="14"/>
        <v>113</v>
      </c>
      <c r="F130" s="25">
        <f t="shared" si="13"/>
        <v>0.23763651258091167</v>
      </c>
      <c r="H130" s="23">
        <f t="shared" si="11"/>
        <v>1.027548979833389</v>
      </c>
      <c r="I130">
        <f>I129+1</f>
        <v>1983</v>
      </c>
      <c r="J130">
        <f t="shared" si="15"/>
        <v>0.88699779091202102</v>
      </c>
      <c r="K130">
        <f t="shared" si="15"/>
        <v>0.97872217779654513</v>
      </c>
      <c r="L130">
        <f t="shared" si="15"/>
        <v>0.99166924623704455</v>
      </c>
      <c r="M130">
        <f t="shared" si="15"/>
        <v>0.99872325176836463</v>
      </c>
      <c r="N130">
        <f t="shared" si="15"/>
        <v>0.99995964177326324</v>
      </c>
      <c r="O130">
        <f t="shared" si="16"/>
        <v>1</v>
      </c>
      <c r="P130">
        <f t="shared" si="17"/>
        <v>1</v>
      </c>
      <c r="Q130" s="24"/>
      <c r="R130" s="24">
        <f t="shared" si="19"/>
        <v>7112.083683831971</v>
      </c>
      <c r="S130" s="24">
        <f t="shared" si="18"/>
        <v>1647.7989780054993</v>
      </c>
      <c r="T130" s="24">
        <f t="shared" si="18"/>
        <v>1885.783505734347</v>
      </c>
      <c r="U130" s="24">
        <f t="shared" si="18"/>
        <v>3414.4936440138226</v>
      </c>
      <c r="V130" s="24">
        <f t="shared" si="18"/>
        <v>5684.2680813645065</v>
      </c>
      <c r="W130" s="24">
        <f t="shared" si="18"/>
        <v>4405.0872449879407</v>
      </c>
      <c r="X130" s="24">
        <f t="shared" si="18"/>
        <v>2021.0962720663786</v>
      </c>
      <c r="Y130" s="24">
        <f t="shared" si="20"/>
        <v>26170.611410004462</v>
      </c>
      <c r="Z130" s="24">
        <f t="shared" si="21"/>
        <v>-70.596914005203871</v>
      </c>
    </row>
    <row r="131" spans="1:26" x14ac:dyDescent="0.2">
      <c r="A131">
        <f t="shared" si="10"/>
        <v>1984</v>
      </c>
      <c r="C131">
        <f t="shared" si="8"/>
        <v>36</v>
      </c>
      <c r="D131" s="22">
        <f t="shared" si="12"/>
        <v>0.97607327282135148</v>
      </c>
      <c r="E131" s="11">
        <f t="shared" si="14"/>
        <v>114</v>
      </c>
      <c r="F131" s="25">
        <f t="shared" si="13"/>
        <v>0.23090203485068986</v>
      </c>
      <c r="H131" s="23">
        <f t="shared" si="11"/>
        <v>1.0245132489997273</v>
      </c>
      <c r="I131">
        <f t="shared" si="9"/>
        <v>1984</v>
      </c>
      <c r="J131">
        <f t="shared" si="15"/>
        <v>0.87876478870732311</v>
      </c>
      <c r="K131">
        <f t="shared" si="15"/>
        <v>0.97607327282135148</v>
      </c>
      <c r="L131">
        <f t="shared" si="15"/>
        <v>0.99033857302043671</v>
      </c>
      <c r="M131">
        <f t="shared" si="15"/>
        <v>0.99839298981425129</v>
      </c>
      <c r="N131">
        <f t="shared" si="15"/>
        <v>0.99993333615200219</v>
      </c>
      <c r="O131">
        <f t="shared" si="16"/>
        <v>1</v>
      </c>
      <c r="P131">
        <f t="shared" si="17"/>
        <v>1</v>
      </c>
      <c r="Q131" s="24"/>
      <c r="R131" s="24">
        <f t="shared" si="19"/>
        <v>7046.0702154232413</v>
      </c>
      <c r="S131" s="24">
        <f t="shared" si="18"/>
        <v>1643.3392211817757</v>
      </c>
      <c r="T131" s="24">
        <f t="shared" si="18"/>
        <v>1883.2530636409542</v>
      </c>
      <c r="U131" s="24">
        <f t="shared" si="18"/>
        <v>3413.3645250700288</v>
      </c>
      <c r="V131" s="24">
        <f t="shared" si="18"/>
        <v>5684.1185471262752</v>
      </c>
      <c r="W131" s="24">
        <f t="shared" si="18"/>
        <v>4405.0872449879407</v>
      </c>
      <c r="X131" s="24">
        <f t="shared" si="18"/>
        <v>2021.0962720663786</v>
      </c>
      <c r="Y131" s="24">
        <f t="shared" si="20"/>
        <v>26096.329089496594</v>
      </c>
      <c r="Z131" s="24">
        <f t="shared" si="21"/>
        <v>-74.282320507867553</v>
      </c>
    </row>
    <row r="132" spans="1:26" x14ac:dyDescent="0.2">
      <c r="A132">
        <f t="shared" si="10"/>
        <v>1985</v>
      </c>
      <c r="C132">
        <f t="shared" ref="C132:C167" si="22">C131-1</f>
        <v>35</v>
      </c>
      <c r="D132" s="22">
        <f t="shared" si="12"/>
        <v>0.97872217779654513</v>
      </c>
      <c r="E132" s="11">
        <f t="shared" si="14"/>
        <v>115</v>
      </c>
      <c r="F132" s="25">
        <f t="shared" si="13"/>
        <v>0.22435931212522328</v>
      </c>
      <c r="H132" s="23">
        <f t="shared" si="11"/>
        <v>1.0217404107990675</v>
      </c>
      <c r="I132">
        <f t="shared" si="9"/>
        <v>1985</v>
      </c>
      <c r="J132">
        <f t="shared" si="15"/>
        <v>0.87018504504065342</v>
      </c>
      <c r="K132">
        <f t="shared" si="15"/>
        <v>0.97318961881714305</v>
      </c>
      <c r="L132">
        <f t="shared" si="15"/>
        <v>0.98885377017892562</v>
      </c>
      <c r="M132">
        <f t="shared" si="15"/>
        <v>0.99800118901189872</v>
      </c>
      <c r="N132">
        <f t="shared" si="15"/>
        <v>0.99989556296392978</v>
      </c>
      <c r="O132">
        <f t="shared" si="16"/>
        <v>1</v>
      </c>
      <c r="P132">
        <f t="shared" si="17"/>
        <v>1</v>
      </c>
      <c r="Q132" s="24"/>
      <c r="R132" s="24">
        <f t="shared" si="19"/>
        <v>6977.2765210438656</v>
      </c>
      <c r="S132" s="24">
        <f t="shared" si="18"/>
        <v>1638.4842355394212</v>
      </c>
      <c r="T132" s="24">
        <f t="shared" si="18"/>
        <v>1880.4295247257221</v>
      </c>
      <c r="U132" s="24">
        <f t="shared" si="18"/>
        <v>3412.0250135016499</v>
      </c>
      <c r="V132" s="24">
        <f t="shared" si="18"/>
        <v>5683.9038255332016</v>
      </c>
      <c r="W132" s="24">
        <f t="shared" si="18"/>
        <v>4405.0872449879407</v>
      </c>
      <c r="X132" s="24">
        <f t="shared" si="18"/>
        <v>2021.0962720663786</v>
      </c>
      <c r="Y132" s="24">
        <f t="shared" si="20"/>
        <v>26018.302637398181</v>
      </c>
      <c r="Z132" s="24">
        <f t="shared" si="21"/>
        <v>-78.026452098412847</v>
      </c>
    </row>
    <row r="133" spans="1:26" x14ac:dyDescent="0.2">
      <c r="A133">
        <f t="shared" si="10"/>
        <v>1986</v>
      </c>
      <c r="C133">
        <f t="shared" si="22"/>
        <v>34</v>
      </c>
      <c r="D133" s="22">
        <f t="shared" si="12"/>
        <v>0.98114798324342201</v>
      </c>
      <c r="E133" s="11">
        <f t="shared" si="14"/>
        <v>116</v>
      </c>
      <c r="F133" s="25">
        <f t="shared" si="13"/>
        <v>0.21800437014283325</v>
      </c>
      <c r="H133" s="23">
        <f t="shared" si="11"/>
        <v>1.0192142440065546</v>
      </c>
      <c r="I133">
        <f t="shared" ref="I133:I167" si="23">I132+1</f>
        <v>1986</v>
      </c>
      <c r="J133">
        <f t="shared" si="15"/>
        <v>0.86126252769370748</v>
      </c>
      <c r="K133">
        <f t="shared" si="15"/>
        <v>0.97005968700685008</v>
      </c>
      <c r="L133">
        <f t="shared" si="15"/>
        <v>0.98720372181565841</v>
      </c>
      <c r="M133">
        <f t="shared" si="15"/>
        <v>0.99754041164089791</v>
      </c>
      <c r="N133">
        <f t="shared" si="15"/>
        <v>0.99984324796371249</v>
      </c>
      <c r="O133">
        <f t="shared" si="16"/>
        <v>0.99999999427563546</v>
      </c>
      <c r="P133">
        <f t="shared" si="17"/>
        <v>1</v>
      </c>
      <c r="Q133" s="24"/>
      <c r="R133" s="24">
        <f t="shared" si="19"/>
        <v>6905.7344149731462</v>
      </c>
      <c r="S133" s="24">
        <f t="shared" si="18"/>
        <v>1633.2146109664509</v>
      </c>
      <c r="T133" s="24">
        <f t="shared" si="18"/>
        <v>1877.2917507159696</v>
      </c>
      <c r="U133" s="24">
        <f t="shared" si="18"/>
        <v>3410.4496807938135</v>
      </c>
      <c r="V133" s="24">
        <f t="shared" si="18"/>
        <v>5683.6064410453782</v>
      </c>
      <c r="W133" s="24">
        <f t="shared" si="18"/>
        <v>4405.0872197716162</v>
      </c>
      <c r="X133" s="24">
        <f t="shared" si="18"/>
        <v>2021.0962720663786</v>
      </c>
      <c r="Y133" s="24">
        <f t="shared" si="20"/>
        <v>25936.480390332752</v>
      </c>
      <c r="Z133" s="24">
        <f t="shared" si="21"/>
        <v>-81.82224706542911</v>
      </c>
    </row>
    <row r="134" spans="1:26" x14ac:dyDescent="0.2">
      <c r="A134">
        <f t="shared" si="10"/>
        <v>1987</v>
      </c>
      <c r="C134">
        <f t="shared" si="22"/>
        <v>33</v>
      </c>
      <c r="D134" s="22">
        <f t="shared" si="12"/>
        <v>0.98336239187312824</v>
      </c>
      <c r="E134" s="11">
        <f t="shared" si="14"/>
        <v>117</v>
      </c>
      <c r="F134" s="25">
        <f t="shared" si="13"/>
        <v>0.21183315217133031</v>
      </c>
      <c r="H134" s="23">
        <f t="shared" si="11"/>
        <v>1.0169191015076142</v>
      </c>
      <c r="I134">
        <f t="shared" si="23"/>
        <v>1987</v>
      </c>
      <c r="J134">
        <f t="shared" si="15"/>
        <v>0.85200261055483129</v>
      </c>
      <c r="K134">
        <f t="shared" si="15"/>
        <v>0.96667214106000876</v>
      </c>
      <c r="L134">
        <f t="shared" si="15"/>
        <v>0.985377096545209</v>
      </c>
      <c r="M134">
        <f t="shared" si="15"/>
        <v>0.99700278142293219</v>
      </c>
      <c r="N134">
        <f t="shared" si="15"/>
        <v>0.99977290570882893</v>
      </c>
      <c r="O134">
        <f t="shared" si="16"/>
        <v>0.99999989023395652</v>
      </c>
      <c r="P134">
        <f t="shared" si="17"/>
        <v>1</v>
      </c>
      <c r="Q134" s="24"/>
      <c r="R134" s="24">
        <f t="shared" si="19"/>
        <v>6831.4869858681404</v>
      </c>
      <c r="S134" s="24">
        <f t="shared" si="18"/>
        <v>1627.5112613583742</v>
      </c>
      <c r="T134" s="24">
        <f t="shared" si="18"/>
        <v>1873.8181935604546</v>
      </c>
      <c r="U134" s="24">
        <f t="shared" si="18"/>
        <v>3408.6115990641415</v>
      </c>
      <c r="V134" s="24">
        <f t="shared" si="18"/>
        <v>5683.2065806735181</v>
      </c>
      <c r="W134" s="24">
        <f t="shared" si="18"/>
        <v>4405.0867614589424</v>
      </c>
      <c r="X134" s="24">
        <f t="shared" si="18"/>
        <v>2021.0962720663786</v>
      </c>
      <c r="Y134" s="24">
        <f t="shared" si="20"/>
        <v>25850.817654049952</v>
      </c>
      <c r="Z134" s="24">
        <f t="shared" si="21"/>
        <v>-85.662736282800324</v>
      </c>
    </row>
    <row r="135" spans="1:26" x14ac:dyDescent="0.2">
      <c r="A135">
        <f t="shared" si="10"/>
        <v>1988</v>
      </c>
      <c r="C135">
        <f t="shared" si="22"/>
        <v>32</v>
      </c>
      <c r="D135" s="22">
        <f t="shared" si="12"/>
        <v>0.985377096545209</v>
      </c>
      <c r="E135" s="11">
        <f t="shared" si="14"/>
        <v>118</v>
      </c>
      <c r="F135" s="25">
        <f t="shared" si="13"/>
        <v>0.20584153826811386</v>
      </c>
      <c r="H135" s="23">
        <f t="shared" si="11"/>
        <v>1.014839905967025</v>
      </c>
      <c r="I135">
        <f t="shared" si="23"/>
        <v>1988</v>
      </c>
      <c r="J135">
        <f t="shared" si="15"/>
        <v>0.84241207501726123</v>
      </c>
      <c r="K135">
        <f t="shared" si="15"/>
        <v>0.96301591269546205</v>
      </c>
      <c r="L135">
        <f t="shared" si="15"/>
        <v>0.98336239187312824</v>
      </c>
      <c r="M135">
        <f t="shared" si="15"/>
        <v>0.99637999106873743</v>
      </c>
      <c r="N135">
        <f t="shared" si="15"/>
        <v>0.99968063047943412</v>
      </c>
      <c r="O135">
        <f t="shared" si="16"/>
        <v>0.99999938223536866</v>
      </c>
      <c r="P135">
        <f t="shared" si="17"/>
        <v>1</v>
      </c>
      <c r="Q135" s="24"/>
      <c r="R135" s="24">
        <f t="shared" si="19"/>
        <v>6754.5886079749671</v>
      </c>
      <c r="S135" s="24">
        <f t="shared" si="18"/>
        <v>1621.3555519046265</v>
      </c>
      <c r="T135" s="24">
        <f t="shared" si="18"/>
        <v>1869.9869798226559</v>
      </c>
      <c r="U135" s="24">
        <f t="shared" si="18"/>
        <v>3406.4823668647455</v>
      </c>
      <c r="V135" s="24">
        <f t="shared" si="18"/>
        <v>5682.6820423629315</v>
      </c>
      <c r="W135" s="24">
        <f t="shared" si="18"/>
        <v>4405.0845236808427</v>
      </c>
      <c r="X135" s="24">
        <f t="shared" si="18"/>
        <v>2021.0962720663786</v>
      </c>
      <c r="Y135" s="24">
        <f t="shared" si="20"/>
        <v>25761.276344677146</v>
      </c>
      <c r="Z135" s="24">
        <f t="shared" si="21"/>
        <v>-89.541309372805699</v>
      </c>
    </row>
    <row r="136" spans="1:26" x14ac:dyDescent="0.2">
      <c r="A136">
        <f t="shared" si="10"/>
        <v>1989</v>
      </c>
      <c r="C136">
        <f t="shared" si="22"/>
        <v>31</v>
      </c>
      <c r="D136" s="22">
        <f t="shared" si="12"/>
        <v>0.98720372181565841</v>
      </c>
      <c r="E136" s="11">
        <f t="shared" si="14"/>
        <v>119</v>
      </c>
      <c r="F136" s="25">
        <f t="shared" si="13"/>
        <v>0.20002536295673984</v>
      </c>
      <c r="H136" s="23">
        <f t="shared" si="11"/>
        <v>1.0129621454027815</v>
      </c>
      <c r="I136">
        <f t="shared" si="23"/>
        <v>1989</v>
      </c>
      <c r="J136">
        <f t="shared" ref="J136:N145" si="24">VLOOKUP($I136-J$169,$C$17:$D$167,2,FALSE)</f>
        <v>0.83249909871707539</v>
      </c>
      <c r="K136">
        <f t="shared" si="24"/>
        <v>0.95908028073978546</v>
      </c>
      <c r="L136">
        <f t="shared" si="24"/>
        <v>0.98114798324342201</v>
      </c>
      <c r="M136">
        <f t="shared" si="24"/>
        <v>0.99566331246840367</v>
      </c>
      <c r="N136">
        <f t="shared" si="24"/>
        <v>0.99956208839352689</v>
      </c>
      <c r="O136">
        <f t="shared" si="16"/>
        <v>0.99999789521414317</v>
      </c>
      <c r="P136">
        <f t="shared" si="17"/>
        <v>1</v>
      </c>
      <c r="Q136" s="24"/>
      <c r="R136" s="24">
        <f t="shared" si="19"/>
        <v>6675.1048508279791</v>
      </c>
      <c r="S136" s="24">
        <f t="shared" si="18"/>
        <v>1614.729432193137</v>
      </c>
      <c r="T136" s="24">
        <f t="shared" si="18"/>
        <v>1865.7760039507091</v>
      </c>
      <c r="U136" s="24">
        <f t="shared" si="18"/>
        <v>3404.0321440214225</v>
      </c>
      <c r="V136" s="24">
        <f t="shared" si="18"/>
        <v>5682.0081901722315</v>
      </c>
      <c r="W136" s="24">
        <f t="shared" si="18"/>
        <v>4405.0779732226092</v>
      </c>
      <c r="X136" s="24">
        <f t="shared" si="18"/>
        <v>2021.0962720663786</v>
      </c>
      <c r="Y136" s="24">
        <f t="shared" si="20"/>
        <v>25667.824866454463</v>
      </c>
      <c r="Z136" s="24">
        <f t="shared" si="21"/>
        <v>-93.451478222683363</v>
      </c>
    </row>
    <row r="137" spans="1:26" x14ac:dyDescent="0.2">
      <c r="A137">
        <f t="shared" si="10"/>
        <v>1990</v>
      </c>
      <c r="C137">
        <f t="shared" si="22"/>
        <v>30</v>
      </c>
      <c r="D137" s="22">
        <f t="shared" si="12"/>
        <v>0.98885377017892562</v>
      </c>
      <c r="E137" s="11">
        <f t="shared" si="14"/>
        <v>120</v>
      </c>
      <c r="F137" s="25">
        <f t="shared" si="13"/>
        <v>0.19438043138568234</v>
      </c>
      <c r="H137" s="23">
        <f t="shared" si="11"/>
        <v>1.011271868659668</v>
      </c>
      <c r="I137">
        <f t="shared" si="23"/>
        <v>1990</v>
      </c>
      <c r="J137">
        <f t="shared" si="24"/>
        <v>0.82227323138786079</v>
      </c>
      <c r="K137">
        <f t="shared" si="24"/>
        <v>0.9548549531198296</v>
      </c>
      <c r="L137">
        <f t="shared" si="24"/>
        <v>0.97872217779654513</v>
      </c>
      <c r="M137">
        <f t="shared" si="24"/>
        <v>0.9948436097637755</v>
      </c>
      <c r="N137">
        <f t="shared" si="24"/>
        <v>0.99941251074394599</v>
      </c>
      <c r="O137">
        <f t="shared" si="16"/>
        <v>0.99999455300773576</v>
      </c>
      <c r="P137">
        <f t="shared" si="17"/>
        <v>1</v>
      </c>
      <c r="Q137" s="24"/>
      <c r="R137" s="24">
        <f t="shared" si="19"/>
        <v>6593.1122856488055</v>
      </c>
      <c r="S137" s="24">
        <f t="shared" si="18"/>
        <v>1607.6155742548435</v>
      </c>
      <c r="T137" s="24">
        <f t="shared" si="18"/>
        <v>1861.1630305049769</v>
      </c>
      <c r="U137" s="24">
        <f t="shared" si="18"/>
        <v>3401.2296963263498</v>
      </c>
      <c r="V137" s="24">
        <f t="shared" si="18"/>
        <v>5681.157916397492</v>
      </c>
      <c r="W137" s="24">
        <f t="shared" si="18"/>
        <v>4405.0632505117937</v>
      </c>
      <c r="X137" s="24">
        <f t="shared" si="18"/>
        <v>2021.0962720663786</v>
      </c>
      <c r="Y137" s="24">
        <f t="shared" si="20"/>
        <v>25570.438025710639</v>
      </c>
      <c r="Z137" s="24">
        <f t="shared" si="21"/>
        <v>-97.386840743823996</v>
      </c>
    </row>
    <row r="138" spans="1:26" x14ac:dyDescent="0.2">
      <c r="A138">
        <f t="shared" si="10"/>
        <v>1991</v>
      </c>
      <c r="C138">
        <f t="shared" si="22"/>
        <v>29</v>
      </c>
      <c r="D138" s="22">
        <f t="shared" si="12"/>
        <v>0.99033857302043671</v>
      </c>
      <c r="E138" s="11">
        <f t="shared" si="14"/>
        <v>121</v>
      </c>
      <c r="F138" s="25">
        <f t="shared" si="13"/>
        <v>0.18890253403937005</v>
      </c>
      <c r="H138" s="23">
        <f t="shared" si="11"/>
        <v>1.0097556807770265</v>
      </c>
      <c r="I138">
        <f t="shared" si="23"/>
        <v>1991</v>
      </c>
      <c r="J138">
        <f t="shared" si="24"/>
        <v>0.81174535781677226</v>
      </c>
      <c r="K138">
        <f t="shared" si="24"/>
        <v>0.95033015116836539</v>
      </c>
      <c r="L138">
        <f t="shared" si="24"/>
        <v>0.97607327282135148</v>
      </c>
      <c r="M138">
        <f t="shared" si="24"/>
        <v>0.99391135554715382</v>
      </c>
      <c r="N138">
        <f t="shared" si="24"/>
        <v>0.99922668861951447</v>
      </c>
      <c r="O138">
        <f t="shared" si="16"/>
        <v>0.99998815434890775</v>
      </c>
      <c r="P138">
        <f t="shared" si="17"/>
        <v>1</v>
      </c>
      <c r="Q138" s="24"/>
      <c r="R138" s="24">
        <f t="shared" si="19"/>
        <v>6508.6981883223652</v>
      </c>
      <c r="S138" s="24">
        <f t="shared" si="18"/>
        <v>1599.9975145026001</v>
      </c>
      <c r="T138" s="24">
        <f t="shared" si="18"/>
        <v>1856.1258053117658</v>
      </c>
      <c r="U138" s="24">
        <f t="shared" si="18"/>
        <v>3398.0424509191525</v>
      </c>
      <c r="V138" s="24">
        <f t="shared" si="18"/>
        <v>5680.1016109961611</v>
      </c>
      <c r="W138" s="24">
        <f t="shared" si="18"/>
        <v>4405.0350638614063</v>
      </c>
      <c r="X138" s="24">
        <f t="shared" si="18"/>
        <v>2021.0962720663786</v>
      </c>
      <c r="Y138" s="24">
        <f t="shared" si="20"/>
        <v>25469.09690597983</v>
      </c>
      <c r="Z138" s="24">
        <f t="shared" si="21"/>
        <v>-101.34111973080871</v>
      </c>
    </row>
    <row r="139" spans="1:26" x14ac:dyDescent="0.2">
      <c r="A139">
        <f t="shared" si="10"/>
        <v>1992</v>
      </c>
      <c r="C139">
        <f t="shared" si="22"/>
        <v>28</v>
      </c>
      <c r="D139" s="22">
        <f t="shared" si="12"/>
        <v>0.99166924623704455</v>
      </c>
      <c r="E139" s="11">
        <f t="shared" si="14"/>
        <v>122</v>
      </c>
      <c r="F139" s="25">
        <f t="shared" si="13"/>
        <v>0.18358746007456309</v>
      </c>
      <c r="H139" s="23">
        <f t="shared" si="11"/>
        <v>1.0084007382446991</v>
      </c>
      <c r="I139">
        <f t="shared" si="23"/>
        <v>1992</v>
      </c>
      <c r="J139">
        <f t="shared" si="24"/>
        <v>0.8009276481015557</v>
      </c>
      <c r="K139">
        <f t="shared" si="24"/>
        <v>0.94549669552276183</v>
      </c>
      <c r="L139">
        <f t="shared" si="24"/>
        <v>0.97318961881714305</v>
      </c>
      <c r="M139">
        <f t="shared" si="24"/>
        <v>0.99285665043186788</v>
      </c>
      <c r="N139">
        <f t="shared" si="24"/>
        <v>0.99899896890334761</v>
      </c>
      <c r="O139">
        <f t="shared" si="16"/>
        <v>0.99997715316816216</v>
      </c>
      <c r="P139">
        <f t="shared" si="17"/>
        <v>1</v>
      </c>
      <c r="Q139" s="24"/>
      <c r="R139" s="24">
        <f t="shared" si="19"/>
        <v>6421.9601405500989</v>
      </c>
      <c r="S139" s="24">
        <f t="shared" si="18"/>
        <v>1591.8597983521483</v>
      </c>
      <c r="T139" s="24">
        <f t="shared" si="18"/>
        <v>1850.6421753837271</v>
      </c>
      <c r="U139" s="24">
        <f t="shared" si="18"/>
        <v>3394.4365631959258</v>
      </c>
      <c r="V139" s="24">
        <f t="shared" si="18"/>
        <v>5678.8071388394555</v>
      </c>
      <c r="W139" s="24">
        <f t="shared" si="18"/>
        <v>4404.9866027004227</v>
      </c>
      <c r="X139" s="24">
        <f t="shared" si="18"/>
        <v>2021.0962720663786</v>
      </c>
      <c r="Y139" s="24">
        <f t="shared" si="20"/>
        <v>25363.788691088153</v>
      </c>
      <c r="Z139" s="24">
        <f t="shared" si="21"/>
        <v>-105.30821489167647</v>
      </c>
    </row>
    <row r="140" spans="1:26" x14ac:dyDescent="0.2">
      <c r="A140">
        <f t="shared" si="10"/>
        <v>1993</v>
      </c>
      <c r="C140">
        <f t="shared" si="22"/>
        <v>27</v>
      </c>
      <c r="D140" s="22">
        <f t="shared" si="12"/>
        <v>0.99285665043186788</v>
      </c>
      <c r="E140" s="11">
        <f t="shared" si="14"/>
        <v>123</v>
      </c>
      <c r="F140" s="25">
        <f t="shared" si="13"/>
        <v>0.17843100935692044</v>
      </c>
      <c r="H140" s="23">
        <f t="shared" si="11"/>
        <v>1.0071947441405815</v>
      </c>
      <c r="I140">
        <f t="shared" si="23"/>
        <v>1993</v>
      </c>
      <c r="J140">
        <f t="shared" si="24"/>
        <v>0.78983349562469707</v>
      </c>
      <c r="K140">
        <f t="shared" si="24"/>
        <v>0.94034609280043069</v>
      </c>
      <c r="L140">
        <f t="shared" si="24"/>
        <v>0.97005968700685008</v>
      </c>
      <c r="M140">
        <f t="shared" si="24"/>
        <v>0.99166924623704455</v>
      </c>
      <c r="N140">
        <f t="shared" si="24"/>
        <v>0.99872325176836463</v>
      </c>
      <c r="O140">
        <f t="shared" si="16"/>
        <v>0.99995964177326324</v>
      </c>
      <c r="P140">
        <f t="shared" si="17"/>
        <v>1</v>
      </c>
      <c r="Q140" s="24"/>
      <c r="R140" s="24">
        <f t="shared" si="19"/>
        <v>6333.0055325172179</v>
      </c>
      <c r="S140" s="24">
        <f t="shared" si="18"/>
        <v>1583.1881261508731</v>
      </c>
      <c r="T140" s="24">
        <f t="shared" si="18"/>
        <v>1844.690217304639</v>
      </c>
      <c r="U140" s="24">
        <f t="shared" si="18"/>
        <v>3390.3769960746827</v>
      </c>
      <c r="V140" s="24">
        <f t="shared" si="18"/>
        <v>5677.2398254755981</v>
      </c>
      <c r="W140" s="24">
        <f t="shared" si="18"/>
        <v>4404.9094634781122</v>
      </c>
      <c r="X140" s="24">
        <f t="shared" si="18"/>
        <v>2021.0962720663786</v>
      </c>
      <c r="Y140" s="24">
        <f t="shared" si="20"/>
        <v>25254.506433067498</v>
      </c>
      <c r="Z140" s="24">
        <f t="shared" si="21"/>
        <v>-109.28225802065572</v>
      </c>
    </row>
    <row r="141" spans="1:26" x14ac:dyDescent="0.2">
      <c r="A141">
        <f t="shared" si="10"/>
        <v>1994</v>
      </c>
      <c r="C141">
        <f t="shared" si="22"/>
        <v>26</v>
      </c>
      <c r="D141" s="22">
        <f t="shared" si="12"/>
        <v>0.99391135554715382</v>
      </c>
      <c r="E141" s="11">
        <f t="shared" si="14"/>
        <v>124</v>
      </c>
      <c r="F141" s="25">
        <f t="shared" si="13"/>
        <v>0.17342900327336533</v>
      </c>
      <c r="H141" s="23">
        <f t="shared" si="11"/>
        <v>1.0061259431425797</v>
      </c>
      <c r="I141">
        <f t="shared" si="23"/>
        <v>1994</v>
      </c>
      <c r="J141">
        <f t="shared" si="24"/>
        <v>0.77847744337334734</v>
      </c>
      <c r="K141">
        <f t="shared" si="24"/>
        <v>0.93487062214415295</v>
      </c>
      <c r="L141">
        <f t="shared" si="24"/>
        <v>0.96667214106000876</v>
      </c>
      <c r="M141">
        <f t="shared" si="24"/>
        <v>0.99033857302043671</v>
      </c>
      <c r="N141">
        <f t="shared" si="24"/>
        <v>0.99839298981425129</v>
      </c>
      <c r="O141">
        <f t="shared" si="16"/>
        <v>0.99993333615200219</v>
      </c>
      <c r="P141">
        <f t="shared" si="17"/>
        <v>1</v>
      </c>
      <c r="Q141" s="24"/>
      <c r="R141" s="24">
        <f t="shared" si="19"/>
        <v>6241.9509721146214</v>
      </c>
      <c r="S141" s="24">
        <f t="shared" si="18"/>
        <v>1573.9694988874894</v>
      </c>
      <c r="T141" s="24">
        <f t="shared" si="18"/>
        <v>1838.2483736196491</v>
      </c>
      <c r="U141" s="24">
        <f t="shared" si="18"/>
        <v>3385.8276124167755</v>
      </c>
      <c r="V141" s="24">
        <f t="shared" si="18"/>
        <v>5675.362452223887</v>
      </c>
      <c r="W141" s="24">
        <f t="shared" si="18"/>
        <v>4404.7935849214236</v>
      </c>
      <c r="X141" s="24">
        <f t="shared" si="18"/>
        <v>2021.0962720663786</v>
      </c>
      <c r="Y141" s="24">
        <f t="shared" si="20"/>
        <v>25141.248766250221</v>
      </c>
      <c r="Z141" s="24">
        <f t="shared" si="21"/>
        <v>-113.25766681727691</v>
      </c>
    </row>
    <row r="142" spans="1:26" x14ac:dyDescent="0.2">
      <c r="A142">
        <f t="shared" si="10"/>
        <v>1995</v>
      </c>
      <c r="C142">
        <f t="shared" si="22"/>
        <v>25</v>
      </c>
      <c r="D142" s="22">
        <f t="shared" si="12"/>
        <v>0.9948436097637755</v>
      </c>
      <c r="E142" s="11">
        <f t="shared" si="14"/>
        <v>125</v>
      </c>
      <c r="F142" s="25">
        <f t="shared" si="13"/>
        <v>0.16857729439574218</v>
      </c>
      <c r="H142" s="23">
        <f t="shared" si="11"/>
        <v>1.005183116407059</v>
      </c>
      <c r="I142">
        <f t="shared" si="23"/>
        <v>1995</v>
      </c>
      <c r="J142">
        <f t="shared" si="24"/>
        <v>0.76687509943623866</v>
      </c>
      <c r="K142">
        <f t="shared" si="24"/>
        <v>0.92906342064831493</v>
      </c>
      <c r="L142">
        <f t="shared" si="24"/>
        <v>0.96301591269546205</v>
      </c>
      <c r="M142">
        <f t="shared" si="24"/>
        <v>0.98885377017892562</v>
      </c>
      <c r="N142">
        <f t="shared" si="24"/>
        <v>0.99800118901189872</v>
      </c>
      <c r="O142">
        <f t="shared" si="16"/>
        <v>0.99989556296392978</v>
      </c>
      <c r="P142">
        <f t="shared" si="17"/>
        <v>1</v>
      </c>
      <c r="Q142" s="24"/>
      <c r="R142" s="24">
        <f t="shared" si="19"/>
        <v>6148.9216073802709</v>
      </c>
      <c r="S142" s="24">
        <f t="shared" ref="S142:X146" si="25">S$16*K142/K$146</f>
        <v>1564.1923620175992</v>
      </c>
      <c r="T142" s="24">
        <f t="shared" si="25"/>
        <v>1831.2955966032971</v>
      </c>
      <c r="U142" s="24">
        <f t="shared" si="25"/>
        <v>3380.7512813551166</v>
      </c>
      <c r="V142" s="24">
        <f t="shared" si="25"/>
        <v>5673.1352615433561</v>
      </c>
      <c r="W142" s="24">
        <f t="shared" si="25"/>
        <v>4404.6271907324435</v>
      </c>
      <c r="X142" s="24">
        <f t="shared" si="25"/>
        <v>2021.0962720663786</v>
      </c>
      <c r="Y142" s="24">
        <f t="shared" si="20"/>
        <v>25024.019571698464</v>
      </c>
      <c r="Z142" s="24">
        <f t="shared" si="21"/>
        <v>-117.22919455175725</v>
      </c>
    </row>
    <row r="143" spans="1:26" x14ac:dyDescent="0.2">
      <c r="A143">
        <f t="shared" si="10"/>
        <v>1996</v>
      </c>
      <c r="C143">
        <f t="shared" si="22"/>
        <v>24</v>
      </c>
      <c r="D143" s="22">
        <f t="shared" si="12"/>
        <v>0.99566331246840367</v>
      </c>
      <c r="E143" s="11">
        <f t="shared" si="14"/>
        <v>126</v>
      </c>
      <c r="F143" s="25">
        <f t="shared" si="13"/>
        <v>0.16387177507040204</v>
      </c>
      <c r="H143" s="23">
        <f t="shared" si="11"/>
        <v>1.0043555763050513</v>
      </c>
      <c r="I143">
        <f t="shared" si="23"/>
        <v>1996</v>
      </c>
      <c r="J143">
        <f t="shared" si="24"/>
        <v>0.75504304269584266</v>
      </c>
      <c r="K143">
        <f t="shared" si="24"/>
        <v>0.92291856660656513</v>
      </c>
      <c r="L143">
        <f t="shared" si="24"/>
        <v>0.95908028073978546</v>
      </c>
      <c r="M143">
        <f t="shared" si="24"/>
        <v>0.98720372181565841</v>
      </c>
      <c r="N143">
        <f t="shared" si="24"/>
        <v>0.99754041164089791</v>
      </c>
      <c r="O143">
        <f t="shared" si="16"/>
        <v>0.99984324796371249</v>
      </c>
      <c r="P143">
        <f t="shared" si="17"/>
        <v>1</v>
      </c>
      <c r="Q143" s="24"/>
      <c r="R143" s="24">
        <f t="shared" si="19"/>
        <v>6054.0503703245167</v>
      </c>
      <c r="S143" s="24">
        <f t="shared" si="25"/>
        <v>1553.8467456213461</v>
      </c>
      <c r="T143" s="24">
        <f t="shared" si="25"/>
        <v>1823.8114985990298</v>
      </c>
      <c r="U143" s="24">
        <f t="shared" si="25"/>
        <v>3375.1099992094214</v>
      </c>
      <c r="V143" s="24">
        <f t="shared" si="25"/>
        <v>5670.5159737309486</v>
      </c>
      <c r="W143" s="24">
        <f t="shared" si="25"/>
        <v>4404.3967385922651</v>
      </c>
      <c r="X143" s="24">
        <f t="shared" si="25"/>
        <v>2021.0962720663786</v>
      </c>
      <c r="Y143" s="24">
        <f t="shared" si="20"/>
        <v>24902.827598143907</v>
      </c>
      <c r="Z143" s="24">
        <f t="shared" si="21"/>
        <v>-121.19197355455617</v>
      </c>
    </row>
    <row r="144" spans="1:26" x14ac:dyDescent="0.2">
      <c r="A144">
        <f t="shared" si="10"/>
        <v>1997</v>
      </c>
      <c r="C144">
        <f t="shared" si="22"/>
        <v>23</v>
      </c>
      <c r="D144" s="22">
        <f t="shared" si="12"/>
        <v>0.99637999106873743</v>
      </c>
      <c r="E144" s="11">
        <f t="shared" si="14"/>
        <v>127</v>
      </c>
      <c r="F144" s="25">
        <f t="shared" si="13"/>
        <v>0.15930838500689684</v>
      </c>
      <c r="H144" s="23">
        <f t="shared" si="11"/>
        <v>1.003633161006555</v>
      </c>
      <c r="I144">
        <f t="shared" si="23"/>
        <v>1997</v>
      </c>
      <c r="J144">
        <f t="shared" si="24"/>
        <v>0.74299871990036592</v>
      </c>
      <c r="K144">
        <f t="shared" si="24"/>
        <v>0.91643115946554121</v>
      </c>
      <c r="L144">
        <f t="shared" si="24"/>
        <v>0.9548549531198296</v>
      </c>
      <c r="M144">
        <f t="shared" si="24"/>
        <v>0.985377096545209</v>
      </c>
      <c r="N144">
        <f t="shared" si="24"/>
        <v>0.99700278142293219</v>
      </c>
      <c r="O144">
        <f t="shared" si="16"/>
        <v>0.99977290570882893</v>
      </c>
      <c r="P144">
        <f t="shared" si="17"/>
        <v>1</v>
      </c>
      <c r="Q144" s="24"/>
      <c r="R144" s="24">
        <f t="shared" si="19"/>
        <v>5957.4771516376486</v>
      </c>
      <c r="S144" s="24">
        <f t="shared" si="25"/>
        <v>1542.9243990153341</v>
      </c>
      <c r="T144" s="24">
        <f t="shared" si="25"/>
        <v>1815.7765079383109</v>
      </c>
      <c r="U144" s="24">
        <f t="shared" si="25"/>
        <v>3368.8650255744315</v>
      </c>
      <c r="V144" s="24">
        <f t="shared" si="25"/>
        <v>5667.4598161022877</v>
      </c>
      <c r="W144" s="24">
        <f t="shared" si="25"/>
        <v>4404.086874822493</v>
      </c>
      <c r="X144" s="24">
        <f t="shared" si="25"/>
        <v>2021.0962720663786</v>
      </c>
      <c r="Y144" s="24">
        <f t="shared" si="20"/>
        <v>24777.686047156883</v>
      </c>
      <c r="Z144" s="24">
        <f t="shared" si="21"/>
        <v>-125.14155098702395</v>
      </c>
    </row>
    <row r="145" spans="1:26" x14ac:dyDescent="0.2">
      <c r="A145">
        <f t="shared" ref="A145:A167" si="26">I145</f>
        <v>1998</v>
      </c>
      <c r="C145">
        <f t="shared" si="22"/>
        <v>22</v>
      </c>
      <c r="D145" s="22">
        <f t="shared" si="12"/>
        <v>0.99700278142293219</v>
      </c>
      <c r="E145" s="11">
        <f t="shared" si="14"/>
        <v>128</v>
      </c>
      <c r="F145" s="25">
        <f t="shared" si="13"/>
        <v>0.15488311793700929</v>
      </c>
      <c r="H145" s="23">
        <f t="shared" ref="H145:H167" si="27">1/D145</f>
        <v>1.0030062289021804</v>
      </c>
      <c r="I145">
        <f t="shared" si="23"/>
        <v>1998</v>
      </c>
      <c r="J145">
        <f t="shared" si="24"/>
        <v>0.73076033544126406</v>
      </c>
      <c r="K145">
        <f t="shared" si="24"/>
        <v>0.90959739533107919</v>
      </c>
      <c r="L145">
        <f t="shared" si="24"/>
        <v>0.95033015116836539</v>
      </c>
      <c r="M145">
        <f t="shared" si="24"/>
        <v>0.98336239187312824</v>
      </c>
      <c r="N145">
        <f t="shared" si="24"/>
        <v>0.99637999106873743</v>
      </c>
      <c r="O145">
        <f t="shared" si="16"/>
        <v>0.99968063047943412</v>
      </c>
      <c r="P145">
        <f t="shared" si="17"/>
        <v>1</v>
      </c>
      <c r="Q145" s="24"/>
      <c r="R145" s="24">
        <f t="shared" si="19"/>
        <v>5859.347916909177</v>
      </c>
      <c r="S145" s="24">
        <f t="shared" si="25"/>
        <v>1531.4189178766019</v>
      </c>
      <c r="T145" s="24">
        <f t="shared" si="25"/>
        <v>1807.1720292583843</v>
      </c>
      <c r="U145" s="24">
        <f t="shared" si="25"/>
        <v>3361.9770350473223</v>
      </c>
      <c r="V145" s="24">
        <f t="shared" si="25"/>
        <v>5663.9195658923354</v>
      </c>
      <c r="W145" s="24">
        <f t="shared" si="25"/>
        <v>4403.6803943864579</v>
      </c>
      <c r="X145" s="24">
        <f t="shared" si="25"/>
        <v>2021.0962720663786</v>
      </c>
      <c r="Y145" s="24">
        <f t="shared" si="20"/>
        <v>24648.612131436657</v>
      </c>
      <c r="Z145" s="24">
        <f t="shared" si="21"/>
        <v>-129.07391572022607</v>
      </c>
    </row>
    <row r="146" spans="1:26" x14ac:dyDescent="0.2">
      <c r="A146">
        <f t="shared" si="26"/>
        <v>1999</v>
      </c>
      <c r="C146">
        <f t="shared" si="22"/>
        <v>21</v>
      </c>
      <c r="D146" s="22">
        <f t="shared" ref="D146:D167" si="28">PRODUCT(1/(1+(C146/$C$4)^$C$3))</f>
        <v>0.99754041164089791</v>
      </c>
      <c r="E146" s="11">
        <f t="shared" si="14"/>
        <v>129</v>
      </c>
      <c r="F146" s="25">
        <f t="shared" ref="F146:F167" si="29">PRODUCT(1/(1+(E146/$C$4)^$C$3))</f>
        <v>0.1505920274129959</v>
      </c>
      <c r="H146" s="23">
        <f t="shared" si="27"/>
        <v>1.0024656528501499</v>
      </c>
      <c r="I146">
        <f t="shared" si="23"/>
        <v>1999</v>
      </c>
      <c r="J146" s="27">
        <f t="shared" ref="J146:N155" si="30">VLOOKUP($I146-J$169,$C$17:$D$167,2,FALSE)</f>
        <v>0.71834673527409276</v>
      </c>
      <c r="K146" s="27">
        <f t="shared" si="30"/>
        <v>0.90241463685549106</v>
      </c>
      <c r="L146" s="27">
        <f t="shared" si="30"/>
        <v>0.94549669552276183</v>
      </c>
      <c r="M146" s="27">
        <f t="shared" si="30"/>
        <v>0.98114798324342201</v>
      </c>
      <c r="N146" s="27">
        <f t="shared" si="30"/>
        <v>0.99566331246840367</v>
      </c>
      <c r="O146" s="27">
        <f>IF(I146&lt;O$169,1,VLOOKUP($I146-O$169,$C$17:$D$167,2,FALSE))</f>
        <v>0.99956208839352689</v>
      </c>
      <c r="P146" s="15">
        <f t="shared" ref="P146:P167" si="31">VLOOKUP($I146-P$169,$C$17:$D$167,2,FALSE)</f>
        <v>0.99999789521414317</v>
      </c>
      <c r="Q146" s="28"/>
      <c r="R146" s="28">
        <f t="shared" si="19"/>
        <v>5759.8137758875</v>
      </c>
      <c r="S146" s="28">
        <f t="shared" si="25"/>
        <v>1519.3258619064379</v>
      </c>
      <c r="T146" s="28">
        <f t="shared" si="25"/>
        <v>1797.9806068493858</v>
      </c>
      <c r="U146" s="28">
        <f t="shared" si="25"/>
        <v>3354.406284914096</v>
      </c>
      <c r="V146" s="28">
        <f t="shared" si="25"/>
        <v>5659.8456081821523</v>
      </c>
      <c r="W146" s="28">
        <f t="shared" si="25"/>
        <v>4403.1582061558338</v>
      </c>
      <c r="X146" s="28">
        <f t="shared" si="25"/>
        <v>2021.0920180915298</v>
      </c>
      <c r="Y146" s="28">
        <f>SUM(R146:X146)</f>
        <v>24515.622361986934</v>
      </c>
      <c r="Z146" s="24">
        <f t="shared" si="21"/>
        <v>-132.9897694497231</v>
      </c>
    </row>
    <row r="147" spans="1:26" x14ac:dyDescent="0.2">
      <c r="A147">
        <f t="shared" si="26"/>
        <v>2000</v>
      </c>
      <c r="C147">
        <f t="shared" si="22"/>
        <v>20</v>
      </c>
      <c r="D147" s="22">
        <f t="shared" si="28"/>
        <v>0.99800118901189872</v>
      </c>
      <c r="E147" s="11">
        <f t="shared" ref="E147:E167" si="32">E146+1</f>
        <v>130</v>
      </c>
      <c r="F147" s="25">
        <f t="shared" si="29"/>
        <v>0.14643123181127715</v>
      </c>
      <c r="H147" s="23">
        <f t="shared" si="27"/>
        <v>1.0020028142352018</v>
      </c>
      <c r="I147">
        <f t="shared" si="23"/>
        <v>2000</v>
      </c>
      <c r="J147" s="15">
        <f t="shared" si="30"/>
        <v>0.70577728650094107</v>
      </c>
      <c r="K147" s="15">
        <f t="shared" si="30"/>
        <v>0.89488147633948223</v>
      </c>
      <c r="L147" s="15">
        <f t="shared" si="30"/>
        <v>0.94034609280043069</v>
      </c>
      <c r="M147" s="15">
        <f t="shared" si="30"/>
        <v>0.97872217779654513</v>
      </c>
      <c r="N147" s="15">
        <f t="shared" si="30"/>
        <v>0.9948436097637755</v>
      </c>
      <c r="O147" s="15">
        <f t="shared" ref="O147:O167" si="33">VLOOKUP($I147-O$169,$C$17:$D$167,2,FALSE)</f>
        <v>0.99941251074394599</v>
      </c>
      <c r="P147" s="15">
        <f t="shared" si="31"/>
        <v>0.99999455300773576</v>
      </c>
      <c r="Q147" s="29"/>
      <c r="R147" s="29">
        <f t="shared" ref="R147:X156" si="34">R$16*J147/J$146</f>
        <v>5659.0300169534712</v>
      </c>
      <c r="S147" s="29">
        <f t="shared" si="34"/>
        <v>1506.6428610702076</v>
      </c>
      <c r="T147" s="29">
        <f t="shared" si="34"/>
        <v>1788.18608947858</v>
      </c>
      <c r="U147" s="29">
        <f t="shared" si="34"/>
        <v>3346.11279894057</v>
      </c>
      <c r="V147" s="29">
        <f t="shared" si="34"/>
        <v>5655.1860102089149</v>
      </c>
      <c r="W147" s="29">
        <f t="shared" si="34"/>
        <v>4402.4993035595298</v>
      </c>
      <c r="X147" s="29">
        <f t="shared" si="34"/>
        <v>2021.0852631706193</v>
      </c>
      <c r="Y147" s="29">
        <f t="shared" ref="Y147:Y156" si="35">SUM(R147:X147)</f>
        <v>24378.742343381891</v>
      </c>
      <c r="Z147" s="24">
        <f t="shared" si="21"/>
        <v>-136.88001860504301</v>
      </c>
    </row>
    <row r="148" spans="1:26" x14ac:dyDescent="0.2">
      <c r="A148">
        <f t="shared" si="26"/>
        <v>2001</v>
      </c>
      <c r="C148">
        <f t="shared" si="22"/>
        <v>19</v>
      </c>
      <c r="D148" s="22">
        <f t="shared" si="28"/>
        <v>0.99839298981425129</v>
      </c>
      <c r="E148" s="11">
        <f t="shared" si="32"/>
        <v>131</v>
      </c>
      <c r="F148" s="25">
        <f t="shared" si="29"/>
        <v>0.14239691860492862</v>
      </c>
      <c r="H148" s="23">
        <f t="shared" si="27"/>
        <v>1.0016095968242402</v>
      </c>
      <c r="I148">
        <f t="shared" si="23"/>
        <v>2001</v>
      </c>
      <c r="J148" s="15">
        <f t="shared" si="30"/>
        <v>0.69307175417969769</v>
      </c>
      <c r="K148" s="15">
        <f t="shared" si="30"/>
        <v>0.88699779091202102</v>
      </c>
      <c r="L148" s="15">
        <f t="shared" si="30"/>
        <v>0.93487062214415295</v>
      </c>
      <c r="M148" s="15">
        <f t="shared" si="30"/>
        <v>0.97607327282135148</v>
      </c>
      <c r="N148" s="15">
        <f t="shared" si="30"/>
        <v>0.99391135554715382</v>
      </c>
      <c r="O148" s="15">
        <f t="shared" si="33"/>
        <v>0.99922668861951447</v>
      </c>
      <c r="P148" s="15">
        <f t="shared" si="31"/>
        <v>0.99998815434890775</v>
      </c>
      <c r="Q148" s="29"/>
      <c r="R148" s="29">
        <f t="shared" si="34"/>
        <v>5557.1551193582891</v>
      </c>
      <c r="S148" s="29">
        <f t="shared" si="34"/>
        <v>1493.3697084994401</v>
      </c>
      <c r="T148" s="29">
        <f t="shared" si="34"/>
        <v>1777.7737949671573</v>
      </c>
      <c r="U148" s="29">
        <f t="shared" si="34"/>
        <v>3337.0565672113294</v>
      </c>
      <c r="V148" s="29">
        <f t="shared" si="34"/>
        <v>5649.8866134473983</v>
      </c>
      <c r="W148" s="29">
        <f t="shared" si="34"/>
        <v>4401.6807408893601</v>
      </c>
      <c r="X148" s="29">
        <f t="shared" si="34"/>
        <v>2021.0723308651156</v>
      </c>
      <c r="Y148" s="29">
        <f t="shared" si="35"/>
        <v>24237.994875238088</v>
      </c>
      <c r="Z148" s="24">
        <f t="shared" si="21"/>
        <v>-140.74746814380342</v>
      </c>
    </row>
    <row r="149" spans="1:26" x14ac:dyDescent="0.2">
      <c r="A149">
        <f t="shared" si="26"/>
        <v>2002</v>
      </c>
      <c r="C149">
        <f t="shared" si="22"/>
        <v>18</v>
      </c>
      <c r="D149" s="22">
        <f t="shared" si="28"/>
        <v>0.99872325176836463</v>
      </c>
      <c r="E149" s="11">
        <f t="shared" si="32"/>
        <v>132</v>
      </c>
      <c r="F149" s="25">
        <f t="shared" si="29"/>
        <v>0.13848534796530215</v>
      </c>
      <c r="H149" s="23">
        <f t="shared" si="27"/>
        <v>1.0012783804015524</v>
      </c>
      <c r="I149">
        <f t="shared" si="23"/>
        <v>2002</v>
      </c>
      <c r="J149" s="15">
        <f t="shared" si="30"/>
        <v>0.68025017693844503</v>
      </c>
      <c r="K149" s="15">
        <f t="shared" si="30"/>
        <v>0.87876478870732311</v>
      </c>
      <c r="L149" s="15">
        <f t="shared" si="30"/>
        <v>0.92906342064831493</v>
      </c>
      <c r="M149" s="15">
        <f t="shared" si="30"/>
        <v>0.97318961881714305</v>
      </c>
      <c r="N149" s="15">
        <f t="shared" si="30"/>
        <v>0.99285665043186788</v>
      </c>
      <c r="O149" s="15">
        <f t="shared" si="33"/>
        <v>0.99899896890334761</v>
      </c>
      <c r="P149" s="15">
        <f t="shared" si="31"/>
        <v>0.99997715316816216</v>
      </c>
      <c r="Q149" s="29"/>
      <c r="R149" s="29">
        <f t="shared" si="34"/>
        <v>5454.3497558807276</v>
      </c>
      <c r="S149" s="29">
        <f t="shared" si="34"/>
        <v>1479.5084382364519</v>
      </c>
      <c r="T149" s="29">
        <f t="shared" si="34"/>
        <v>1766.7306726389393</v>
      </c>
      <c r="U149" s="29">
        <f t="shared" si="34"/>
        <v>3327.1977617299603</v>
      </c>
      <c r="V149" s="29">
        <f t="shared" si="34"/>
        <v>5643.891144858846</v>
      </c>
      <c r="W149" s="29">
        <f t="shared" si="34"/>
        <v>4400.6776156722408</v>
      </c>
      <c r="X149" s="29">
        <f t="shared" si="34"/>
        <v>2021.0500964197224</v>
      </c>
      <c r="Y149" s="29">
        <f t="shared" si="35"/>
        <v>24093.405485436891</v>
      </c>
      <c r="Z149" s="24">
        <f t="shared" si="21"/>
        <v>-144.58938980119638</v>
      </c>
    </row>
    <row r="150" spans="1:26" x14ac:dyDescent="0.2">
      <c r="A150">
        <f t="shared" si="26"/>
        <v>2003</v>
      </c>
      <c r="C150">
        <f t="shared" si="22"/>
        <v>17</v>
      </c>
      <c r="D150" s="22">
        <f t="shared" si="28"/>
        <v>0.99899896890334761</v>
      </c>
      <c r="E150" s="11">
        <f t="shared" si="32"/>
        <v>133</v>
      </c>
      <c r="F150" s="25">
        <f t="shared" si="29"/>
        <v>0.1346928557499745</v>
      </c>
      <c r="H150" s="23">
        <f t="shared" si="27"/>
        <v>1.0010020341640105</v>
      </c>
      <c r="I150">
        <f t="shared" si="23"/>
        <v>2003</v>
      </c>
      <c r="J150" s="15">
        <f t="shared" si="30"/>
        <v>0.66733274295282752</v>
      </c>
      <c r="K150" s="15">
        <f t="shared" si="30"/>
        <v>0.87018504504065342</v>
      </c>
      <c r="L150" s="15">
        <f t="shared" si="30"/>
        <v>0.92291856660656513</v>
      </c>
      <c r="M150" s="15">
        <f t="shared" si="30"/>
        <v>0.97005968700685008</v>
      </c>
      <c r="N150" s="15">
        <f t="shared" si="30"/>
        <v>0.99166924623704455</v>
      </c>
      <c r="O150" s="15">
        <f t="shared" si="33"/>
        <v>0.99872325176836463</v>
      </c>
      <c r="P150" s="15">
        <f t="shared" si="31"/>
        <v>0.99995964177326324</v>
      </c>
      <c r="Q150" s="29"/>
      <c r="R150" s="29">
        <f t="shared" si="34"/>
        <v>5350.7757983947404</v>
      </c>
      <c r="S150" s="29">
        <f t="shared" si="34"/>
        <v>1465.0633861407523</v>
      </c>
      <c r="T150" s="29">
        <f t="shared" si="34"/>
        <v>1755.0454616262477</v>
      </c>
      <c r="U150" s="29">
        <f t="shared" si="34"/>
        <v>3316.4969672370721</v>
      </c>
      <c r="V150" s="29">
        <f t="shared" si="34"/>
        <v>5637.1413486847296</v>
      </c>
      <c r="W150" s="29">
        <f t="shared" si="34"/>
        <v>4399.4630576377031</v>
      </c>
      <c r="X150" s="29">
        <f t="shared" si="34"/>
        <v>2021.0147042047736</v>
      </c>
      <c r="Y150" s="29">
        <f t="shared" si="35"/>
        <v>23945.000723926016</v>
      </c>
      <c r="Z150" s="24">
        <f t="shared" si="21"/>
        <v>-148.40476151087569</v>
      </c>
    </row>
    <row r="151" spans="1:26" x14ac:dyDescent="0.2">
      <c r="A151">
        <f t="shared" si="26"/>
        <v>2004</v>
      </c>
      <c r="C151">
        <f t="shared" si="22"/>
        <v>16</v>
      </c>
      <c r="D151" s="22">
        <f t="shared" si="28"/>
        <v>0.99922668861951447</v>
      </c>
      <c r="E151" s="11">
        <f t="shared" si="32"/>
        <v>134</v>
      </c>
      <c r="F151" s="25">
        <f t="shared" si="29"/>
        <v>0.13101585593103987</v>
      </c>
      <c r="H151" s="23">
        <f t="shared" si="27"/>
        <v>1.0007739098537829</v>
      </c>
      <c r="I151">
        <f t="shared" si="23"/>
        <v>2004</v>
      </c>
      <c r="J151" s="15">
        <f t="shared" si="30"/>
        <v>0.65433966779191644</v>
      </c>
      <c r="K151" s="15">
        <f t="shared" si="30"/>
        <v>0.86126252769370748</v>
      </c>
      <c r="L151" s="15">
        <f t="shared" si="30"/>
        <v>0.91643115946554121</v>
      </c>
      <c r="M151" s="15">
        <f t="shared" si="30"/>
        <v>0.96667214106000876</v>
      </c>
      <c r="N151" s="15">
        <f t="shared" si="30"/>
        <v>0.99033857302043671</v>
      </c>
      <c r="O151" s="15">
        <f t="shared" si="33"/>
        <v>0.99839298981425129</v>
      </c>
      <c r="P151" s="15">
        <f t="shared" si="31"/>
        <v>0.99993333615200219</v>
      </c>
      <c r="Q151" s="29"/>
      <c r="R151" s="29">
        <f t="shared" si="34"/>
        <v>5246.5953384189561</v>
      </c>
      <c r="S151" s="29">
        <f t="shared" si="34"/>
        <v>1450.0412324600886</v>
      </c>
      <c r="T151" s="29">
        <f t="shared" si="34"/>
        <v>1742.7088429119451</v>
      </c>
      <c r="U151" s="29">
        <f t="shared" si="34"/>
        <v>3304.9154264210215</v>
      </c>
      <c r="V151" s="29">
        <f t="shared" si="34"/>
        <v>5629.577140114794</v>
      </c>
      <c r="W151" s="29">
        <f t="shared" si="34"/>
        <v>4398.0082249161333</v>
      </c>
      <c r="X151" s="29">
        <f t="shared" si="34"/>
        <v>2020.9615380117086</v>
      </c>
      <c r="Y151" s="29">
        <f t="shared" si="35"/>
        <v>23792.807743254649</v>
      </c>
      <c r="Z151" s="24">
        <f t="shared" si="21"/>
        <v>-152.19298067136697</v>
      </c>
    </row>
    <row r="152" spans="1:26" x14ac:dyDescent="0.2">
      <c r="A152">
        <f t="shared" si="26"/>
        <v>2005</v>
      </c>
      <c r="C152">
        <f t="shared" si="22"/>
        <v>15</v>
      </c>
      <c r="D152" s="22">
        <f t="shared" si="28"/>
        <v>0.99941251074394599</v>
      </c>
      <c r="E152" s="11">
        <f t="shared" si="32"/>
        <v>135</v>
      </c>
      <c r="F152" s="25">
        <f t="shared" si="29"/>
        <v>0.12745084251458291</v>
      </c>
      <c r="H152" s="23">
        <f t="shared" si="27"/>
        <v>1.0005878346025674</v>
      </c>
      <c r="I152">
        <f t="shared" si="23"/>
        <v>2005</v>
      </c>
      <c r="J152" s="15">
        <f t="shared" si="30"/>
        <v>0.64129107555640574</v>
      </c>
      <c r="K152" s="15">
        <f t="shared" si="30"/>
        <v>0.85200261055483129</v>
      </c>
      <c r="L152" s="15">
        <f t="shared" si="30"/>
        <v>0.90959739533107919</v>
      </c>
      <c r="M152" s="15">
        <f t="shared" si="30"/>
        <v>0.96301591269546205</v>
      </c>
      <c r="N152" s="15">
        <f t="shared" si="30"/>
        <v>0.98885377017892562</v>
      </c>
      <c r="O152" s="15">
        <f t="shared" si="33"/>
        <v>0.99800118901189872</v>
      </c>
      <c r="P152" s="15">
        <f t="shared" si="31"/>
        <v>0.99989556296392978</v>
      </c>
      <c r="Q152" s="29"/>
      <c r="R152" s="29">
        <f t="shared" si="34"/>
        <v>5141.9697340645971</v>
      </c>
      <c r="S152" s="29">
        <f t="shared" si="34"/>
        <v>1434.4510247954292</v>
      </c>
      <c r="T152" s="29">
        <f t="shared" si="34"/>
        <v>1729.713582913969</v>
      </c>
      <c r="U152" s="29">
        <f t="shared" si="34"/>
        <v>3292.4152983928579</v>
      </c>
      <c r="V152" s="29">
        <f t="shared" si="34"/>
        <v>5621.1367820777896</v>
      </c>
      <c r="W152" s="29">
        <f t="shared" si="34"/>
        <v>4396.2823081991137</v>
      </c>
      <c r="X152" s="29">
        <f t="shared" si="34"/>
        <v>2020.8851947621115</v>
      </c>
      <c r="Y152" s="29">
        <f t="shared" si="35"/>
        <v>23636.853925205865</v>
      </c>
      <c r="Z152" s="24">
        <f t="shared" si="21"/>
        <v>-155.95381804878343</v>
      </c>
    </row>
    <row r="153" spans="1:26" x14ac:dyDescent="0.2">
      <c r="A153">
        <f t="shared" si="26"/>
        <v>2006</v>
      </c>
      <c r="C153">
        <f t="shared" si="22"/>
        <v>14</v>
      </c>
      <c r="D153" s="22">
        <f t="shared" si="28"/>
        <v>0.99956208839352689</v>
      </c>
      <c r="E153" s="11">
        <f t="shared" si="32"/>
        <v>136</v>
      </c>
      <c r="F153" s="25">
        <f t="shared" si="29"/>
        <v>0.12399439099900324</v>
      </c>
      <c r="H153" s="23">
        <f t="shared" si="27"/>
        <v>1.0004381034570617</v>
      </c>
      <c r="I153">
        <f t="shared" si="23"/>
        <v>2006</v>
      </c>
      <c r="J153" s="15">
        <f t="shared" si="30"/>
        <v>0.62820688462524865</v>
      </c>
      <c r="K153" s="15">
        <f t="shared" si="30"/>
        <v>0.84241207501726123</v>
      </c>
      <c r="L153" s="15">
        <f t="shared" si="30"/>
        <v>0.90241463685549106</v>
      </c>
      <c r="M153" s="15">
        <f t="shared" si="30"/>
        <v>0.95908028073978546</v>
      </c>
      <c r="N153" s="15">
        <f t="shared" si="30"/>
        <v>0.98720372181565841</v>
      </c>
      <c r="O153" s="15">
        <f t="shared" si="33"/>
        <v>0.99754041164089791</v>
      </c>
      <c r="P153" s="15">
        <f t="shared" si="31"/>
        <v>0.99984324796371249</v>
      </c>
      <c r="Q153" s="29"/>
      <c r="R153" s="29">
        <f t="shared" si="34"/>
        <v>5037.0586939345603</v>
      </c>
      <c r="S153" s="29">
        <f t="shared" si="34"/>
        <v>1418.3041804550749</v>
      </c>
      <c r="T153" s="29">
        <f t="shared" si="34"/>
        <v>1716.0546663847576</v>
      </c>
      <c r="U153" s="29">
        <f t="shared" si="34"/>
        <v>3278.9599289759135</v>
      </c>
      <c r="V153" s="29">
        <f t="shared" si="34"/>
        <v>5611.7570862858729</v>
      </c>
      <c r="W153" s="29">
        <f t="shared" si="34"/>
        <v>4394.2525436793394</v>
      </c>
      <c r="X153" s="29">
        <f t="shared" si="34"/>
        <v>2020.779461110199</v>
      </c>
      <c r="Y153" s="29">
        <f t="shared" si="35"/>
        <v>23477.166560825721</v>
      </c>
      <c r="Z153" s="24">
        <f t="shared" si="21"/>
        <v>-159.68736438014457</v>
      </c>
    </row>
    <row r="154" spans="1:26" x14ac:dyDescent="0.2">
      <c r="A154">
        <f t="shared" si="26"/>
        <v>2007</v>
      </c>
      <c r="C154">
        <f t="shared" si="22"/>
        <v>13</v>
      </c>
      <c r="D154" s="22">
        <f t="shared" si="28"/>
        <v>0.99968063047943412</v>
      </c>
      <c r="E154" s="11">
        <f t="shared" si="32"/>
        <v>137</v>
      </c>
      <c r="F154" s="25">
        <f t="shared" si="29"/>
        <v>0.1206431594167636</v>
      </c>
      <c r="H154" s="23">
        <f t="shared" si="27"/>
        <v>1.0003194715500416</v>
      </c>
      <c r="I154">
        <f t="shared" si="23"/>
        <v>2007</v>
      </c>
      <c r="J154" s="15">
        <f t="shared" si="30"/>
        <v>0.6151066991971198</v>
      </c>
      <c r="K154" s="15">
        <f t="shared" si="30"/>
        <v>0.83249909871707539</v>
      </c>
      <c r="L154" s="15">
        <f t="shared" si="30"/>
        <v>0.89488147633948223</v>
      </c>
      <c r="M154" s="15">
        <f t="shared" si="30"/>
        <v>0.9548549531198296</v>
      </c>
      <c r="N154" s="15">
        <f t="shared" si="30"/>
        <v>0.985377096545209</v>
      </c>
      <c r="O154" s="15">
        <f t="shared" si="33"/>
        <v>0.99700278142293219</v>
      </c>
      <c r="P154" s="15">
        <f t="shared" si="31"/>
        <v>0.99977290570882893</v>
      </c>
      <c r="Q154" s="29"/>
      <c r="R154" s="29">
        <f t="shared" si="34"/>
        <v>4932.0194074863148</v>
      </c>
      <c r="S154" s="29">
        <f t="shared" si="34"/>
        <v>1401.6144674936152</v>
      </c>
      <c r="T154" s="29">
        <f t="shared" si="34"/>
        <v>1701.7294164074654</v>
      </c>
      <c r="U154" s="29">
        <f t="shared" si="34"/>
        <v>3264.5141310267122</v>
      </c>
      <c r="V154" s="29">
        <f t="shared" si="34"/>
        <v>5601.3736395069436</v>
      </c>
      <c r="W154" s="29">
        <f t="shared" si="34"/>
        <v>4391.8842356636587</v>
      </c>
      <c r="X154" s="29">
        <f t="shared" si="34"/>
        <v>2020.6372926410852</v>
      </c>
      <c r="Y154" s="29">
        <f t="shared" si="35"/>
        <v>23313.772590225795</v>
      </c>
      <c r="Z154" s="24">
        <f t="shared" si="21"/>
        <v>-163.39397059992552</v>
      </c>
    </row>
    <row r="155" spans="1:26" x14ac:dyDescent="0.2">
      <c r="A155">
        <f t="shared" si="26"/>
        <v>2008</v>
      </c>
      <c r="C155">
        <f t="shared" si="22"/>
        <v>12</v>
      </c>
      <c r="D155" s="22">
        <f t="shared" si="28"/>
        <v>0.99977290570882893</v>
      </c>
      <c r="E155" s="11">
        <f t="shared" si="32"/>
        <v>138</v>
      </c>
      <c r="F155" s="25">
        <f t="shared" si="29"/>
        <v>0.11739388900110756</v>
      </c>
      <c r="H155" s="23">
        <f t="shared" si="27"/>
        <v>1.0002271458747025</v>
      </c>
      <c r="I155">
        <f t="shared" si="23"/>
        <v>2008</v>
      </c>
      <c r="J155" s="15">
        <f t="shared" si="30"/>
        <v>0.60200970766575279</v>
      </c>
      <c r="K155" s="15">
        <f t="shared" si="30"/>
        <v>0.82227323138786079</v>
      </c>
      <c r="L155" s="15">
        <f t="shared" si="30"/>
        <v>0.88699779091202102</v>
      </c>
      <c r="M155" s="15">
        <f t="shared" si="30"/>
        <v>0.95033015116836539</v>
      </c>
      <c r="N155" s="15">
        <f t="shared" si="30"/>
        <v>0.98336239187312824</v>
      </c>
      <c r="O155" s="15">
        <f t="shared" si="33"/>
        <v>0.99637999106873743</v>
      </c>
      <c r="P155" s="15">
        <f t="shared" si="31"/>
        <v>0.99968063047943412</v>
      </c>
      <c r="Q155" s="29"/>
      <c r="R155" s="29">
        <f t="shared" si="34"/>
        <v>4827.0057301898405</v>
      </c>
      <c r="S155" s="29">
        <f t="shared" si="34"/>
        <v>1384.3979640602965</v>
      </c>
      <c r="T155" s="29">
        <f t="shared" si="34"/>
        <v>1686.7375993274077</v>
      </c>
      <c r="U155" s="29">
        <f t="shared" si="34"/>
        <v>3249.044472664058</v>
      </c>
      <c r="V155" s="29">
        <f t="shared" si="34"/>
        <v>5589.921055840091</v>
      </c>
      <c r="W155" s="29">
        <f t="shared" si="34"/>
        <v>4389.1407898180933</v>
      </c>
      <c r="X155" s="29">
        <f t="shared" si="34"/>
        <v>2020.4507955189511</v>
      </c>
      <c r="Y155" s="29">
        <f t="shared" si="35"/>
        <v>23146.698407418738</v>
      </c>
      <c r="Z155" s="24">
        <f t="shared" si="21"/>
        <v>-167.07418280705679</v>
      </c>
    </row>
    <row r="156" spans="1:26" x14ac:dyDescent="0.2">
      <c r="A156">
        <f t="shared" si="26"/>
        <v>2009</v>
      </c>
      <c r="C156">
        <f t="shared" si="22"/>
        <v>11</v>
      </c>
      <c r="D156" s="22">
        <f t="shared" si="28"/>
        <v>0.99984324796371249</v>
      </c>
      <c r="E156" s="11">
        <f t="shared" si="32"/>
        <v>139</v>
      </c>
      <c r="F156" s="25">
        <f t="shared" si="29"/>
        <v>0.11424340451636221</v>
      </c>
      <c r="H156" s="23">
        <f t="shared" si="27"/>
        <v>1.0001567766113406</v>
      </c>
      <c r="I156">
        <f t="shared" si="23"/>
        <v>2009</v>
      </c>
      <c r="J156" s="15">
        <f t="shared" ref="J156:N167" si="36">VLOOKUP($I156-J$169,$C$17:$D$167,2,FALSE)</f>
        <v>0.58893458870805948</v>
      </c>
      <c r="K156" s="15">
        <f t="shared" si="36"/>
        <v>0.81174535781677226</v>
      </c>
      <c r="L156" s="15">
        <f t="shared" si="36"/>
        <v>0.87876478870732311</v>
      </c>
      <c r="M156" s="15">
        <f t="shared" si="36"/>
        <v>0.94549669552276183</v>
      </c>
      <c r="N156" s="15">
        <f t="shared" si="36"/>
        <v>0.98114798324342201</v>
      </c>
      <c r="O156" s="15">
        <f t="shared" si="33"/>
        <v>0.99566331246840367</v>
      </c>
      <c r="P156" s="15">
        <f t="shared" si="31"/>
        <v>0.99956208839352689</v>
      </c>
      <c r="Q156" s="29"/>
      <c r="R156" s="29">
        <f t="shared" si="34"/>
        <v>4722.1674305278339</v>
      </c>
      <c r="S156" s="29">
        <f t="shared" si="34"/>
        <v>1366.6729960309963</v>
      </c>
      <c r="T156" s="29">
        <f t="shared" si="34"/>
        <v>1671.0815125633912</v>
      </c>
      <c r="U156" s="29">
        <f t="shared" si="34"/>
        <v>3232.5195709444733</v>
      </c>
      <c r="V156" s="29">
        <f t="shared" si="34"/>
        <v>5577.3332555258548</v>
      </c>
      <c r="W156" s="29">
        <f t="shared" si="34"/>
        <v>4385.9837580570074</v>
      </c>
      <c r="X156" s="29">
        <f t="shared" si="34"/>
        <v>2020.2112105510412</v>
      </c>
      <c r="Y156" s="29">
        <f t="shared" si="35"/>
        <v>22975.9697342006</v>
      </c>
      <c r="Z156" s="24">
        <f t="shared" si="21"/>
        <v>-170.72867321813828</v>
      </c>
    </row>
    <row r="157" spans="1:26" x14ac:dyDescent="0.2">
      <c r="A157">
        <f t="shared" si="26"/>
        <v>2010</v>
      </c>
      <c r="C157">
        <f t="shared" si="22"/>
        <v>10</v>
      </c>
      <c r="D157" s="22">
        <f t="shared" si="28"/>
        <v>0.99989556296392978</v>
      </c>
      <c r="E157" s="11">
        <f t="shared" si="32"/>
        <v>140</v>
      </c>
      <c r="F157" s="25">
        <f t="shared" si="29"/>
        <v>0.11118861428762343</v>
      </c>
      <c r="H157" s="23">
        <f t="shared" si="27"/>
        <v>1.000104447944304</v>
      </c>
      <c r="I157">
        <f t="shared" si="23"/>
        <v>2010</v>
      </c>
      <c r="J157" s="15">
        <f t="shared" si="36"/>
        <v>0.57589942579571951</v>
      </c>
      <c r="K157" s="15">
        <f t="shared" si="36"/>
        <v>0.8009276481015557</v>
      </c>
      <c r="L157" s="15">
        <f t="shared" si="36"/>
        <v>0.87018504504065342</v>
      </c>
      <c r="M157" s="15">
        <f t="shared" si="36"/>
        <v>0.94034609280043069</v>
      </c>
      <c r="N157" s="15">
        <f t="shared" si="36"/>
        <v>0.97872217779654513</v>
      </c>
      <c r="O157" s="15">
        <f t="shared" si="33"/>
        <v>0.9948436097637755</v>
      </c>
      <c r="P157" s="15">
        <f t="shared" si="31"/>
        <v>0.99941251074394599</v>
      </c>
      <c r="R157" s="29">
        <f t="shared" ref="R157:R167" si="37">R$16*J157/J$146</f>
        <v>4617.6495045365837</v>
      </c>
      <c r="S157" s="29">
        <f t="shared" ref="S157:S167" si="38">S$16*K157/K$146</f>
        <v>1348.4600532598154</v>
      </c>
      <c r="T157" s="29">
        <f t="shared" ref="T157:T167" si="39">T$16*L157/L$146</f>
        <v>1654.7660534005415</v>
      </c>
      <c r="U157" s="29">
        <f t="shared" ref="U157:U167" si="40">U$16*M157/M$146</f>
        <v>3214.9103881932947</v>
      </c>
      <c r="V157" s="29">
        <f t="shared" ref="V157:V167" si="41">V$16*N157/N$146</f>
        <v>5563.5437705334098</v>
      </c>
      <c r="W157" s="29">
        <f t="shared" ref="W157:W167" si="42">W$16*O157/O$146</f>
        <v>4382.3728961281677</v>
      </c>
      <c r="X157" s="29">
        <f t="shared" ref="X157:X167" si="43">X$16*P157/P$146</f>
        <v>2019.9088997210888</v>
      </c>
      <c r="Y157" s="29">
        <f t="shared" ref="Y157:Y167" si="44">SUM(R157:X157)</f>
        <v>22801.611565772899</v>
      </c>
      <c r="Z157" s="24">
        <f t="shared" ref="Z157:Z167" si="45">Y157-Y156</f>
        <v>-174.35816842770146</v>
      </c>
    </row>
    <row r="158" spans="1:26" x14ac:dyDescent="0.2">
      <c r="A158">
        <f t="shared" si="26"/>
        <v>2011</v>
      </c>
      <c r="C158">
        <f t="shared" si="22"/>
        <v>9</v>
      </c>
      <c r="D158" s="22">
        <f t="shared" si="28"/>
        <v>0.99993333615200219</v>
      </c>
      <c r="E158" s="11">
        <f t="shared" si="32"/>
        <v>141</v>
      </c>
      <c r="F158" s="25">
        <f t="shared" si="29"/>
        <v>0.10822650996292382</v>
      </c>
      <c r="H158" s="23">
        <f t="shared" si="27"/>
        <v>1.0000666682923627</v>
      </c>
      <c r="I158">
        <f t="shared" si="23"/>
        <v>2011</v>
      </c>
      <c r="J158" s="15">
        <f t="shared" si="36"/>
        <v>0.56292163066939815</v>
      </c>
      <c r="K158" s="15">
        <f t="shared" si="36"/>
        <v>0.78983349562469707</v>
      </c>
      <c r="L158" s="15">
        <f t="shared" si="36"/>
        <v>0.86126252769370748</v>
      </c>
      <c r="M158" s="15">
        <f t="shared" si="36"/>
        <v>0.93487062214415295</v>
      </c>
      <c r="N158" s="15">
        <f t="shared" si="36"/>
        <v>0.97607327282135148</v>
      </c>
      <c r="O158" s="15">
        <f t="shared" si="33"/>
        <v>0.99391135554715382</v>
      </c>
      <c r="P158" s="15">
        <f t="shared" si="31"/>
        <v>0.99922668861951447</v>
      </c>
      <c r="R158" s="29">
        <f t="shared" si="37"/>
        <v>4513.5915622105704</v>
      </c>
      <c r="S158" s="29">
        <f t="shared" si="38"/>
        <v>1329.781685150939</v>
      </c>
      <c r="T158" s="29">
        <f t="shared" si="39"/>
        <v>1637.7987670736272</v>
      </c>
      <c r="U158" s="29">
        <f t="shared" si="40"/>
        <v>3196.190527890913</v>
      </c>
      <c r="V158" s="29">
        <f t="shared" si="41"/>
        <v>5548.4860768305325</v>
      </c>
      <c r="W158" s="29">
        <f t="shared" si="42"/>
        <v>4378.266234969441</v>
      </c>
      <c r="X158" s="29">
        <f t="shared" si="43"/>
        <v>2019.5333353181329</v>
      </c>
      <c r="Y158" s="29">
        <f t="shared" si="44"/>
        <v>22623.648189444157</v>
      </c>
      <c r="Z158" s="24">
        <f t="shared" si="45"/>
        <v>-177.96337632874202</v>
      </c>
    </row>
    <row r="159" spans="1:26" x14ac:dyDescent="0.2">
      <c r="A159">
        <f t="shared" si="26"/>
        <v>2012</v>
      </c>
      <c r="C159">
        <f t="shared" si="22"/>
        <v>8</v>
      </c>
      <c r="D159" s="22">
        <f t="shared" si="28"/>
        <v>0.99995964177326324</v>
      </c>
      <c r="E159" s="11">
        <f t="shared" si="32"/>
        <v>142</v>
      </c>
      <c r="F159" s="25">
        <f t="shared" si="29"/>
        <v>0.10535416603840841</v>
      </c>
      <c r="H159" s="23">
        <f t="shared" si="27"/>
        <v>1.0000403598555889</v>
      </c>
      <c r="I159">
        <f t="shared" si="23"/>
        <v>2012</v>
      </c>
      <c r="J159" s="15">
        <f t="shared" si="36"/>
        <v>0.55001787614430364</v>
      </c>
      <c r="K159" s="15">
        <f t="shared" si="36"/>
        <v>0.77847744337334734</v>
      </c>
      <c r="L159" s="15">
        <f t="shared" si="36"/>
        <v>0.85200261055483129</v>
      </c>
      <c r="M159" s="15">
        <f t="shared" si="36"/>
        <v>0.92906342064831493</v>
      </c>
      <c r="N159" s="15">
        <f t="shared" si="36"/>
        <v>0.97318961881714305</v>
      </c>
      <c r="O159" s="15">
        <f t="shared" si="33"/>
        <v>0.99285665043186788</v>
      </c>
      <c r="P159" s="15">
        <f t="shared" si="31"/>
        <v>0.99899896890334761</v>
      </c>
      <c r="R159" s="29">
        <f t="shared" si="37"/>
        <v>4410.1272887271653</v>
      </c>
      <c r="S159" s="29">
        <f t="shared" si="38"/>
        <v>1310.6623766091836</v>
      </c>
      <c r="T159" s="29">
        <f t="shared" si="39"/>
        <v>1620.1898727056505</v>
      </c>
      <c r="U159" s="29">
        <f t="shared" si="40"/>
        <v>3176.3365267329973</v>
      </c>
      <c r="V159" s="29">
        <f t="shared" si="41"/>
        <v>5532.0939528596555</v>
      </c>
      <c r="W159" s="29">
        <f t="shared" si="42"/>
        <v>4373.6201669188722</v>
      </c>
      <c r="X159" s="29">
        <f t="shared" si="43"/>
        <v>2019.073091848712</v>
      </c>
      <c r="Y159" s="29">
        <f t="shared" si="44"/>
        <v>22442.103276402238</v>
      </c>
      <c r="Z159" s="24">
        <f t="shared" si="45"/>
        <v>-181.54491304191833</v>
      </c>
    </row>
    <row r="160" spans="1:26" x14ac:dyDescent="0.2">
      <c r="A160">
        <f t="shared" si="26"/>
        <v>2013</v>
      </c>
      <c r="C160">
        <f t="shared" si="22"/>
        <v>7</v>
      </c>
      <c r="D160" s="22">
        <f t="shared" si="28"/>
        <v>0.99997715316816216</v>
      </c>
      <c r="E160" s="11">
        <f t="shared" si="32"/>
        <v>143</v>
      </c>
      <c r="F160" s="25">
        <f t="shared" si="29"/>
        <v>0.10256873917460599</v>
      </c>
      <c r="H160" s="23">
        <f t="shared" si="27"/>
        <v>1.0000228473538275</v>
      </c>
      <c r="I160">
        <f t="shared" si="23"/>
        <v>2013</v>
      </c>
      <c r="J160" s="15">
        <f t="shared" si="36"/>
        <v>0.53720403845050801</v>
      </c>
      <c r="K160" s="15">
        <f t="shared" si="36"/>
        <v>0.76687509943623866</v>
      </c>
      <c r="L160" s="15">
        <f t="shared" si="36"/>
        <v>0.84241207501726123</v>
      </c>
      <c r="M160" s="15">
        <f t="shared" si="36"/>
        <v>0.92291856660656513</v>
      </c>
      <c r="N160" s="15">
        <f t="shared" si="36"/>
        <v>0.97005968700685008</v>
      </c>
      <c r="O160" s="15">
        <f t="shared" si="33"/>
        <v>0.99166924623704455</v>
      </c>
      <c r="P160" s="15">
        <f t="shared" si="31"/>
        <v>0.99872325176836463</v>
      </c>
      <c r="R160" s="29">
        <f t="shared" si="37"/>
        <v>4307.383982122522</v>
      </c>
      <c r="S160" s="29">
        <f t="shared" si="38"/>
        <v>1291.1284057686757</v>
      </c>
      <c r="T160" s="29">
        <f t="shared" si="39"/>
        <v>1601.9522659667746</v>
      </c>
      <c r="U160" s="29">
        <f t="shared" si="40"/>
        <v>3155.3281392424715</v>
      </c>
      <c r="V160" s="29">
        <f t="shared" si="41"/>
        <v>5514.3018633163765</v>
      </c>
      <c r="W160" s="29">
        <f t="shared" si="42"/>
        <v>4368.3895478456107</v>
      </c>
      <c r="X160" s="29">
        <f t="shared" si="43"/>
        <v>2018.5158409750529</v>
      </c>
      <c r="Y160" s="29">
        <f t="shared" si="44"/>
        <v>22257.000045237488</v>
      </c>
      <c r="Z160" s="24">
        <f t="shared" si="45"/>
        <v>-185.10323116475047</v>
      </c>
    </row>
    <row r="161" spans="1:26" x14ac:dyDescent="0.2">
      <c r="A161">
        <f t="shared" si="26"/>
        <v>2014</v>
      </c>
      <c r="C161">
        <f t="shared" si="22"/>
        <v>6</v>
      </c>
      <c r="D161" s="22">
        <f t="shared" si="28"/>
        <v>0.99998815434890775</v>
      </c>
      <c r="E161" s="11">
        <f t="shared" si="32"/>
        <v>144</v>
      </c>
      <c r="F161" s="25">
        <f t="shared" si="29"/>
        <v>9.9867467329576048E-2</v>
      </c>
      <c r="H161" s="23">
        <f t="shared" si="27"/>
        <v>1.0000118457914133</v>
      </c>
      <c r="I161">
        <f t="shared" si="23"/>
        <v>2014</v>
      </c>
      <c r="J161" s="15">
        <f t="shared" si="36"/>
        <v>0.52449514915485007</v>
      </c>
      <c r="K161" s="15">
        <f t="shared" si="36"/>
        <v>0.75504304269584266</v>
      </c>
      <c r="L161" s="15">
        <f t="shared" si="36"/>
        <v>0.83249909871707539</v>
      </c>
      <c r="M161" s="15">
        <f t="shared" si="36"/>
        <v>0.91643115946554121</v>
      </c>
      <c r="N161" s="15">
        <f t="shared" si="36"/>
        <v>0.96667214106000876</v>
      </c>
      <c r="O161" s="15">
        <f t="shared" si="33"/>
        <v>0.99033857302043671</v>
      </c>
      <c r="P161" s="15">
        <f t="shared" si="31"/>
        <v>0.99839298981425129</v>
      </c>
      <c r="R161" s="29">
        <f t="shared" si="37"/>
        <v>4205.4821677940563</v>
      </c>
      <c r="S161" s="29">
        <f t="shared" si="38"/>
        <v>1271.2076852140215</v>
      </c>
      <c r="T161" s="29">
        <f t="shared" si="39"/>
        <v>1583.1014976581264</v>
      </c>
      <c r="U161" s="29">
        <f t="shared" si="40"/>
        <v>3133.1486111200074</v>
      </c>
      <c r="V161" s="29">
        <f t="shared" si="41"/>
        <v>5495.0453668585405</v>
      </c>
      <c r="W161" s="29">
        <f t="shared" si="42"/>
        <v>4362.5278162318837</v>
      </c>
      <c r="X161" s="29">
        <f t="shared" si="43"/>
        <v>2017.8483497707891</v>
      </c>
      <c r="Y161" s="29">
        <f t="shared" si="44"/>
        <v>22068.361494647423</v>
      </c>
      <c r="Z161" s="24">
        <f t="shared" si="45"/>
        <v>-188.63855059006528</v>
      </c>
    </row>
    <row r="162" spans="1:26" x14ac:dyDescent="0.2">
      <c r="A162">
        <f t="shared" si="26"/>
        <v>2015</v>
      </c>
      <c r="C162">
        <f t="shared" si="22"/>
        <v>5</v>
      </c>
      <c r="D162" s="22">
        <f t="shared" si="28"/>
        <v>0.99999455300773576</v>
      </c>
      <c r="E162" s="11">
        <f t="shared" si="32"/>
        <v>145</v>
      </c>
      <c r="F162" s="25">
        <f t="shared" si="29"/>
        <v>9.7247668732538109E-2</v>
      </c>
      <c r="H162" s="23">
        <f t="shared" si="27"/>
        <v>1.0000054470219342</v>
      </c>
      <c r="I162">
        <f t="shared" si="23"/>
        <v>2015</v>
      </c>
      <c r="J162" s="15">
        <f t="shared" si="36"/>
        <v>0.51190535656628089</v>
      </c>
      <c r="K162" s="15">
        <f t="shared" si="36"/>
        <v>0.74299871990036592</v>
      </c>
      <c r="L162" s="15">
        <f t="shared" si="36"/>
        <v>0.82227323138786079</v>
      </c>
      <c r="M162" s="15">
        <f t="shared" si="36"/>
        <v>0.90959739533107919</v>
      </c>
      <c r="N162" s="15">
        <f t="shared" si="36"/>
        <v>0.96301591269546205</v>
      </c>
      <c r="O162" s="15">
        <f t="shared" si="33"/>
        <v>0.98885377017892562</v>
      </c>
      <c r="P162" s="15">
        <f t="shared" si="31"/>
        <v>0.99800118901189872</v>
      </c>
      <c r="R162" s="29">
        <f t="shared" si="37"/>
        <v>4104.5352890426157</v>
      </c>
      <c r="S162" s="29">
        <f t="shared" si="38"/>
        <v>1250.9295886883692</v>
      </c>
      <c r="T162" s="29">
        <f t="shared" si="39"/>
        <v>1563.6557277964171</v>
      </c>
      <c r="U162" s="29">
        <f t="shared" si="40"/>
        <v>3109.7849373890767</v>
      </c>
      <c r="V162" s="29">
        <f t="shared" si="41"/>
        <v>5474.2615458696082</v>
      </c>
      <c r="W162" s="29">
        <f t="shared" si="42"/>
        <v>4355.9871301734211</v>
      </c>
      <c r="X162" s="29">
        <f t="shared" si="43"/>
        <v>2017.0564826297618</v>
      </c>
      <c r="Y162" s="29">
        <f t="shared" si="44"/>
        <v>21876.210701589269</v>
      </c>
      <c r="Z162" s="24">
        <f t="shared" si="45"/>
        <v>-192.15079305815379</v>
      </c>
    </row>
    <row r="163" spans="1:26" x14ac:dyDescent="0.2">
      <c r="A163">
        <f t="shared" si="26"/>
        <v>2016</v>
      </c>
      <c r="C163">
        <f t="shared" si="22"/>
        <v>4</v>
      </c>
      <c r="D163" s="22">
        <f t="shared" si="28"/>
        <v>0.99999789521414317</v>
      </c>
      <c r="E163" s="11">
        <f t="shared" si="32"/>
        <v>146</v>
      </c>
      <c r="F163" s="25">
        <f t="shared" si="29"/>
        <v>9.4706740719553609E-2</v>
      </c>
      <c r="H163" s="23">
        <f t="shared" si="27"/>
        <v>1.0000021047902869</v>
      </c>
      <c r="I163">
        <f t="shared" si="23"/>
        <v>2016</v>
      </c>
      <c r="J163" s="15">
        <f t="shared" si="36"/>
        <v>0.4994478963955602</v>
      </c>
      <c r="K163" s="15">
        <f t="shared" si="36"/>
        <v>0.73076033544126406</v>
      </c>
      <c r="L163" s="15">
        <f t="shared" si="36"/>
        <v>0.81174535781677226</v>
      </c>
      <c r="M163" s="15">
        <f t="shared" si="36"/>
        <v>0.90241463685549106</v>
      </c>
      <c r="N163" s="15">
        <f t="shared" si="36"/>
        <v>0.95908028073978546</v>
      </c>
      <c r="O163" s="15">
        <f t="shared" si="33"/>
        <v>0.98720372181565841</v>
      </c>
      <c r="P163" s="15">
        <f t="shared" si="31"/>
        <v>0.99754041164089791</v>
      </c>
      <c r="R163" s="29">
        <f t="shared" si="37"/>
        <v>4004.649471817444</v>
      </c>
      <c r="S163" s="29">
        <f t="shared" si="38"/>
        <v>1230.3247655203195</v>
      </c>
      <c r="T163" s="29">
        <f t="shared" si="39"/>
        <v>1543.6356551702365</v>
      </c>
      <c r="U163" s="29">
        <f t="shared" si="40"/>
        <v>3085.228101330682</v>
      </c>
      <c r="V163" s="29">
        <f t="shared" si="41"/>
        <v>5451.8894558660768</v>
      </c>
      <c r="W163" s="29">
        <f t="shared" si="42"/>
        <v>4348.7185231747799</v>
      </c>
      <c r="X163" s="29">
        <f t="shared" si="43"/>
        <v>2016.1252072029793</v>
      </c>
      <c r="Y163" s="29">
        <f t="shared" si="44"/>
        <v>21680.571180082516</v>
      </c>
      <c r="Z163" s="24">
        <f t="shared" si="45"/>
        <v>-195.63952150675323</v>
      </c>
    </row>
    <row r="164" spans="1:26" x14ac:dyDescent="0.2">
      <c r="A164">
        <f t="shared" si="26"/>
        <v>2017</v>
      </c>
      <c r="C164">
        <f t="shared" si="22"/>
        <v>3</v>
      </c>
      <c r="D164" s="22">
        <f t="shared" si="28"/>
        <v>0.99999938223536866</v>
      </c>
      <c r="E164" s="11">
        <f t="shared" si="32"/>
        <v>147</v>
      </c>
      <c r="F164" s="25">
        <f t="shared" si="29"/>
        <v>9.2242158450917031E-2</v>
      </c>
      <c r="H164" s="23">
        <f t="shared" si="27"/>
        <v>1.0000006177650129</v>
      </c>
      <c r="I164">
        <f t="shared" si="23"/>
        <v>2017</v>
      </c>
      <c r="J164" s="15">
        <f t="shared" si="36"/>
        <v>0.48713507132494843</v>
      </c>
      <c r="K164" s="15">
        <f t="shared" si="36"/>
        <v>0.71834673527409276</v>
      </c>
      <c r="L164" s="15">
        <f t="shared" si="36"/>
        <v>0.8009276481015557</v>
      </c>
      <c r="M164" s="15">
        <f t="shared" si="36"/>
        <v>0.89488147633948223</v>
      </c>
      <c r="N164" s="15">
        <f t="shared" si="36"/>
        <v>0.9548549531198296</v>
      </c>
      <c r="O164" s="15">
        <f t="shared" si="33"/>
        <v>0.985377096545209</v>
      </c>
      <c r="P164" s="15">
        <f t="shared" si="31"/>
        <v>0.99700278142293219</v>
      </c>
      <c r="R164" s="29">
        <f t="shared" si="37"/>
        <v>3905.9233609028556</v>
      </c>
      <c r="S164" s="29">
        <f t="shared" si="38"/>
        <v>1209.424945190422</v>
      </c>
      <c r="T164" s="29">
        <f t="shared" si="39"/>
        <v>1523.064422747545</v>
      </c>
      <c r="U164" s="29">
        <f t="shared" si="40"/>
        <v>3059.4732902198925</v>
      </c>
      <c r="V164" s="29">
        <f t="shared" si="41"/>
        <v>5427.8705915838827</v>
      </c>
      <c r="W164" s="29">
        <f t="shared" si="42"/>
        <v>4340.6720794945513</v>
      </c>
      <c r="X164" s="29">
        <f t="shared" si="43"/>
        <v>2015.0386047736986</v>
      </c>
      <c r="Y164" s="29">
        <f t="shared" si="44"/>
        <v>21481.467294912847</v>
      </c>
      <c r="Z164" s="24">
        <f t="shared" si="45"/>
        <v>-199.1038851696685</v>
      </c>
    </row>
    <row r="165" spans="1:26" x14ac:dyDescent="0.2">
      <c r="A165">
        <f t="shared" si="26"/>
        <v>2018</v>
      </c>
      <c r="C165">
        <f t="shared" si="22"/>
        <v>2</v>
      </c>
      <c r="D165" s="22">
        <f t="shared" si="28"/>
        <v>0.99999989023395652</v>
      </c>
      <c r="E165" s="11">
        <f t="shared" si="32"/>
        <v>148</v>
      </c>
      <c r="F165" s="25">
        <f t="shared" si="29"/>
        <v>8.9851473528134801E-2</v>
      </c>
      <c r="H165" s="23">
        <f t="shared" si="27"/>
        <v>1.0000001097660556</v>
      </c>
      <c r="I165">
        <f t="shared" si="23"/>
        <v>2018</v>
      </c>
      <c r="J165" s="15">
        <f t="shared" si="36"/>
        <v>0.47497823904507858</v>
      </c>
      <c r="K165" s="15">
        <f t="shared" si="36"/>
        <v>0.70577728650094107</v>
      </c>
      <c r="L165" s="15">
        <f t="shared" si="36"/>
        <v>0.78983349562469707</v>
      </c>
      <c r="M165" s="15">
        <f t="shared" si="36"/>
        <v>0.88699779091202102</v>
      </c>
      <c r="N165" s="15">
        <f t="shared" si="36"/>
        <v>0.95033015116836539</v>
      </c>
      <c r="O165" s="15">
        <f t="shared" si="33"/>
        <v>0.98336239187312824</v>
      </c>
      <c r="P165" s="15">
        <f t="shared" si="31"/>
        <v>0.99637999106873743</v>
      </c>
      <c r="R165" s="29">
        <f t="shared" si="37"/>
        <v>3808.4480239960471</v>
      </c>
      <c r="S165" s="29">
        <f t="shared" si="38"/>
        <v>1188.262734593415</v>
      </c>
      <c r="T165" s="29">
        <f t="shared" si="39"/>
        <v>1501.9674997257323</v>
      </c>
      <c r="U165" s="29">
        <f t="shared" si="40"/>
        <v>3032.520083978015</v>
      </c>
      <c r="V165" s="29">
        <f t="shared" si="41"/>
        <v>5402.1493662136336</v>
      </c>
      <c r="W165" s="29">
        <f t="shared" si="42"/>
        <v>4331.7971296411497</v>
      </c>
      <c r="X165" s="29">
        <f t="shared" si="43"/>
        <v>2013.7798855105568</v>
      </c>
      <c r="Y165" s="29">
        <f t="shared" si="44"/>
        <v>21278.924723658551</v>
      </c>
      <c r="Z165" s="24">
        <f t="shared" si="45"/>
        <v>-202.54257125429649</v>
      </c>
    </row>
    <row r="166" spans="1:26" x14ac:dyDescent="0.2">
      <c r="A166">
        <f t="shared" si="26"/>
        <v>2019</v>
      </c>
      <c r="C166">
        <f t="shared" si="22"/>
        <v>1</v>
      </c>
      <c r="D166" s="22">
        <f t="shared" si="28"/>
        <v>0.99999999427563546</v>
      </c>
      <c r="E166" s="11">
        <f t="shared" si="32"/>
        <v>149</v>
      </c>
      <c r="F166" s="25">
        <f t="shared" si="29"/>
        <v>8.7532312526709136E-2</v>
      </c>
      <c r="H166" s="23">
        <f t="shared" si="27"/>
        <v>1.0000000057243645</v>
      </c>
      <c r="I166">
        <f t="shared" si="23"/>
        <v>2019</v>
      </c>
      <c r="J166" s="15">
        <f t="shared" si="36"/>
        <v>0.46298780823503977</v>
      </c>
      <c r="K166" s="15">
        <f t="shared" si="36"/>
        <v>0.69307175417969769</v>
      </c>
      <c r="L166" s="15">
        <f t="shared" si="36"/>
        <v>0.77847744337334734</v>
      </c>
      <c r="M166" s="15">
        <f t="shared" si="36"/>
        <v>0.87876478870732311</v>
      </c>
      <c r="N166" s="15">
        <f t="shared" si="36"/>
        <v>0.94549669552276183</v>
      </c>
      <c r="O166" s="15">
        <f t="shared" si="33"/>
        <v>0.98114798324342201</v>
      </c>
      <c r="P166" s="15">
        <f t="shared" si="31"/>
        <v>0.99566331246840367</v>
      </c>
      <c r="R166" s="29">
        <f t="shared" si="37"/>
        <v>3712.3069194747936</v>
      </c>
      <c r="S166" s="29">
        <f t="shared" si="38"/>
        <v>1166.871410631496</v>
      </c>
      <c r="T166" s="29">
        <f t="shared" si="39"/>
        <v>1480.3725414197106</v>
      </c>
      <c r="U166" s="29">
        <f t="shared" si="40"/>
        <v>3004.3726130451842</v>
      </c>
      <c r="V166" s="29">
        <f t="shared" si="41"/>
        <v>5374.6735996914222</v>
      </c>
      <c r="W166" s="29">
        <f t="shared" si="42"/>
        <v>4322.0424664312404</v>
      </c>
      <c r="X166" s="29">
        <f t="shared" si="43"/>
        <v>2012.3314090631523</v>
      </c>
      <c r="Y166" s="29">
        <f t="shared" si="44"/>
        <v>21072.970959757</v>
      </c>
      <c r="Z166" s="24">
        <f t="shared" si="45"/>
        <v>-205.9537639015507</v>
      </c>
    </row>
    <row r="167" spans="1:26" x14ac:dyDescent="0.2">
      <c r="A167">
        <f t="shared" si="26"/>
        <v>2020</v>
      </c>
      <c r="C167">
        <f t="shared" si="22"/>
        <v>0</v>
      </c>
      <c r="D167" s="22">
        <f t="shared" si="28"/>
        <v>1</v>
      </c>
      <c r="E167" s="11">
        <f t="shared" si="32"/>
        <v>150</v>
      </c>
      <c r="F167" s="25">
        <f t="shared" si="29"/>
        <v>8.5282375459403564E-2</v>
      </c>
      <c r="H167" s="23">
        <f t="shared" si="27"/>
        <v>1</v>
      </c>
      <c r="I167">
        <f t="shared" si="23"/>
        <v>2020</v>
      </c>
      <c r="J167" s="15">
        <f t="shared" si="36"/>
        <v>0.45117324189780544</v>
      </c>
      <c r="K167" s="15">
        <f t="shared" si="36"/>
        <v>0.68025017693844503</v>
      </c>
      <c r="L167" s="15">
        <f t="shared" si="36"/>
        <v>0.76687509943623866</v>
      </c>
      <c r="M167" s="15">
        <f t="shared" si="36"/>
        <v>0.87018504504065342</v>
      </c>
      <c r="N167" s="15">
        <f t="shared" si="36"/>
        <v>0.94034609280043069</v>
      </c>
      <c r="O167" s="15">
        <f t="shared" si="33"/>
        <v>0.97872217779654513</v>
      </c>
      <c r="P167" s="15">
        <f t="shared" si="31"/>
        <v>0.9948436097637755</v>
      </c>
      <c r="R167" s="29">
        <f t="shared" si="37"/>
        <v>3617.5759231414231</v>
      </c>
      <c r="S167" s="29">
        <f t="shared" si="38"/>
        <v>1145.2847107958796</v>
      </c>
      <c r="T167" s="29">
        <f t="shared" si="39"/>
        <v>1458.3092285686973</v>
      </c>
      <c r="U167" s="29">
        <f t="shared" si="40"/>
        <v>2975.0396820603091</v>
      </c>
      <c r="V167" s="29">
        <f t="shared" si="41"/>
        <v>5345.3950114051822</v>
      </c>
      <c r="W167" s="29">
        <f t="shared" si="42"/>
        <v>4311.3565817983799</v>
      </c>
      <c r="X167" s="29">
        <f t="shared" si="43"/>
        <v>2010.6747109826258</v>
      </c>
      <c r="Y167" s="29">
        <f t="shared" si="44"/>
        <v>20863.635848752496</v>
      </c>
      <c r="Z167" s="24">
        <f t="shared" si="45"/>
        <v>-209.33511100450414</v>
      </c>
    </row>
    <row r="168" spans="1:26" s="341" customFormat="1" x14ac:dyDescent="0.2">
      <c r="D168" s="22"/>
      <c r="E168" s="11"/>
      <c r="F168" s="25"/>
      <c r="H168" s="23"/>
      <c r="J168" s="15"/>
      <c r="K168" s="15"/>
      <c r="L168" s="15"/>
      <c r="M168" s="15"/>
      <c r="N168" s="15"/>
      <c r="O168" s="15"/>
      <c r="P168" s="15"/>
      <c r="R168" s="29"/>
      <c r="S168" s="29"/>
      <c r="T168" s="29"/>
      <c r="U168" s="29"/>
      <c r="V168" s="29"/>
      <c r="W168" s="29"/>
      <c r="X168" s="29"/>
      <c r="Y168" s="29"/>
      <c r="Z168" s="24"/>
    </row>
    <row r="169" spans="1:26" x14ac:dyDescent="0.2">
      <c r="I169" t="s">
        <v>75</v>
      </c>
      <c r="J169">
        <v>1930</v>
      </c>
      <c r="K169">
        <v>1948</v>
      </c>
      <c r="L169">
        <v>1955</v>
      </c>
      <c r="M169">
        <v>1965</v>
      </c>
      <c r="N169">
        <v>1975</v>
      </c>
      <c r="O169">
        <v>1985</v>
      </c>
      <c r="P169">
        <v>1995</v>
      </c>
    </row>
    <row r="170" spans="1:26" x14ac:dyDescent="0.2">
      <c r="I170">
        <v>1999</v>
      </c>
      <c r="J170">
        <f t="shared" ref="J170:P170" si="46">$I170-J169</f>
        <v>69</v>
      </c>
      <c r="K170">
        <f t="shared" si="46"/>
        <v>51</v>
      </c>
      <c r="L170">
        <f t="shared" si="46"/>
        <v>44</v>
      </c>
      <c r="M170">
        <f t="shared" si="46"/>
        <v>34</v>
      </c>
      <c r="N170">
        <f t="shared" si="46"/>
        <v>24</v>
      </c>
      <c r="O170">
        <f t="shared" si="46"/>
        <v>14</v>
      </c>
      <c r="P170">
        <f t="shared" si="46"/>
        <v>4</v>
      </c>
    </row>
    <row r="171" spans="1:26" x14ac:dyDescent="0.2">
      <c r="I171">
        <v>2001</v>
      </c>
      <c r="J171">
        <f t="shared" ref="J171:P175" si="47">$I171-J$169</f>
        <v>71</v>
      </c>
      <c r="K171">
        <f t="shared" si="47"/>
        <v>53</v>
      </c>
      <c r="L171">
        <f t="shared" si="47"/>
        <v>46</v>
      </c>
      <c r="M171">
        <f t="shared" si="47"/>
        <v>36</v>
      </c>
      <c r="N171">
        <f t="shared" si="47"/>
        <v>26</v>
      </c>
      <c r="O171">
        <f t="shared" si="47"/>
        <v>16</v>
      </c>
      <c r="P171">
        <f t="shared" si="47"/>
        <v>6</v>
      </c>
    </row>
    <row r="172" spans="1:26" x14ac:dyDescent="0.2">
      <c r="I172">
        <v>2003</v>
      </c>
      <c r="J172">
        <f t="shared" si="47"/>
        <v>73</v>
      </c>
      <c r="K172">
        <f t="shared" si="47"/>
        <v>55</v>
      </c>
      <c r="L172">
        <f t="shared" si="47"/>
        <v>48</v>
      </c>
      <c r="M172">
        <f t="shared" si="47"/>
        <v>38</v>
      </c>
      <c r="N172">
        <f t="shared" si="47"/>
        <v>28</v>
      </c>
      <c r="O172">
        <f t="shared" si="47"/>
        <v>18</v>
      </c>
      <c r="P172">
        <f t="shared" si="47"/>
        <v>8</v>
      </c>
    </row>
    <row r="173" spans="1:26" x14ac:dyDescent="0.2">
      <c r="I173">
        <v>2005</v>
      </c>
      <c r="J173">
        <f t="shared" si="47"/>
        <v>75</v>
      </c>
      <c r="K173">
        <f t="shared" si="47"/>
        <v>57</v>
      </c>
      <c r="L173">
        <f t="shared" si="47"/>
        <v>50</v>
      </c>
      <c r="M173">
        <f t="shared" si="47"/>
        <v>40</v>
      </c>
      <c r="N173">
        <f t="shared" si="47"/>
        <v>30</v>
      </c>
      <c r="O173">
        <f t="shared" si="47"/>
        <v>20</v>
      </c>
      <c r="P173">
        <f t="shared" si="47"/>
        <v>10</v>
      </c>
    </row>
    <row r="174" spans="1:26" x14ac:dyDescent="0.2">
      <c r="I174">
        <v>2007</v>
      </c>
      <c r="J174">
        <f t="shared" si="47"/>
        <v>77</v>
      </c>
      <c r="K174">
        <f t="shared" si="47"/>
        <v>59</v>
      </c>
      <c r="L174">
        <f t="shared" si="47"/>
        <v>52</v>
      </c>
      <c r="M174">
        <f t="shared" si="47"/>
        <v>42</v>
      </c>
      <c r="N174">
        <f t="shared" si="47"/>
        <v>32</v>
      </c>
      <c r="O174">
        <f t="shared" si="47"/>
        <v>22</v>
      </c>
      <c r="P174">
        <f t="shared" si="47"/>
        <v>12</v>
      </c>
    </row>
    <row r="175" spans="1:26" x14ac:dyDescent="0.2">
      <c r="I175">
        <v>2009</v>
      </c>
      <c r="J175">
        <f t="shared" si="47"/>
        <v>79</v>
      </c>
      <c r="K175">
        <f t="shared" si="47"/>
        <v>61</v>
      </c>
      <c r="L175">
        <f t="shared" si="47"/>
        <v>54</v>
      </c>
      <c r="M175">
        <f t="shared" si="47"/>
        <v>44</v>
      </c>
      <c r="N175">
        <f t="shared" si="47"/>
        <v>34</v>
      </c>
      <c r="O175">
        <f t="shared" si="47"/>
        <v>24</v>
      </c>
      <c r="P175">
        <f t="shared" si="47"/>
        <v>14</v>
      </c>
    </row>
    <row r="177" spans="9:22" x14ac:dyDescent="0.2">
      <c r="I177">
        <v>1999</v>
      </c>
      <c r="J177">
        <f t="shared" ref="J177:P177" si="48">VLOOKUP(J170,$E17:$F167,2,FALSE)</f>
        <v>0.71834673527409276</v>
      </c>
      <c r="K177">
        <f t="shared" si="48"/>
        <v>0.90241463685549106</v>
      </c>
      <c r="L177">
        <f t="shared" si="48"/>
        <v>0.94549669552276183</v>
      </c>
      <c r="M177">
        <f t="shared" si="48"/>
        <v>0.98114798324342201</v>
      </c>
      <c r="N177">
        <f t="shared" si="48"/>
        <v>0.99566331246840367</v>
      </c>
      <c r="O177">
        <f t="shared" si="48"/>
        <v>0.99956208839352689</v>
      </c>
      <c r="P177">
        <f t="shared" si="48"/>
        <v>0.99999789521414317</v>
      </c>
    </row>
    <row r="178" spans="9:22" x14ac:dyDescent="0.2">
      <c r="I178">
        <v>2001</v>
      </c>
      <c r="J178">
        <f t="shared" ref="J178:P182" si="49">VLOOKUP(J171,$E18:$F169,2,FALSE)</f>
        <v>0.69307175417969769</v>
      </c>
      <c r="K178">
        <f t="shared" si="49"/>
        <v>0.88699779091202102</v>
      </c>
      <c r="L178">
        <f t="shared" si="49"/>
        <v>0.93487062214415295</v>
      </c>
      <c r="M178">
        <f t="shared" si="49"/>
        <v>0.97607327282135148</v>
      </c>
      <c r="N178">
        <f t="shared" si="49"/>
        <v>0.99391135554715382</v>
      </c>
      <c r="O178">
        <f t="shared" si="49"/>
        <v>0.99922668861951447</v>
      </c>
      <c r="P178">
        <f t="shared" si="49"/>
        <v>0.99998815434890775</v>
      </c>
    </row>
    <row r="179" spans="9:22" x14ac:dyDescent="0.2">
      <c r="I179">
        <v>2003</v>
      </c>
      <c r="J179">
        <f t="shared" si="49"/>
        <v>0.66733274295282752</v>
      </c>
      <c r="K179">
        <f t="shared" si="49"/>
        <v>0.87018504504065342</v>
      </c>
      <c r="L179">
        <f t="shared" si="49"/>
        <v>0.92291856660656513</v>
      </c>
      <c r="M179">
        <f t="shared" si="49"/>
        <v>0.97005968700685008</v>
      </c>
      <c r="N179">
        <f t="shared" si="49"/>
        <v>0.99166924623704455</v>
      </c>
      <c r="O179">
        <f t="shared" si="49"/>
        <v>0.99872325176836463</v>
      </c>
      <c r="P179">
        <f t="shared" si="49"/>
        <v>0.99995964177326324</v>
      </c>
    </row>
    <row r="180" spans="9:22" x14ac:dyDescent="0.2">
      <c r="I180">
        <v>2005</v>
      </c>
      <c r="J180">
        <f t="shared" si="49"/>
        <v>0.64129107555640574</v>
      </c>
      <c r="K180">
        <f t="shared" si="49"/>
        <v>0.85200261055483129</v>
      </c>
      <c r="L180">
        <f t="shared" si="49"/>
        <v>0.90959739533107919</v>
      </c>
      <c r="M180">
        <f t="shared" si="49"/>
        <v>0.96301591269546205</v>
      </c>
      <c r="N180">
        <f t="shared" si="49"/>
        <v>0.98885377017892562</v>
      </c>
      <c r="O180">
        <f t="shared" si="49"/>
        <v>0.99800118901189872</v>
      </c>
      <c r="P180">
        <f t="shared" si="49"/>
        <v>0.99989556296392978</v>
      </c>
    </row>
    <row r="181" spans="9:22" x14ac:dyDescent="0.2">
      <c r="I181">
        <v>2007</v>
      </c>
      <c r="J181">
        <f t="shared" si="49"/>
        <v>0.6151066991971198</v>
      </c>
      <c r="K181">
        <f t="shared" si="49"/>
        <v>0.83249909871707539</v>
      </c>
      <c r="L181">
        <f t="shared" si="49"/>
        <v>0.89488147633948223</v>
      </c>
      <c r="M181">
        <f t="shared" si="49"/>
        <v>0.9548549531198296</v>
      </c>
      <c r="N181">
        <f t="shared" si="49"/>
        <v>0.985377096545209</v>
      </c>
      <c r="O181">
        <f t="shared" si="49"/>
        <v>0.99700278142293219</v>
      </c>
      <c r="P181">
        <f t="shared" si="49"/>
        <v>0.99977290570882893</v>
      </c>
      <c r="R181" t="s">
        <v>76</v>
      </c>
    </row>
    <row r="182" spans="9:22" x14ac:dyDescent="0.2">
      <c r="I182">
        <v>2009</v>
      </c>
      <c r="J182">
        <f t="shared" si="49"/>
        <v>0.58893458870805948</v>
      </c>
      <c r="K182">
        <f t="shared" si="49"/>
        <v>0.81174535781677226</v>
      </c>
      <c r="L182">
        <f t="shared" si="49"/>
        <v>0.87876478870732311</v>
      </c>
      <c r="M182">
        <f t="shared" si="49"/>
        <v>0.94549669552276183</v>
      </c>
      <c r="N182">
        <f t="shared" si="49"/>
        <v>0.98114798324342201</v>
      </c>
      <c r="O182">
        <f t="shared" si="49"/>
        <v>0.99566331246840367</v>
      </c>
      <c r="P182">
        <f t="shared" si="49"/>
        <v>0.99956208839352689</v>
      </c>
      <c r="R182" t="s">
        <v>489</v>
      </c>
      <c r="S182" t="s">
        <v>51</v>
      </c>
      <c r="T182">
        <v>4.2611726113280701</v>
      </c>
      <c r="V182">
        <v>4.2611884411054817</v>
      </c>
    </row>
    <row r="183" spans="9:22" x14ac:dyDescent="0.2">
      <c r="R183" t="s">
        <v>52</v>
      </c>
      <c r="S183" t="s">
        <v>78</v>
      </c>
      <c r="T183">
        <v>85.955440784131866</v>
      </c>
      <c r="V183">
        <v>85.954717447519599</v>
      </c>
    </row>
    <row r="184" spans="9:22" x14ac:dyDescent="0.2">
      <c r="I184">
        <v>1999</v>
      </c>
      <c r="J184">
        <v>1</v>
      </c>
      <c r="K184">
        <v>1</v>
      </c>
      <c r="L184">
        <v>1</v>
      </c>
      <c r="M184">
        <v>1</v>
      </c>
      <c r="N184">
        <v>1</v>
      </c>
      <c r="O184">
        <v>1</v>
      </c>
      <c r="P184">
        <v>1</v>
      </c>
      <c r="R184" t="s">
        <v>490</v>
      </c>
      <c r="S184" t="s">
        <v>81</v>
      </c>
      <c r="T184">
        <v>1.0002175842861301</v>
      </c>
      <c r="V184">
        <v>1.0002187525847692</v>
      </c>
    </row>
    <row r="185" spans="9:22" x14ac:dyDescent="0.2">
      <c r="I185">
        <v>2001</v>
      </c>
      <c r="J185">
        <f t="shared" ref="J185:P189" si="50">J178/J$177</f>
        <v>0.96481506791458982</v>
      </c>
      <c r="K185">
        <f t="shared" si="50"/>
        <v>0.98291600633031528</v>
      </c>
      <c r="L185">
        <f t="shared" si="50"/>
        <v>0.98876138496419197</v>
      </c>
      <c r="M185">
        <f t="shared" si="50"/>
        <v>0.99482778285361717</v>
      </c>
      <c r="N185">
        <f t="shared" si="50"/>
        <v>0.99824041229669647</v>
      </c>
      <c r="O185">
        <f t="shared" si="50"/>
        <v>0.99966445328618714</v>
      </c>
      <c r="P185">
        <f t="shared" si="50"/>
        <v>0.99999025911426209</v>
      </c>
    </row>
    <row r="186" spans="9:22" x14ac:dyDescent="0.2">
      <c r="I186">
        <v>2003</v>
      </c>
      <c r="J186">
        <f t="shared" si="50"/>
        <v>0.92898416625809499</v>
      </c>
      <c r="K186">
        <f t="shared" si="50"/>
        <v>0.96428516283031129</v>
      </c>
      <c r="L186">
        <f t="shared" si="50"/>
        <v>0.97612035132104469</v>
      </c>
      <c r="M186">
        <f t="shared" si="50"/>
        <v>0.98869865053392159</v>
      </c>
      <c r="N186">
        <f t="shared" si="50"/>
        <v>0.99598853730840275</v>
      </c>
      <c r="O186">
        <f t="shared" si="50"/>
        <v>0.99916079587761231</v>
      </c>
      <c r="P186">
        <f t="shared" si="50"/>
        <v>0.99996174647860459</v>
      </c>
      <c r="R186" t="s">
        <v>493</v>
      </c>
      <c r="S186" t="s">
        <v>80</v>
      </c>
      <c r="T186">
        <f>SUM(J205:Q210)*0.001</f>
        <v>950.58228141504333</v>
      </c>
      <c r="V186">
        <v>950.58227728874647</v>
      </c>
    </row>
    <row r="187" spans="9:22" x14ac:dyDescent="0.2">
      <c r="I187">
        <v>2005</v>
      </c>
      <c r="J187">
        <f t="shared" si="50"/>
        <v>0.89273194136772183</v>
      </c>
      <c r="K187">
        <f t="shared" si="50"/>
        <v>0.94413651525387154</v>
      </c>
      <c r="L187">
        <f t="shared" si="50"/>
        <v>0.96203127904975483</v>
      </c>
      <c r="M187">
        <f t="shared" si="50"/>
        <v>0.98151953542418746</v>
      </c>
      <c r="N187">
        <f t="shared" si="50"/>
        <v>0.99316079822947767</v>
      </c>
      <c r="O187">
        <f t="shared" si="50"/>
        <v>0.99843841678295664</v>
      </c>
      <c r="P187">
        <f t="shared" si="50"/>
        <v>0.99989766753439868</v>
      </c>
      <c r="S187" t="s">
        <v>83</v>
      </c>
      <c r="T187">
        <f>AHS_tables!$IK$16</f>
        <v>231.41068084448949</v>
      </c>
      <c r="V187">
        <v>231.41068084448949</v>
      </c>
    </row>
    <row r="188" spans="9:22" x14ac:dyDescent="0.2">
      <c r="I188">
        <v>2007</v>
      </c>
      <c r="J188">
        <f t="shared" si="50"/>
        <v>0.85628105341415572</v>
      </c>
      <c r="K188">
        <f t="shared" si="50"/>
        <v>0.92252393159087065</v>
      </c>
      <c r="L188">
        <f t="shared" si="50"/>
        <v>0.94646705861272773</v>
      </c>
      <c r="M188">
        <f t="shared" si="50"/>
        <v>0.97320176917994117</v>
      </c>
      <c r="N188">
        <f t="shared" si="50"/>
        <v>0.98966898167846162</v>
      </c>
      <c r="O188">
        <f t="shared" si="50"/>
        <v>0.99743957178817377</v>
      </c>
      <c r="P188">
        <f t="shared" si="50"/>
        <v>0.99977501002113001</v>
      </c>
    </row>
    <row r="189" spans="9:22" x14ac:dyDescent="0.2">
      <c r="I189">
        <v>2009</v>
      </c>
      <c r="J189">
        <f t="shared" si="50"/>
        <v>0.8198472405994095</v>
      </c>
      <c r="K189">
        <f t="shared" si="50"/>
        <v>0.89952592152687105</v>
      </c>
      <c r="L189">
        <f t="shared" si="50"/>
        <v>0.92942132200838323</v>
      </c>
      <c r="M189">
        <f t="shared" si="50"/>
        <v>0.9636636997379272</v>
      </c>
      <c r="N189">
        <f t="shared" si="50"/>
        <v>0.98542144815098598</v>
      </c>
      <c r="O189">
        <f t="shared" si="50"/>
        <v>0.99609951600766566</v>
      </c>
      <c r="P189">
        <f t="shared" si="50"/>
        <v>0.9995641922621018</v>
      </c>
    </row>
    <row r="190" spans="9:22" x14ac:dyDescent="0.2">
      <c r="S190" t="s">
        <v>41</v>
      </c>
      <c r="T190" t="s">
        <v>30</v>
      </c>
      <c r="U190" t="s">
        <v>79</v>
      </c>
    </row>
    <row r="191" spans="9:22" x14ac:dyDescent="0.2">
      <c r="J191">
        <f t="shared" ref="J191:J196" si="51">J$16*J184*$T$184</f>
        <v>5761.0670208561696</v>
      </c>
      <c r="K191">
        <f t="shared" ref="K191:P191" si="52">K$16*K184*$T$184</f>
        <v>1519.6564433394997</v>
      </c>
      <c r="L191">
        <f t="shared" si="52"/>
        <v>1798.3718191762027</v>
      </c>
      <c r="M191">
        <f t="shared" si="52"/>
        <v>3355.1361510109891</v>
      </c>
      <c r="N191">
        <f t="shared" si="52"/>
        <v>5661.077101648415</v>
      </c>
      <c r="O191">
        <f t="shared" si="52"/>
        <v>4404.1162641908377</v>
      </c>
      <c r="P191">
        <f t="shared" si="52"/>
        <v>2021.5317759554894</v>
      </c>
      <c r="Q191" s="2">
        <f t="shared" ref="Q191:Q196" si="53">SUM(J191:P191)</f>
        <v>24520.956576177603</v>
      </c>
      <c r="R191">
        <f t="shared" ref="R191:R196" si="54">I184</f>
        <v>1999</v>
      </c>
      <c r="S191" s="2">
        <f t="shared" ref="S191:S196" si="55">Q198</f>
        <v>24515.622361986938</v>
      </c>
      <c r="T191">
        <f t="shared" ref="T191:T196" si="56">SUM(J191:P191)*$T$184</f>
        <v>24526.291951009458</v>
      </c>
      <c r="U191">
        <f t="shared" ref="U191:U196" si="57">(S191-T191)^2</f>
        <v>113.84012990948112</v>
      </c>
    </row>
    <row r="192" spans="9:22" x14ac:dyDescent="0.2">
      <c r="J192">
        <f t="shared" si="51"/>
        <v>5558.3642689878488</v>
      </c>
      <c r="K192">
        <f t="shared" ref="K192:P196" si="58">K$16*K185*$T$184</f>
        <v>1493.6946422813921</v>
      </c>
      <c r="L192">
        <f t="shared" si="58"/>
        <v>1778.1606106092356</v>
      </c>
      <c r="M192">
        <f t="shared" si="58"/>
        <v>3337.7826582822813</v>
      </c>
      <c r="N192">
        <f t="shared" si="58"/>
        <v>5651.1159399929011</v>
      </c>
      <c r="O192">
        <f t="shared" si="58"/>
        <v>4402.6384774511389</v>
      </c>
      <c r="P192">
        <f t="shared" si="58"/>
        <v>2021.5120844454441</v>
      </c>
      <c r="Q192" s="2">
        <f t="shared" si="53"/>
        <v>24243.268682050242</v>
      </c>
      <c r="R192">
        <f t="shared" si="54"/>
        <v>2001</v>
      </c>
      <c r="S192" s="2">
        <f t="shared" si="55"/>
        <v>24229.051613052176</v>
      </c>
      <c r="T192">
        <f t="shared" si="56"/>
        <v>24248.543636359886</v>
      </c>
      <c r="U192">
        <f t="shared" si="57"/>
        <v>379.93897262831155</v>
      </c>
    </row>
    <row r="193" spans="10:21" x14ac:dyDescent="0.2">
      <c r="J193">
        <f t="shared" si="51"/>
        <v>5351.940043127076</v>
      </c>
      <c r="K193">
        <f t="shared" si="58"/>
        <v>1465.3821609117613</v>
      </c>
      <c r="L193">
        <f t="shared" si="58"/>
        <v>1755.4273319401414</v>
      </c>
      <c r="M193">
        <f t="shared" si="58"/>
        <v>3317.2185848621407</v>
      </c>
      <c r="N193">
        <f t="shared" si="58"/>
        <v>5638.3679020608961</v>
      </c>
      <c r="O193">
        <f t="shared" si="58"/>
        <v>4400.4203116664548</v>
      </c>
      <c r="P193">
        <f t="shared" si="58"/>
        <v>2021.4544452464463</v>
      </c>
      <c r="Q193" s="2">
        <f t="shared" si="53"/>
        <v>23950.210779814919</v>
      </c>
      <c r="R193">
        <f t="shared" si="54"/>
        <v>2003</v>
      </c>
      <c r="S193" s="2">
        <f t="shared" si="55"/>
        <v>24142.503211975374</v>
      </c>
      <c r="T193">
        <f t="shared" si="56"/>
        <v>23955.421969330109</v>
      </c>
      <c r="U193">
        <f t="shared" si="57"/>
        <v>34999.391349696467</v>
      </c>
    </row>
    <row r="194" spans="10:21" x14ac:dyDescent="0.2">
      <c r="J194">
        <f t="shared" si="51"/>
        <v>5143.088545878486</v>
      </c>
      <c r="K194">
        <f t="shared" si="58"/>
        <v>1434.7631387976478</v>
      </c>
      <c r="L194">
        <f t="shared" si="58"/>
        <v>1730.0899414091168</v>
      </c>
      <c r="M194">
        <f t="shared" si="58"/>
        <v>3293.1316762252022</v>
      </c>
      <c r="N194">
        <f t="shared" si="58"/>
        <v>5622.3598531117577</v>
      </c>
      <c r="O194">
        <f t="shared" si="58"/>
        <v>4397.2388701467698</v>
      </c>
      <c r="P194">
        <f t="shared" si="58"/>
        <v>2021.3249076245643</v>
      </c>
      <c r="Q194" s="2">
        <f t="shared" si="53"/>
        <v>23641.996933193543</v>
      </c>
      <c r="R194">
        <f t="shared" si="54"/>
        <v>2005</v>
      </c>
      <c r="S194" s="2">
        <f t="shared" si="55"/>
        <v>23485.35685644254</v>
      </c>
      <c r="T194">
        <f t="shared" si="56"/>
        <v>23647.141060218939</v>
      </c>
      <c r="U194">
        <f t="shared" si="57"/>
        <v>26174.128591563236</v>
      </c>
    </row>
    <row r="195" spans="10:21" x14ac:dyDescent="0.2">
      <c r="J195">
        <f t="shared" si="51"/>
        <v>4933.0925374082726</v>
      </c>
      <c r="K195">
        <f t="shared" si="58"/>
        <v>1401.9194367769546</v>
      </c>
      <c r="L195">
        <f t="shared" si="58"/>
        <v>1702.0996859877209</v>
      </c>
      <c r="M195">
        <f t="shared" si="58"/>
        <v>3265.2244380034731</v>
      </c>
      <c r="N195">
        <f t="shared" si="58"/>
        <v>5602.5924103916432</v>
      </c>
      <c r="O195">
        <f t="shared" si="58"/>
        <v>4392.8398406598408</v>
      </c>
      <c r="P195">
        <f t="shared" si="58"/>
        <v>2021.076951563932</v>
      </c>
      <c r="Q195" s="2">
        <f t="shared" si="53"/>
        <v>23318.845300791836</v>
      </c>
      <c r="R195">
        <f t="shared" si="54"/>
        <v>2007</v>
      </c>
      <c r="S195" s="2">
        <f t="shared" si="55"/>
        <v>23601.884887156284</v>
      </c>
      <c r="T195">
        <f t="shared" si="56"/>
        <v>23323.919115099987</v>
      </c>
      <c r="U195">
        <f t="shared" si="57"/>
        <v>77264.970434853414</v>
      </c>
    </row>
    <row r="196" spans="10:21" x14ac:dyDescent="0.2">
      <c r="J196">
        <f t="shared" si="51"/>
        <v>4723.1948999571905</v>
      </c>
      <c r="K196">
        <f t="shared" si="58"/>
        <v>1366.9703625992108</v>
      </c>
      <c r="L196">
        <f t="shared" si="58"/>
        <v>1671.4451136413675</v>
      </c>
      <c r="M196">
        <f t="shared" si="58"/>
        <v>3233.2229164077189</v>
      </c>
      <c r="N196">
        <f t="shared" si="58"/>
        <v>5578.5467956007678</v>
      </c>
      <c r="O196">
        <f t="shared" si="58"/>
        <v>4386.938079201982</v>
      </c>
      <c r="P196">
        <f t="shared" si="58"/>
        <v>2020.6507767651208</v>
      </c>
      <c r="Q196" s="2">
        <f t="shared" si="53"/>
        <v>22980.968944173357</v>
      </c>
      <c r="R196">
        <f t="shared" si="54"/>
        <v>2009</v>
      </c>
      <c r="S196" s="2">
        <f t="shared" si="55"/>
        <v>22713.93858297867</v>
      </c>
      <c r="T196">
        <f t="shared" si="56"/>
        <v>22985.969241895651</v>
      </c>
      <c r="U196">
        <f t="shared" si="57"/>
        <v>74000.679390807039</v>
      </c>
    </row>
    <row r="198" spans="10:21" x14ac:dyDescent="0.2">
      <c r="J198" s="2">
        <f>AHS_tables!JU17</f>
        <v>5759.8137758875009</v>
      </c>
      <c r="K198" s="2">
        <f>AHS_tables!JV17</f>
        <v>1519.3258619064379</v>
      </c>
      <c r="L198" s="2">
        <f>AHS_tables!JW17</f>
        <v>1797.9806068493858</v>
      </c>
      <c r="M198" s="2">
        <f>AHS_tables!JX17</f>
        <v>3354.406284914096</v>
      </c>
      <c r="N198" s="2">
        <f>AHS_tables!JY17</f>
        <v>5659.8456081821523</v>
      </c>
      <c r="O198" s="2">
        <f>AHS_tables!JZ17</f>
        <v>4403.1582061558338</v>
      </c>
      <c r="P198" s="2">
        <f>AHS_tables!KA17</f>
        <v>2021.0920180915298</v>
      </c>
      <c r="Q198" s="2">
        <f t="shared" ref="Q198:Q203" si="59">SUM(J198:P198)</f>
        <v>24515.622361986938</v>
      </c>
    </row>
    <row r="199" spans="10:21" x14ac:dyDescent="0.2">
      <c r="J199" s="2">
        <f>AHS_tables!JU18</f>
        <v>5375.390605161022</v>
      </c>
      <c r="K199" s="2">
        <f>AHS_tables!JV18</f>
        <v>1425.8982580970769</v>
      </c>
      <c r="L199" s="2">
        <f>AHS_tables!JW18</f>
        <v>1864.9057159787992</v>
      </c>
      <c r="M199" s="2">
        <f>AHS_tables!JX18</f>
        <v>3456.4629761369074</v>
      </c>
      <c r="N199" s="2">
        <f>AHS_tables!JY18</f>
        <v>5550.1231868986506</v>
      </c>
      <c r="O199" s="2">
        <f>AHS_tables!JZ18</f>
        <v>4365.8980092340289</v>
      </c>
      <c r="P199" s="2">
        <f>AHS_tables!KA18</f>
        <v>2190.3728615456898</v>
      </c>
      <c r="Q199" s="2">
        <f t="shared" si="59"/>
        <v>24229.051613052176</v>
      </c>
    </row>
    <row r="200" spans="10:21" x14ac:dyDescent="0.2">
      <c r="J200" s="2">
        <f>AHS_tables!JU19</f>
        <v>5276.4647022923127</v>
      </c>
      <c r="K200" s="2">
        <f>AHS_tables!JV19</f>
        <v>1488.6365867656564</v>
      </c>
      <c r="L200" s="2">
        <f>AHS_tables!JW19</f>
        <v>1835.6991250426263</v>
      </c>
      <c r="M200" s="2">
        <f>AHS_tables!JX19</f>
        <v>3395.9185405301937</v>
      </c>
      <c r="N200" s="2">
        <f>AHS_tables!JY19</f>
        <v>5764.2317060886726</v>
      </c>
      <c r="O200" s="2">
        <f>AHS_tables!JZ19</f>
        <v>4240.079522319802</v>
      </c>
      <c r="P200" s="2">
        <f>AHS_tables!KA19</f>
        <v>2141.4730289361109</v>
      </c>
      <c r="Q200" s="2">
        <f t="shared" si="59"/>
        <v>24142.503211975374</v>
      </c>
    </row>
    <row r="201" spans="10:21" x14ac:dyDescent="0.2">
      <c r="J201" s="2">
        <f>AHS_tables!JU20</f>
        <v>5065.0294565757385</v>
      </c>
      <c r="K201" s="2">
        <f>AHS_tables!JV20</f>
        <v>1351.922489436731</v>
      </c>
      <c r="L201" s="2">
        <f>AHS_tables!JW20</f>
        <v>1699.1314204534201</v>
      </c>
      <c r="M201" s="2">
        <f>AHS_tables!JX20</f>
        <v>3333.8246088830811</v>
      </c>
      <c r="N201" s="2">
        <f>AHS_tables!JY20</f>
        <v>5719.1453379776058</v>
      </c>
      <c r="O201" s="2">
        <f>AHS_tables!JZ20</f>
        <v>4157.0756379380637</v>
      </c>
      <c r="P201" s="2">
        <f>AHS_tables!KA20</f>
        <v>2159.2279051778996</v>
      </c>
      <c r="Q201" s="2">
        <f t="shared" si="59"/>
        <v>23485.35685644254</v>
      </c>
    </row>
    <row r="202" spans="10:21" x14ac:dyDescent="0.2">
      <c r="J202" s="2">
        <f>AHS_tables!JU21</f>
        <v>5135.8761804665846</v>
      </c>
      <c r="K202" s="2">
        <f>AHS_tables!JV21</f>
        <v>1352.8438240596797</v>
      </c>
      <c r="L202" s="2">
        <f>AHS_tables!JW21</f>
        <v>1652.183367812502</v>
      </c>
      <c r="M202" s="2">
        <f>AHS_tables!JX21</f>
        <v>3453.8515442937687</v>
      </c>
      <c r="N202" s="2">
        <f>AHS_tables!JY21</f>
        <v>5890.5215294910695</v>
      </c>
      <c r="O202" s="2">
        <f>AHS_tables!JZ21</f>
        <v>4017.0437280411384</v>
      </c>
      <c r="P202" s="2">
        <f>AHS_tables!KA21</f>
        <v>2099.5647129915405</v>
      </c>
      <c r="Q202" s="2">
        <f t="shared" si="59"/>
        <v>23601.884887156284</v>
      </c>
    </row>
    <row r="203" spans="10:21" x14ac:dyDescent="0.2">
      <c r="J203" s="2">
        <f>AHS_tables!JU22</f>
        <v>4762.2398021134541</v>
      </c>
      <c r="K203" s="2">
        <f>AHS_tables!JV22</f>
        <v>1285.1783581023469</v>
      </c>
      <c r="L203" s="2">
        <f>AHS_tables!JW22</f>
        <v>1679.7863224350169</v>
      </c>
      <c r="M203" s="2">
        <f>AHS_tables!JX22</f>
        <v>3232.2716333262219</v>
      </c>
      <c r="N203" s="2">
        <f>AHS_tables!JY22</f>
        <v>5620.0929300840835</v>
      </c>
      <c r="O203" s="2">
        <f>AHS_tables!JZ22</f>
        <v>4024.5158034563065</v>
      </c>
      <c r="P203" s="2">
        <f>AHS_tables!KA22</f>
        <v>2109.8537334612402</v>
      </c>
      <c r="Q203" s="2">
        <f t="shared" si="59"/>
        <v>22713.93858297867</v>
      </c>
    </row>
    <row r="205" spans="10:21" x14ac:dyDescent="0.2">
      <c r="J205" s="2">
        <f t="shared" ref="J205:Q205" si="60">(J191-J198)^2</f>
        <v>1.5706229514934007</v>
      </c>
      <c r="K205" s="2">
        <f t="shared" si="60"/>
        <v>0.10928408388516178</v>
      </c>
      <c r="L205" s="2">
        <f t="shared" si="60"/>
        <v>0.15304708465350278</v>
      </c>
      <c r="M205" s="2">
        <f t="shared" si="60"/>
        <v>0.53270451939403696</v>
      </c>
      <c r="N205" s="2">
        <f t="shared" si="60"/>
        <v>1.5165761574476979</v>
      </c>
      <c r="O205" s="2">
        <f t="shared" si="60"/>
        <v>0.91787519843550958</v>
      </c>
      <c r="P205" s="2">
        <f t="shared" si="60"/>
        <v>0.19338697891429682</v>
      </c>
      <c r="Q205" s="2">
        <f t="shared" si="60"/>
        <v>28.453841031892708</v>
      </c>
    </row>
    <row r="206" spans="10:21" x14ac:dyDescent="0.2">
      <c r="J206" s="2">
        <f t="shared" ref="J206:P210" si="61">(J192-J199)^2</f>
        <v>33479.361654212647</v>
      </c>
      <c r="K206" s="2">
        <f t="shared" si="61"/>
        <v>4596.3497084672681</v>
      </c>
      <c r="L206" s="2">
        <f t="shared" si="61"/>
        <v>7524.7133055766899</v>
      </c>
      <c r="M206" s="2">
        <f t="shared" si="61"/>
        <v>14085.017846075078</v>
      </c>
      <c r="N206" s="2">
        <f t="shared" si="61"/>
        <v>10199.53617755624</v>
      </c>
      <c r="O206" s="2">
        <f t="shared" si="61"/>
        <v>1349.8620048124694</v>
      </c>
      <c r="P206" s="2">
        <f t="shared" si="61"/>
        <v>28513.962042898878</v>
      </c>
      <c r="Q206" s="2">
        <f>(Q192-Q199)^2</f>
        <v>202.12505089578869</v>
      </c>
    </row>
    <row r="207" spans="10:21" x14ac:dyDescent="0.2">
      <c r="J207" s="2">
        <f t="shared" si="61"/>
        <v>5696.5270741236891</v>
      </c>
      <c r="K207" s="2">
        <f t="shared" si="61"/>
        <v>540.76832179430482</v>
      </c>
      <c r="L207" s="2">
        <f t="shared" si="61"/>
        <v>6443.5607678881479</v>
      </c>
      <c r="M207" s="2">
        <f t="shared" si="61"/>
        <v>6193.6830221535083</v>
      </c>
      <c r="N207" s="2">
        <f t="shared" si="61"/>
        <v>15841.697164342528</v>
      </c>
      <c r="O207" s="2">
        <f t="shared" si="61"/>
        <v>25709.168728307704</v>
      </c>
      <c r="P207" s="2">
        <f t="shared" si="61"/>
        <v>14404.460430873034</v>
      </c>
      <c r="Q207" s="2">
        <f>(Q193-Q200)^2</f>
        <v>36976.379466183214</v>
      </c>
    </row>
    <row r="208" spans="10:21" x14ac:dyDescent="0.2">
      <c r="J208" s="2">
        <f t="shared" si="61"/>
        <v>6093.2214227743016</v>
      </c>
      <c r="K208" s="2">
        <f t="shared" si="61"/>
        <v>6862.5731865383677</v>
      </c>
      <c r="L208" s="2">
        <f t="shared" si="61"/>
        <v>958.43001976431253</v>
      </c>
      <c r="M208" s="2">
        <f t="shared" si="61"/>
        <v>1655.9147682986613</v>
      </c>
      <c r="N208" s="2">
        <f t="shared" si="61"/>
        <v>9367.4300807173022</v>
      </c>
      <c r="O208" s="2">
        <f t="shared" si="61"/>
        <v>57678.378104932926</v>
      </c>
      <c r="P208" s="2">
        <f t="shared" si="61"/>
        <v>19017.236734195216</v>
      </c>
      <c r="Q208" s="2">
        <f>(Q194-Q201)^2</f>
        <v>24536.11364455986</v>
      </c>
    </row>
    <row r="209" spans="10:17" x14ac:dyDescent="0.2">
      <c r="J209" s="2">
        <f t="shared" si="61"/>
        <v>41121.205892000893</v>
      </c>
      <c r="K209" s="2">
        <f t="shared" si="61"/>
        <v>2408.4157635759548</v>
      </c>
      <c r="L209" s="2">
        <f t="shared" si="61"/>
        <v>2491.6388201696964</v>
      </c>
      <c r="M209" s="2">
        <f t="shared" si="61"/>
        <v>35580.185227450478</v>
      </c>
      <c r="N209" s="2">
        <f t="shared" si="61"/>
        <v>82903.177625371623</v>
      </c>
      <c r="O209" s="2">
        <f t="shared" si="61"/>
        <v>141222.71825932845</v>
      </c>
      <c r="P209" s="2">
        <f t="shared" si="61"/>
        <v>6160.3286939172003</v>
      </c>
      <c r="Q209" s="2">
        <f>(Q195-Q202)^2</f>
        <v>80111.407449357837</v>
      </c>
    </row>
    <row r="210" spans="10:17" x14ac:dyDescent="0.2">
      <c r="J210" s="2">
        <f t="shared" si="61"/>
        <v>1524.5043843921949</v>
      </c>
      <c r="K210" s="2">
        <f t="shared" si="61"/>
        <v>6689.9319996150061</v>
      </c>
      <c r="L210" s="2">
        <f t="shared" si="61"/>
        <v>69.575764139255028</v>
      </c>
      <c r="M210" s="2">
        <f t="shared" si="61"/>
        <v>0.9049395011423661</v>
      </c>
      <c r="N210" s="2">
        <f t="shared" si="61"/>
        <v>1726.0812905057501</v>
      </c>
      <c r="O210" s="2">
        <f t="shared" si="61"/>
        <v>131349.90595667445</v>
      </c>
      <c r="P210" s="2">
        <f t="shared" si="61"/>
        <v>7957.1674833297484</v>
      </c>
      <c r="Q210" s="2">
        <f>(Q196-Q203)^2</f>
        <v>71305.213799765232</v>
      </c>
    </row>
  </sheetData>
  <mergeCells count="1">
    <mergeCell ref="G6:R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Z209"/>
  <sheetViews>
    <sheetView workbookViewId="0">
      <selection activeCell="J21" sqref="J21"/>
    </sheetView>
  </sheetViews>
  <sheetFormatPr defaultRowHeight="12.75" x14ac:dyDescent="0.2"/>
  <cols>
    <col min="19" max="19" width="12.5703125" customWidth="1"/>
  </cols>
  <sheetData>
    <row r="1" spans="1:24" ht="13.5" thickBot="1" x14ac:dyDescent="0.25">
      <c r="D1" s="16" t="s">
        <v>44</v>
      </c>
      <c r="E1" s="17">
        <v>1</v>
      </c>
      <c r="F1" s="17">
        <v>2</v>
      </c>
      <c r="G1" s="17">
        <v>3</v>
      </c>
      <c r="H1" s="17">
        <v>4</v>
      </c>
      <c r="I1" s="17">
        <v>5</v>
      </c>
    </row>
    <row r="2" spans="1:24" x14ac:dyDescent="0.2">
      <c r="A2" s="19" t="s">
        <v>70</v>
      </c>
      <c r="B2" s="18" t="s">
        <v>45</v>
      </c>
      <c r="C2" s="18"/>
      <c r="D2" s="18"/>
      <c r="E2" t="s">
        <v>46</v>
      </c>
      <c r="F2" t="s">
        <v>47</v>
      </c>
      <c r="G2" s="19" t="s">
        <v>48</v>
      </c>
      <c r="H2" t="s">
        <v>49</v>
      </c>
      <c r="I2" t="s">
        <v>50</v>
      </c>
    </row>
    <row r="3" spans="1:24" x14ac:dyDescent="0.2">
      <c r="A3" s="19" t="s">
        <v>71</v>
      </c>
      <c r="B3" t="s">
        <v>51</v>
      </c>
      <c r="C3">
        <f>T181</f>
        <v>3.9534307075231441</v>
      </c>
      <c r="E3">
        <f>BT6</f>
        <v>0</v>
      </c>
      <c r="F3">
        <f>DY172</f>
        <v>0</v>
      </c>
      <c r="G3">
        <f>EQ172</f>
        <v>0</v>
      </c>
      <c r="H3">
        <v>1.7</v>
      </c>
      <c r="I3" s="20">
        <v>5.4</v>
      </c>
      <c r="U3">
        <v>4.9562375505253273</v>
      </c>
      <c r="V3">
        <v>14.13915138705844</v>
      </c>
      <c r="W3">
        <v>4.6109441012490082</v>
      </c>
    </row>
    <row r="4" spans="1:24" x14ac:dyDescent="0.2">
      <c r="A4" s="20">
        <v>1</v>
      </c>
      <c r="B4" t="s">
        <v>52</v>
      </c>
      <c r="C4">
        <f>T182</f>
        <v>37.914757612346875</v>
      </c>
      <c r="E4">
        <f>BT7</f>
        <v>0</v>
      </c>
      <c r="F4">
        <f>DZ172</f>
        <v>0</v>
      </c>
      <c r="G4">
        <f>ER172</f>
        <v>0</v>
      </c>
      <c r="H4">
        <v>81.5</v>
      </c>
      <c r="I4" s="20">
        <v>59</v>
      </c>
      <c r="U4">
        <v>38.374574598292824</v>
      </c>
      <c r="V4">
        <v>82.8214665201846</v>
      </c>
      <c r="W4">
        <v>87.992895469975167</v>
      </c>
    </row>
    <row r="5" spans="1:24" x14ac:dyDescent="0.2">
      <c r="W5">
        <v>0.99794010414212653</v>
      </c>
    </row>
    <row r="6" spans="1:24" x14ac:dyDescent="0.2">
      <c r="C6">
        <v>3.9227641501562127</v>
      </c>
      <c r="G6" s="448" t="s">
        <v>53</v>
      </c>
      <c r="H6" s="449"/>
      <c r="I6" s="449"/>
      <c r="J6" s="449"/>
      <c r="K6" s="449"/>
      <c r="L6" s="449"/>
      <c r="M6" s="449"/>
      <c r="N6" s="449"/>
      <c r="O6" s="449"/>
      <c r="P6" s="449"/>
      <c r="Q6" s="449"/>
      <c r="R6" s="449"/>
    </row>
    <row r="7" spans="1:24" x14ac:dyDescent="0.2">
      <c r="C7">
        <v>73.223812016884864</v>
      </c>
    </row>
    <row r="8" spans="1:24" x14ac:dyDescent="0.2">
      <c r="G8" s="21" t="s">
        <v>554</v>
      </c>
      <c r="H8" s="21"/>
      <c r="I8" s="21"/>
      <c r="J8" s="21"/>
      <c r="K8" s="21"/>
      <c r="L8" s="21"/>
      <c r="M8" s="21"/>
      <c r="N8" s="21"/>
      <c r="O8" s="21"/>
      <c r="P8" s="21"/>
      <c r="Q8" s="21"/>
      <c r="R8" s="21"/>
    </row>
    <row r="9" spans="1:24" ht="13.5" thickBot="1" x14ac:dyDescent="0.25">
      <c r="A9" s="16" t="s">
        <v>72</v>
      </c>
      <c r="C9" t="s">
        <v>54</v>
      </c>
      <c r="D9" t="s">
        <v>55</v>
      </c>
      <c r="E9" t="s">
        <v>56</v>
      </c>
      <c r="F9" t="s">
        <v>57</v>
      </c>
      <c r="G9" t="s">
        <v>58</v>
      </c>
      <c r="H9" t="s">
        <v>59</v>
      </c>
      <c r="I9" t="s">
        <v>60</v>
      </c>
      <c r="J9" t="s">
        <v>61</v>
      </c>
      <c r="K9" t="s">
        <v>62</v>
      </c>
      <c r="L9" t="s">
        <v>63</v>
      </c>
      <c r="M9" t="s">
        <v>64</v>
      </c>
      <c r="N9" t="s">
        <v>65</v>
      </c>
      <c r="O9" t="s">
        <v>66</v>
      </c>
      <c r="P9" t="s">
        <v>67</v>
      </c>
      <c r="Q9" t="s">
        <v>68</v>
      </c>
      <c r="R9" t="s">
        <v>69</v>
      </c>
    </row>
    <row r="15" spans="1:24" x14ac:dyDescent="0.2">
      <c r="J15" t="s">
        <v>0</v>
      </c>
      <c r="K15" t="s">
        <v>1</v>
      </c>
      <c r="L15" t="s">
        <v>2</v>
      </c>
      <c r="M15" t="s">
        <v>3</v>
      </c>
      <c r="N15" t="s">
        <v>4</v>
      </c>
      <c r="O15" t="s">
        <v>5</v>
      </c>
      <c r="P15" t="s">
        <v>6</v>
      </c>
      <c r="R15" t="s">
        <v>0</v>
      </c>
      <c r="S15" t="s">
        <v>1</v>
      </c>
      <c r="T15" t="s">
        <v>2</v>
      </c>
      <c r="U15" t="s">
        <v>3</v>
      </c>
      <c r="V15" t="s">
        <v>4</v>
      </c>
      <c r="W15" t="s">
        <v>5</v>
      </c>
      <c r="X15" t="s">
        <v>6</v>
      </c>
    </row>
    <row r="16" spans="1:24" x14ac:dyDescent="0.2">
      <c r="F16" t="s">
        <v>74</v>
      </c>
      <c r="J16" s="2">
        <f>AHS_tables!JU30</f>
        <v>37.513102551499998</v>
      </c>
      <c r="K16" s="2">
        <f>AHS_tables!JV30</f>
        <v>16.261309679299998</v>
      </c>
      <c r="L16" s="2">
        <f>AHS_tables!JW30</f>
        <v>102.40729552607998</v>
      </c>
      <c r="M16" s="2">
        <f>AHS_tables!JX30</f>
        <v>601.58513447374332</v>
      </c>
      <c r="N16" s="2">
        <f>AHS_tables!JY30</f>
        <v>2103.5987465911835</v>
      </c>
      <c r="O16" s="2">
        <f>AHS_tables!JZ30</f>
        <v>1517.6772156534907</v>
      </c>
      <c r="P16" s="2">
        <f>AHS_tables!KA30</f>
        <v>2400.3862144058899</v>
      </c>
      <c r="R16" s="2">
        <f>J16</f>
        <v>37.513102551499998</v>
      </c>
      <c r="S16" s="2">
        <f t="shared" ref="S16:X16" si="0">K16</f>
        <v>16.261309679299998</v>
      </c>
      <c r="T16" s="2">
        <f t="shared" si="0"/>
        <v>102.40729552607998</v>
      </c>
      <c r="U16" s="2">
        <f t="shared" si="0"/>
        <v>601.58513447374332</v>
      </c>
      <c r="V16" s="2">
        <f t="shared" si="0"/>
        <v>2103.5987465911835</v>
      </c>
      <c r="W16" s="2">
        <f t="shared" si="0"/>
        <v>1517.6772156534907</v>
      </c>
      <c r="X16" s="2">
        <f t="shared" si="0"/>
        <v>2400.3862144058899</v>
      </c>
    </row>
    <row r="17" spans="1:9" x14ac:dyDescent="0.2">
      <c r="A17">
        <f t="shared" ref="A17:A80" si="1">I17</f>
        <v>1870</v>
      </c>
      <c r="C17">
        <v>150</v>
      </c>
      <c r="D17" s="22">
        <f>PRODUCT(1/(1+(C17/$C$4)^$C$3))</f>
        <v>4.3330851261021769E-3</v>
      </c>
      <c r="E17" s="11">
        <f>0</f>
        <v>0</v>
      </c>
      <c r="F17" s="25">
        <f>PRODUCT(1/(1+(E17/$C$4)^$C$3))</f>
        <v>1</v>
      </c>
      <c r="H17" s="23">
        <f t="shared" ref="H17:H80" si="2">1/D17</f>
        <v>230.78244966296086</v>
      </c>
      <c r="I17">
        <v>1870</v>
      </c>
    </row>
    <row r="18" spans="1:9" x14ac:dyDescent="0.2">
      <c r="A18">
        <f t="shared" si="1"/>
        <v>1871</v>
      </c>
      <c r="C18">
        <f>C17-1</f>
        <v>149</v>
      </c>
      <c r="D18" s="22">
        <f t="shared" ref="D18:D81" si="3">PRODUCT(1/(1+(C18/$C$4)^$C$3))</f>
        <v>4.4486831537299465E-3</v>
      </c>
      <c r="E18" s="11">
        <f>E17+1</f>
        <v>1</v>
      </c>
      <c r="F18" s="25">
        <f t="shared" ref="F18:F81" si="4">PRODUCT(1/(1+(E18/$C$4)^$C$3))</f>
        <v>0.99999942682056486</v>
      </c>
      <c r="H18" s="23">
        <f t="shared" si="2"/>
        <v>224.78561979887502</v>
      </c>
      <c r="I18">
        <f>I17+1</f>
        <v>1871</v>
      </c>
    </row>
    <row r="19" spans="1:9" x14ac:dyDescent="0.2">
      <c r="A19">
        <f t="shared" si="1"/>
        <v>1872</v>
      </c>
      <c r="C19">
        <f t="shared" ref="C19:C66" si="5">C18-1</f>
        <v>148</v>
      </c>
      <c r="D19" s="22">
        <f t="shared" si="3"/>
        <v>4.5681606618047524E-3</v>
      </c>
      <c r="E19" s="11">
        <f t="shared" ref="E19:E82" si="6">E18+1</f>
        <v>2</v>
      </c>
      <c r="F19" s="25">
        <f t="shared" si="4"/>
        <v>0.99999112050593009</v>
      </c>
      <c r="H19" s="23">
        <f t="shared" si="2"/>
        <v>218.90648644676347</v>
      </c>
      <c r="I19">
        <f t="shared" ref="I19:I66" si="7">I18+1</f>
        <v>1872</v>
      </c>
    </row>
    <row r="20" spans="1:9" x14ac:dyDescent="0.2">
      <c r="A20">
        <f t="shared" si="1"/>
        <v>1873</v>
      </c>
      <c r="C20">
        <f t="shared" si="5"/>
        <v>147</v>
      </c>
      <c r="D20" s="22">
        <f t="shared" si="3"/>
        <v>4.6916746039387166E-3</v>
      </c>
      <c r="E20" s="11">
        <f t="shared" si="6"/>
        <v>3</v>
      </c>
      <c r="F20" s="25">
        <f t="shared" si="4"/>
        <v>0.99995588995390916</v>
      </c>
      <c r="H20" s="23">
        <f t="shared" si="2"/>
        <v>213.14351152155524</v>
      </c>
      <c r="I20">
        <f t="shared" si="7"/>
        <v>1873</v>
      </c>
    </row>
    <row r="21" spans="1:9" x14ac:dyDescent="0.2">
      <c r="A21">
        <f t="shared" si="1"/>
        <v>1874</v>
      </c>
      <c r="C21">
        <f t="shared" si="5"/>
        <v>146</v>
      </c>
      <c r="D21" s="22">
        <f t="shared" si="3"/>
        <v>4.8193893638602391E-3</v>
      </c>
      <c r="E21" s="11">
        <f t="shared" si="6"/>
        <v>4</v>
      </c>
      <c r="F21" s="25">
        <f t="shared" si="4"/>
        <v>0.99986245855933187</v>
      </c>
      <c r="H21" s="23">
        <f t="shared" si="2"/>
        <v>207.49516681487196</v>
      </c>
      <c r="I21">
        <f t="shared" si="7"/>
        <v>1874</v>
      </c>
    </row>
    <row r="22" spans="1:9" x14ac:dyDescent="0.2">
      <c r="A22">
        <f t="shared" si="1"/>
        <v>1875</v>
      </c>
      <c r="C22">
        <f t="shared" si="5"/>
        <v>145</v>
      </c>
      <c r="D22" s="22">
        <f t="shared" si="3"/>
        <v>4.9514771578860958E-3</v>
      </c>
      <c r="E22" s="11">
        <f t="shared" si="6"/>
        <v>5</v>
      </c>
      <c r="F22" s="25">
        <f t="shared" si="4"/>
        <v>0.99966774157204075</v>
      </c>
      <c r="H22" s="23">
        <f t="shared" si="2"/>
        <v>201.95993399814529</v>
      </c>
      <c r="I22">
        <f t="shared" si="7"/>
        <v>1875</v>
      </c>
    </row>
    <row r="23" spans="1:9" x14ac:dyDescent="0.2">
      <c r="A23">
        <f t="shared" si="1"/>
        <v>1876</v>
      </c>
      <c r="C23">
        <f t="shared" si="5"/>
        <v>144</v>
      </c>
      <c r="D23" s="22">
        <f t="shared" si="3"/>
        <v>5.0881184619003391E-3</v>
      </c>
      <c r="E23" s="11">
        <f t="shared" si="6"/>
        <v>6</v>
      </c>
      <c r="F23" s="25">
        <f t="shared" si="4"/>
        <v>0.99931709355148246</v>
      </c>
      <c r="H23" s="23">
        <f t="shared" si="2"/>
        <v>196.53630462576029</v>
      </c>
      <c r="I23">
        <f t="shared" si="7"/>
        <v>1876</v>
      </c>
    </row>
    <row r="24" spans="1:9" x14ac:dyDescent="0.2">
      <c r="A24">
        <f t="shared" si="1"/>
        <v>1877</v>
      </c>
      <c r="C24">
        <f t="shared" si="5"/>
        <v>143</v>
      </c>
      <c r="D24" s="22">
        <f t="shared" si="3"/>
        <v>5.229502464492935E-3</v>
      </c>
      <c r="E24" s="11">
        <f t="shared" si="6"/>
        <v>7</v>
      </c>
      <c r="F24" s="25">
        <f t="shared" si="4"/>
        <v>0.99874460083359562</v>
      </c>
      <c r="H24" s="23">
        <f t="shared" si="2"/>
        <v>191.22278013821767</v>
      </c>
      <c r="I24">
        <f t="shared" si="7"/>
        <v>1877</v>
      </c>
    </row>
    <row r="25" spans="1:9" x14ac:dyDescent="0.2">
      <c r="A25">
        <f t="shared" si="1"/>
        <v>1878</v>
      </c>
      <c r="C25">
        <f t="shared" si="5"/>
        <v>142</v>
      </c>
      <c r="D25" s="22">
        <f t="shared" si="3"/>
        <v>5.3758275480326684E-3</v>
      </c>
      <c r="E25" s="11">
        <f t="shared" si="6"/>
        <v>8</v>
      </c>
      <c r="F25" s="25">
        <f t="shared" si="4"/>
        <v>0.99787347733963683</v>
      </c>
      <c r="H25" s="23">
        <f t="shared" si="2"/>
        <v>186.0178718653203</v>
      </c>
      <c r="I25">
        <f t="shared" si="7"/>
        <v>1878</v>
      </c>
    </row>
    <row r="26" spans="1:9" x14ac:dyDescent="0.2">
      <c r="A26">
        <f t="shared" si="1"/>
        <v>1879</v>
      </c>
      <c r="C26">
        <f t="shared" si="5"/>
        <v>141</v>
      </c>
      <c r="D26" s="22">
        <f t="shared" si="3"/>
        <v>5.5273017995804904E-3</v>
      </c>
      <c r="E26" s="11">
        <f t="shared" si="6"/>
        <v>9</v>
      </c>
      <c r="F26" s="25">
        <f t="shared" si="4"/>
        <v>0.99661662127343875</v>
      </c>
      <c r="H26" s="23">
        <f t="shared" si="2"/>
        <v>180.92010102938431</v>
      </c>
      <c r="I26">
        <f t="shared" si="7"/>
        <v>1879</v>
      </c>
    </row>
    <row r="27" spans="1:9" x14ac:dyDescent="0.2">
      <c r="A27">
        <f t="shared" si="1"/>
        <v>1880</v>
      </c>
      <c r="C27">
        <f t="shared" si="5"/>
        <v>140</v>
      </c>
      <c r="D27" s="22">
        <f t="shared" si="3"/>
        <v>5.6841435536916689E-3</v>
      </c>
      <c r="E27" s="11">
        <f t="shared" si="6"/>
        <v>10</v>
      </c>
      <c r="F27" s="25">
        <f t="shared" si="4"/>
        <v>0.99487739205705961</v>
      </c>
      <c r="H27" s="23">
        <f t="shared" si="2"/>
        <v>175.92799874847145</v>
      </c>
      <c r="I27">
        <f t="shared" si="7"/>
        <v>1880</v>
      </c>
    </row>
    <row r="28" spans="1:9" x14ac:dyDescent="0.2">
      <c r="A28">
        <f t="shared" si="1"/>
        <v>1881</v>
      </c>
      <c r="C28">
        <f t="shared" si="5"/>
        <v>139</v>
      </c>
      <c r="D28" s="22">
        <f t="shared" si="3"/>
        <v>5.8465819693084243E-3</v>
      </c>
      <c r="E28" s="11">
        <f t="shared" si="6"/>
        <v>11</v>
      </c>
      <c r="F28" s="25">
        <f t="shared" si="4"/>
        <v>0.99255066757486421</v>
      </c>
      <c r="H28" s="23">
        <f t="shared" si="2"/>
        <v>171.04010603964682</v>
      </c>
      <c r="I28">
        <f t="shared" si="7"/>
        <v>1881</v>
      </c>
    </row>
    <row r="29" spans="1:9" x14ac:dyDescent="0.2">
      <c r="A29">
        <f t="shared" si="1"/>
        <v>1882</v>
      </c>
      <c r="C29">
        <f t="shared" si="5"/>
        <v>138</v>
      </c>
      <c r="D29" s="22">
        <f t="shared" si="3"/>
        <v>6.0148576431107246E-3</v>
      </c>
      <c r="E29" s="11">
        <f t="shared" si="6"/>
        <v>12</v>
      </c>
      <c r="F29" s="25">
        <f t="shared" si="4"/>
        <v>0.98952423943937418</v>
      </c>
      <c r="H29" s="23">
        <f t="shared" si="2"/>
        <v>166.25497382226101</v>
      </c>
      <c r="I29">
        <f t="shared" si="7"/>
        <v>1882</v>
      </c>
    </row>
    <row r="30" spans="1:9" x14ac:dyDescent="0.2">
      <c r="A30">
        <f t="shared" si="1"/>
        <v>1883</v>
      </c>
      <c r="C30">
        <f t="shared" si="5"/>
        <v>137</v>
      </c>
      <c r="D30" s="22">
        <f t="shared" si="3"/>
        <v>6.1892232618723205E-3</v>
      </c>
      <c r="E30" s="11">
        <f t="shared" si="6"/>
        <v>13</v>
      </c>
      <c r="F30" s="25">
        <f t="shared" si="4"/>
        <v>0.98568059699018695</v>
      </c>
      <c r="H30" s="23">
        <f t="shared" si="2"/>
        <v>161.57116292125596</v>
      </c>
      <c r="I30">
        <f t="shared" si="7"/>
        <v>1883</v>
      </c>
    </row>
    <row r="31" spans="1:9" x14ac:dyDescent="0.2">
      <c r="A31">
        <f t="shared" si="1"/>
        <v>1884</v>
      </c>
      <c r="C31">
        <f t="shared" si="5"/>
        <v>136</v>
      </c>
      <c r="D31" s="22">
        <f t="shared" si="3"/>
        <v>6.369944296562991E-3</v>
      </c>
      <c r="E31" s="11">
        <f t="shared" si="6"/>
        <v>14</v>
      </c>
      <c r="F31" s="25">
        <f t="shared" si="4"/>
        <v>0.98089913773637061</v>
      </c>
      <c r="H31" s="23">
        <f t="shared" si="2"/>
        <v>156.98724407049627</v>
      </c>
      <c r="I31">
        <f t="shared" si="7"/>
        <v>1884</v>
      </c>
    </row>
    <row r="32" spans="1:9" x14ac:dyDescent="0.2">
      <c r="A32">
        <f t="shared" si="1"/>
        <v>1885</v>
      </c>
      <c r="C32">
        <f t="shared" si="5"/>
        <v>135</v>
      </c>
      <c r="D32" s="22">
        <f t="shared" si="3"/>
        <v>6.5572997411478817E-3</v>
      </c>
      <c r="E32" s="11">
        <f t="shared" si="6"/>
        <v>15</v>
      </c>
      <c r="F32" s="25">
        <f t="shared" si="4"/>
        <v>0.9750588219055305</v>
      </c>
      <c r="H32" s="23">
        <f t="shared" si="2"/>
        <v>152.50179791612607</v>
      </c>
      <c r="I32">
        <f t="shared" si="7"/>
        <v>1885</v>
      </c>
    </row>
    <row r="33" spans="1:9" x14ac:dyDescent="0.2">
      <c r="A33">
        <f t="shared" si="1"/>
        <v>1886</v>
      </c>
      <c r="C33">
        <f t="shared" si="5"/>
        <v>134</v>
      </c>
      <c r="D33" s="22">
        <f t="shared" si="3"/>
        <v>6.7515828992620215E-3</v>
      </c>
      <c r="E33" s="11">
        <f t="shared" si="6"/>
        <v>16</v>
      </c>
      <c r="F33" s="25">
        <f t="shared" si="4"/>
        <v>0.96804126115320344</v>
      </c>
      <c r="H33" s="23">
        <f t="shared" si="2"/>
        <v>148.11341501995102</v>
      </c>
      <c r="I33">
        <f t="shared" si="7"/>
        <v>1886</v>
      </c>
    </row>
    <row r="34" spans="1:9" x14ac:dyDescent="0.2">
      <c r="A34">
        <f t="shared" si="1"/>
        <v>1887</v>
      </c>
      <c r="C34">
        <f t="shared" si="5"/>
        <v>133</v>
      </c>
      <c r="D34" s="22">
        <f t="shared" si="3"/>
        <v>6.9531022221839007E-3</v>
      </c>
      <c r="E34" s="11">
        <f t="shared" si="6"/>
        <v>17</v>
      </c>
      <c r="F34" s="25">
        <f t="shared" si="4"/>
        <v>0.95973419662039294</v>
      </c>
      <c r="H34" s="23">
        <f t="shared" si="2"/>
        <v>143.82069586284751</v>
      </c>
      <c r="I34">
        <f t="shared" si="7"/>
        <v>1887</v>
      </c>
    </row>
    <row r="35" spans="1:9" x14ac:dyDescent="0.2">
      <c r="A35">
        <f t="shared" si="1"/>
        <v>1888</v>
      </c>
      <c r="C35">
        <f t="shared" si="5"/>
        <v>132</v>
      </c>
      <c r="D35" s="22">
        <f t="shared" si="3"/>
        <v>7.1621822017984907E-3</v>
      </c>
      <c r="E35" s="11">
        <f t="shared" si="6"/>
        <v>18</v>
      </c>
      <c r="F35" s="25">
        <f t="shared" si="4"/>
        <v>0.95003528082637045</v>
      </c>
      <c r="H35" s="23">
        <f t="shared" si="2"/>
        <v>139.6222508481969</v>
      </c>
      <c r="I35">
        <f t="shared" si="7"/>
        <v>1888</v>
      </c>
    </row>
    <row r="36" spans="1:9" x14ac:dyDescent="0.2">
      <c r="A36">
        <f t="shared" si="1"/>
        <v>1889</v>
      </c>
      <c r="C36">
        <f t="shared" si="5"/>
        <v>131</v>
      </c>
      <c r="D36" s="22">
        <f t="shared" si="3"/>
        <v>7.3791643225284091E-3</v>
      </c>
      <c r="E36" s="11">
        <f t="shared" si="6"/>
        <v>19</v>
      </c>
      <c r="F36" s="25">
        <f t="shared" si="4"/>
        <v>0.93885603410255503</v>
      </c>
      <c r="H36" s="23">
        <f t="shared" si="2"/>
        <v>135.51670030534817</v>
      </c>
      <c r="I36">
        <f t="shared" si="7"/>
        <v>1889</v>
      </c>
    </row>
    <row r="37" spans="1:9" x14ac:dyDescent="0.2">
      <c r="A37">
        <f t="shared" si="1"/>
        <v>1890</v>
      </c>
      <c r="C37">
        <f t="shared" si="5"/>
        <v>130</v>
      </c>
      <c r="D37" s="22">
        <f t="shared" si="3"/>
        <v>7.6044080765248368E-3</v>
      </c>
      <c r="E37" s="11">
        <f t="shared" si="6"/>
        <v>20</v>
      </c>
      <c r="F37" s="25">
        <f t="shared" si="4"/>
        <v>0.92612580354620055</v>
      </c>
      <c r="H37" s="23">
        <f t="shared" si="2"/>
        <v>131.50267449310707</v>
      </c>
      <c r="I37">
        <f t="shared" si="7"/>
        <v>1890</v>
      </c>
    </row>
    <row r="38" spans="1:9" x14ac:dyDescent="0.2">
      <c r="A38">
        <f t="shared" si="1"/>
        <v>1891</v>
      </c>
      <c r="C38">
        <f t="shared" si="5"/>
        <v>129</v>
      </c>
      <c r="D38" s="22">
        <f t="shared" si="3"/>
        <v>7.8382920467486E-3</v>
      </c>
      <c r="E38" s="11">
        <f t="shared" si="6"/>
        <v>21</v>
      </c>
      <c r="F38" s="25">
        <f t="shared" si="4"/>
        <v>0.91179551610187515</v>
      </c>
      <c r="H38" s="23">
        <f t="shared" si="2"/>
        <v>127.578813603253</v>
      </c>
      <c r="I38">
        <f t="shared" si="7"/>
        <v>1891</v>
      </c>
    </row>
    <row r="39" spans="1:9" x14ac:dyDescent="0.2">
      <c r="A39">
        <f t="shared" si="1"/>
        <v>1892</v>
      </c>
      <c r="C39">
        <f t="shared" si="5"/>
        <v>128</v>
      </c>
      <c r="D39" s="22">
        <f t="shared" si="3"/>
        <v>8.0812150629394411E-3</v>
      </c>
      <c r="E39" s="11">
        <f t="shared" si="6"/>
        <v>22</v>
      </c>
      <c r="F39" s="25">
        <f t="shared" si="4"/>
        <v>0.89584099329751798</v>
      </c>
      <c r="H39" s="23">
        <f t="shared" si="2"/>
        <v>123.74376776408454</v>
      </c>
      <c r="I39">
        <f t="shared" si="7"/>
        <v>1892</v>
      </c>
    </row>
    <row r="40" spans="1:9" x14ac:dyDescent="0.2">
      <c r="A40">
        <f t="shared" si="1"/>
        <v>1893</v>
      </c>
      <c r="C40">
        <f t="shared" si="5"/>
        <v>127</v>
      </c>
      <c r="D40" s="22">
        <f t="shared" si="3"/>
        <v>8.3335974358702061E-3</v>
      </c>
      <c r="E40" s="11">
        <f t="shared" si="6"/>
        <v>23</v>
      </c>
      <c r="F40" s="25">
        <f t="shared" si="4"/>
        <v>0.87826558907772723</v>
      </c>
      <c r="H40" s="23">
        <f t="shared" si="2"/>
        <v>119.99619704399348</v>
      </c>
      <c r="I40">
        <f t="shared" si="7"/>
        <v>1893</v>
      </c>
    </row>
    <row r="41" spans="1:9" x14ac:dyDescent="0.2">
      <c r="A41">
        <f t="shared" si="1"/>
        <v>1894</v>
      </c>
      <c r="C41">
        <f t="shared" si="5"/>
        <v>126</v>
      </c>
      <c r="D41" s="22">
        <f t="shared" si="3"/>
        <v>8.5958822757152137E-3</v>
      </c>
      <c r="E41" s="11">
        <f t="shared" si="6"/>
        <v>24</v>
      </c>
      <c r="F41" s="25">
        <f t="shared" si="4"/>
        <v>0.85910192848938727</v>
      </c>
      <c r="H41" s="23">
        <f t="shared" si="2"/>
        <v>116.33477145506809</v>
      </c>
      <c r="I41">
        <f t="shared" si="7"/>
        <v>1894</v>
      </c>
    </row>
    <row r="42" spans="1:9" x14ac:dyDescent="0.2">
      <c r="A42">
        <f t="shared" si="1"/>
        <v>1895</v>
      </c>
      <c r="C42">
        <f t="shared" si="5"/>
        <v>125</v>
      </c>
      <c r="D42" s="22">
        <f t="shared" si="3"/>
        <v>8.8685369008316469E-3</v>
      </c>
      <c r="E42" s="11">
        <f t="shared" si="6"/>
        <v>25</v>
      </c>
      <c r="F42" s="25">
        <f t="shared" si="4"/>
        <v>0.83841256566169076</v>
      </c>
      <c r="H42" s="23">
        <f t="shared" si="2"/>
        <v>112.75817095672512</v>
      </c>
      <c r="I42">
        <f t="shared" si="7"/>
        <v>1895</v>
      </c>
    </row>
    <row r="43" spans="1:9" x14ac:dyDescent="0.2">
      <c r="A43">
        <f t="shared" si="1"/>
        <v>1896</v>
      </c>
      <c r="C43">
        <f t="shared" si="5"/>
        <v>124</v>
      </c>
      <c r="D43" s="22">
        <f t="shared" si="3"/>
        <v>9.1520543437621348E-3</v>
      </c>
      <c r="E43" s="11">
        <f t="shared" si="6"/>
        <v>26</v>
      </c>
      <c r="F43" s="25">
        <f t="shared" si="4"/>
        <v>0.81628944326341157</v>
      </c>
      <c r="H43" s="23">
        <f t="shared" si="2"/>
        <v>109.26508545937348</v>
      </c>
      <c r="I43">
        <f t="shared" si="7"/>
        <v>1896</v>
      </c>
    </row>
    <row r="44" spans="1:9" x14ac:dyDescent="0.2">
      <c r="A44">
        <f t="shared" si="1"/>
        <v>1897</v>
      </c>
      <c r="C44">
        <f t="shared" si="5"/>
        <v>123</v>
      </c>
      <c r="D44" s="22">
        <f t="shared" si="3"/>
        <v>9.4469549618205161E-3</v>
      </c>
      <c r="E44" s="11">
        <f t="shared" si="6"/>
        <v>27</v>
      </c>
      <c r="F44" s="25">
        <f t="shared" si="4"/>
        <v>0.79285211743262995</v>
      </c>
      <c r="H44" s="23">
        <f t="shared" si="2"/>
        <v>105.85421482810698</v>
      </c>
      <c r="I44">
        <f t="shared" si="7"/>
        <v>1897</v>
      </c>
    </row>
    <row r="45" spans="1:9" x14ac:dyDescent="0.2">
      <c r="A45">
        <f t="shared" si="1"/>
        <v>1898</v>
      </c>
      <c r="C45">
        <f t="shared" si="5"/>
        <v>122</v>
      </c>
      <c r="D45" s="22">
        <f t="shared" si="3"/>
        <v>9.7537881602233426E-3</v>
      </c>
      <c r="E45" s="11">
        <f t="shared" si="6"/>
        <v>28</v>
      </c>
      <c r="F45" s="25">
        <f t="shared" si="4"/>
        <v>0.7682448037638353</v>
      </c>
      <c r="H45" s="23">
        <f t="shared" si="2"/>
        <v>102.52426888642843</v>
      </c>
      <c r="I45">
        <f t="shared" si="7"/>
        <v>1898</v>
      </c>
    </row>
    <row r="46" spans="1:9" x14ac:dyDescent="0.2">
      <c r="A46">
        <f t="shared" si="1"/>
        <v>1899</v>
      </c>
      <c r="C46">
        <f t="shared" si="5"/>
        <v>121</v>
      </c>
      <c r="D46" s="22">
        <f t="shared" si="3"/>
        <v>1.0073134236382623E-2</v>
      </c>
      <c r="E46" s="11">
        <f t="shared" si="6"/>
        <v>29</v>
      </c>
      <c r="F46" s="25">
        <f t="shared" si="4"/>
        <v>0.74263239079837484</v>
      </c>
      <c r="H46" s="23">
        <f t="shared" si="2"/>
        <v>99.273967420006443</v>
      </c>
      <c r="I46">
        <f t="shared" si="7"/>
        <v>1899</v>
      </c>
    </row>
    <row r="47" spans="1:9" x14ac:dyDescent="0.2">
      <c r="A47">
        <f t="shared" si="1"/>
        <v>1900</v>
      </c>
      <c r="C47">
        <f t="shared" si="5"/>
        <v>120</v>
      </c>
      <c r="D47" s="22">
        <f t="shared" si="3"/>
        <v>1.0405606354684847E-2</v>
      </c>
      <c r="E47" s="11">
        <f t="shared" si="6"/>
        <v>30</v>
      </c>
      <c r="F47" s="25">
        <f t="shared" si="4"/>
        <v>0.71619564655987122</v>
      </c>
      <c r="H47" s="23">
        <f t="shared" si="2"/>
        <v>96.102040180462581</v>
      </c>
      <c r="I47">
        <f t="shared" si="7"/>
        <v>1900</v>
      </c>
    </row>
    <row r="48" spans="1:9" x14ac:dyDescent="0.2">
      <c r="A48">
        <f t="shared" si="1"/>
        <v>1901</v>
      </c>
      <c r="B48">
        <f>C4</f>
        <v>37.914757612346875</v>
      </c>
      <c r="C48">
        <f t="shared" si="5"/>
        <v>119</v>
      </c>
      <c r="D48" s="22">
        <f t="shared" si="3"/>
        <v>1.0751852661851594E-2</v>
      </c>
      <c r="E48" s="11">
        <f t="shared" si="6"/>
        <v>31</v>
      </c>
      <c r="F48" s="25">
        <f t="shared" si="4"/>
        <v>0.68912590135052909</v>
      </c>
      <c r="H48" s="23">
        <f t="shared" si="2"/>
        <v>93.007226889192552</v>
      </c>
      <c r="I48">
        <f t="shared" si="7"/>
        <v>1901</v>
      </c>
    </row>
    <row r="49" spans="1:9" x14ac:dyDescent="0.2">
      <c r="A49">
        <f t="shared" si="1"/>
        <v>1902</v>
      </c>
      <c r="C49">
        <f t="shared" si="5"/>
        <v>118</v>
      </c>
      <c r="D49" s="22">
        <f t="shared" si="3"/>
        <v>1.1112558553815082E-2</v>
      </c>
      <c r="E49" s="11">
        <f t="shared" si="6"/>
        <v>32</v>
      </c>
      <c r="F49" s="25">
        <f t="shared" si="4"/>
        <v>0.66161951969955413</v>
      </c>
      <c r="H49" s="23">
        <f t="shared" si="2"/>
        <v>89.988277241219791</v>
      </c>
      <c r="I49">
        <f t="shared" si="7"/>
        <v>1902</v>
      </c>
    </row>
    <row r="50" spans="1:9" x14ac:dyDescent="0.2">
      <c r="A50">
        <f t="shared" si="1"/>
        <v>1903</v>
      </c>
      <c r="C50">
        <f t="shared" si="5"/>
        <v>117</v>
      </c>
      <c r="D50" s="22">
        <f t="shared" si="3"/>
        <v>1.1488449105952151E-2</v>
      </c>
      <c r="E50" s="11">
        <f t="shared" si="6"/>
        <v>33</v>
      </c>
      <c r="F50" s="25">
        <f t="shared" si="4"/>
        <v>0.63387247361227783</v>
      </c>
      <c r="H50" s="23">
        <f t="shared" si="2"/>
        <v>87.043950909083222</v>
      </c>
      <c r="I50">
        <f t="shared" si="7"/>
        <v>1903</v>
      </c>
    </row>
    <row r="51" spans="1:9" x14ac:dyDescent="0.2">
      <c r="A51">
        <f t="shared" si="1"/>
        <v>1904</v>
      </c>
      <c r="C51">
        <f t="shared" si="5"/>
        <v>116</v>
      </c>
      <c r="D51" s="22">
        <f t="shared" si="3"/>
        <v>1.1880291679509871E-2</v>
      </c>
      <c r="E51" s="11">
        <f t="shared" si="6"/>
        <v>34</v>
      </c>
      <c r="F51" s="25">
        <f t="shared" si="4"/>
        <v>0.60607530007065136</v>
      </c>
      <c r="H51" s="23">
        <f t="shared" si="2"/>
        <v>84.173017546759056</v>
      </c>
      <c r="I51">
        <f t="shared" si="7"/>
        <v>1904</v>
      </c>
    </row>
    <row r="52" spans="1:9" x14ac:dyDescent="0.2">
      <c r="A52">
        <f t="shared" si="1"/>
        <v>1905</v>
      </c>
      <c r="C52">
        <f t="shared" si="5"/>
        <v>115</v>
      </c>
      <c r="D52" s="22">
        <f t="shared" si="3"/>
        <v>1.2288898718131576E-2</v>
      </c>
      <c r="E52" s="11">
        <f t="shared" si="6"/>
        <v>35</v>
      </c>
      <c r="F52" s="25">
        <f t="shared" si="4"/>
        <v>0.57840867378477068</v>
      </c>
      <c r="H52" s="23">
        <f t="shared" si="2"/>
        <v>81.374256793617846</v>
      </c>
      <c r="I52">
        <f t="shared" si="7"/>
        <v>1905</v>
      </c>
    </row>
    <row r="53" spans="1:9" x14ac:dyDescent="0.2">
      <c r="A53">
        <f t="shared" si="1"/>
        <v>1906</v>
      </c>
      <c r="C53">
        <f t="shared" si="5"/>
        <v>114</v>
      </c>
      <c r="D53" s="22">
        <f t="shared" si="3"/>
        <v>1.2715130749561447E-2</v>
      </c>
      <c r="E53" s="11">
        <f t="shared" si="6"/>
        <v>36</v>
      </c>
      <c r="F53" s="25">
        <f t="shared" si="4"/>
        <v>0.55103975964017771</v>
      </c>
      <c r="H53" s="23">
        <f t="shared" si="2"/>
        <v>78.646458278416887</v>
      </c>
      <c r="I53">
        <f t="shared" si="7"/>
        <v>1906</v>
      </c>
    </row>
    <row r="54" spans="1:9" x14ac:dyDescent="0.2">
      <c r="A54">
        <f t="shared" si="1"/>
        <v>1907</v>
      </c>
      <c r="C54">
        <f t="shared" si="5"/>
        <v>113</v>
      </c>
      <c r="D54" s="22">
        <f t="shared" si="3"/>
        <v>1.3159899608876674E-2</v>
      </c>
      <c r="E54" s="11">
        <f t="shared" si="6"/>
        <v>37</v>
      </c>
      <c r="F54" s="25">
        <f t="shared" si="4"/>
        <v>0.52411943713386455</v>
      </c>
      <c r="H54" s="23">
        <f t="shared" si="2"/>
        <v>75.988421623328762</v>
      </c>
      <c r="I54">
        <f t="shared" si="7"/>
        <v>1907</v>
      </c>
    </row>
    <row r="55" spans="1:9" x14ac:dyDescent="0.2">
      <c r="A55">
        <f t="shared" si="1"/>
        <v>1908</v>
      </c>
      <c r="C55">
        <f t="shared" si="5"/>
        <v>112</v>
      </c>
      <c r="D55" s="22">
        <f t="shared" si="3"/>
        <v>1.3624171900977406E-2</v>
      </c>
      <c r="E55" s="11">
        <f t="shared" si="6"/>
        <v>38</v>
      </c>
      <c r="F55" s="25">
        <f t="shared" si="4"/>
        <v>0.49778041970036685</v>
      </c>
      <c r="H55" s="23">
        <f t="shared" si="2"/>
        <v>73.398956448006899</v>
      </c>
      <c r="I55">
        <f t="shared" si="7"/>
        <v>1908</v>
      </c>
    </row>
    <row r="56" spans="1:9" x14ac:dyDescent="0.2">
      <c r="A56">
        <f t="shared" si="1"/>
        <v>1909</v>
      </c>
      <c r="C56">
        <f t="shared" si="5"/>
        <v>111</v>
      </c>
      <c r="D56" s="22">
        <f t="shared" si="3"/>
        <v>1.4108972721565801E-2</v>
      </c>
      <c r="E56" s="11">
        <f t="shared" si="6"/>
        <v>39</v>
      </c>
      <c r="F56" s="25">
        <f t="shared" si="4"/>
        <v>0.47213623177465569</v>
      </c>
      <c r="H56" s="23">
        <f t="shared" si="2"/>
        <v>70.876882373688574</v>
      </c>
      <c r="I56">
        <f t="shared" si="7"/>
        <v>1909</v>
      </c>
    </row>
    <row r="57" spans="1:9" x14ac:dyDescent="0.2">
      <c r="A57">
        <f t="shared" si="1"/>
        <v>1910</v>
      </c>
      <c r="C57">
        <f t="shared" si="5"/>
        <v>110</v>
      </c>
      <c r="D57" s="22">
        <f t="shared" si="3"/>
        <v>1.4615389657476137E-2</v>
      </c>
      <c r="E57" s="11">
        <f t="shared" si="6"/>
        <v>40</v>
      </c>
      <c r="F57" s="25">
        <f t="shared" si="4"/>
        <v>0.44728095991378569</v>
      </c>
      <c r="H57" s="23">
        <f t="shared" si="2"/>
        <v>68.421029027335919</v>
      </c>
      <c r="I57">
        <f t="shared" si="7"/>
        <v>1910</v>
      </c>
    </row>
    <row r="58" spans="1:9" x14ac:dyDescent="0.2">
      <c r="A58">
        <f t="shared" si="1"/>
        <v>1911</v>
      </c>
      <c r="C58">
        <f t="shared" si="5"/>
        <v>109</v>
      </c>
      <c r="D58" s="22">
        <f t="shared" si="3"/>
        <v>1.5144577088988965E-2</v>
      </c>
      <c r="E58" s="11">
        <f t="shared" si="6"/>
        <v>41</v>
      </c>
      <c r="F58" s="25">
        <f t="shared" si="4"/>
        <v>0.42328966303872301</v>
      </c>
      <c r="H58" s="23">
        <f t="shared" si="2"/>
        <v>66.03023604581611</v>
      </c>
      <c r="I58">
        <f t="shared" si="7"/>
        <v>1911</v>
      </c>
    </row>
    <row r="59" spans="1:9" x14ac:dyDescent="0.2">
      <c r="A59">
        <f t="shared" si="1"/>
        <v>1912</v>
      </c>
      <c r="C59">
        <f t="shared" si="5"/>
        <v>108</v>
      </c>
      <c r="D59" s="22">
        <f t="shared" si="3"/>
        <v>1.569776081868534E-2</v>
      </c>
      <c r="E59" s="11">
        <f t="shared" si="6"/>
        <v>42</v>
      </c>
      <c r="F59" s="25">
        <f t="shared" si="4"/>
        <v>0.40021931047507942</v>
      </c>
      <c r="H59" s="23">
        <f t="shared" si="2"/>
        <v>63.703353080120905</v>
      </c>
      <c r="I59">
        <f t="shared" si="7"/>
        <v>1912</v>
      </c>
    </row>
    <row r="60" spans="1:9" x14ac:dyDescent="0.2">
      <c r="A60">
        <f t="shared" si="1"/>
        <v>1913</v>
      </c>
      <c r="C60">
        <f t="shared" si="5"/>
        <v>107</v>
      </c>
      <c r="D60" s="22">
        <f t="shared" si="3"/>
        <v>1.6276243053483817E-2</v>
      </c>
      <c r="E60" s="11">
        <f t="shared" si="6"/>
        <v>43</v>
      </c>
      <c r="F60" s="25">
        <f t="shared" si="4"/>
        <v>0.37811011304039926</v>
      </c>
      <c r="H60" s="23">
        <f t="shared" si="2"/>
        <v>61.439239799626662</v>
      </c>
      <c r="I60">
        <f t="shared" si="7"/>
        <v>1913</v>
      </c>
    </row>
    <row r="61" spans="1:9" x14ac:dyDescent="0.2">
      <c r="A61">
        <f t="shared" si="1"/>
        <v>1914</v>
      </c>
      <c r="C61">
        <f t="shared" si="5"/>
        <v>106</v>
      </c>
      <c r="D61" s="22">
        <f t="shared" si="3"/>
        <v>1.6881407768766329E-2</v>
      </c>
      <c r="E61" s="11">
        <f t="shared" si="6"/>
        <v>44</v>
      </c>
      <c r="F61" s="25">
        <f t="shared" si="4"/>
        <v>0.35698711913360753</v>
      </c>
      <c r="H61" s="23">
        <f t="shared" si="2"/>
        <v>59.236765896395305</v>
      </c>
      <c r="I61">
        <f t="shared" si="7"/>
        <v>1914</v>
      </c>
    </row>
    <row r="62" spans="1:9" x14ac:dyDescent="0.2">
      <c r="A62">
        <f t="shared" si="1"/>
        <v>1915</v>
      </c>
      <c r="C62">
        <f t="shared" si="5"/>
        <v>105</v>
      </c>
      <c r="D62" s="22">
        <f t="shared" si="3"/>
        <v>1.7514726485952075E-2</v>
      </c>
      <c r="E62" s="11">
        <f t="shared" si="6"/>
        <v>45</v>
      </c>
      <c r="F62" s="25">
        <f t="shared" si="4"/>
        <v>0.33686196152322073</v>
      </c>
      <c r="H62" s="23">
        <f t="shared" si="2"/>
        <v>57.094811089517364</v>
      </c>
      <c r="I62">
        <f t="shared" si="7"/>
        <v>1915</v>
      </c>
    </row>
    <row r="63" spans="1:9" x14ac:dyDescent="0.2">
      <c r="A63">
        <f t="shared" si="1"/>
        <v>1916</v>
      </c>
      <c r="C63">
        <f t="shared" si="5"/>
        <v>104</v>
      </c>
      <c r="D63" s="22">
        <f t="shared" si="3"/>
        <v>1.8177764497535616E-2</v>
      </c>
      <c r="E63" s="11">
        <f t="shared" si="6"/>
        <v>46</v>
      </c>
      <c r="F63" s="25">
        <f t="shared" si="4"/>
        <v>0.31773465836030484</v>
      </c>
      <c r="H63" s="23">
        <f t="shared" si="2"/>
        <v>55.012265129497706</v>
      </c>
      <c r="I63">
        <f t="shared" si="7"/>
        <v>1916</v>
      </c>
    </row>
    <row r="64" spans="1:9" x14ac:dyDescent="0.2">
      <c r="A64">
        <f t="shared" si="1"/>
        <v>1917</v>
      </c>
      <c r="C64">
        <f t="shared" si="5"/>
        <v>103</v>
      </c>
      <c r="D64" s="22">
        <f t="shared" si="3"/>
        <v>1.8872187576480005E-2</v>
      </c>
      <c r="E64" s="11">
        <f t="shared" si="6"/>
        <v>47</v>
      </c>
      <c r="F64" s="25">
        <f t="shared" si="4"/>
        <v>0.29959539136591834</v>
      </c>
      <c r="H64" s="23">
        <f t="shared" si="2"/>
        <v>52.988027802684528</v>
      </c>
      <c r="I64">
        <f t="shared" si="7"/>
        <v>1917</v>
      </c>
    </row>
    <row r="65" spans="1:20" x14ac:dyDescent="0.2">
      <c r="A65">
        <f t="shared" si="1"/>
        <v>1918</v>
      </c>
      <c r="C65">
        <f t="shared" si="5"/>
        <v>102</v>
      </c>
      <c r="D65" s="22">
        <f t="shared" si="3"/>
        <v>1.9599769209962554E-2</v>
      </c>
      <c r="E65" s="11">
        <f t="shared" si="6"/>
        <v>48</v>
      </c>
      <c r="F65" s="25">
        <f t="shared" si="4"/>
        <v>0.28242620325369033</v>
      </c>
      <c r="H65" s="23">
        <f t="shared" si="2"/>
        <v>51.021008935742998</v>
      </c>
      <c r="I65">
        <f t="shared" si="7"/>
        <v>1918</v>
      </c>
    </row>
    <row r="66" spans="1:20" x14ac:dyDescent="0.2">
      <c r="A66">
        <f t="shared" si="1"/>
        <v>1919</v>
      </c>
      <c r="C66">
        <f t="shared" si="5"/>
        <v>101</v>
      </c>
      <c r="D66" s="22">
        <f t="shared" si="3"/>
        <v>2.0362398400824711E-2</v>
      </c>
      <c r="E66" s="11">
        <f t="shared" si="6"/>
        <v>49</v>
      </c>
      <c r="F66" s="25">
        <f t="shared" si="4"/>
        <v>0.26620257394221086</v>
      </c>
      <c r="H66" s="23">
        <f t="shared" si="2"/>
        <v>49.110128400174034</v>
      </c>
      <c r="I66">
        <f t="shared" si="7"/>
        <v>1919</v>
      </c>
    </row>
    <row r="67" spans="1:20" x14ac:dyDescent="0.2">
      <c r="A67">
        <f t="shared" si="1"/>
        <v>1920</v>
      </c>
      <c r="C67">
        <v>100</v>
      </c>
      <c r="D67" s="22">
        <f t="shared" si="3"/>
        <v>2.1162088083691469E-2</v>
      </c>
      <c r="E67" s="11">
        <f t="shared" si="6"/>
        <v>50</v>
      </c>
      <c r="F67" s="25">
        <f t="shared" si="4"/>
        <v>0.25089485022545271</v>
      </c>
      <c r="H67" s="23">
        <f t="shared" si="2"/>
        <v>47.254316116879245</v>
      </c>
      <c r="I67">
        <v>1920</v>
      </c>
      <c r="J67" s="24"/>
      <c r="K67" s="24"/>
      <c r="L67" s="24"/>
      <c r="M67" s="24"/>
      <c r="N67" s="24"/>
      <c r="O67" s="24"/>
      <c r="P67" s="24"/>
      <c r="Q67" s="24"/>
      <c r="R67" s="24"/>
      <c r="S67" s="24"/>
      <c r="T67" s="24"/>
    </row>
    <row r="68" spans="1:20" x14ac:dyDescent="0.2">
      <c r="A68">
        <f t="shared" si="1"/>
        <v>1921</v>
      </c>
      <c r="C68">
        <f t="shared" ref="C68:C131" si="8">C67-1</f>
        <v>99</v>
      </c>
      <c r="D68" s="22">
        <f t="shared" si="3"/>
        <v>2.2000984206614064E-2</v>
      </c>
      <c r="E68" s="11">
        <f t="shared" si="6"/>
        <v>51</v>
      </c>
      <c r="F68" s="25">
        <f t="shared" si="4"/>
        <v>0.23646951597528673</v>
      </c>
      <c r="H68" s="23">
        <f t="shared" si="2"/>
        <v>45.452512060772911</v>
      </c>
      <c r="I68">
        <v>1921</v>
      </c>
      <c r="J68" s="26" t="s">
        <v>73</v>
      </c>
      <c r="K68" s="24"/>
      <c r="L68" s="24"/>
      <c r="M68" s="24"/>
      <c r="N68" s="24"/>
      <c r="O68" s="24"/>
      <c r="P68" s="24"/>
      <c r="Q68" s="24"/>
      <c r="R68" s="24"/>
      <c r="S68" s="24"/>
      <c r="T68" s="24"/>
    </row>
    <row r="69" spans="1:20" x14ac:dyDescent="0.2">
      <c r="A69">
        <f t="shared" si="1"/>
        <v>1922</v>
      </c>
      <c r="C69">
        <f t="shared" si="8"/>
        <v>98</v>
      </c>
      <c r="D69" s="22">
        <f t="shared" si="3"/>
        <v>2.2881375533263474E-2</v>
      </c>
      <c r="E69" s="11">
        <f t="shared" si="6"/>
        <v>52</v>
      </c>
      <c r="F69" s="25">
        <f t="shared" si="4"/>
        <v>0.22289029964111612</v>
      </c>
      <c r="H69" s="23">
        <f t="shared" si="2"/>
        <v>43.703666265442138</v>
      </c>
      <c r="I69">
        <f t="shared" ref="I69:I132" si="9">I68+1</f>
        <v>1922</v>
      </c>
      <c r="J69" s="24"/>
      <c r="K69" s="24"/>
      <c r="L69" s="24"/>
      <c r="M69" s="24"/>
      <c r="N69" s="24"/>
      <c r="O69" s="24"/>
      <c r="P69" s="24"/>
      <c r="Q69" s="24"/>
      <c r="R69" s="24"/>
      <c r="S69" s="24"/>
      <c r="T69" s="24"/>
    </row>
    <row r="70" spans="1:20" x14ac:dyDescent="0.2">
      <c r="A70">
        <f t="shared" si="1"/>
        <v>1923</v>
      </c>
      <c r="C70">
        <f t="shared" si="8"/>
        <v>97</v>
      </c>
      <c r="D70" s="22">
        <f t="shared" si="3"/>
        <v>2.3805704225172378E-2</v>
      </c>
      <c r="E70" s="11">
        <f t="shared" si="6"/>
        <v>53</v>
      </c>
      <c r="F70" s="25">
        <f t="shared" si="4"/>
        <v>0.21011912299160712</v>
      </c>
      <c r="H70" s="23">
        <f t="shared" si="2"/>
        <v>42.006738827855827</v>
      </c>
      <c r="I70">
        <f t="shared" si="9"/>
        <v>1923</v>
      </c>
      <c r="J70" s="24"/>
      <c r="K70" s="24"/>
      <c r="L70" s="24"/>
      <c r="M70" s="24"/>
      <c r="N70" s="24"/>
      <c r="O70" s="24"/>
      <c r="P70" s="24"/>
      <c r="Q70" s="24"/>
      <c r="R70" s="24"/>
      <c r="S70" s="24"/>
      <c r="T70" s="24"/>
    </row>
    <row r="71" spans="1:20" x14ac:dyDescent="0.2">
      <c r="A71">
        <f t="shared" si="1"/>
        <v>1924</v>
      </c>
      <c r="C71">
        <f t="shared" si="8"/>
        <v>96</v>
      </c>
      <c r="D71" s="22">
        <f t="shared" si="3"/>
        <v>2.4776577268295394E-2</v>
      </c>
      <c r="E71" s="11">
        <f t="shared" si="6"/>
        <v>54</v>
      </c>
      <c r="F71" s="25">
        <f t="shared" si="4"/>
        <v>0.19811690003603366</v>
      </c>
      <c r="H71" s="23">
        <f t="shared" si="2"/>
        <v>40.360699913124002</v>
      </c>
      <c r="I71">
        <f t="shared" si="9"/>
        <v>1924</v>
      </c>
      <c r="J71" s="24"/>
      <c r="K71" s="24"/>
      <c r="L71" s="24"/>
      <c r="M71" s="24"/>
      <c r="N71" s="24"/>
      <c r="O71" s="24"/>
      <c r="P71" s="24"/>
      <c r="Q71" s="24"/>
      <c r="R71" s="24"/>
      <c r="S71" s="24"/>
      <c r="T71" s="24"/>
    </row>
    <row r="72" spans="1:20" x14ac:dyDescent="0.2">
      <c r="A72">
        <f t="shared" si="1"/>
        <v>1925</v>
      </c>
      <c r="C72">
        <f t="shared" si="8"/>
        <v>95</v>
      </c>
      <c r="D72" s="22">
        <f t="shared" si="3"/>
        <v>2.5796778813236783E-2</v>
      </c>
      <c r="E72" s="11">
        <f t="shared" si="6"/>
        <v>55</v>
      </c>
      <c r="F72" s="25">
        <f t="shared" si="4"/>
        <v>0.18684419824168677</v>
      </c>
      <c r="H72" s="23">
        <f t="shared" si="2"/>
        <v>38.764529759307869</v>
      </c>
      <c r="I72">
        <f t="shared" si="9"/>
        <v>1925</v>
      </c>
      <c r="J72" s="24"/>
      <c r="K72" s="24"/>
      <c r="L72" s="24"/>
      <c r="M72" s="24"/>
      <c r="N72" s="24"/>
      <c r="O72" s="24"/>
      <c r="P72" s="24"/>
      <c r="Q72" s="24"/>
      <c r="R72" s="24"/>
      <c r="S72" s="24"/>
      <c r="T72" s="24"/>
    </row>
    <row r="73" spans="1:20" x14ac:dyDescent="0.2">
      <c r="A73">
        <f t="shared" si="1"/>
        <v>1926</v>
      </c>
      <c r="C73">
        <f t="shared" si="8"/>
        <v>94</v>
      </c>
      <c r="D73" s="22">
        <f t="shared" si="3"/>
        <v>2.6869283503876122E-2</v>
      </c>
      <c r="E73" s="11">
        <f t="shared" si="6"/>
        <v>56</v>
      </c>
      <c r="F73" s="25">
        <f t="shared" si="4"/>
        <v>0.1762617759045905</v>
      </c>
      <c r="H73" s="23">
        <f t="shared" si="2"/>
        <v>37.217218682282372</v>
      </c>
      <c r="I73">
        <f t="shared" si="9"/>
        <v>1926</v>
      </c>
      <c r="J73" s="24"/>
      <c r="K73" s="24"/>
      <c r="L73" s="24"/>
      <c r="M73" s="24"/>
      <c r="N73" s="24"/>
      <c r="O73" s="24"/>
      <c r="P73" s="24"/>
      <c r="Q73" s="24"/>
      <c r="R73" s="24"/>
      <c r="S73" s="24"/>
      <c r="T73" s="24"/>
    </row>
    <row r="74" spans="1:20" x14ac:dyDescent="0.2">
      <c r="A74">
        <f t="shared" si="1"/>
        <v>1927</v>
      </c>
      <c r="C74">
        <f t="shared" si="8"/>
        <v>93</v>
      </c>
      <c r="D74" s="22">
        <f t="shared" si="3"/>
        <v>2.7997270874799227E-2</v>
      </c>
      <c r="E74" s="11">
        <f t="shared" si="6"/>
        <v>57</v>
      </c>
      <c r="F74" s="25">
        <f t="shared" si="4"/>
        <v>0.16633101018005506</v>
      </c>
      <c r="H74" s="23">
        <f t="shared" si="2"/>
        <v>35.717767080651967</v>
      </c>
      <c r="I74">
        <f t="shared" si="9"/>
        <v>1927</v>
      </c>
      <c r="J74" s="24"/>
      <c r="K74" s="24"/>
      <c r="L74" s="24"/>
      <c r="M74" s="24"/>
      <c r="N74" s="24"/>
      <c r="O74" s="24"/>
      <c r="P74" s="24"/>
      <c r="Q74" s="24"/>
      <c r="R74" s="24"/>
      <c r="S74" s="24"/>
      <c r="T74" s="24"/>
    </row>
    <row r="75" spans="1:20" x14ac:dyDescent="0.2">
      <c r="A75">
        <f t="shared" si="1"/>
        <v>1928</v>
      </c>
      <c r="C75">
        <f t="shared" si="8"/>
        <v>92</v>
      </c>
      <c r="D75" s="22">
        <f t="shared" si="3"/>
        <v>2.9184140903892524E-2</v>
      </c>
      <c r="E75" s="11">
        <f t="shared" si="6"/>
        <v>58</v>
      </c>
      <c r="F75" s="25">
        <f t="shared" si="4"/>
        <v>0.15701423013885152</v>
      </c>
      <c r="H75" s="23">
        <f t="shared" si="2"/>
        <v>34.265185440720714</v>
      </c>
      <c r="I75">
        <f t="shared" si="9"/>
        <v>1928</v>
      </c>
      <c r="J75" s="24"/>
      <c r="K75" s="24"/>
      <c r="L75" s="24"/>
      <c r="M75" s="24"/>
      <c r="N75" s="24"/>
      <c r="O75" s="24"/>
      <c r="P75" s="24"/>
      <c r="Q75" s="24"/>
      <c r="R75" s="24"/>
      <c r="S75" s="24"/>
      <c r="T75" s="24"/>
    </row>
    <row r="76" spans="1:20" x14ac:dyDescent="0.2">
      <c r="A76">
        <f t="shared" si="1"/>
        <v>1929</v>
      </c>
      <c r="C76">
        <f t="shared" si="8"/>
        <v>91</v>
      </c>
      <c r="D76" s="22">
        <f t="shared" si="3"/>
        <v>3.0433530812653702E-2</v>
      </c>
      <c r="E76" s="11">
        <f t="shared" si="6"/>
        <v>59</v>
      </c>
      <c r="F76" s="25">
        <f t="shared" si="4"/>
        <v>0.14827496853406261</v>
      </c>
      <c r="H76" s="23">
        <f t="shared" si="2"/>
        <v>32.858494341518153</v>
      </c>
      <c r="I76">
        <f t="shared" si="9"/>
        <v>1929</v>
      </c>
      <c r="J76" s="24"/>
      <c r="K76" s="24"/>
      <c r="L76" s="24"/>
      <c r="M76" s="24"/>
      <c r="N76" s="24"/>
      <c r="O76" s="24"/>
      <c r="P76" s="24"/>
      <c r="Q76" s="24"/>
      <c r="R76" s="24"/>
      <c r="S76" s="24"/>
      <c r="T76" s="24"/>
    </row>
    <row r="77" spans="1:20" x14ac:dyDescent="0.2">
      <c r="A77">
        <f t="shared" si="1"/>
        <v>1930</v>
      </c>
      <c r="C77">
        <f t="shared" si="8"/>
        <v>90</v>
      </c>
      <c r="D77" s="22">
        <f t="shared" si="3"/>
        <v>3.1749333213163658E-2</v>
      </c>
      <c r="E77" s="11">
        <f t="shared" si="6"/>
        <v>60</v>
      </c>
      <c r="F77" s="25">
        <f t="shared" si="4"/>
        <v>0.1400781449420255</v>
      </c>
      <c r="H77" s="23">
        <f t="shared" si="2"/>
        <v>31.496724459882135</v>
      </c>
      <c r="I77">
        <f t="shared" si="9"/>
        <v>1930</v>
      </c>
      <c r="J77" s="24"/>
      <c r="K77" s="24"/>
      <c r="L77" s="24"/>
      <c r="M77" s="24"/>
      <c r="N77" s="24"/>
      <c r="O77" s="24"/>
      <c r="P77" s="24"/>
      <c r="Q77" s="24"/>
      <c r="R77" s="24"/>
      <c r="S77" s="24"/>
      <c r="T77" s="24"/>
    </row>
    <row r="78" spans="1:20" x14ac:dyDescent="0.2">
      <c r="A78">
        <f t="shared" si="1"/>
        <v>1931</v>
      </c>
      <c r="C78">
        <f t="shared" si="8"/>
        <v>89</v>
      </c>
      <c r="D78" s="22">
        <f t="shared" si="3"/>
        <v>3.3135715707187624E-2</v>
      </c>
      <c r="E78" s="11">
        <f t="shared" si="6"/>
        <v>61</v>
      </c>
      <c r="F78" s="25">
        <f t="shared" si="4"/>
        <v>0.1323901917308119</v>
      </c>
      <c r="H78" s="23">
        <f t="shared" si="2"/>
        <v>30.178916575599583</v>
      </c>
      <c r="I78">
        <f t="shared" si="9"/>
        <v>1931</v>
      </c>
      <c r="J78" s="24"/>
      <c r="K78" s="24"/>
      <c r="L78" s="24"/>
      <c r="M78" s="24"/>
      <c r="N78" s="24"/>
      <c r="O78" s="24"/>
      <c r="P78" s="24"/>
      <c r="Q78" s="24"/>
      <c r="R78" s="24"/>
      <c r="S78" s="24"/>
      <c r="T78" s="24"/>
    </row>
    <row r="79" spans="1:20" x14ac:dyDescent="0.2">
      <c r="A79">
        <f t="shared" si="1"/>
        <v>1932</v>
      </c>
      <c r="C79">
        <f t="shared" si="8"/>
        <v>88</v>
      </c>
      <c r="D79" s="22">
        <f t="shared" si="3"/>
        <v>3.4597142049434634E-2</v>
      </c>
      <c r="E79" s="11">
        <f t="shared" si="6"/>
        <v>62</v>
      </c>
      <c r="F79" s="25">
        <f t="shared" si="4"/>
        <v>0.12517913302381528</v>
      </c>
      <c r="H79" s="23">
        <f t="shared" si="2"/>
        <v>28.904121576606972</v>
      </c>
      <c r="I79">
        <f t="shared" si="9"/>
        <v>1932</v>
      </c>
      <c r="J79" s="24"/>
      <c r="K79" s="24"/>
      <c r="L79" s="24"/>
      <c r="M79" s="24"/>
      <c r="N79" s="24"/>
      <c r="O79" s="24"/>
      <c r="P79" s="24"/>
      <c r="Q79" s="24"/>
      <c r="R79" s="24"/>
      <c r="S79" s="24"/>
      <c r="T79" s="24"/>
    </row>
    <row r="80" spans="1:20" x14ac:dyDescent="0.2">
      <c r="A80">
        <f t="shared" si="1"/>
        <v>1933</v>
      </c>
      <c r="C80">
        <f t="shared" si="8"/>
        <v>87</v>
      </c>
      <c r="D80" s="22">
        <f t="shared" si="3"/>
        <v>3.6138394993484119E-2</v>
      </c>
      <c r="E80" s="11">
        <f t="shared" si="6"/>
        <v>63</v>
      </c>
      <c r="F80" s="25">
        <f t="shared" si="4"/>
        <v>0.1184146255435848</v>
      </c>
      <c r="H80" s="23">
        <f t="shared" si="2"/>
        <v>27.671400464251487</v>
      </c>
      <c r="I80">
        <f t="shared" si="9"/>
        <v>1933</v>
      </c>
      <c r="J80" s="24"/>
      <c r="K80" s="24"/>
      <c r="L80" s="24"/>
      <c r="M80" s="24"/>
      <c r="N80" s="24"/>
      <c r="O80" s="24"/>
      <c r="P80" s="24"/>
      <c r="Q80" s="24"/>
      <c r="R80" s="24"/>
      <c r="S80" s="24"/>
      <c r="T80" s="24"/>
    </row>
    <row r="81" spans="1:20" x14ac:dyDescent="0.2">
      <c r="A81">
        <f t="shared" ref="A81:A144" si="10">I81</f>
        <v>1934</v>
      </c>
      <c r="C81">
        <f t="shared" si="8"/>
        <v>86</v>
      </c>
      <c r="D81" s="22">
        <f t="shared" si="3"/>
        <v>3.7764600945122212E-2</v>
      </c>
      <c r="E81" s="11">
        <f t="shared" si="6"/>
        <v>64</v>
      </c>
      <c r="F81" s="25">
        <f t="shared" si="4"/>
        <v>0.11206796899509375</v>
      </c>
      <c r="H81" s="23">
        <f t="shared" ref="H81:H144" si="11">1/D81</f>
        <v>26.479824358614412</v>
      </c>
      <c r="I81">
        <f t="shared" si="9"/>
        <v>1934</v>
      </c>
      <c r="J81" s="24"/>
      <c r="K81" s="24"/>
      <c r="L81" s="24"/>
      <c r="M81" s="24"/>
      <c r="N81" s="24"/>
      <c r="O81" s="24"/>
      <c r="P81" s="24"/>
      <c r="Q81" s="24"/>
      <c r="R81" s="24"/>
      <c r="S81" s="24"/>
      <c r="T81" s="24"/>
    </row>
    <row r="82" spans="1:20" x14ac:dyDescent="0.2">
      <c r="A82">
        <f t="shared" si="10"/>
        <v>1935</v>
      </c>
      <c r="C82">
        <f t="shared" si="8"/>
        <v>85</v>
      </c>
      <c r="D82" s="22">
        <f t="shared" ref="D82:D145" si="12">PRODUCT(1/(1+(C82/$C$4)^$C$3))</f>
        <v>3.9481256553610802E-2</v>
      </c>
      <c r="E82" s="11">
        <f t="shared" si="6"/>
        <v>65</v>
      </c>
      <c r="F82" s="25">
        <f t="shared" ref="F82:F145" si="13">PRODUCT(1/(1+(E82/$C$4)^$C$3))</f>
        <v>0.10611209251099452</v>
      </c>
      <c r="H82" s="23">
        <f t="shared" si="11"/>
        <v>25.328474503898327</v>
      </c>
      <c r="I82">
        <f t="shared" si="9"/>
        <v>1935</v>
      </c>
      <c r="J82" s="24"/>
      <c r="K82" s="24"/>
      <c r="L82" s="24"/>
      <c r="M82" s="24"/>
      <c r="N82" s="24"/>
      <c r="O82" s="24"/>
      <c r="P82" s="24"/>
      <c r="Q82" s="24"/>
      <c r="R82" s="24"/>
      <c r="S82" s="24"/>
      <c r="T82" s="24"/>
    </row>
    <row r="83" spans="1:20" x14ac:dyDescent="0.2">
      <c r="A83">
        <f t="shared" si="10"/>
        <v>1936</v>
      </c>
      <c r="C83">
        <f t="shared" si="8"/>
        <v>84</v>
      </c>
      <c r="D83" s="22">
        <f t="shared" si="12"/>
        <v>4.1294257376469731E-2</v>
      </c>
      <c r="E83" s="11">
        <f t="shared" ref="E83:E146" si="14">E82+1</f>
        <v>66</v>
      </c>
      <c r="F83" s="25">
        <f t="shared" si="13"/>
        <v>0.10052152265191697</v>
      </c>
      <c r="H83" s="23">
        <f t="shared" si="11"/>
        <v>24.216442273879451</v>
      </c>
      <c r="I83">
        <f t="shared" si="9"/>
        <v>1936</v>
      </c>
      <c r="J83" s="24"/>
      <c r="K83" s="24"/>
      <c r="L83" s="24"/>
      <c r="M83" s="24"/>
      <c r="N83" s="24"/>
      <c r="O83" s="24"/>
      <c r="P83" s="24"/>
      <c r="Q83" s="24"/>
      <c r="R83" s="24"/>
      <c r="S83" s="24"/>
      <c r="T83" s="24"/>
    </row>
    <row r="84" spans="1:20" x14ac:dyDescent="0.2">
      <c r="A84">
        <f t="shared" si="10"/>
        <v>1937</v>
      </c>
      <c r="C84">
        <f t="shared" si="8"/>
        <v>83</v>
      </c>
      <c r="D84" s="22">
        <f t="shared" si="12"/>
        <v>4.3209928757344446E-2</v>
      </c>
      <c r="E84" s="11">
        <f t="shared" si="14"/>
        <v>67</v>
      </c>
      <c r="F84" s="25">
        <f t="shared" si="13"/>
        <v>9.5272337539568291E-2</v>
      </c>
      <c r="H84" s="23">
        <f t="shared" si="11"/>
        <v>23.142829177426698</v>
      </c>
      <c r="I84">
        <f t="shared" si="9"/>
        <v>1937</v>
      </c>
      <c r="J84" s="24"/>
      <c r="K84" s="24"/>
      <c r="L84" s="24"/>
      <c r="M84" s="24"/>
      <c r="N84" s="24"/>
      <c r="O84" s="24"/>
      <c r="P84" s="24"/>
      <c r="Q84" s="24"/>
      <c r="R84" s="24"/>
      <c r="S84" s="24"/>
      <c r="T84" s="24"/>
    </row>
    <row r="85" spans="1:20" x14ac:dyDescent="0.2">
      <c r="A85">
        <f t="shared" si="10"/>
        <v>1938</v>
      </c>
      <c r="C85">
        <f t="shared" si="8"/>
        <v>82</v>
      </c>
      <c r="D85" s="22">
        <f t="shared" si="12"/>
        <v>4.5235059059025466E-2</v>
      </c>
      <c r="E85" s="11">
        <f t="shared" si="14"/>
        <v>68</v>
      </c>
      <c r="F85" s="25">
        <f t="shared" si="13"/>
        <v>9.0342110898944505E-2</v>
      </c>
      <c r="H85" s="23">
        <f t="shared" si="11"/>
        <v>22.106746864089178</v>
      </c>
      <c r="I85">
        <f t="shared" si="9"/>
        <v>1938</v>
      </c>
      <c r="J85" s="24"/>
      <c r="K85" s="24"/>
      <c r="L85" s="24"/>
      <c r="M85" s="24"/>
      <c r="N85" s="24"/>
      <c r="O85" s="24"/>
      <c r="P85" s="24"/>
      <c r="Q85" s="24"/>
      <c r="R85" s="24"/>
      <c r="S85" s="24"/>
      <c r="T85" s="24"/>
    </row>
    <row r="86" spans="1:20" x14ac:dyDescent="0.2">
      <c r="A86">
        <f t="shared" si="10"/>
        <v>1939</v>
      </c>
      <c r="C86">
        <f t="shared" si="8"/>
        <v>81</v>
      </c>
      <c r="D86" s="22">
        <f t="shared" si="12"/>
        <v>4.7376935394141423E-2</v>
      </c>
      <c r="E86" s="11">
        <f t="shared" si="14"/>
        <v>69</v>
      </c>
      <c r="F86" s="25">
        <f t="shared" si="13"/>
        <v>8.5709849093193499E-2</v>
      </c>
      <c r="H86" s="23">
        <f t="shared" si="11"/>
        <v>21.107317129753792</v>
      </c>
      <c r="I86">
        <f t="shared" si="9"/>
        <v>1939</v>
      </c>
      <c r="J86" s="24"/>
      <c r="K86" s="24"/>
      <c r="L86" s="24"/>
      <c r="M86" s="24"/>
      <c r="N86" s="24"/>
      <c r="O86" s="24"/>
      <c r="P86" s="24"/>
      <c r="Q86" s="24"/>
      <c r="R86" s="24"/>
      <c r="S86" s="24"/>
      <c r="T86" s="24"/>
    </row>
    <row r="87" spans="1:20" x14ac:dyDescent="0.2">
      <c r="A87">
        <f t="shared" si="10"/>
        <v>1940</v>
      </c>
      <c r="C87">
        <f t="shared" si="8"/>
        <v>80</v>
      </c>
      <c r="D87" s="22">
        <f t="shared" si="12"/>
        <v>4.9643381993788899E-2</v>
      </c>
      <c r="E87" s="11">
        <f t="shared" si="14"/>
        <v>70</v>
      </c>
      <c r="F87" s="25">
        <f t="shared" si="13"/>
        <v>8.1355923642470018E-2</v>
      </c>
      <c r="H87" s="23">
        <f t="shared" si="11"/>
        <v>20.143671922374555</v>
      </c>
      <c r="I87">
        <f t="shared" si="9"/>
        <v>1940</v>
      </c>
      <c r="J87" s="24"/>
      <c r="K87" s="24"/>
      <c r="L87" s="24"/>
      <c r="M87" s="24"/>
      <c r="N87" s="24"/>
      <c r="O87" s="24"/>
      <c r="P87" s="24"/>
      <c r="Q87" s="24"/>
      <c r="R87" s="24"/>
      <c r="S87" s="24"/>
      <c r="T87" s="24"/>
    </row>
    <row r="88" spans="1:20" x14ac:dyDescent="0.2">
      <c r="A88">
        <f t="shared" si="10"/>
        <v>1941</v>
      </c>
      <c r="C88">
        <f t="shared" si="8"/>
        <v>79</v>
      </c>
      <c r="D88" s="22">
        <f t="shared" si="12"/>
        <v>5.2042801348553311E-2</v>
      </c>
      <c r="E88" s="11">
        <f t="shared" si="14"/>
        <v>71</v>
      </c>
      <c r="F88" s="25">
        <f t="shared" si="13"/>
        <v>7.7262001216894832E-2</v>
      </c>
      <c r="H88" s="23">
        <f t="shared" si="11"/>
        <v>19.214953347775506</v>
      </c>
      <c r="I88">
        <f t="shared" si="9"/>
        <v>1941</v>
      </c>
      <c r="J88" s="24"/>
      <c r="K88" s="24"/>
      <c r="L88" s="24"/>
      <c r="M88" s="24"/>
      <c r="N88" s="24"/>
      <c r="O88" s="24"/>
      <c r="P88" s="24"/>
      <c r="Q88" s="24"/>
      <c r="R88" s="24"/>
      <c r="S88" s="24"/>
      <c r="T88" s="24"/>
    </row>
    <row r="89" spans="1:20" x14ac:dyDescent="0.2">
      <c r="A89">
        <f t="shared" si="10"/>
        <v>1942</v>
      </c>
      <c r="C89">
        <f t="shared" si="8"/>
        <v>78</v>
      </c>
      <c r="D89" s="22">
        <f t="shared" si="12"/>
        <v>5.4584218245985652E-2</v>
      </c>
      <c r="E89" s="11">
        <f t="shared" si="14"/>
        <v>72</v>
      </c>
      <c r="F89" s="25">
        <f t="shared" si="13"/>
        <v>7.341097267328299E-2</v>
      </c>
      <c r="H89" s="23">
        <f t="shared" si="11"/>
        <v>18.320313675529174</v>
      </c>
      <c r="I89">
        <f t="shared" si="9"/>
        <v>1942</v>
      </c>
      <c r="J89" s="24"/>
      <c r="K89" s="24"/>
      <c r="L89" s="24"/>
      <c r="M89" s="24"/>
      <c r="N89" s="24"/>
      <c r="O89" s="24"/>
      <c r="P89" s="24"/>
      <c r="Q89" s="24"/>
      <c r="R89" s="24"/>
      <c r="S89" s="24"/>
      <c r="T89" s="24"/>
    </row>
    <row r="90" spans="1:20" x14ac:dyDescent="0.2">
      <c r="A90">
        <f t="shared" si="10"/>
        <v>1943</v>
      </c>
      <c r="C90">
        <f t="shared" si="8"/>
        <v>77</v>
      </c>
      <c r="D90" s="22">
        <f t="shared" si="12"/>
        <v>5.7277326812367101E-2</v>
      </c>
      <c r="E90" s="11">
        <f t="shared" si="14"/>
        <v>73</v>
      </c>
      <c r="F90" s="25">
        <f t="shared" si="13"/>
        <v>6.9786882355573565E-2</v>
      </c>
      <c r="H90" s="23">
        <f t="shared" si="11"/>
        <v>17.458915344912427</v>
      </c>
      <c r="I90">
        <f t="shared" si="9"/>
        <v>1943</v>
      </c>
      <c r="J90" s="24"/>
      <c r="K90" s="24"/>
      <c r="L90" s="24"/>
      <c r="M90" s="24"/>
      <c r="N90" s="24"/>
      <c r="O90" s="24"/>
      <c r="P90" s="24"/>
      <c r="Q90" s="24"/>
      <c r="R90" s="24"/>
      <c r="S90" s="24"/>
      <c r="T90" s="24"/>
    </row>
    <row r="91" spans="1:20" x14ac:dyDescent="0.2">
      <c r="A91">
        <f t="shared" si="10"/>
        <v>1944</v>
      </c>
      <c r="C91">
        <f t="shared" si="8"/>
        <v>76</v>
      </c>
      <c r="D91" s="22">
        <f t="shared" si="12"/>
        <v>6.0132540642973638E-2</v>
      </c>
      <c r="E91" s="11">
        <f t="shared" si="14"/>
        <v>74</v>
      </c>
      <c r="F91" s="25">
        <f t="shared" si="13"/>
        <v>6.6374858590300068E-2</v>
      </c>
      <c r="H91" s="23">
        <f t="shared" si="11"/>
        <v>16.629930970941736</v>
      </c>
      <c r="I91">
        <f t="shared" si="9"/>
        <v>1944</v>
      </c>
      <c r="J91" s="24"/>
      <c r="K91" s="24"/>
      <c r="L91" s="24"/>
      <c r="M91" s="24"/>
      <c r="N91" s="24"/>
      <c r="O91" s="24"/>
      <c r="P91" s="24"/>
      <c r="Q91" s="24"/>
      <c r="R91" s="24"/>
      <c r="S91" s="24"/>
      <c r="T91" s="24"/>
    </row>
    <row r="92" spans="1:20" x14ac:dyDescent="0.2">
      <c r="A92">
        <f t="shared" si="10"/>
        <v>1945</v>
      </c>
      <c r="C92">
        <f t="shared" si="8"/>
        <v>75</v>
      </c>
      <c r="D92" s="22">
        <f t="shared" si="12"/>
        <v>6.3161046072174626E-2</v>
      </c>
      <c r="E92" s="11">
        <f t="shared" si="14"/>
        <v>75</v>
      </c>
      <c r="F92" s="25">
        <f t="shared" si="13"/>
        <v>6.3161046072174626E-2</v>
      </c>
      <c r="H92" s="23">
        <f t="shared" si="11"/>
        <v>15.832543350489985</v>
      </c>
      <c r="I92">
        <f t="shared" si="9"/>
        <v>1945</v>
      </c>
      <c r="J92" s="24"/>
      <c r="K92" s="24"/>
      <c r="L92" s="24"/>
      <c r="M92" s="24"/>
      <c r="N92" s="24"/>
      <c r="O92" s="24"/>
      <c r="P92" s="24"/>
      <c r="Q92" s="24"/>
      <c r="R92" s="24"/>
      <c r="S92" s="24"/>
      <c r="T92" s="24"/>
    </row>
    <row r="93" spans="1:20" x14ac:dyDescent="0.2">
      <c r="A93">
        <f t="shared" si="10"/>
        <v>1946</v>
      </c>
      <c r="C93">
        <f t="shared" si="8"/>
        <v>74</v>
      </c>
      <c r="D93" s="22">
        <f t="shared" si="12"/>
        <v>6.6374858590300068E-2</v>
      </c>
      <c r="E93" s="11">
        <f t="shared" si="14"/>
        <v>76</v>
      </c>
      <c r="F93" s="25">
        <f t="shared" si="13"/>
        <v>6.0132540642973638E-2</v>
      </c>
      <c r="H93" s="23">
        <f t="shared" si="11"/>
        <v>15.065945468487049</v>
      </c>
      <c r="I93">
        <f t="shared" si="9"/>
        <v>1946</v>
      </c>
      <c r="J93" s="24"/>
      <c r="K93" s="24"/>
      <c r="L93" s="24"/>
      <c r="M93" s="24"/>
      <c r="N93" s="24"/>
      <c r="O93" s="24"/>
      <c r="P93" s="24"/>
      <c r="Q93" s="24"/>
      <c r="R93" s="24"/>
      <c r="S93" s="24"/>
      <c r="T93" s="24"/>
    </row>
    <row r="94" spans="1:20" x14ac:dyDescent="0.2">
      <c r="A94">
        <f t="shared" si="10"/>
        <v>1947</v>
      </c>
      <c r="C94">
        <f t="shared" si="8"/>
        <v>73</v>
      </c>
      <c r="D94" s="22">
        <f t="shared" si="12"/>
        <v>6.9786882355573565E-2</v>
      </c>
      <c r="E94" s="11">
        <f t="shared" si="14"/>
        <v>77</v>
      </c>
      <c r="F94" s="25">
        <f t="shared" si="13"/>
        <v>5.7277326812367101E-2</v>
      </c>
      <c r="H94" s="23">
        <f t="shared" si="11"/>
        <v>14.329340504206296</v>
      </c>
      <c r="I94">
        <f t="shared" si="9"/>
        <v>1947</v>
      </c>
      <c r="J94" s="24"/>
      <c r="K94" s="24"/>
      <c r="L94" s="24"/>
      <c r="M94" s="24"/>
      <c r="N94" s="24"/>
      <c r="O94" s="24"/>
      <c r="P94" s="24"/>
      <c r="Q94" s="24"/>
      <c r="R94" s="24"/>
      <c r="S94" s="24"/>
      <c r="T94" s="24"/>
    </row>
    <row r="95" spans="1:20" x14ac:dyDescent="0.2">
      <c r="A95">
        <f t="shared" si="10"/>
        <v>1948</v>
      </c>
      <c r="C95">
        <f t="shared" si="8"/>
        <v>72</v>
      </c>
      <c r="D95" s="22">
        <f t="shared" si="12"/>
        <v>7.341097267328299E-2</v>
      </c>
      <c r="E95" s="11">
        <f t="shared" si="14"/>
        <v>78</v>
      </c>
      <c r="F95" s="25">
        <f t="shared" si="13"/>
        <v>5.4584218245985652E-2</v>
      </c>
      <c r="H95" s="23">
        <f t="shared" si="11"/>
        <v>13.621941837639451</v>
      </c>
      <c r="I95">
        <f t="shared" si="9"/>
        <v>1948</v>
      </c>
      <c r="J95" s="24"/>
      <c r="K95" s="24"/>
      <c r="L95" s="24"/>
      <c r="M95" s="24"/>
      <c r="N95" s="24"/>
      <c r="O95" s="24"/>
      <c r="P95" s="24"/>
      <c r="Q95" s="24"/>
      <c r="R95" s="24"/>
      <c r="S95" s="24"/>
      <c r="T95" s="24"/>
    </row>
    <row r="96" spans="1:20" x14ac:dyDescent="0.2">
      <c r="A96">
        <f t="shared" si="10"/>
        <v>1949</v>
      </c>
      <c r="C96">
        <f t="shared" si="8"/>
        <v>71</v>
      </c>
      <c r="D96" s="22">
        <f t="shared" si="12"/>
        <v>7.7262001216894832E-2</v>
      </c>
      <c r="E96" s="11">
        <f t="shared" si="14"/>
        <v>79</v>
      </c>
      <c r="F96" s="25">
        <f t="shared" si="13"/>
        <v>5.2042801348553311E-2</v>
      </c>
      <c r="H96" s="23">
        <f t="shared" si="11"/>
        <v>12.942973055962348</v>
      </c>
      <c r="I96">
        <f t="shared" si="9"/>
        <v>1949</v>
      </c>
      <c r="J96" s="24"/>
      <c r="K96" s="24"/>
      <c r="L96" s="24"/>
      <c r="M96" s="24"/>
      <c r="N96" s="24"/>
      <c r="O96" s="24"/>
      <c r="P96" s="24"/>
      <c r="Q96" s="24"/>
      <c r="R96" s="24"/>
      <c r="S96" s="24"/>
      <c r="T96" s="24"/>
    </row>
    <row r="97" spans="1:20" x14ac:dyDescent="0.2">
      <c r="A97">
        <f t="shared" si="10"/>
        <v>1950</v>
      </c>
      <c r="C97">
        <f t="shared" si="8"/>
        <v>70</v>
      </c>
      <c r="D97" s="22">
        <f t="shared" si="12"/>
        <v>8.1355923642470018E-2</v>
      </c>
      <c r="E97" s="11">
        <f t="shared" si="14"/>
        <v>80</v>
      </c>
      <c r="F97" s="25">
        <f t="shared" si="13"/>
        <v>4.9643381993788899E-2</v>
      </c>
      <c r="H97" s="23">
        <f t="shared" si="11"/>
        <v>12.291667960093967</v>
      </c>
      <c r="I97">
        <f t="shared" si="9"/>
        <v>1950</v>
      </c>
      <c r="J97" s="24"/>
      <c r="K97" s="24"/>
      <c r="L97" s="24"/>
      <c r="M97" s="24"/>
      <c r="N97" s="24"/>
      <c r="O97" s="24"/>
      <c r="P97" s="24"/>
      <c r="Q97" s="24"/>
      <c r="R97" s="24"/>
      <c r="S97" s="24"/>
      <c r="T97" s="24"/>
    </row>
    <row r="98" spans="1:20" x14ac:dyDescent="0.2">
      <c r="A98">
        <f t="shared" si="10"/>
        <v>1951</v>
      </c>
      <c r="C98">
        <f t="shared" si="8"/>
        <v>69</v>
      </c>
      <c r="D98" s="22">
        <f t="shared" si="12"/>
        <v>8.5709849093193499E-2</v>
      </c>
      <c r="E98" s="11">
        <f t="shared" si="14"/>
        <v>81</v>
      </c>
      <c r="F98" s="25">
        <f t="shared" si="13"/>
        <v>4.7376935394141423E-2</v>
      </c>
      <c r="H98" s="23">
        <f t="shared" si="11"/>
        <v>11.667270571351564</v>
      </c>
      <c r="I98">
        <f t="shared" si="9"/>
        <v>1951</v>
      </c>
      <c r="J98" s="24"/>
      <c r="K98" s="24"/>
      <c r="L98" s="24"/>
      <c r="M98" s="24"/>
      <c r="N98" s="24"/>
      <c r="O98" s="24"/>
      <c r="P98" s="24"/>
      <c r="Q98" s="24"/>
      <c r="R98" s="24"/>
      <c r="S98" s="24"/>
      <c r="T98" s="24"/>
    </row>
    <row r="99" spans="1:20" x14ac:dyDescent="0.2">
      <c r="A99">
        <f t="shared" si="10"/>
        <v>1952</v>
      </c>
      <c r="C99">
        <f t="shared" si="8"/>
        <v>68</v>
      </c>
      <c r="D99" s="22">
        <f t="shared" si="12"/>
        <v>9.0342110898944505E-2</v>
      </c>
      <c r="E99" s="11">
        <f t="shared" si="14"/>
        <v>82</v>
      </c>
      <c r="F99" s="25">
        <f t="shared" si="13"/>
        <v>4.5235059059025466E-2</v>
      </c>
      <c r="H99" s="23">
        <f t="shared" si="11"/>
        <v>11.069035138204672</v>
      </c>
      <c r="I99">
        <f t="shared" si="9"/>
        <v>1952</v>
      </c>
      <c r="J99" s="24"/>
      <c r="K99" s="24"/>
      <c r="L99" s="24"/>
      <c r="M99" s="24"/>
      <c r="N99" s="24"/>
      <c r="O99" s="24"/>
      <c r="P99" s="24"/>
      <c r="Q99" s="24"/>
      <c r="R99" s="24"/>
      <c r="S99" s="24"/>
      <c r="T99" s="24"/>
    </row>
    <row r="100" spans="1:20" x14ac:dyDescent="0.2">
      <c r="A100">
        <f t="shared" si="10"/>
        <v>1953</v>
      </c>
      <c r="C100">
        <f t="shared" si="8"/>
        <v>67</v>
      </c>
      <c r="D100" s="22">
        <f t="shared" si="12"/>
        <v>9.5272337539568291E-2</v>
      </c>
      <c r="E100" s="11">
        <f t="shared" si="14"/>
        <v>83</v>
      </c>
      <c r="F100" s="25">
        <f t="shared" si="13"/>
        <v>4.3209928757344446E-2</v>
      </c>
      <c r="H100" s="23">
        <f t="shared" si="11"/>
        <v>10.496226143130814</v>
      </c>
      <c r="I100">
        <f t="shared" si="9"/>
        <v>1953</v>
      </c>
      <c r="J100" s="24"/>
      <c r="K100" s="24"/>
      <c r="L100" s="24"/>
      <c r="M100" s="24"/>
      <c r="N100" s="24"/>
      <c r="O100" s="24"/>
      <c r="P100" s="24"/>
      <c r="Q100" s="24"/>
      <c r="R100" s="24"/>
      <c r="S100" s="24"/>
      <c r="T100" s="24"/>
    </row>
    <row r="101" spans="1:20" x14ac:dyDescent="0.2">
      <c r="A101">
        <f t="shared" si="10"/>
        <v>1954</v>
      </c>
      <c r="C101">
        <f t="shared" si="8"/>
        <v>66</v>
      </c>
      <c r="D101" s="22">
        <f t="shared" si="12"/>
        <v>0.10052152265191697</v>
      </c>
      <c r="E101" s="11">
        <f t="shared" si="14"/>
        <v>84</v>
      </c>
      <c r="F101" s="25">
        <f t="shared" si="13"/>
        <v>4.1294257376469731E-2</v>
      </c>
      <c r="H101" s="23">
        <f t="shared" si="11"/>
        <v>9.9481183095760617</v>
      </c>
      <c r="I101">
        <f t="shared" si="9"/>
        <v>1954</v>
      </c>
      <c r="J101" s="24"/>
      <c r="K101" s="24"/>
      <c r="L101" s="24"/>
      <c r="M101" s="24"/>
      <c r="N101" s="24"/>
      <c r="O101" s="24"/>
      <c r="P101" s="24"/>
      <c r="Q101" s="24"/>
      <c r="R101" s="24"/>
      <c r="S101" s="24"/>
      <c r="T101" s="24"/>
    </row>
    <row r="102" spans="1:20" x14ac:dyDescent="0.2">
      <c r="A102">
        <f t="shared" si="10"/>
        <v>1955</v>
      </c>
      <c r="C102">
        <f t="shared" si="8"/>
        <v>65</v>
      </c>
      <c r="D102" s="22">
        <f t="shared" si="12"/>
        <v>0.10611209251099452</v>
      </c>
      <c r="E102" s="11">
        <f t="shared" si="14"/>
        <v>85</v>
      </c>
      <c r="F102" s="25">
        <f t="shared" si="13"/>
        <v>3.9481256553610802E-2</v>
      </c>
      <c r="H102" s="23">
        <f t="shared" si="11"/>
        <v>9.4239966090234972</v>
      </c>
      <c r="I102">
        <f t="shared" si="9"/>
        <v>1955</v>
      </c>
      <c r="J102" s="24"/>
      <c r="K102" s="24"/>
      <c r="L102" s="24"/>
      <c r="M102" s="24"/>
      <c r="N102" s="24"/>
      <c r="O102" s="24"/>
      <c r="P102" s="24"/>
      <c r="Q102" s="24"/>
      <c r="R102" s="24"/>
      <c r="S102" s="24"/>
      <c r="T102" s="24"/>
    </row>
    <row r="103" spans="1:20" x14ac:dyDescent="0.2">
      <c r="A103">
        <f t="shared" si="10"/>
        <v>1956</v>
      </c>
      <c r="C103">
        <f t="shared" si="8"/>
        <v>64</v>
      </c>
      <c r="D103" s="22">
        <f t="shared" si="12"/>
        <v>0.11206796899509375</v>
      </c>
      <c r="E103" s="11">
        <f t="shared" si="14"/>
        <v>86</v>
      </c>
      <c r="F103" s="25">
        <f t="shared" si="13"/>
        <v>3.7764600945122212E-2</v>
      </c>
      <c r="H103" s="23">
        <f t="shared" si="11"/>
        <v>8.9231562681731056</v>
      </c>
      <c r="I103">
        <f t="shared" si="9"/>
        <v>1956</v>
      </c>
      <c r="J103" s="24"/>
      <c r="K103" s="24"/>
      <c r="L103" s="24"/>
      <c r="M103" s="24"/>
      <c r="N103" s="24"/>
      <c r="O103" s="24"/>
      <c r="P103" s="24"/>
      <c r="Q103" s="24"/>
      <c r="R103" s="24"/>
      <c r="S103" s="24"/>
      <c r="T103" s="24"/>
    </row>
    <row r="104" spans="1:20" x14ac:dyDescent="0.2">
      <c r="A104">
        <f t="shared" si="10"/>
        <v>1957</v>
      </c>
      <c r="C104">
        <f t="shared" si="8"/>
        <v>63</v>
      </c>
      <c r="D104" s="22">
        <f t="shared" si="12"/>
        <v>0.1184146255435848</v>
      </c>
      <c r="E104" s="11">
        <f t="shared" si="14"/>
        <v>87</v>
      </c>
      <c r="F104" s="25">
        <f t="shared" si="13"/>
        <v>3.6138394993484119E-2</v>
      </c>
      <c r="H104" s="23">
        <f t="shared" si="11"/>
        <v>8.4449027762362903</v>
      </c>
      <c r="I104">
        <f t="shared" si="9"/>
        <v>1957</v>
      </c>
      <c r="J104" s="24"/>
      <c r="K104" s="24"/>
      <c r="L104" s="24"/>
      <c r="M104" s="24"/>
      <c r="N104" s="24"/>
      <c r="O104" s="24"/>
      <c r="P104" s="24"/>
      <c r="Q104" s="24"/>
      <c r="R104" s="24"/>
      <c r="S104" s="24"/>
      <c r="T104" s="24"/>
    </row>
    <row r="105" spans="1:20" x14ac:dyDescent="0.2">
      <c r="A105">
        <f t="shared" si="10"/>
        <v>1958</v>
      </c>
      <c r="C105">
        <f t="shared" si="8"/>
        <v>62</v>
      </c>
      <c r="D105" s="22">
        <f t="shared" si="12"/>
        <v>0.12517913302381528</v>
      </c>
      <c r="E105" s="11">
        <f t="shared" si="14"/>
        <v>88</v>
      </c>
      <c r="F105" s="25">
        <f t="shared" si="13"/>
        <v>3.4597142049434634E-2</v>
      </c>
      <c r="H105" s="23">
        <f t="shared" si="11"/>
        <v>7.988551892348946</v>
      </c>
      <c r="I105">
        <f t="shared" si="9"/>
        <v>1958</v>
      </c>
      <c r="J105" s="24"/>
      <c r="K105" s="24"/>
      <c r="L105" s="24"/>
      <c r="M105" s="24"/>
      <c r="N105" s="24"/>
      <c r="O105" s="24"/>
      <c r="P105" s="24"/>
      <c r="Q105" s="24"/>
      <c r="R105" s="24"/>
      <c r="S105" s="24"/>
      <c r="T105" s="24"/>
    </row>
    <row r="106" spans="1:20" x14ac:dyDescent="0.2">
      <c r="A106">
        <f t="shared" si="10"/>
        <v>1959</v>
      </c>
      <c r="C106">
        <f t="shared" si="8"/>
        <v>61</v>
      </c>
      <c r="D106" s="22">
        <f t="shared" si="12"/>
        <v>0.1323901917308119</v>
      </c>
      <c r="E106" s="11">
        <f t="shared" si="14"/>
        <v>89</v>
      </c>
      <c r="F106" s="25">
        <f t="shared" si="13"/>
        <v>3.3135715707187624E-2</v>
      </c>
      <c r="H106" s="23">
        <f t="shared" si="11"/>
        <v>7.55342965310673</v>
      </c>
      <c r="I106">
        <f t="shared" si="9"/>
        <v>1959</v>
      </c>
      <c r="J106" s="24"/>
      <c r="K106" s="24"/>
      <c r="L106" s="24"/>
      <c r="M106" s="24"/>
      <c r="N106" s="24"/>
      <c r="O106" s="24"/>
      <c r="P106" s="24"/>
      <c r="Q106" s="24"/>
      <c r="R106" s="24"/>
      <c r="S106" s="24"/>
      <c r="T106" s="24"/>
    </row>
    <row r="107" spans="1:20" x14ac:dyDescent="0.2">
      <c r="A107">
        <f t="shared" si="10"/>
        <v>1960</v>
      </c>
      <c r="C107">
        <f t="shared" si="8"/>
        <v>60</v>
      </c>
      <c r="D107" s="22">
        <f t="shared" si="12"/>
        <v>0.1400781449420255</v>
      </c>
      <c r="E107" s="11">
        <f t="shared" si="14"/>
        <v>90</v>
      </c>
      <c r="F107" s="25">
        <f t="shared" si="13"/>
        <v>3.1749333213163658E-2</v>
      </c>
      <c r="H107" s="23">
        <f t="shared" si="11"/>
        <v>7.1388723802265694</v>
      </c>
      <c r="I107">
        <f t="shared" si="9"/>
        <v>1960</v>
      </c>
      <c r="J107" s="24"/>
      <c r="K107" s="24"/>
      <c r="L107" s="24"/>
      <c r="M107" s="24"/>
      <c r="N107" s="24"/>
      <c r="O107" s="24"/>
      <c r="P107" s="24"/>
      <c r="Q107" s="24"/>
      <c r="R107" s="24"/>
      <c r="S107" s="24"/>
      <c r="T107" s="24"/>
    </row>
    <row r="108" spans="1:20" x14ac:dyDescent="0.2">
      <c r="A108">
        <f t="shared" si="10"/>
        <v>1961</v>
      </c>
      <c r="C108">
        <f t="shared" si="8"/>
        <v>59</v>
      </c>
      <c r="D108" s="22">
        <f t="shared" si="12"/>
        <v>0.14827496853406261</v>
      </c>
      <c r="E108" s="11">
        <f t="shared" si="14"/>
        <v>91</v>
      </c>
      <c r="F108" s="25">
        <f t="shared" si="13"/>
        <v>3.0433530812653702E-2</v>
      </c>
      <c r="H108" s="23">
        <f t="shared" si="11"/>
        <v>6.7442266883386592</v>
      </c>
      <c r="I108">
        <f t="shared" si="9"/>
        <v>1961</v>
      </c>
      <c r="J108" s="24"/>
      <c r="K108" s="24"/>
      <c r="L108" s="24"/>
      <c r="M108" s="24"/>
      <c r="N108" s="24"/>
      <c r="O108" s="24"/>
      <c r="P108" s="24"/>
      <c r="Q108" s="24"/>
      <c r="R108" s="24"/>
      <c r="S108" s="24"/>
      <c r="T108" s="24"/>
    </row>
    <row r="109" spans="1:20" x14ac:dyDescent="0.2">
      <c r="A109">
        <f t="shared" si="10"/>
        <v>1962</v>
      </c>
      <c r="C109">
        <f t="shared" si="8"/>
        <v>58</v>
      </c>
      <c r="D109" s="22">
        <f t="shared" si="12"/>
        <v>0.15701423013885152</v>
      </c>
      <c r="E109" s="11">
        <f t="shared" si="14"/>
        <v>92</v>
      </c>
      <c r="F109" s="25">
        <f t="shared" si="13"/>
        <v>2.9184140903892524E-2</v>
      </c>
      <c r="H109" s="23">
        <f t="shared" si="11"/>
        <v>6.3688494929133208</v>
      </c>
      <c r="I109">
        <f t="shared" si="9"/>
        <v>1962</v>
      </c>
      <c r="J109" s="24"/>
      <c r="K109" s="24"/>
      <c r="L109" s="24"/>
      <c r="M109" s="24"/>
      <c r="N109" s="24"/>
      <c r="O109" s="24"/>
      <c r="P109" s="24"/>
      <c r="Q109" s="24"/>
      <c r="R109" s="24"/>
      <c r="S109" s="24"/>
      <c r="T109" s="24"/>
    </row>
    <row r="110" spans="1:20" x14ac:dyDescent="0.2">
      <c r="A110">
        <f t="shared" si="10"/>
        <v>1963</v>
      </c>
      <c r="C110">
        <f t="shared" si="8"/>
        <v>57</v>
      </c>
      <c r="D110" s="22">
        <f t="shared" si="12"/>
        <v>0.16633101018005506</v>
      </c>
      <c r="E110" s="11">
        <f t="shared" si="14"/>
        <v>93</v>
      </c>
      <c r="F110" s="25">
        <f t="shared" si="13"/>
        <v>2.7997270874799227E-2</v>
      </c>
      <c r="H110" s="23">
        <f t="shared" si="11"/>
        <v>6.0121080183273676</v>
      </c>
      <c r="I110">
        <f t="shared" si="9"/>
        <v>1963</v>
      </c>
      <c r="J110" s="24"/>
      <c r="K110" s="24"/>
      <c r="L110" s="24"/>
      <c r="M110" s="24"/>
      <c r="N110" s="24"/>
      <c r="O110" s="24"/>
      <c r="P110" s="24"/>
      <c r="Q110" s="24"/>
      <c r="R110" s="24"/>
      <c r="S110" s="24"/>
      <c r="T110" s="24"/>
    </row>
    <row r="111" spans="1:20" x14ac:dyDescent="0.2">
      <c r="A111">
        <f t="shared" si="10"/>
        <v>1964</v>
      </c>
      <c r="C111">
        <f t="shared" si="8"/>
        <v>56</v>
      </c>
      <c r="D111" s="22">
        <f t="shared" si="12"/>
        <v>0.1762617759045905</v>
      </c>
      <c r="E111" s="11">
        <f t="shared" si="14"/>
        <v>94</v>
      </c>
      <c r="F111" s="25">
        <f t="shared" si="13"/>
        <v>2.6869283503876122E-2</v>
      </c>
      <c r="H111" s="23">
        <f t="shared" si="11"/>
        <v>5.6733798060748821</v>
      </c>
      <c r="I111">
        <f t="shared" si="9"/>
        <v>1964</v>
      </c>
      <c r="J111" s="24"/>
      <c r="K111" s="24"/>
      <c r="L111" s="24"/>
      <c r="M111" s="24"/>
      <c r="N111" s="24"/>
      <c r="O111" s="24"/>
      <c r="P111" s="24"/>
      <c r="Q111" s="24"/>
      <c r="R111" s="24"/>
      <c r="S111" s="24"/>
      <c r="T111" s="24"/>
    </row>
    <row r="112" spans="1:20" x14ac:dyDescent="0.2">
      <c r="A112">
        <f t="shared" si="10"/>
        <v>1965</v>
      </c>
      <c r="C112">
        <f t="shared" si="8"/>
        <v>55</v>
      </c>
      <c r="D112" s="22">
        <f t="shared" si="12"/>
        <v>0.18684419824168677</v>
      </c>
      <c r="E112" s="11">
        <f t="shared" si="14"/>
        <v>95</v>
      </c>
      <c r="F112" s="25">
        <f t="shared" si="13"/>
        <v>2.5796778813236783E-2</v>
      </c>
      <c r="H112" s="23">
        <f t="shared" si="11"/>
        <v>5.3520527231275317</v>
      </c>
      <c r="I112">
        <f t="shared" si="9"/>
        <v>1965</v>
      </c>
      <c r="J112" s="24"/>
      <c r="K112" s="24"/>
      <c r="L112" s="24"/>
      <c r="M112" s="24"/>
      <c r="N112" s="24"/>
      <c r="O112" s="24"/>
      <c r="P112" s="24"/>
      <c r="Q112" s="24"/>
      <c r="R112" s="24"/>
      <c r="S112" s="24"/>
      <c r="T112" s="24"/>
    </row>
    <row r="113" spans="1:26" x14ac:dyDescent="0.2">
      <c r="A113">
        <f t="shared" si="10"/>
        <v>1966</v>
      </c>
      <c r="C113">
        <f t="shared" si="8"/>
        <v>54</v>
      </c>
      <c r="D113" s="22">
        <f t="shared" si="12"/>
        <v>0.19811690003603366</v>
      </c>
      <c r="E113" s="11">
        <f t="shared" si="14"/>
        <v>96</v>
      </c>
      <c r="F113" s="25">
        <f t="shared" si="13"/>
        <v>2.4776577268295394E-2</v>
      </c>
      <c r="H113" s="23">
        <f t="shared" si="11"/>
        <v>5.0475249704498664</v>
      </c>
      <c r="I113">
        <f t="shared" si="9"/>
        <v>1966</v>
      </c>
      <c r="J113" s="24"/>
      <c r="K113" s="24"/>
      <c r="L113" s="24"/>
      <c r="M113" s="24"/>
      <c r="N113" s="24"/>
      <c r="O113" s="24"/>
      <c r="P113" s="24"/>
      <c r="Q113" s="24"/>
      <c r="R113" s="24"/>
      <c r="S113" s="24"/>
      <c r="T113" s="24"/>
    </row>
    <row r="114" spans="1:26" x14ac:dyDescent="0.2">
      <c r="A114">
        <f t="shared" si="10"/>
        <v>1967</v>
      </c>
      <c r="C114">
        <f t="shared" si="8"/>
        <v>53</v>
      </c>
      <c r="D114" s="22">
        <f t="shared" si="12"/>
        <v>0.21011912299160712</v>
      </c>
      <c r="E114" s="11">
        <f t="shared" si="14"/>
        <v>97</v>
      </c>
      <c r="F114" s="25">
        <f t="shared" si="13"/>
        <v>2.3805704225172378E-2</v>
      </c>
      <c r="H114" s="23">
        <f t="shared" si="11"/>
        <v>4.7592050916752751</v>
      </c>
      <c r="I114">
        <f t="shared" si="9"/>
        <v>1967</v>
      </c>
      <c r="J114" s="24"/>
      <c r="K114" s="24"/>
      <c r="L114" s="24"/>
      <c r="M114" s="24"/>
      <c r="N114" s="24"/>
      <c r="O114" s="24"/>
      <c r="P114" s="24"/>
      <c r="Q114" s="24"/>
      <c r="R114" s="24"/>
      <c r="S114" s="24"/>
      <c r="T114" s="24"/>
    </row>
    <row r="115" spans="1:26" x14ac:dyDescent="0.2">
      <c r="A115">
        <f t="shared" si="10"/>
        <v>1968</v>
      </c>
      <c r="C115">
        <f t="shared" si="8"/>
        <v>52</v>
      </c>
      <c r="D115" s="22">
        <f t="shared" si="12"/>
        <v>0.22289029964111612</v>
      </c>
      <c r="E115" s="11">
        <f t="shared" si="14"/>
        <v>98</v>
      </c>
      <c r="F115" s="25">
        <f t="shared" si="13"/>
        <v>2.2881375533263474E-2</v>
      </c>
      <c r="H115" s="23">
        <f t="shared" si="11"/>
        <v>4.4865119819486843</v>
      </c>
      <c r="I115">
        <f t="shared" si="9"/>
        <v>1968</v>
      </c>
      <c r="J115" s="24"/>
      <c r="K115" s="24"/>
      <c r="L115" s="24"/>
      <c r="M115" s="24"/>
      <c r="N115" s="24"/>
      <c r="O115" s="24"/>
      <c r="P115" s="24"/>
      <c r="Q115" s="24"/>
      <c r="R115" s="24"/>
      <c r="S115" s="24"/>
      <c r="T115" s="24"/>
    </row>
    <row r="116" spans="1:26" x14ac:dyDescent="0.2">
      <c r="A116">
        <f t="shared" si="10"/>
        <v>1969</v>
      </c>
      <c r="C116">
        <f t="shared" si="8"/>
        <v>51</v>
      </c>
      <c r="D116" s="22">
        <f t="shared" si="12"/>
        <v>0.23646951597528673</v>
      </c>
      <c r="E116" s="11">
        <f t="shared" si="14"/>
        <v>99</v>
      </c>
      <c r="F116" s="25">
        <f t="shared" si="13"/>
        <v>2.2000984206614064E-2</v>
      </c>
      <c r="H116" s="23">
        <f t="shared" si="11"/>
        <v>4.228874896942358</v>
      </c>
      <c r="I116">
        <f t="shared" si="9"/>
        <v>1969</v>
      </c>
      <c r="J116" s="24"/>
      <c r="K116" s="24"/>
      <c r="L116" s="24"/>
      <c r="M116" s="24"/>
      <c r="N116" s="24"/>
      <c r="O116" s="24"/>
      <c r="P116" s="24"/>
      <c r="Q116" s="24"/>
      <c r="R116" s="24"/>
      <c r="S116" s="24"/>
      <c r="T116" s="24"/>
    </row>
    <row r="117" spans="1:26" x14ac:dyDescent="0.2">
      <c r="A117">
        <f t="shared" si="10"/>
        <v>1970</v>
      </c>
      <c r="C117">
        <f t="shared" si="8"/>
        <v>50</v>
      </c>
      <c r="D117" s="22">
        <f t="shared" si="12"/>
        <v>0.25089485022545271</v>
      </c>
      <c r="E117" s="11">
        <f t="shared" si="14"/>
        <v>100</v>
      </c>
      <c r="F117" s="25">
        <f t="shared" si="13"/>
        <v>2.1162088083691469E-2</v>
      </c>
      <c r="H117" s="23">
        <f t="shared" si="11"/>
        <v>3.985733462051555</v>
      </c>
      <c r="I117">
        <f t="shared" si="9"/>
        <v>1970</v>
      </c>
      <c r="J117" s="24"/>
      <c r="K117" s="24"/>
      <c r="L117" s="24"/>
      <c r="M117" s="24"/>
      <c r="N117" s="24"/>
      <c r="O117" s="24"/>
      <c r="P117" s="24"/>
      <c r="Q117" s="24"/>
      <c r="R117" s="24"/>
      <c r="S117" s="24"/>
      <c r="T117" s="24"/>
    </row>
    <row r="118" spans="1:26" x14ac:dyDescent="0.2">
      <c r="A118">
        <f t="shared" si="10"/>
        <v>1971</v>
      </c>
      <c r="C118">
        <f t="shared" si="8"/>
        <v>49</v>
      </c>
      <c r="D118" s="22">
        <f t="shared" si="12"/>
        <v>0.26620257394221086</v>
      </c>
      <c r="E118" s="11">
        <f t="shared" si="14"/>
        <v>101</v>
      </c>
      <c r="F118" s="25">
        <f t="shared" si="13"/>
        <v>2.0362398400824711E-2</v>
      </c>
      <c r="H118" s="23">
        <f t="shared" si="11"/>
        <v>3.7565376817772131</v>
      </c>
      <c r="I118">
        <f t="shared" si="9"/>
        <v>1971</v>
      </c>
      <c r="J118" s="24"/>
      <c r="K118" s="24"/>
      <c r="L118" s="24"/>
      <c r="M118" s="24"/>
      <c r="N118" s="24"/>
      <c r="O118" s="24"/>
      <c r="P118" s="24"/>
      <c r="Q118" s="24"/>
      <c r="R118" s="24"/>
      <c r="S118" s="24"/>
      <c r="T118" s="24"/>
    </row>
    <row r="119" spans="1:26" x14ac:dyDescent="0.2">
      <c r="A119">
        <f t="shared" si="10"/>
        <v>1972</v>
      </c>
      <c r="C119">
        <f t="shared" si="8"/>
        <v>48</v>
      </c>
      <c r="D119" s="22">
        <f t="shared" si="12"/>
        <v>0.28242620325369033</v>
      </c>
      <c r="E119" s="11">
        <f t="shared" si="14"/>
        <v>102</v>
      </c>
      <c r="F119" s="25">
        <f t="shared" si="13"/>
        <v>1.9599769209962554E-2</v>
      </c>
      <c r="H119" s="23">
        <f t="shared" si="11"/>
        <v>3.5407479493032255</v>
      </c>
      <c r="I119">
        <f t="shared" si="9"/>
        <v>1972</v>
      </c>
      <c r="J119" s="24"/>
      <c r="K119" s="24"/>
      <c r="L119" s="24"/>
      <c r="M119" s="24"/>
      <c r="N119" s="24"/>
      <c r="O119" s="24"/>
      <c r="P119" s="24"/>
      <c r="Q119" s="24"/>
      <c r="R119" s="24"/>
      <c r="S119" s="24"/>
      <c r="T119" s="24"/>
    </row>
    <row r="120" spans="1:26" x14ac:dyDescent="0.2">
      <c r="A120">
        <f t="shared" si="10"/>
        <v>1973</v>
      </c>
      <c r="C120">
        <f t="shared" si="8"/>
        <v>47</v>
      </c>
      <c r="D120" s="22">
        <f t="shared" si="12"/>
        <v>0.29959539136591834</v>
      </c>
      <c r="E120" s="11">
        <f t="shared" si="14"/>
        <v>103</v>
      </c>
      <c r="F120" s="25">
        <f t="shared" si="13"/>
        <v>1.8872187576480005E-2</v>
      </c>
      <c r="H120" s="23">
        <f t="shared" si="11"/>
        <v>3.3378350562763663</v>
      </c>
      <c r="I120">
        <f t="shared" si="9"/>
        <v>1973</v>
      </c>
      <c r="J120" s="24"/>
      <c r="K120" s="24"/>
      <c r="L120" s="24"/>
      <c r="M120" s="24"/>
      <c r="N120" s="24"/>
      <c r="O120" s="24"/>
      <c r="P120" s="24"/>
      <c r="Q120" s="24"/>
      <c r="R120" s="24"/>
      <c r="S120" s="24"/>
      <c r="T120" s="24"/>
    </row>
    <row r="121" spans="1:26" x14ac:dyDescent="0.2">
      <c r="A121">
        <f t="shared" si="10"/>
        <v>1974</v>
      </c>
      <c r="C121">
        <f t="shared" si="8"/>
        <v>46</v>
      </c>
      <c r="D121" s="22">
        <f t="shared" si="12"/>
        <v>0.31773465836030484</v>
      </c>
      <c r="E121" s="11">
        <f t="shared" si="14"/>
        <v>104</v>
      </c>
      <c r="F121" s="25">
        <f t="shared" si="13"/>
        <v>1.8177764497535616E-2</v>
      </c>
      <c r="H121" s="23">
        <f t="shared" si="11"/>
        <v>3.1472802027974538</v>
      </c>
      <c r="I121">
        <f t="shared" si="9"/>
        <v>1974</v>
      </c>
      <c r="J121" s="24"/>
      <c r="K121" s="24"/>
      <c r="L121" s="24"/>
      <c r="M121" s="24"/>
      <c r="N121" s="24"/>
      <c r="O121" s="24"/>
      <c r="P121" s="24"/>
      <c r="Q121" s="24"/>
      <c r="R121" s="24"/>
      <c r="S121" s="24"/>
      <c r="T121" s="24"/>
    </row>
    <row r="122" spans="1:26" x14ac:dyDescent="0.2">
      <c r="A122">
        <f t="shared" si="10"/>
        <v>1975</v>
      </c>
      <c r="C122">
        <f t="shared" si="8"/>
        <v>45</v>
      </c>
      <c r="D122" s="22">
        <f t="shared" si="12"/>
        <v>0.33686196152322073</v>
      </c>
      <c r="E122" s="11">
        <f t="shared" si="14"/>
        <v>105</v>
      </c>
      <c r="F122" s="25">
        <f t="shared" si="13"/>
        <v>1.7514726485952075E-2</v>
      </c>
      <c r="H122" s="23">
        <f t="shared" si="11"/>
        <v>2.9685750076328148</v>
      </c>
      <c r="I122">
        <f t="shared" si="9"/>
        <v>1975</v>
      </c>
      <c r="J122" s="24"/>
      <c r="K122" s="24"/>
      <c r="L122" s="24"/>
      <c r="M122" s="24"/>
      <c r="N122" s="24"/>
      <c r="O122" s="24"/>
      <c r="P122" s="24"/>
      <c r="Q122" s="24"/>
      <c r="R122" s="24"/>
      <c r="S122" s="24"/>
      <c r="T122" s="24"/>
    </row>
    <row r="123" spans="1:26" x14ac:dyDescent="0.2">
      <c r="A123">
        <f t="shared" si="10"/>
        <v>1976</v>
      </c>
      <c r="C123">
        <f t="shared" si="8"/>
        <v>44</v>
      </c>
      <c r="D123" s="22">
        <f t="shared" si="12"/>
        <v>0.35698711913360753</v>
      </c>
      <c r="E123" s="11">
        <f t="shared" si="14"/>
        <v>106</v>
      </c>
      <c r="F123" s="25">
        <f t="shared" si="13"/>
        <v>1.6881407768766329E-2</v>
      </c>
      <c r="H123" s="23">
        <f t="shared" si="11"/>
        <v>2.8012215186557912</v>
      </c>
      <c r="I123">
        <f t="shared" si="9"/>
        <v>1976</v>
      </c>
      <c r="J123" s="24"/>
      <c r="K123" s="24"/>
      <c r="L123" s="24"/>
      <c r="M123" s="24"/>
      <c r="N123" s="24"/>
      <c r="O123" s="24"/>
      <c r="P123" s="24"/>
      <c r="Q123" s="24"/>
      <c r="R123" s="24"/>
      <c r="S123" s="24"/>
      <c r="T123" s="24"/>
    </row>
    <row r="124" spans="1:26" x14ac:dyDescent="0.2">
      <c r="A124">
        <f t="shared" si="10"/>
        <v>1977</v>
      </c>
      <c r="C124">
        <f t="shared" si="8"/>
        <v>43</v>
      </c>
      <c r="D124" s="22">
        <f t="shared" si="12"/>
        <v>0.37811011304039926</v>
      </c>
      <c r="E124" s="11">
        <f t="shared" si="14"/>
        <v>107</v>
      </c>
      <c r="F124" s="25">
        <f t="shared" si="13"/>
        <v>1.6276243053483817E-2</v>
      </c>
      <c r="H124" s="23">
        <f t="shared" si="11"/>
        <v>2.6447322235286386</v>
      </c>
      <c r="I124">
        <f t="shared" si="9"/>
        <v>1977</v>
      </c>
      <c r="J124" s="24"/>
      <c r="K124" s="24"/>
      <c r="L124" s="24"/>
      <c r="M124" s="24"/>
      <c r="N124" s="24"/>
      <c r="O124" s="24"/>
      <c r="P124" s="24"/>
      <c r="Q124" s="24"/>
      <c r="R124" s="24"/>
      <c r="S124" s="24"/>
      <c r="T124" s="24"/>
    </row>
    <row r="125" spans="1:26" x14ac:dyDescent="0.2">
      <c r="A125">
        <f t="shared" si="10"/>
        <v>1978</v>
      </c>
      <c r="C125">
        <f t="shared" si="8"/>
        <v>42</v>
      </c>
      <c r="D125" s="22">
        <f t="shared" si="12"/>
        <v>0.40021931047507942</v>
      </c>
      <c r="E125" s="11">
        <f t="shared" si="14"/>
        <v>108</v>
      </c>
      <c r="F125" s="25">
        <f t="shared" si="13"/>
        <v>1.569776081868534E-2</v>
      </c>
      <c r="H125" s="23">
        <f t="shared" si="11"/>
        <v>2.4986300606358856</v>
      </c>
      <c r="I125">
        <f t="shared" si="9"/>
        <v>1978</v>
      </c>
      <c r="J125" s="24"/>
      <c r="K125" s="24"/>
      <c r="L125" s="24"/>
      <c r="M125" s="24"/>
      <c r="N125" s="24"/>
      <c r="O125" s="24"/>
      <c r="P125" s="24"/>
      <c r="Q125" s="24"/>
      <c r="R125" s="24"/>
      <c r="S125" s="24"/>
      <c r="T125" s="24"/>
      <c r="Z125" t="s">
        <v>84</v>
      </c>
    </row>
    <row r="126" spans="1:26" x14ac:dyDescent="0.2">
      <c r="A126">
        <f t="shared" si="10"/>
        <v>1979</v>
      </c>
      <c r="C126">
        <f t="shared" si="8"/>
        <v>41</v>
      </c>
      <c r="D126" s="22">
        <f t="shared" si="12"/>
        <v>0.42328966303872301</v>
      </c>
      <c r="E126" s="11">
        <f t="shared" si="14"/>
        <v>109</v>
      </c>
      <c r="F126" s="25">
        <f t="shared" si="13"/>
        <v>1.5144577088988965E-2</v>
      </c>
      <c r="H126" s="23">
        <f t="shared" si="11"/>
        <v>2.3624484302809892</v>
      </c>
      <c r="I126">
        <f t="shared" si="9"/>
        <v>1979</v>
      </c>
      <c r="J126">
        <f>VLOOKUP($I126-J$168,$C$17:$D$167,2,FALSE)</f>
        <v>0.26620257394221086</v>
      </c>
      <c r="K126">
        <f>VLOOKUP($I126-K$168,$C$17:$D$167,2,FALSE)</f>
        <v>0.68912590135052909</v>
      </c>
      <c r="L126">
        <f t="shared" ref="L126:N127" si="15">VLOOKUP($I126-L$168,$C$17:$D$167,2,FALSE)</f>
        <v>0.85910192848938727</v>
      </c>
      <c r="M126">
        <f t="shared" si="15"/>
        <v>0.98089913773637061</v>
      </c>
      <c r="N126">
        <f t="shared" si="15"/>
        <v>0.99986245855933187</v>
      </c>
      <c r="O126">
        <f>IF(I126&lt;O$168,1,VLOOKUP($I126-O$168,$C$17:$D$167,2,FALSE))</f>
        <v>1</v>
      </c>
      <c r="P126">
        <f>IF(J126&lt;P$168,1,VLOOKUP($I126-P$168,$C$17:$D$167,2,FALSE))</f>
        <v>1</v>
      </c>
      <c r="Q126" s="24"/>
      <c r="R126" s="24">
        <f t="shared" ref="R126:X141" si="16">R$16*J126/J$146</f>
        <v>116.51034929380647</v>
      </c>
      <c r="S126" s="24">
        <f t="shared" si="16"/>
        <v>47.389151382450642</v>
      </c>
      <c r="T126" s="24">
        <f t="shared" si="16"/>
        <v>246.44672135890366</v>
      </c>
      <c r="U126" s="24">
        <f t="shared" si="16"/>
        <v>973.63205464985117</v>
      </c>
      <c r="V126" s="24">
        <f t="shared" si="16"/>
        <v>2448.2652696256546</v>
      </c>
      <c r="W126" s="24">
        <f t="shared" si="16"/>
        <v>1547.2306552902548</v>
      </c>
      <c r="X126" s="24">
        <f t="shared" si="16"/>
        <v>2400.7164123998868</v>
      </c>
      <c r="Y126" s="24">
        <f>SUM(R126:X126)</f>
        <v>7780.1906140008086</v>
      </c>
    </row>
    <row r="127" spans="1:26" x14ac:dyDescent="0.2">
      <c r="A127">
        <f t="shared" si="10"/>
        <v>1980</v>
      </c>
      <c r="C127">
        <f t="shared" si="8"/>
        <v>40</v>
      </c>
      <c r="D127" s="22">
        <f t="shared" si="12"/>
        <v>0.44728095991378569</v>
      </c>
      <c r="E127" s="11">
        <f t="shared" si="14"/>
        <v>110</v>
      </c>
      <c r="F127" s="25">
        <f t="shared" si="13"/>
        <v>1.4615389657476137E-2</v>
      </c>
      <c r="H127" s="23">
        <f t="shared" si="11"/>
        <v>2.2357312061589925</v>
      </c>
      <c r="I127">
        <f t="shared" si="9"/>
        <v>1980</v>
      </c>
      <c r="J127">
        <f>VLOOKUP($I127-J$168,$C$17:$D$167,2,FALSE)</f>
        <v>0.25089485022545271</v>
      </c>
      <c r="K127">
        <f>VLOOKUP($I127-K$168,$C$17:$D$167,2,FALSE)</f>
        <v>0.66161951969955413</v>
      </c>
      <c r="L127">
        <f t="shared" si="15"/>
        <v>0.83841256566169076</v>
      </c>
      <c r="M127">
        <f t="shared" si="15"/>
        <v>0.9750588219055305</v>
      </c>
      <c r="N127">
        <f t="shared" si="15"/>
        <v>0.99966774157204075</v>
      </c>
      <c r="O127">
        <f>IF(I127&lt;O$168,1,VLOOKUP($I127-O$168,$C$17:$D$167,2,FALSE))</f>
        <v>1</v>
      </c>
      <c r="P127">
        <f>IF(J127&lt;P$168,1,VLOOKUP($I127-P$168,$C$17:$D$167,2,FALSE))</f>
        <v>1</v>
      </c>
      <c r="Q127" s="24"/>
      <c r="R127" s="24">
        <f t="shared" ref="R127:R146" si="17">R$16*J127/J$146</f>
        <v>109.81053339525791</v>
      </c>
      <c r="S127" s="24">
        <f t="shared" si="16"/>
        <v>45.497618817084948</v>
      </c>
      <c r="T127" s="24">
        <f t="shared" si="16"/>
        <v>240.51165653504023</v>
      </c>
      <c r="U127" s="24">
        <f t="shared" si="16"/>
        <v>967.8350073455714</v>
      </c>
      <c r="V127" s="24">
        <f t="shared" si="16"/>
        <v>2447.7884852106481</v>
      </c>
      <c r="W127" s="24">
        <f t="shared" si="16"/>
        <v>1547.2306552902548</v>
      </c>
      <c r="X127" s="24">
        <f t="shared" si="16"/>
        <v>2400.7164123998868</v>
      </c>
      <c r="Y127" s="24">
        <f>SUM(R127:X127)</f>
        <v>7759.3903689937433</v>
      </c>
      <c r="Z127" s="24">
        <f>Y127-Y126</f>
        <v>-20.800245007065314</v>
      </c>
    </row>
    <row r="128" spans="1:26" x14ac:dyDescent="0.2">
      <c r="A128">
        <f t="shared" si="10"/>
        <v>1981</v>
      </c>
      <c r="C128">
        <f t="shared" si="8"/>
        <v>39</v>
      </c>
      <c r="D128" s="22">
        <f t="shared" si="12"/>
        <v>0.47213623177465569</v>
      </c>
      <c r="E128" s="11">
        <f t="shared" si="14"/>
        <v>111</v>
      </c>
      <c r="F128" s="25">
        <f t="shared" si="13"/>
        <v>1.4108972721565801E-2</v>
      </c>
      <c r="H128" s="23">
        <f t="shared" si="11"/>
        <v>2.1180327471188161</v>
      </c>
      <c r="I128">
        <f t="shared" si="9"/>
        <v>1981</v>
      </c>
      <c r="J128">
        <f t="shared" ref="J128:P147" si="18">VLOOKUP($I128-J$168,$C$17:$D$167,2,FALSE)</f>
        <v>0.23646951597528673</v>
      </c>
      <c r="K128">
        <f t="shared" si="18"/>
        <v>0.63387247361227783</v>
      </c>
      <c r="L128">
        <f t="shared" si="18"/>
        <v>0.81628944326341157</v>
      </c>
      <c r="M128">
        <f t="shared" si="18"/>
        <v>0.96804126115320344</v>
      </c>
      <c r="N128">
        <f t="shared" si="18"/>
        <v>0.99931709355148246</v>
      </c>
      <c r="O128">
        <f t="shared" ref="O128:P146" si="19">IF(I128&lt;O$168,1,VLOOKUP($I128-O$168,$C$17:$D$167,2,FALSE))</f>
        <v>1</v>
      </c>
      <c r="P128">
        <f t="shared" si="19"/>
        <v>1</v>
      </c>
      <c r="Q128" s="24"/>
      <c r="R128" s="24">
        <f t="shared" si="17"/>
        <v>103.49691776308295</v>
      </c>
      <c r="S128" s="24">
        <f t="shared" si="16"/>
        <v>43.589536469768078</v>
      </c>
      <c r="T128" s="24">
        <f t="shared" si="16"/>
        <v>234.16529552655717</v>
      </c>
      <c r="U128" s="24">
        <f t="shared" si="16"/>
        <v>960.86943684901075</v>
      </c>
      <c r="V128" s="24">
        <f t="shared" si="16"/>
        <v>2446.9298877473202</v>
      </c>
      <c r="W128" s="24">
        <f t="shared" si="16"/>
        <v>1547.2306552902548</v>
      </c>
      <c r="X128" s="24">
        <f t="shared" si="16"/>
        <v>2400.7164123998868</v>
      </c>
      <c r="Y128" s="24">
        <f t="shared" ref="Y128:Y145" si="20">SUM(R128:X128)</f>
        <v>7736.9981420458807</v>
      </c>
      <c r="Z128" s="24">
        <f t="shared" ref="Z128:Z156" si="21">Y128-Y127</f>
        <v>-22.392226947862582</v>
      </c>
    </row>
    <row r="129" spans="1:26" x14ac:dyDescent="0.2">
      <c r="A129">
        <f t="shared" si="10"/>
        <v>1982</v>
      </c>
      <c r="C129">
        <f t="shared" si="8"/>
        <v>38</v>
      </c>
      <c r="D129" s="22">
        <f t="shared" si="12"/>
        <v>0.49778041970036685</v>
      </c>
      <c r="E129" s="11">
        <f t="shared" si="14"/>
        <v>112</v>
      </c>
      <c r="F129" s="25">
        <f t="shared" si="13"/>
        <v>1.3624171900977406E-2</v>
      </c>
      <c r="H129" s="23">
        <f t="shared" si="11"/>
        <v>2.0089179092298135</v>
      </c>
      <c r="I129">
        <f t="shared" si="9"/>
        <v>1982</v>
      </c>
      <c r="J129">
        <f t="shared" si="18"/>
        <v>0.22289029964111612</v>
      </c>
      <c r="K129">
        <f t="shared" si="18"/>
        <v>0.60607530007065136</v>
      </c>
      <c r="L129">
        <f t="shared" si="18"/>
        <v>0.79285211743262995</v>
      </c>
      <c r="M129">
        <f t="shared" si="18"/>
        <v>0.95973419662039294</v>
      </c>
      <c r="N129">
        <f t="shared" si="18"/>
        <v>0.99874460083359562</v>
      </c>
      <c r="O129">
        <f t="shared" si="19"/>
        <v>1</v>
      </c>
      <c r="P129">
        <f t="shared" si="19"/>
        <v>1</v>
      </c>
      <c r="Q129" s="24"/>
      <c r="R129" s="24">
        <f t="shared" si="17"/>
        <v>97.553627227605872</v>
      </c>
      <c r="S129" s="24">
        <f t="shared" si="16"/>
        <v>41.678007005577555</v>
      </c>
      <c r="T129" s="24">
        <f t="shared" si="16"/>
        <v>227.44193486716156</v>
      </c>
      <c r="U129" s="24">
        <f t="shared" si="16"/>
        <v>952.62391598143813</v>
      </c>
      <c r="V129" s="24">
        <f t="shared" si="16"/>
        <v>2445.5280809024716</v>
      </c>
      <c r="W129" s="24">
        <f t="shared" si="16"/>
        <v>1547.2306552902548</v>
      </c>
      <c r="X129" s="24">
        <f t="shared" si="16"/>
        <v>2400.7164123998868</v>
      </c>
      <c r="Y129" s="24">
        <f t="shared" si="20"/>
        <v>7712.7726336743963</v>
      </c>
      <c r="Z129" s="24">
        <f t="shared" si="21"/>
        <v>-24.225508371484466</v>
      </c>
    </row>
    <row r="130" spans="1:26" x14ac:dyDescent="0.2">
      <c r="A130">
        <f t="shared" si="10"/>
        <v>1983</v>
      </c>
      <c r="C130">
        <f>C129-1</f>
        <v>37</v>
      </c>
      <c r="D130" s="22">
        <f t="shared" si="12"/>
        <v>0.52411943713386455</v>
      </c>
      <c r="E130" s="11">
        <f t="shared" si="14"/>
        <v>113</v>
      </c>
      <c r="F130" s="25">
        <f t="shared" si="13"/>
        <v>1.3159899608876674E-2</v>
      </c>
      <c r="H130" s="23">
        <f t="shared" si="11"/>
        <v>1.9079620581684162</v>
      </c>
      <c r="I130">
        <f>I129+1</f>
        <v>1983</v>
      </c>
      <c r="J130">
        <f t="shared" si="18"/>
        <v>0.21011912299160712</v>
      </c>
      <c r="K130">
        <f t="shared" si="18"/>
        <v>0.57840867378477068</v>
      </c>
      <c r="L130">
        <f t="shared" si="18"/>
        <v>0.7682448037638353</v>
      </c>
      <c r="M130">
        <f t="shared" si="18"/>
        <v>0.95003528082637045</v>
      </c>
      <c r="N130">
        <f t="shared" si="18"/>
        <v>0.99787347733963683</v>
      </c>
      <c r="O130">
        <f t="shared" si="19"/>
        <v>1</v>
      </c>
      <c r="P130">
        <f t="shared" si="19"/>
        <v>1</v>
      </c>
      <c r="Q130" s="24"/>
      <c r="R130" s="24">
        <f t="shared" si="17"/>
        <v>91.963995879224484</v>
      </c>
      <c r="S130" s="24">
        <f t="shared" si="16"/>
        <v>39.775454890305383</v>
      </c>
      <c r="T130" s="24">
        <f t="shared" si="16"/>
        <v>220.38294503834348</v>
      </c>
      <c r="U130" s="24">
        <f t="shared" si="16"/>
        <v>942.99685551301718</v>
      </c>
      <c r="V130" s="24">
        <f t="shared" si="16"/>
        <v>2443.395046125981</v>
      </c>
      <c r="W130" s="24">
        <f t="shared" si="16"/>
        <v>1547.2306552902548</v>
      </c>
      <c r="X130" s="24">
        <f t="shared" si="16"/>
        <v>2400.7164123998868</v>
      </c>
      <c r="Y130" s="24">
        <f t="shared" si="20"/>
        <v>7686.4613651370128</v>
      </c>
      <c r="Z130" s="24">
        <f t="shared" si="21"/>
        <v>-26.311268537383512</v>
      </c>
    </row>
    <row r="131" spans="1:26" x14ac:dyDescent="0.2">
      <c r="A131">
        <f t="shared" si="10"/>
        <v>1984</v>
      </c>
      <c r="C131">
        <f t="shared" si="8"/>
        <v>36</v>
      </c>
      <c r="D131" s="22">
        <f t="shared" si="12"/>
        <v>0.55103975964017771</v>
      </c>
      <c r="E131" s="11">
        <f t="shared" si="14"/>
        <v>114</v>
      </c>
      <c r="F131" s="25">
        <f t="shared" si="13"/>
        <v>1.2715130749561447E-2</v>
      </c>
      <c r="H131" s="23">
        <f t="shared" si="11"/>
        <v>1.8147510819418691</v>
      </c>
      <c r="I131">
        <f t="shared" si="9"/>
        <v>1984</v>
      </c>
      <c r="J131">
        <f t="shared" si="18"/>
        <v>0.19811690003603366</v>
      </c>
      <c r="K131">
        <f t="shared" si="18"/>
        <v>0.55103975964017771</v>
      </c>
      <c r="L131">
        <f t="shared" si="18"/>
        <v>0.74263239079837484</v>
      </c>
      <c r="M131">
        <f t="shared" si="18"/>
        <v>0.93885603410255503</v>
      </c>
      <c r="N131">
        <f t="shared" si="18"/>
        <v>0.99661662127343875</v>
      </c>
      <c r="O131">
        <f t="shared" si="19"/>
        <v>1</v>
      </c>
      <c r="P131">
        <f t="shared" si="19"/>
        <v>1</v>
      </c>
      <c r="Q131" s="24"/>
      <c r="R131" s="24">
        <f t="shared" si="17"/>
        <v>86.710916736723107</v>
      </c>
      <c r="S131" s="24">
        <f t="shared" si="16"/>
        <v>37.893375559040074</v>
      </c>
      <c r="T131" s="24">
        <f t="shared" si="16"/>
        <v>213.03562687724124</v>
      </c>
      <c r="U131" s="24">
        <f t="shared" si="16"/>
        <v>931.90043128507443</v>
      </c>
      <c r="V131" s="24">
        <f t="shared" si="16"/>
        <v>2440.3175057808571</v>
      </c>
      <c r="W131" s="24">
        <f t="shared" si="16"/>
        <v>1547.2306552902548</v>
      </c>
      <c r="X131" s="24">
        <f t="shared" si="16"/>
        <v>2400.7164123998868</v>
      </c>
      <c r="Y131" s="24">
        <f t="shared" si="20"/>
        <v>7657.8049239290776</v>
      </c>
      <c r="Z131" s="24">
        <f t="shared" si="21"/>
        <v>-28.656441207935131</v>
      </c>
    </row>
    <row r="132" spans="1:26" x14ac:dyDescent="0.2">
      <c r="A132">
        <f t="shared" si="10"/>
        <v>1985</v>
      </c>
      <c r="C132">
        <f t="shared" ref="C132:C167" si="22">C131-1</f>
        <v>35</v>
      </c>
      <c r="D132" s="22">
        <f t="shared" si="12"/>
        <v>0.57840867378477068</v>
      </c>
      <c r="E132" s="11">
        <f t="shared" si="14"/>
        <v>115</v>
      </c>
      <c r="F132" s="25">
        <f t="shared" si="13"/>
        <v>1.2288898718131576E-2</v>
      </c>
      <c r="H132" s="23">
        <f t="shared" si="11"/>
        <v>1.7288814039675102</v>
      </c>
      <c r="I132">
        <f t="shared" si="9"/>
        <v>1985</v>
      </c>
      <c r="J132">
        <f t="shared" si="18"/>
        <v>0.18684419824168677</v>
      </c>
      <c r="K132">
        <f t="shared" si="18"/>
        <v>0.52411943713386455</v>
      </c>
      <c r="L132">
        <f t="shared" si="18"/>
        <v>0.71619564655987122</v>
      </c>
      <c r="M132">
        <f t="shared" si="18"/>
        <v>0.92612580354620055</v>
      </c>
      <c r="N132">
        <f t="shared" si="18"/>
        <v>0.99487739205705961</v>
      </c>
      <c r="O132">
        <f t="shared" si="19"/>
        <v>1</v>
      </c>
      <c r="P132">
        <f t="shared" si="19"/>
        <v>1</v>
      </c>
      <c r="Q132" s="24"/>
      <c r="R132" s="24">
        <f t="shared" si="17"/>
        <v>81.777131145944438</v>
      </c>
      <c r="S132" s="24">
        <f t="shared" si="16"/>
        <v>36.042144548834351</v>
      </c>
      <c r="T132" s="24">
        <f t="shared" si="16"/>
        <v>205.45183649693183</v>
      </c>
      <c r="U132" s="24">
        <f t="shared" si="16"/>
        <v>919.26451383350764</v>
      </c>
      <c r="V132" s="24">
        <f t="shared" si="16"/>
        <v>2436.0588255494636</v>
      </c>
      <c r="W132" s="24">
        <f t="shared" si="16"/>
        <v>1547.2306552902548</v>
      </c>
      <c r="X132" s="24">
        <f t="shared" si="16"/>
        <v>2400.7164123998868</v>
      </c>
      <c r="Y132" s="24">
        <f t="shared" si="20"/>
        <v>7626.5415192648234</v>
      </c>
      <c r="Z132" s="24">
        <f t="shared" si="21"/>
        <v>-31.263404664254267</v>
      </c>
    </row>
    <row r="133" spans="1:26" x14ac:dyDescent="0.2">
      <c r="A133">
        <f t="shared" si="10"/>
        <v>1986</v>
      </c>
      <c r="C133">
        <f t="shared" si="22"/>
        <v>34</v>
      </c>
      <c r="D133" s="22">
        <f t="shared" si="12"/>
        <v>0.60607530007065136</v>
      </c>
      <c r="E133" s="11">
        <f t="shared" si="14"/>
        <v>116</v>
      </c>
      <c r="F133" s="25">
        <f t="shared" si="13"/>
        <v>1.1880291679509871E-2</v>
      </c>
      <c r="H133" s="23">
        <f t="shared" si="11"/>
        <v>1.6499599965275404</v>
      </c>
      <c r="I133">
        <f t="shared" ref="I133:I167" si="23">I132+1</f>
        <v>1986</v>
      </c>
      <c r="J133">
        <f t="shared" si="18"/>
        <v>0.1762617759045905</v>
      </c>
      <c r="K133">
        <f t="shared" si="18"/>
        <v>0.49778041970036685</v>
      </c>
      <c r="L133">
        <f t="shared" si="18"/>
        <v>0.68912590135052909</v>
      </c>
      <c r="M133">
        <f t="shared" si="18"/>
        <v>0.91179551610187515</v>
      </c>
      <c r="N133">
        <f t="shared" si="18"/>
        <v>0.99255066757486421</v>
      </c>
      <c r="O133">
        <f t="shared" si="19"/>
        <v>0.99999942682056486</v>
      </c>
      <c r="P133">
        <f t="shared" si="19"/>
        <v>1</v>
      </c>
      <c r="Q133" s="24"/>
      <c r="R133" s="24">
        <f t="shared" si="17"/>
        <v>77.145463973795572</v>
      </c>
      <c r="S133" s="24">
        <f t="shared" si="16"/>
        <v>34.230888170319368</v>
      </c>
      <c r="T133" s="24">
        <f t="shared" si="16"/>
        <v>197.68645996402876</v>
      </c>
      <c r="U133" s="24">
        <f t="shared" si="16"/>
        <v>905.04039366521022</v>
      </c>
      <c r="V133" s="24">
        <f t="shared" si="16"/>
        <v>2430.3616032035479</v>
      </c>
      <c r="W133" s="24">
        <f t="shared" si="16"/>
        <v>1547.229768449462</v>
      </c>
      <c r="X133" s="24">
        <f t="shared" si="16"/>
        <v>2400.7164123998868</v>
      </c>
      <c r="Y133" s="24">
        <f t="shared" si="20"/>
        <v>7592.4109898262504</v>
      </c>
      <c r="Z133" s="24">
        <f t="shared" si="21"/>
        <v>-34.130529438572921</v>
      </c>
    </row>
    <row r="134" spans="1:26" x14ac:dyDescent="0.2">
      <c r="A134">
        <f t="shared" si="10"/>
        <v>1987</v>
      </c>
      <c r="C134">
        <f t="shared" si="22"/>
        <v>33</v>
      </c>
      <c r="D134" s="22">
        <f t="shared" si="12"/>
        <v>0.63387247361227783</v>
      </c>
      <c r="E134" s="11">
        <f t="shared" si="14"/>
        <v>117</v>
      </c>
      <c r="F134" s="25">
        <f t="shared" si="13"/>
        <v>1.1488449105952151E-2</v>
      </c>
      <c r="H134" s="23">
        <f t="shared" si="11"/>
        <v>1.577604394620979</v>
      </c>
      <c r="I134">
        <f t="shared" si="23"/>
        <v>1987</v>
      </c>
      <c r="J134">
        <f t="shared" si="18"/>
        <v>0.16633101018005506</v>
      </c>
      <c r="K134">
        <f t="shared" si="18"/>
        <v>0.47213623177465569</v>
      </c>
      <c r="L134">
        <f t="shared" si="18"/>
        <v>0.66161951969955413</v>
      </c>
      <c r="M134">
        <f t="shared" si="18"/>
        <v>0.89584099329751798</v>
      </c>
      <c r="N134">
        <f t="shared" si="18"/>
        <v>0.98952423943937418</v>
      </c>
      <c r="O134">
        <f t="shared" si="19"/>
        <v>0.99999112050593009</v>
      </c>
      <c r="P134">
        <f t="shared" si="19"/>
        <v>1</v>
      </c>
      <c r="Q134" s="24"/>
      <c r="R134" s="24">
        <f t="shared" si="17"/>
        <v>72.799010946741959</v>
      </c>
      <c r="S134" s="24">
        <f t="shared" si="16"/>
        <v>32.467413163343267</v>
      </c>
      <c r="T134" s="24">
        <f t="shared" si="16"/>
        <v>189.79582749129159</v>
      </c>
      <c r="U134" s="24">
        <f t="shared" si="16"/>
        <v>889.20407143659497</v>
      </c>
      <c r="V134" s="24">
        <f t="shared" si="16"/>
        <v>2422.9510850550669</v>
      </c>
      <c r="W134" s="24">
        <f t="shared" si="16"/>
        <v>1547.2169166648264</v>
      </c>
      <c r="X134" s="24">
        <f t="shared" si="16"/>
        <v>2400.7164123998868</v>
      </c>
      <c r="Y134" s="24">
        <f t="shared" si="20"/>
        <v>7555.1507371577518</v>
      </c>
      <c r="Z134" s="24">
        <f t="shared" si="21"/>
        <v>-37.260252668498651</v>
      </c>
    </row>
    <row r="135" spans="1:26" x14ac:dyDescent="0.2">
      <c r="A135">
        <f t="shared" si="10"/>
        <v>1988</v>
      </c>
      <c r="C135">
        <f t="shared" si="22"/>
        <v>32</v>
      </c>
      <c r="D135" s="22">
        <f t="shared" si="12"/>
        <v>0.66161951969955413</v>
      </c>
      <c r="E135" s="11">
        <f t="shared" si="14"/>
        <v>118</v>
      </c>
      <c r="F135" s="25">
        <f t="shared" si="13"/>
        <v>1.1112558553815082E-2</v>
      </c>
      <c r="H135" s="23">
        <f t="shared" si="11"/>
        <v>1.511442710236401</v>
      </c>
      <c r="I135">
        <f t="shared" si="23"/>
        <v>1988</v>
      </c>
      <c r="J135">
        <f t="shared" si="18"/>
        <v>0.15701423013885152</v>
      </c>
      <c r="K135">
        <f t="shared" si="18"/>
        <v>0.44728095991378569</v>
      </c>
      <c r="L135">
        <f t="shared" si="18"/>
        <v>0.63387247361227783</v>
      </c>
      <c r="M135">
        <f t="shared" si="18"/>
        <v>0.87826558907772723</v>
      </c>
      <c r="N135">
        <f t="shared" si="18"/>
        <v>0.98568059699018695</v>
      </c>
      <c r="O135">
        <f t="shared" si="19"/>
        <v>0.99995588995390916</v>
      </c>
      <c r="P135">
        <f t="shared" si="19"/>
        <v>1</v>
      </c>
      <c r="Q135" s="24"/>
      <c r="R135" s="24">
        <f t="shared" si="17"/>
        <v>68.721284421340911</v>
      </c>
      <c r="S135" s="24">
        <f t="shared" si="16"/>
        <v>30.758189582342499</v>
      </c>
      <c r="T135" s="24">
        <f t="shared" si="16"/>
        <v>181.83615668991459</v>
      </c>
      <c r="U135" s="24">
        <f t="shared" si="16"/>
        <v>871.75887624424718</v>
      </c>
      <c r="V135" s="24">
        <f t="shared" si="16"/>
        <v>2413.539534259608</v>
      </c>
      <c r="W135" s="24">
        <f t="shared" si="16"/>
        <v>1547.1624068747369</v>
      </c>
      <c r="X135" s="24">
        <f t="shared" si="16"/>
        <v>2400.7164123998868</v>
      </c>
      <c r="Y135" s="24">
        <f t="shared" si="20"/>
        <v>7514.4928604720772</v>
      </c>
      <c r="Z135" s="24">
        <f t="shared" si="21"/>
        <v>-40.657876685674637</v>
      </c>
    </row>
    <row r="136" spans="1:26" x14ac:dyDescent="0.2">
      <c r="A136">
        <f t="shared" si="10"/>
        <v>1989</v>
      </c>
      <c r="C136">
        <f t="shared" si="22"/>
        <v>31</v>
      </c>
      <c r="D136" s="22">
        <f t="shared" si="12"/>
        <v>0.68912590135052909</v>
      </c>
      <c r="E136" s="11">
        <f t="shared" si="14"/>
        <v>119</v>
      </c>
      <c r="F136" s="25">
        <f t="shared" si="13"/>
        <v>1.0751852661851594E-2</v>
      </c>
      <c r="H136" s="23">
        <f t="shared" si="11"/>
        <v>1.4511136470712083</v>
      </c>
      <c r="I136">
        <f t="shared" si="23"/>
        <v>1989</v>
      </c>
      <c r="J136">
        <f t="shared" si="18"/>
        <v>0.14827496853406261</v>
      </c>
      <c r="K136">
        <f t="shared" si="18"/>
        <v>0.42328966303872301</v>
      </c>
      <c r="L136">
        <f t="shared" si="18"/>
        <v>0.60607530007065136</v>
      </c>
      <c r="M136">
        <f t="shared" si="18"/>
        <v>0.85910192848938727</v>
      </c>
      <c r="N136">
        <f t="shared" si="18"/>
        <v>0.98089913773637061</v>
      </c>
      <c r="O136">
        <f t="shared" si="19"/>
        <v>0.99986245855933187</v>
      </c>
      <c r="P136">
        <f t="shared" si="19"/>
        <v>1</v>
      </c>
      <c r="Q136" s="24"/>
      <c r="R136" s="24">
        <f t="shared" si="17"/>
        <v>64.896323576428316</v>
      </c>
      <c r="S136" s="24">
        <f t="shared" si="16"/>
        <v>29.108379007459821</v>
      </c>
      <c r="T136" s="24">
        <f t="shared" si="16"/>
        <v>173.86210605028444</v>
      </c>
      <c r="U136" s="24">
        <f t="shared" si="16"/>
        <v>852.7371914293376</v>
      </c>
      <c r="V136" s="24">
        <f t="shared" si="16"/>
        <v>2401.8316433101709</v>
      </c>
      <c r="W136" s="24">
        <f t="shared" si="16"/>
        <v>1547.0178469568802</v>
      </c>
      <c r="X136" s="24">
        <f t="shared" si="16"/>
        <v>2400.7164123998868</v>
      </c>
      <c r="Y136" s="24">
        <f t="shared" si="20"/>
        <v>7470.1699027304476</v>
      </c>
      <c r="Z136" s="24">
        <f t="shared" si="21"/>
        <v>-44.32295774162958</v>
      </c>
    </row>
    <row r="137" spans="1:26" x14ac:dyDescent="0.2">
      <c r="A137">
        <f t="shared" si="10"/>
        <v>1990</v>
      </c>
      <c r="C137">
        <f t="shared" si="22"/>
        <v>30</v>
      </c>
      <c r="D137" s="22">
        <f t="shared" si="12"/>
        <v>0.71619564655987122</v>
      </c>
      <c r="E137" s="11">
        <f t="shared" si="14"/>
        <v>120</v>
      </c>
      <c r="F137" s="25">
        <f t="shared" si="13"/>
        <v>1.0405606354684847E-2</v>
      </c>
      <c r="H137" s="23">
        <f t="shared" si="11"/>
        <v>1.3962665157256073</v>
      </c>
      <c r="I137">
        <f t="shared" si="23"/>
        <v>1990</v>
      </c>
      <c r="J137">
        <f t="shared" si="18"/>
        <v>0.1400781449420255</v>
      </c>
      <c r="K137">
        <f t="shared" si="18"/>
        <v>0.40021931047507942</v>
      </c>
      <c r="L137">
        <f t="shared" si="18"/>
        <v>0.57840867378477068</v>
      </c>
      <c r="M137">
        <f t="shared" si="18"/>
        <v>0.83841256566169076</v>
      </c>
      <c r="N137">
        <f t="shared" si="18"/>
        <v>0.9750588219055305</v>
      </c>
      <c r="O137">
        <f t="shared" si="19"/>
        <v>0.99966774157204075</v>
      </c>
      <c r="P137">
        <f t="shared" si="19"/>
        <v>1</v>
      </c>
      <c r="Q137" s="24"/>
      <c r="R137" s="24">
        <f t="shared" si="17"/>
        <v>61.308774569425545</v>
      </c>
      <c r="S137" s="24">
        <f t="shared" si="16"/>
        <v>27.521899050832989</v>
      </c>
      <c r="T137" s="24">
        <f t="shared" si="16"/>
        <v>165.92550491704463</v>
      </c>
      <c r="U137" s="24">
        <f t="shared" si="16"/>
        <v>832.20110768293682</v>
      </c>
      <c r="V137" s="24">
        <f t="shared" si="16"/>
        <v>2387.5310339714692</v>
      </c>
      <c r="W137" s="24">
        <f t="shared" si="16"/>
        <v>1546.7165748650377</v>
      </c>
      <c r="X137" s="24">
        <f t="shared" si="16"/>
        <v>2400.7164123998868</v>
      </c>
      <c r="Y137" s="24">
        <f t="shared" si="20"/>
        <v>7421.9213074566342</v>
      </c>
      <c r="Z137" s="24">
        <f t="shared" si="21"/>
        <v>-48.248595273813407</v>
      </c>
    </row>
    <row r="138" spans="1:26" x14ac:dyDescent="0.2">
      <c r="A138">
        <f t="shared" si="10"/>
        <v>1991</v>
      </c>
      <c r="C138">
        <f t="shared" si="22"/>
        <v>29</v>
      </c>
      <c r="D138" s="22">
        <f t="shared" si="12"/>
        <v>0.74263239079837484</v>
      </c>
      <c r="E138" s="11">
        <f t="shared" si="14"/>
        <v>121</v>
      </c>
      <c r="F138" s="25">
        <f t="shared" si="13"/>
        <v>1.0073134236382623E-2</v>
      </c>
      <c r="H138" s="23">
        <f t="shared" si="11"/>
        <v>1.3465612494021966</v>
      </c>
      <c r="I138">
        <f t="shared" si="23"/>
        <v>1991</v>
      </c>
      <c r="J138">
        <f t="shared" si="18"/>
        <v>0.1323901917308119</v>
      </c>
      <c r="K138">
        <f t="shared" si="18"/>
        <v>0.37811011304039926</v>
      </c>
      <c r="L138">
        <f t="shared" si="18"/>
        <v>0.55103975964017771</v>
      </c>
      <c r="M138">
        <f t="shared" si="18"/>
        <v>0.81628944326341157</v>
      </c>
      <c r="N138">
        <f t="shared" si="18"/>
        <v>0.96804126115320344</v>
      </c>
      <c r="O138">
        <f t="shared" si="19"/>
        <v>0.99931709355148246</v>
      </c>
      <c r="P138">
        <f t="shared" si="19"/>
        <v>1</v>
      </c>
      <c r="Q138" s="24"/>
      <c r="R138" s="24">
        <f t="shared" si="17"/>
        <v>57.943945669659207</v>
      </c>
      <c r="S138" s="24">
        <f t="shared" si="16"/>
        <v>26.00151489153318</v>
      </c>
      <c r="T138" s="24">
        <f t="shared" si="16"/>
        <v>158.0743071319944</v>
      </c>
      <c r="U138" s="24">
        <f t="shared" si="16"/>
        <v>810.24188650795008</v>
      </c>
      <c r="V138" s="24">
        <f t="shared" si="16"/>
        <v>2370.347820300095</v>
      </c>
      <c r="W138" s="24">
        <f t="shared" si="16"/>
        <v>1546.1740414984133</v>
      </c>
      <c r="X138" s="24">
        <f t="shared" si="16"/>
        <v>2400.7164123998868</v>
      </c>
      <c r="Y138" s="24">
        <f t="shared" si="20"/>
        <v>7369.4999283995312</v>
      </c>
      <c r="Z138" s="24">
        <f t="shared" si="21"/>
        <v>-52.421379057102968</v>
      </c>
    </row>
    <row r="139" spans="1:26" x14ac:dyDescent="0.2">
      <c r="A139">
        <f t="shared" si="10"/>
        <v>1992</v>
      </c>
      <c r="C139">
        <f t="shared" si="22"/>
        <v>28</v>
      </c>
      <c r="D139" s="22">
        <f t="shared" si="12"/>
        <v>0.7682448037638353</v>
      </c>
      <c r="E139" s="11">
        <f t="shared" si="14"/>
        <v>122</v>
      </c>
      <c r="F139" s="25">
        <f t="shared" si="13"/>
        <v>9.7537881602233426E-3</v>
      </c>
      <c r="H139" s="23">
        <f t="shared" si="11"/>
        <v>1.30166842014516</v>
      </c>
      <c r="I139">
        <f t="shared" si="23"/>
        <v>1992</v>
      </c>
      <c r="J139">
        <f t="shared" si="18"/>
        <v>0.12517913302381528</v>
      </c>
      <c r="K139">
        <f t="shared" si="18"/>
        <v>0.35698711913360753</v>
      </c>
      <c r="L139">
        <f t="shared" si="18"/>
        <v>0.52411943713386455</v>
      </c>
      <c r="M139">
        <f t="shared" si="18"/>
        <v>0.79285211743262995</v>
      </c>
      <c r="N139">
        <f t="shared" si="18"/>
        <v>0.95973419662039294</v>
      </c>
      <c r="O139">
        <f t="shared" si="19"/>
        <v>0.99874460083359562</v>
      </c>
      <c r="P139">
        <f t="shared" si="19"/>
        <v>1</v>
      </c>
      <c r="Q139" s="24"/>
      <c r="R139" s="24">
        <f t="shared" si="17"/>
        <v>54.78784181878995</v>
      </c>
      <c r="S139" s="24">
        <f t="shared" si="16"/>
        <v>24.54894903391877</v>
      </c>
      <c r="T139" s="24">
        <f t="shared" si="16"/>
        <v>150.35179482047988</v>
      </c>
      <c r="U139" s="24">
        <f t="shared" si="16"/>
        <v>786.97819829961679</v>
      </c>
      <c r="V139" s="24">
        <f t="shared" si="16"/>
        <v>2350.0071250233436</v>
      </c>
      <c r="W139" s="24">
        <f t="shared" si="16"/>
        <v>1545.2882632153683</v>
      </c>
      <c r="X139" s="24">
        <f t="shared" si="16"/>
        <v>2400.7164123998868</v>
      </c>
      <c r="Y139" s="24">
        <f t="shared" si="20"/>
        <v>7312.6785846114035</v>
      </c>
      <c r="Z139" s="24">
        <f t="shared" si="21"/>
        <v>-56.821343788127706</v>
      </c>
    </row>
    <row r="140" spans="1:26" x14ac:dyDescent="0.2">
      <c r="A140">
        <f t="shared" si="10"/>
        <v>1993</v>
      </c>
      <c r="C140">
        <f t="shared" si="22"/>
        <v>27</v>
      </c>
      <c r="D140" s="22">
        <f t="shared" si="12"/>
        <v>0.79285211743262995</v>
      </c>
      <c r="E140" s="11">
        <f t="shared" si="14"/>
        <v>123</v>
      </c>
      <c r="F140" s="25">
        <f t="shared" si="13"/>
        <v>9.4469549618205161E-3</v>
      </c>
      <c r="H140" s="23">
        <f t="shared" si="11"/>
        <v>1.2612692556565843</v>
      </c>
      <c r="I140">
        <f t="shared" si="23"/>
        <v>1993</v>
      </c>
      <c r="J140">
        <f t="shared" si="18"/>
        <v>0.1184146255435848</v>
      </c>
      <c r="K140">
        <f t="shared" si="18"/>
        <v>0.33686196152322073</v>
      </c>
      <c r="L140">
        <f t="shared" si="18"/>
        <v>0.49778041970036685</v>
      </c>
      <c r="M140">
        <f t="shared" si="18"/>
        <v>0.7682448037638353</v>
      </c>
      <c r="N140">
        <f t="shared" si="18"/>
        <v>0.95003528082637045</v>
      </c>
      <c r="O140">
        <f t="shared" si="19"/>
        <v>0.99787347733963683</v>
      </c>
      <c r="P140">
        <f t="shared" si="19"/>
        <v>1</v>
      </c>
      <c r="Q140" s="24"/>
      <c r="R140" s="24">
        <f t="shared" si="17"/>
        <v>51.827182507158675</v>
      </c>
      <c r="S140" s="24">
        <f t="shared" si="16"/>
        <v>23.165001429097593</v>
      </c>
      <c r="T140" s="24">
        <f t="shared" si="16"/>
        <v>142.79603889089611</v>
      </c>
      <c r="U140" s="24">
        <f t="shared" si="16"/>
        <v>762.55319021769401</v>
      </c>
      <c r="V140" s="24">
        <f t="shared" si="16"/>
        <v>2326.2583398896932</v>
      </c>
      <c r="W140" s="24">
        <f t="shared" si="16"/>
        <v>1543.9404342409716</v>
      </c>
      <c r="X140" s="24">
        <f t="shared" si="16"/>
        <v>2400.7164123998868</v>
      </c>
      <c r="Y140" s="24">
        <f t="shared" si="20"/>
        <v>7251.2565995753976</v>
      </c>
      <c r="Z140" s="24">
        <f t="shared" si="21"/>
        <v>-61.421985036005935</v>
      </c>
    </row>
    <row r="141" spans="1:26" x14ac:dyDescent="0.2">
      <c r="A141">
        <f t="shared" si="10"/>
        <v>1994</v>
      </c>
      <c r="C141">
        <f t="shared" si="22"/>
        <v>26</v>
      </c>
      <c r="D141" s="22">
        <f t="shared" si="12"/>
        <v>0.81628944326341157</v>
      </c>
      <c r="E141" s="11">
        <f t="shared" si="14"/>
        <v>124</v>
      </c>
      <c r="F141" s="25">
        <f t="shared" si="13"/>
        <v>9.1520543437621348E-3</v>
      </c>
      <c r="H141" s="23">
        <f t="shared" si="11"/>
        <v>1.2250556567314397</v>
      </c>
      <c r="I141">
        <f t="shared" si="23"/>
        <v>1994</v>
      </c>
      <c r="J141">
        <f t="shared" si="18"/>
        <v>0.11206796899509375</v>
      </c>
      <c r="K141">
        <f t="shared" si="18"/>
        <v>0.31773465836030484</v>
      </c>
      <c r="L141">
        <f t="shared" si="18"/>
        <v>0.47213623177465569</v>
      </c>
      <c r="M141">
        <f t="shared" si="18"/>
        <v>0.74263239079837484</v>
      </c>
      <c r="N141">
        <f t="shared" si="18"/>
        <v>0.93885603410255503</v>
      </c>
      <c r="O141">
        <f t="shared" si="19"/>
        <v>0.99661662127343875</v>
      </c>
      <c r="P141">
        <f t="shared" si="19"/>
        <v>1</v>
      </c>
      <c r="Q141" s="24"/>
      <c r="R141" s="24">
        <f t="shared" si="17"/>
        <v>49.049406318288909</v>
      </c>
      <c r="S141" s="24">
        <f t="shared" si="16"/>
        <v>21.84967332526481</v>
      </c>
      <c r="T141" s="24">
        <f t="shared" si="16"/>
        <v>135.43960558930195</v>
      </c>
      <c r="U141" s="24">
        <f t="shared" si="16"/>
        <v>737.13052921133487</v>
      </c>
      <c r="V141" s="24">
        <f t="shared" si="16"/>
        <v>2298.8848134009299</v>
      </c>
      <c r="W141" s="24">
        <f t="shared" si="16"/>
        <v>1541.9957880060624</v>
      </c>
      <c r="X141" s="24">
        <f t="shared" si="16"/>
        <v>2400.7164123998868</v>
      </c>
      <c r="Y141" s="24">
        <f t="shared" si="20"/>
        <v>7185.0662282510693</v>
      </c>
      <c r="Z141" s="24">
        <f t="shared" si="21"/>
        <v>-66.190371324328225</v>
      </c>
    </row>
    <row r="142" spans="1:26" x14ac:dyDescent="0.2">
      <c r="A142">
        <f t="shared" si="10"/>
        <v>1995</v>
      </c>
      <c r="C142">
        <f t="shared" si="22"/>
        <v>25</v>
      </c>
      <c r="D142" s="22">
        <f t="shared" si="12"/>
        <v>0.83841256566169076</v>
      </c>
      <c r="E142" s="11">
        <f t="shared" si="14"/>
        <v>125</v>
      </c>
      <c r="F142" s="25">
        <f t="shared" si="13"/>
        <v>8.8685369008316469E-3</v>
      </c>
      <c r="H142" s="23">
        <f t="shared" si="11"/>
        <v>1.1927302153573778</v>
      </c>
      <c r="I142">
        <f t="shared" si="23"/>
        <v>1995</v>
      </c>
      <c r="J142">
        <f t="shared" si="18"/>
        <v>0.10611209251099452</v>
      </c>
      <c r="K142">
        <f t="shared" si="18"/>
        <v>0.29959539136591834</v>
      </c>
      <c r="L142">
        <f t="shared" si="18"/>
        <v>0.44728095991378569</v>
      </c>
      <c r="M142">
        <f t="shared" si="18"/>
        <v>0.71619564655987122</v>
      </c>
      <c r="N142">
        <f t="shared" si="18"/>
        <v>0.92612580354620055</v>
      </c>
      <c r="O142">
        <f t="shared" si="19"/>
        <v>0.99487739205705961</v>
      </c>
      <c r="P142">
        <f t="shared" si="19"/>
        <v>1</v>
      </c>
      <c r="Q142" s="24"/>
      <c r="R142" s="24">
        <f t="shared" si="17"/>
        <v>46.44266499630676</v>
      </c>
      <c r="S142" s="24">
        <f t="shared" ref="S142:X146" si="24">S$16*K142/K$146</f>
        <v>20.602289548397557</v>
      </c>
      <c r="T142" s="24">
        <f t="shared" si="24"/>
        <v>128.30948510480195</v>
      </c>
      <c r="U142" s="24">
        <f t="shared" si="24"/>
        <v>710.8896440673368</v>
      </c>
      <c r="V142" s="24">
        <f t="shared" si="24"/>
        <v>2267.7135447142778</v>
      </c>
      <c r="W142" s="24">
        <f t="shared" si="24"/>
        <v>1539.3047992459042</v>
      </c>
      <c r="X142" s="24">
        <f t="shared" si="24"/>
        <v>2400.7164123998868</v>
      </c>
      <c r="Y142" s="24">
        <f t="shared" si="20"/>
        <v>7113.9788400769121</v>
      </c>
      <c r="Z142" s="24">
        <f t="shared" si="21"/>
        <v>-71.08738817415724</v>
      </c>
    </row>
    <row r="143" spans="1:26" x14ac:dyDescent="0.2">
      <c r="A143">
        <f t="shared" si="10"/>
        <v>1996</v>
      </c>
      <c r="C143">
        <f t="shared" si="22"/>
        <v>24</v>
      </c>
      <c r="D143" s="22">
        <f t="shared" si="12"/>
        <v>0.85910192848938727</v>
      </c>
      <c r="E143" s="11">
        <f t="shared" si="14"/>
        <v>126</v>
      </c>
      <c r="F143" s="25">
        <f t="shared" si="13"/>
        <v>8.5958822757152137E-3</v>
      </c>
      <c r="H143" s="23">
        <f t="shared" si="11"/>
        <v>1.1640062335308252</v>
      </c>
      <c r="I143">
        <f t="shared" si="23"/>
        <v>1996</v>
      </c>
      <c r="J143">
        <f t="shared" si="18"/>
        <v>0.10052152265191697</v>
      </c>
      <c r="K143">
        <f t="shared" si="18"/>
        <v>0.28242620325369033</v>
      </c>
      <c r="L143">
        <f t="shared" si="18"/>
        <v>0.42328966303872301</v>
      </c>
      <c r="M143">
        <f t="shared" si="18"/>
        <v>0.68912590135052909</v>
      </c>
      <c r="N143">
        <f t="shared" si="18"/>
        <v>0.91179551610187515</v>
      </c>
      <c r="O143">
        <f t="shared" si="19"/>
        <v>0.99255066757486421</v>
      </c>
      <c r="P143">
        <f t="shared" si="19"/>
        <v>1</v>
      </c>
      <c r="Q143" s="24"/>
      <c r="R143" s="24">
        <f t="shared" si="17"/>
        <v>43.995809440454948</v>
      </c>
      <c r="S143" s="24">
        <f t="shared" si="24"/>
        <v>19.421615228988564</v>
      </c>
      <c r="T143" s="24">
        <f t="shared" si="24"/>
        <v>121.42720925378187</v>
      </c>
      <c r="U143" s="24">
        <f t="shared" si="24"/>
        <v>684.02044759944954</v>
      </c>
      <c r="V143" s="24">
        <f t="shared" si="24"/>
        <v>2232.6243734454147</v>
      </c>
      <c r="W143" s="24">
        <f t="shared" si="24"/>
        <v>1535.7048198006371</v>
      </c>
      <c r="X143" s="24">
        <f t="shared" si="24"/>
        <v>2400.7164123998868</v>
      </c>
      <c r="Y143" s="24">
        <f t="shared" si="20"/>
        <v>7037.9106871686126</v>
      </c>
      <c r="Z143" s="24">
        <f t="shared" si="21"/>
        <v>-76.068152908299453</v>
      </c>
    </row>
    <row r="144" spans="1:26" x14ac:dyDescent="0.2">
      <c r="A144">
        <f t="shared" si="10"/>
        <v>1997</v>
      </c>
      <c r="C144">
        <f t="shared" si="22"/>
        <v>23</v>
      </c>
      <c r="D144" s="22">
        <f t="shared" si="12"/>
        <v>0.87826558907772723</v>
      </c>
      <c r="E144" s="11">
        <f t="shared" si="14"/>
        <v>127</v>
      </c>
      <c r="F144" s="25">
        <f t="shared" si="13"/>
        <v>8.3335974358702061E-3</v>
      </c>
      <c r="H144" s="23">
        <f t="shared" si="11"/>
        <v>1.1386077428470207</v>
      </c>
      <c r="I144">
        <f t="shared" si="23"/>
        <v>1997</v>
      </c>
      <c r="J144">
        <f t="shared" si="18"/>
        <v>9.5272337539568291E-2</v>
      </c>
      <c r="K144">
        <f t="shared" si="18"/>
        <v>0.26620257394221086</v>
      </c>
      <c r="L144">
        <f t="shared" si="18"/>
        <v>0.40021931047507942</v>
      </c>
      <c r="M144">
        <f t="shared" si="18"/>
        <v>0.66161951969955413</v>
      </c>
      <c r="N144">
        <f t="shared" si="18"/>
        <v>0.89584099329751798</v>
      </c>
      <c r="O144">
        <f t="shared" si="19"/>
        <v>0.98952423943937418</v>
      </c>
      <c r="P144">
        <f t="shared" si="19"/>
        <v>1</v>
      </c>
      <c r="Q144" s="24"/>
      <c r="R144" s="24">
        <f t="shared" si="17"/>
        <v>41.69836963027354</v>
      </c>
      <c r="S144" s="24">
        <f t="shared" si="24"/>
        <v>18.305964193513411</v>
      </c>
      <c r="T144" s="24">
        <f t="shared" si="24"/>
        <v>114.80912057145134</v>
      </c>
      <c r="U144" s="24">
        <f t="shared" si="24"/>
        <v>656.71784955188195</v>
      </c>
      <c r="V144" s="24">
        <f t="shared" si="24"/>
        <v>2193.5580961379942</v>
      </c>
      <c r="W144" s="24">
        <f t="shared" si="24"/>
        <v>1531.0222374133741</v>
      </c>
      <c r="X144" s="24">
        <f t="shared" si="24"/>
        <v>2400.7164123998868</v>
      </c>
      <c r="Y144" s="24">
        <f t="shared" si="20"/>
        <v>6956.828049898375</v>
      </c>
      <c r="Z144" s="24">
        <f t="shared" si="21"/>
        <v>-81.082637270237683</v>
      </c>
    </row>
    <row r="145" spans="1:26" x14ac:dyDescent="0.2">
      <c r="A145">
        <f t="shared" ref="A145:A167" si="25">I145</f>
        <v>1998</v>
      </c>
      <c r="C145">
        <f t="shared" si="22"/>
        <v>22</v>
      </c>
      <c r="D145" s="22">
        <f t="shared" si="12"/>
        <v>0.89584099329751798</v>
      </c>
      <c r="E145" s="11">
        <f t="shared" si="14"/>
        <v>128</v>
      </c>
      <c r="F145" s="25">
        <f t="shared" si="13"/>
        <v>8.0812150629394411E-3</v>
      </c>
      <c r="H145" s="23">
        <f t="shared" ref="H145:H167" si="26">1/D145</f>
        <v>1.1162695249288395</v>
      </c>
      <c r="I145">
        <f t="shared" si="23"/>
        <v>1998</v>
      </c>
      <c r="J145">
        <f t="shared" si="18"/>
        <v>9.0342110898944505E-2</v>
      </c>
      <c r="K145">
        <f t="shared" si="18"/>
        <v>0.25089485022545271</v>
      </c>
      <c r="L145">
        <f t="shared" si="18"/>
        <v>0.37811011304039926</v>
      </c>
      <c r="M145">
        <f t="shared" si="18"/>
        <v>0.63387247361227783</v>
      </c>
      <c r="N145">
        <f t="shared" si="18"/>
        <v>0.87826558907772723</v>
      </c>
      <c r="O145">
        <f t="shared" si="19"/>
        <v>0.98568059699018695</v>
      </c>
      <c r="P145">
        <f t="shared" si="19"/>
        <v>1</v>
      </c>
      <c r="Q145" s="24"/>
      <c r="R145" s="24">
        <f t="shared" si="17"/>
        <v>39.540530134245955</v>
      </c>
      <c r="S145" s="24">
        <f t="shared" si="24"/>
        <v>17.253297278639771</v>
      </c>
      <c r="T145" s="24">
        <f t="shared" si="24"/>
        <v>108.46675415489068</v>
      </c>
      <c r="U145" s="24">
        <f t="shared" si="24"/>
        <v>629.17637005301867</v>
      </c>
      <c r="V145" s="24">
        <f t="shared" si="24"/>
        <v>2150.5229252676472</v>
      </c>
      <c r="W145" s="24">
        <f t="shared" si="24"/>
        <v>1525.0752359880166</v>
      </c>
      <c r="X145" s="24">
        <f t="shared" si="24"/>
        <v>2400.7164123998868</v>
      </c>
      <c r="Y145" s="24">
        <f t="shared" si="20"/>
        <v>6870.751525276346</v>
      </c>
      <c r="Z145" s="24">
        <f t="shared" si="21"/>
        <v>-86.076524622028955</v>
      </c>
    </row>
    <row r="146" spans="1:26" x14ac:dyDescent="0.2">
      <c r="A146">
        <f t="shared" si="25"/>
        <v>1999</v>
      </c>
      <c r="C146">
        <f t="shared" si="22"/>
        <v>21</v>
      </c>
      <c r="D146" s="22">
        <f t="shared" ref="D146:D167" si="27">PRODUCT(1/(1+(C146/$C$4)^$C$3))</f>
        <v>0.91179551610187515</v>
      </c>
      <c r="E146" s="11">
        <f t="shared" si="14"/>
        <v>129</v>
      </c>
      <c r="F146" s="25">
        <f t="shared" ref="F146:F167" si="28">PRODUCT(1/(1+(E146/$C$4)^$C$3))</f>
        <v>7.8382920467486E-3</v>
      </c>
      <c r="H146" s="23">
        <f t="shared" si="26"/>
        <v>1.0967371327676827</v>
      </c>
      <c r="I146">
        <f t="shared" si="23"/>
        <v>1999</v>
      </c>
      <c r="J146" s="27">
        <f t="shared" si="18"/>
        <v>8.5709849093193499E-2</v>
      </c>
      <c r="K146" s="27">
        <f t="shared" si="18"/>
        <v>0.23646951597528673</v>
      </c>
      <c r="L146" s="27">
        <f t="shared" si="18"/>
        <v>0.35698711913360753</v>
      </c>
      <c r="M146" s="27">
        <f t="shared" si="18"/>
        <v>0.60607530007065136</v>
      </c>
      <c r="N146" s="27">
        <f t="shared" si="18"/>
        <v>0.85910192848938727</v>
      </c>
      <c r="O146" s="27">
        <f t="shared" si="19"/>
        <v>0.98089913773637061</v>
      </c>
      <c r="P146" s="15">
        <f t="shared" si="18"/>
        <v>0.99986245855933187</v>
      </c>
      <c r="Q146" s="28"/>
      <c r="R146" s="28">
        <f t="shared" si="17"/>
        <v>37.513102551499998</v>
      </c>
      <c r="S146" s="28">
        <f t="shared" si="24"/>
        <v>16.261309679299998</v>
      </c>
      <c r="T146" s="28">
        <f t="shared" si="24"/>
        <v>102.40729552607998</v>
      </c>
      <c r="U146" s="28">
        <f t="shared" si="24"/>
        <v>601.58513447374332</v>
      </c>
      <c r="V146" s="28">
        <f t="shared" si="24"/>
        <v>2103.5987465911835</v>
      </c>
      <c r="W146" s="28">
        <f t="shared" si="24"/>
        <v>1517.6772156534907</v>
      </c>
      <c r="X146" s="28">
        <f t="shared" si="24"/>
        <v>2400.3862144058899</v>
      </c>
      <c r="Y146" s="28">
        <f>SUM(R146:X146)</f>
        <v>6779.4290188811865</v>
      </c>
      <c r="Z146" s="24">
        <f t="shared" si="21"/>
        <v>-91.322506395159508</v>
      </c>
    </row>
    <row r="147" spans="1:26" x14ac:dyDescent="0.2">
      <c r="A147">
        <f t="shared" si="25"/>
        <v>2000</v>
      </c>
      <c r="C147">
        <f t="shared" si="22"/>
        <v>20</v>
      </c>
      <c r="D147" s="22">
        <f t="shared" si="27"/>
        <v>0.92612580354620055</v>
      </c>
      <c r="E147" s="11">
        <f t="shared" ref="E147:E167" si="29">E146+1</f>
        <v>130</v>
      </c>
      <c r="F147" s="25">
        <f t="shared" si="28"/>
        <v>7.6044080765248368E-3</v>
      </c>
      <c r="H147" s="23">
        <f t="shared" si="26"/>
        <v>1.0797669130596836</v>
      </c>
      <c r="I147">
        <f t="shared" si="23"/>
        <v>2000</v>
      </c>
      <c r="J147" s="15">
        <f t="shared" si="18"/>
        <v>8.1355923642470018E-2</v>
      </c>
      <c r="K147" s="15">
        <f t="shared" si="18"/>
        <v>0.22289029964111612</v>
      </c>
      <c r="L147" s="15">
        <f t="shared" si="18"/>
        <v>0.33686196152322073</v>
      </c>
      <c r="M147" s="15">
        <f t="shared" si="18"/>
        <v>0.57840867378477068</v>
      </c>
      <c r="N147" s="15">
        <f t="shared" si="18"/>
        <v>0.83841256566169076</v>
      </c>
      <c r="O147" s="15">
        <f t="shared" si="18"/>
        <v>0.9750588219055305</v>
      </c>
      <c r="P147" s="15">
        <f t="shared" si="18"/>
        <v>0.99966774157204075</v>
      </c>
      <c r="Q147" s="29"/>
      <c r="R147" s="29">
        <f t="shared" ref="R147:X156" si="30">R$16*J147/J$146</f>
        <v>35.607495976962852</v>
      </c>
      <c r="S147" s="29">
        <f t="shared" si="30"/>
        <v>15.327507108167596</v>
      </c>
      <c r="T147" s="29">
        <f t="shared" si="30"/>
        <v>96.634081725207579</v>
      </c>
      <c r="U147" s="29">
        <f t="shared" si="30"/>
        <v>574.12347897864868</v>
      </c>
      <c r="V147" s="29">
        <f t="shared" si="30"/>
        <v>2052.9387302778223</v>
      </c>
      <c r="W147" s="29">
        <f t="shared" si="30"/>
        <v>1508.640899963438</v>
      </c>
      <c r="X147" s="29">
        <f t="shared" si="30"/>
        <v>2399.9187541387269</v>
      </c>
      <c r="Y147" s="29">
        <f t="shared" ref="Y147:Y156" si="31">SUM(R147:X147)</f>
        <v>6683.1909481689745</v>
      </c>
      <c r="Z147" s="24">
        <f t="shared" si="21"/>
        <v>-96.238070712211993</v>
      </c>
    </row>
    <row r="148" spans="1:26" x14ac:dyDescent="0.2">
      <c r="A148">
        <f t="shared" si="25"/>
        <v>2001</v>
      </c>
      <c r="C148">
        <f t="shared" si="22"/>
        <v>19</v>
      </c>
      <c r="D148" s="22">
        <f t="shared" si="27"/>
        <v>0.93885603410255503</v>
      </c>
      <c r="E148" s="11">
        <f t="shared" si="29"/>
        <v>131</v>
      </c>
      <c r="F148" s="25">
        <f t="shared" si="28"/>
        <v>7.3791643225284091E-3</v>
      </c>
      <c r="H148" s="23">
        <f t="shared" si="26"/>
        <v>1.0651260296323195</v>
      </c>
      <c r="I148">
        <f t="shared" si="23"/>
        <v>2001</v>
      </c>
      <c r="J148" s="15">
        <f t="shared" ref="J148:P156" si="32">VLOOKUP($I148-J$168,$C$17:$D$167,2,FALSE)</f>
        <v>7.7262001216894832E-2</v>
      </c>
      <c r="K148" s="15">
        <f t="shared" si="32"/>
        <v>0.21011912299160712</v>
      </c>
      <c r="L148" s="15">
        <f t="shared" si="32"/>
        <v>0.31773465836030484</v>
      </c>
      <c r="M148" s="15">
        <f t="shared" si="32"/>
        <v>0.55103975964017771</v>
      </c>
      <c r="N148" s="15">
        <f t="shared" si="32"/>
        <v>0.81628944326341157</v>
      </c>
      <c r="O148" s="15">
        <f t="shared" si="32"/>
        <v>0.96804126115320344</v>
      </c>
      <c r="P148" s="15">
        <f t="shared" si="32"/>
        <v>0.99931709355148246</v>
      </c>
      <c r="Q148" s="29"/>
      <c r="R148" s="29">
        <f t="shared" si="30"/>
        <v>33.815686360993254</v>
      </c>
      <c r="S148" s="29">
        <f t="shared" si="30"/>
        <v>14.44927103782179</v>
      </c>
      <c r="T148" s="29">
        <f t="shared" si="30"/>
        <v>91.147117959188478</v>
      </c>
      <c r="U148" s="29">
        <f t="shared" si="30"/>
        <v>546.95732999657343</v>
      </c>
      <c r="V148" s="29">
        <f t="shared" si="30"/>
        <v>1998.7680073351623</v>
      </c>
      <c r="W148" s="29">
        <f t="shared" si="30"/>
        <v>1497.7831148420757</v>
      </c>
      <c r="X148" s="29">
        <f t="shared" si="30"/>
        <v>2399.0769476807973</v>
      </c>
      <c r="Y148" s="29">
        <f t="shared" si="31"/>
        <v>6581.9974752126118</v>
      </c>
      <c r="Z148" s="24">
        <f t="shared" si="21"/>
        <v>-101.19347295636271</v>
      </c>
    </row>
    <row r="149" spans="1:26" x14ac:dyDescent="0.2">
      <c r="A149">
        <f t="shared" si="25"/>
        <v>2002</v>
      </c>
      <c r="C149">
        <f t="shared" si="22"/>
        <v>18</v>
      </c>
      <c r="D149" s="22">
        <f t="shared" si="27"/>
        <v>0.95003528082637045</v>
      </c>
      <c r="E149" s="11">
        <f t="shared" si="29"/>
        <v>132</v>
      </c>
      <c r="F149" s="25">
        <f t="shared" si="28"/>
        <v>7.1621822017984907E-3</v>
      </c>
      <c r="H149" s="23">
        <f t="shared" si="26"/>
        <v>1.0525924880707258</v>
      </c>
      <c r="I149">
        <f t="shared" si="23"/>
        <v>2002</v>
      </c>
      <c r="J149" s="15">
        <f t="shared" si="32"/>
        <v>7.341097267328299E-2</v>
      </c>
      <c r="K149" s="15">
        <f t="shared" si="32"/>
        <v>0.19811690003603366</v>
      </c>
      <c r="L149" s="15">
        <f t="shared" si="32"/>
        <v>0.29959539136591834</v>
      </c>
      <c r="M149" s="15">
        <f t="shared" si="32"/>
        <v>0.52411943713386455</v>
      </c>
      <c r="N149" s="15">
        <f t="shared" si="32"/>
        <v>0.79285211743262995</v>
      </c>
      <c r="O149" s="15">
        <f t="shared" si="32"/>
        <v>0.95973419662039294</v>
      </c>
      <c r="P149" s="15">
        <f t="shared" si="32"/>
        <v>0.99874460083359562</v>
      </c>
      <c r="Q149" s="29"/>
      <c r="R149" s="29">
        <f t="shared" si="30"/>
        <v>32.130185450494778</v>
      </c>
      <c r="S149" s="29">
        <f t="shared" si="30"/>
        <v>13.623913640207036</v>
      </c>
      <c r="T149" s="29">
        <f t="shared" si="30"/>
        <v>85.943587702329609</v>
      </c>
      <c r="U149" s="29">
        <f t="shared" si="30"/>
        <v>520.23644921963194</v>
      </c>
      <c r="V149" s="29">
        <f t="shared" si="30"/>
        <v>1941.379323168461</v>
      </c>
      <c r="W149" s="29">
        <f t="shared" si="30"/>
        <v>1484.930169941437</v>
      </c>
      <c r="X149" s="29">
        <f t="shared" si="30"/>
        <v>2397.7025550169865</v>
      </c>
      <c r="Y149" s="29">
        <f t="shared" si="31"/>
        <v>6475.9461841395478</v>
      </c>
      <c r="Z149" s="24">
        <f t="shared" si="21"/>
        <v>-106.05129107306402</v>
      </c>
    </row>
    <row r="150" spans="1:26" x14ac:dyDescent="0.2">
      <c r="A150">
        <f t="shared" si="25"/>
        <v>2003</v>
      </c>
      <c r="C150">
        <f t="shared" si="22"/>
        <v>17</v>
      </c>
      <c r="D150" s="22">
        <f t="shared" si="27"/>
        <v>0.95973419662039294</v>
      </c>
      <c r="E150" s="11">
        <f t="shared" si="29"/>
        <v>133</v>
      </c>
      <c r="F150" s="25">
        <f t="shared" si="28"/>
        <v>6.9531022221839007E-3</v>
      </c>
      <c r="H150" s="23">
        <f t="shared" si="26"/>
        <v>1.0419551616701781</v>
      </c>
      <c r="I150">
        <f t="shared" si="23"/>
        <v>2003</v>
      </c>
      <c r="J150" s="15">
        <f t="shared" si="32"/>
        <v>6.9786882355573565E-2</v>
      </c>
      <c r="K150" s="15">
        <f t="shared" si="32"/>
        <v>0.18684419824168677</v>
      </c>
      <c r="L150" s="15">
        <f t="shared" si="32"/>
        <v>0.28242620325369033</v>
      </c>
      <c r="M150" s="15">
        <f t="shared" si="32"/>
        <v>0.49778041970036685</v>
      </c>
      <c r="N150" s="15">
        <f t="shared" si="32"/>
        <v>0.7682448037638353</v>
      </c>
      <c r="O150" s="15">
        <f t="shared" si="32"/>
        <v>0.95003528082637045</v>
      </c>
      <c r="P150" s="15">
        <f t="shared" si="32"/>
        <v>0.99787347733963683</v>
      </c>
      <c r="Q150" s="29"/>
      <c r="R150" s="29">
        <f t="shared" si="30"/>
        <v>30.544009845444879</v>
      </c>
      <c r="S150" s="29">
        <f t="shared" si="30"/>
        <v>12.848723256599904</v>
      </c>
      <c r="T150" s="29">
        <f t="shared" si="30"/>
        <v>81.0183396283403</v>
      </c>
      <c r="U150" s="29">
        <f t="shared" si="30"/>
        <v>494.09256686245629</v>
      </c>
      <c r="V150" s="29">
        <f t="shared" si="30"/>
        <v>1881.1258043785865</v>
      </c>
      <c r="W150" s="29">
        <f t="shared" si="30"/>
        <v>1469.9237101018466</v>
      </c>
      <c r="X150" s="29">
        <f t="shared" si="30"/>
        <v>2395.6112345478127</v>
      </c>
      <c r="Y150" s="29">
        <f t="shared" si="31"/>
        <v>6365.1643886210877</v>
      </c>
      <c r="Z150" s="24">
        <f t="shared" si="21"/>
        <v>-110.78179551846006</v>
      </c>
    </row>
    <row r="151" spans="1:26" x14ac:dyDescent="0.2">
      <c r="A151">
        <f t="shared" si="25"/>
        <v>2004</v>
      </c>
      <c r="C151">
        <f t="shared" si="22"/>
        <v>16</v>
      </c>
      <c r="D151" s="22">
        <f t="shared" si="27"/>
        <v>0.96804126115320344</v>
      </c>
      <c r="E151" s="11">
        <f t="shared" si="29"/>
        <v>134</v>
      </c>
      <c r="F151" s="25">
        <f t="shared" si="28"/>
        <v>6.7515828992620215E-3</v>
      </c>
      <c r="H151" s="23">
        <f t="shared" si="26"/>
        <v>1.0330138188621474</v>
      </c>
      <c r="I151">
        <f t="shared" si="23"/>
        <v>2004</v>
      </c>
      <c r="J151" s="15">
        <f t="shared" si="32"/>
        <v>6.6374858590300068E-2</v>
      </c>
      <c r="K151" s="15">
        <f t="shared" si="32"/>
        <v>0.1762617759045905</v>
      </c>
      <c r="L151" s="15">
        <f t="shared" si="32"/>
        <v>0.26620257394221086</v>
      </c>
      <c r="M151" s="15">
        <f t="shared" si="32"/>
        <v>0.47213623177465569</v>
      </c>
      <c r="N151" s="15">
        <f t="shared" si="32"/>
        <v>0.74263239079837484</v>
      </c>
      <c r="O151" s="15">
        <f t="shared" si="32"/>
        <v>0.93885603410255503</v>
      </c>
      <c r="P151" s="15">
        <f t="shared" si="32"/>
        <v>0.99661662127343875</v>
      </c>
      <c r="Q151" s="29"/>
      <c r="R151" s="29">
        <f t="shared" si="30"/>
        <v>29.05065057846392</v>
      </c>
      <c r="S151" s="29">
        <f t="shared" si="30"/>
        <v>12.121001351004898</v>
      </c>
      <c r="T151" s="29">
        <f t="shared" si="30"/>
        <v>76.36433977131901</v>
      </c>
      <c r="U151" s="29">
        <f t="shared" si="30"/>
        <v>468.63836630361402</v>
      </c>
      <c r="V151" s="29">
        <f t="shared" si="30"/>
        <v>1818.4111973865433</v>
      </c>
      <c r="W151" s="29">
        <f t="shared" si="30"/>
        <v>1452.6268368677061</v>
      </c>
      <c r="X151" s="29">
        <f t="shared" si="30"/>
        <v>2392.5938795616667</v>
      </c>
      <c r="Y151" s="29">
        <f t="shared" si="31"/>
        <v>6249.8062718203182</v>
      </c>
      <c r="Z151" s="24">
        <f t="shared" si="21"/>
        <v>-115.35811680076949</v>
      </c>
    </row>
    <row r="152" spans="1:26" x14ac:dyDescent="0.2">
      <c r="A152">
        <f t="shared" si="25"/>
        <v>2005</v>
      </c>
      <c r="C152">
        <f t="shared" si="22"/>
        <v>15</v>
      </c>
      <c r="D152" s="22">
        <f t="shared" si="27"/>
        <v>0.9750588219055305</v>
      </c>
      <c r="E152" s="11">
        <f t="shared" si="29"/>
        <v>135</v>
      </c>
      <c r="F152" s="25">
        <f t="shared" si="28"/>
        <v>6.5572997411478817E-3</v>
      </c>
      <c r="H152" s="23">
        <f t="shared" si="26"/>
        <v>1.0255791522871693</v>
      </c>
      <c r="I152">
        <f t="shared" si="23"/>
        <v>2005</v>
      </c>
      <c r="J152" s="15">
        <f t="shared" si="32"/>
        <v>6.3161046072174626E-2</v>
      </c>
      <c r="K152" s="15">
        <f t="shared" si="32"/>
        <v>0.16633101018005506</v>
      </c>
      <c r="L152" s="15">
        <f t="shared" si="32"/>
        <v>0.25089485022545271</v>
      </c>
      <c r="M152" s="15">
        <f t="shared" si="32"/>
        <v>0.44728095991378569</v>
      </c>
      <c r="N152" s="15">
        <f t="shared" si="32"/>
        <v>0.71619564655987122</v>
      </c>
      <c r="O152" s="15">
        <f t="shared" si="32"/>
        <v>0.92612580354620055</v>
      </c>
      <c r="P152" s="15">
        <f t="shared" si="32"/>
        <v>0.99487739205705961</v>
      </c>
      <c r="Q152" s="29"/>
      <c r="R152" s="29">
        <f t="shared" si="30"/>
        <v>27.644043521640761</v>
      </c>
      <c r="S152" s="29">
        <f t="shared" si="30"/>
        <v>11.43809194455047</v>
      </c>
      <c r="T152" s="29">
        <f t="shared" si="30"/>
        <v>71.973081648902195</v>
      </c>
      <c r="U152" s="29">
        <f t="shared" si="30"/>
        <v>443.96723705109395</v>
      </c>
      <c r="V152" s="29">
        <f t="shared" si="30"/>
        <v>1753.6781311462494</v>
      </c>
      <c r="W152" s="29">
        <f t="shared" si="30"/>
        <v>1432.9302339020019</v>
      </c>
      <c r="X152" s="29">
        <f t="shared" si="30"/>
        <v>2388.4184834369798</v>
      </c>
      <c r="Y152" s="29">
        <f t="shared" si="31"/>
        <v>6130.0493026514177</v>
      </c>
      <c r="Z152" s="24">
        <f t="shared" si="21"/>
        <v>-119.75696916890047</v>
      </c>
    </row>
    <row r="153" spans="1:26" x14ac:dyDescent="0.2">
      <c r="A153">
        <f t="shared" si="25"/>
        <v>2006</v>
      </c>
      <c r="C153">
        <f t="shared" si="22"/>
        <v>14</v>
      </c>
      <c r="D153" s="22">
        <f t="shared" si="27"/>
        <v>0.98089913773637061</v>
      </c>
      <c r="E153" s="11">
        <f t="shared" si="29"/>
        <v>136</v>
      </c>
      <c r="F153" s="25">
        <f t="shared" si="28"/>
        <v>6.369944296562991E-3</v>
      </c>
      <c r="H153" s="23">
        <f t="shared" si="26"/>
        <v>1.0194728097199766</v>
      </c>
      <c r="I153">
        <f t="shared" si="23"/>
        <v>2006</v>
      </c>
      <c r="J153" s="15">
        <f t="shared" si="32"/>
        <v>6.0132540642973638E-2</v>
      </c>
      <c r="K153" s="15">
        <f t="shared" si="32"/>
        <v>0.15701423013885152</v>
      </c>
      <c r="L153" s="15">
        <f t="shared" si="32"/>
        <v>0.23646951597528673</v>
      </c>
      <c r="M153" s="15">
        <f t="shared" si="32"/>
        <v>0.42328966303872301</v>
      </c>
      <c r="N153" s="15">
        <f t="shared" si="32"/>
        <v>0.68912590135052909</v>
      </c>
      <c r="O153" s="15">
        <f t="shared" si="32"/>
        <v>0.91179551610187515</v>
      </c>
      <c r="P153" s="15">
        <f t="shared" si="32"/>
        <v>0.99255066757486421</v>
      </c>
      <c r="Q153" s="29"/>
      <c r="R153" s="29">
        <f t="shared" si="30"/>
        <v>26.31854084084776</v>
      </c>
      <c r="S153" s="29">
        <f t="shared" si="30"/>
        <v>10.79740451877773</v>
      </c>
      <c r="T153" s="29">
        <f t="shared" si="30"/>
        <v>67.834950639569215</v>
      </c>
      <c r="U153" s="29">
        <f t="shared" si="30"/>
        <v>420.15368194481982</v>
      </c>
      <c r="V153" s="29">
        <f t="shared" si="30"/>
        <v>1687.3950974286522</v>
      </c>
      <c r="W153" s="29">
        <f t="shared" si="30"/>
        <v>1410.7579738690206</v>
      </c>
      <c r="X153" s="29">
        <f t="shared" si="30"/>
        <v>2382.8326777854404</v>
      </c>
      <c r="Y153" s="29">
        <f t="shared" si="31"/>
        <v>6006.0903270271283</v>
      </c>
      <c r="Z153" s="24">
        <f t="shared" si="21"/>
        <v>-123.95897562428945</v>
      </c>
    </row>
    <row r="154" spans="1:26" x14ac:dyDescent="0.2">
      <c r="A154">
        <f t="shared" si="25"/>
        <v>2007</v>
      </c>
      <c r="C154">
        <f t="shared" si="22"/>
        <v>13</v>
      </c>
      <c r="D154" s="22">
        <f t="shared" si="27"/>
        <v>0.98568059699018695</v>
      </c>
      <c r="E154" s="11">
        <f t="shared" si="29"/>
        <v>137</v>
      </c>
      <c r="F154" s="25">
        <f t="shared" si="28"/>
        <v>6.1892232618723205E-3</v>
      </c>
      <c r="H154" s="23">
        <f t="shared" si="26"/>
        <v>1.0145274270930542</v>
      </c>
      <c r="I154">
        <f t="shared" si="23"/>
        <v>2007</v>
      </c>
      <c r="J154" s="15">
        <f t="shared" si="32"/>
        <v>5.7277326812367101E-2</v>
      </c>
      <c r="K154" s="15">
        <f t="shared" si="32"/>
        <v>0.14827496853406261</v>
      </c>
      <c r="L154" s="15">
        <f t="shared" si="32"/>
        <v>0.22289029964111612</v>
      </c>
      <c r="M154" s="15">
        <f t="shared" si="32"/>
        <v>0.40021931047507942</v>
      </c>
      <c r="N154" s="15">
        <f t="shared" si="32"/>
        <v>0.66161951969955413</v>
      </c>
      <c r="O154" s="15">
        <f t="shared" si="32"/>
        <v>0.89584099329751798</v>
      </c>
      <c r="P154" s="15">
        <f t="shared" si="32"/>
        <v>0.98952423943937418</v>
      </c>
      <c r="Q154" s="29"/>
      <c r="R154" s="29">
        <f t="shared" si="30"/>
        <v>25.068883650137462</v>
      </c>
      <c r="S154" s="29">
        <f t="shared" si="30"/>
        <v>10.196431328902632</v>
      </c>
      <c r="T154" s="29">
        <f t="shared" si="30"/>
        <v>63.939541686100704</v>
      </c>
      <c r="U154" s="29">
        <f t="shared" si="30"/>
        <v>397.25424824782158</v>
      </c>
      <c r="V154" s="29">
        <f t="shared" si="30"/>
        <v>1620.042914823274</v>
      </c>
      <c r="W154" s="29">
        <f t="shared" si="30"/>
        <v>1386.0726470955917</v>
      </c>
      <c r="X154" s="29">
        <f t="shared" si="30"/>
        <v>2375.5670820896212</v>
      </c>
      <c r="Y154" s="29">
        <f t="shared" si="31"/>
        <v>5878.1417489214491</v>
      </c>
      <c r="Z154" s="24">
        <f t="shared" si="21"/>
        <v>-127.94857810567919</v>
      </c>
    </row>
    <row r="155" spans="1:26" x14ac:dyDescent="0.2">
      <c r="A155">
        <f t="shared" si="25"/>
        <v>2008</v>
      </c>
      <c r="C155">
        <f t="shared" si="22"/>
        <v>12</v>
      </c>
      <c r="D155" s="22">
        <f t="shared" si="27"/>
        <v>0.98952423943937418</v>
      </c>
      <c r="E155" s="11">
        <f t="shared" si="29"/>
        <v>138</v>
      </c>
      <c r="F155" s="25">
        <f t="shared" si="28"/>
        <v>6.0148576431107246E-3</v>
      </c>
      <c r="H155" s="23">
        <f t="shared" si="26"/>
        <v>1.0105866639169556</v>
      </c>
      <c r="I155">
        <f t="shared" si="23"/>
        <v>2008</v>
      </c>
      <c r="J155" s="15">
        <f t="shared" si="32"/>
        <v>5.4584218245985652E-2</v>
      </c>
      <c r="K155" s="15">
        <f t="shared" si="32"/>
        <v>0.1400781449420255</v>
      </c>
      <c r="L155" s="15">
        <f t="shared" si="32"/>
        <v>0.21011912299160712</v>
      </c>
      <c r="M155" s="15">
        <f t="shared" si="32"/>
        <v>0.37811011304039926</v>
      </c>
      <c r="N155" s="15">
        <f t="shared" si="32"/>
        <v>0.63387247361227783</v>
      </c>
      <c r="O155" s="15">
        <f t="shared" si="32"/>
        <v>0.87826558907772723</v>
      </c>
      <c r="P155" s="15">
        <f t="shared" si="32"/>
        <v>0.98568059699018695</v>
      </c>
      <c r="Q155" s="29"/>
      <c r="R155" s="29">
        <f t="shared" si="30"/>
        <v>23.890175964826494</v>
      </c>
      <c r="S155" s="29">
        <f t="shared" si="30"/>
        <v>9.632759997877292</v>
      </c>
      <c r="T155" s="29">
        <f t="shared" si="30"/>
        <v>60.275931456868442</v>
      </c>
      <c r="U155" s="29">
        <f t="shared" si="30"/>
        <v>375.30884887203752</v>
      </c>
      <c r="V155" s="29">
        <f t="shared" si="30"/>
        <v>1552.1014407848727</v>
      </c>
      <c r="W155" s="29">
        <f t="shared" si="30"/>
        <v>1358.8794429076136</v>
      </c>
      <c r="X155" s="29">
        <f t="shared" si="30"/>
        <v>2366.3395865784605</v>
      </c>
      <c r="Y155" s="29">
        <f t="shared" si="31"/>
        <v>5746.4281865625562</v>
      </c>
      <c r="Z155" s="24">
        <f t="shared" si="21"/>
        <v>-131.71356235889289</v>
      </c>
    </row>
    <row r="156" spans="1:26" x14ac:dyDescent="0.2">
      <c r="A156">
        <f t="shared" si="25"/>
        <v>2009</v>
      </c>
      <c r="C156">
        <f t="shared" si="22"/>
        <v>11</v>
      </c>
      <c r="D156" s="22">
        <f t="shared" si="27"/>
        <v>0.99255066757486421</v>
      </c>
      <c r="E156" s="11">
        <f t="shared" si="29"/>
        <v>139</v>
      </c>
      <c r="F156" s="25">
        <f t="shared" si="28"/>
        <v>5.8465819693084243E-3</v>
      </c>
      <c r="H156" s="23">
        <f t="shared" si="26"/>
        <v>1.00750524146373</v>
      </c>
      <c r="I156">
        <f t="shared" si="23"/>
        <v>2009</v>
      </c>
      <c r="J156" s="15">
        <f t="shared" si="32"/>
        <v>5.2042801348553311E-2</v>
      </c>
      <c r="K156" s="15">
        <f t="shared" si="32"/>
        <v>0.1323901917308119</v>
      </c>
      <c r="L156" s="15">
        <f t="shared" si="32"/>
        <v>0.19811690003603366</v>
      </c>
      <c r="M156" s="15">
        <f t="shared" si="32"/>
        <v>0.35698711913360753</v>
      </c>
      <c r="N156" s="15">
        <f t="shared" si="32"/>
        <v>0.60607530007065136</v>
      </c>
      <c r="O156" s="15">
        <f t="shared" si="32"/>
        <v>0.85910192848938727</v>
      </c>
      <c r="P156" s="15">
        <f t="shared" si="32"/>
        <v>0.98089913773637061</v>
      </c>
      <c r="Q156" s="29"/>
      <c r="R156" s="29">
        <f t="shared" si="30"/>
        <v>22.777860009214045</v>
      </c>
      <c r="S156" s="29">
        <f t="shared" si="30"/>
        <v>9.1040821788700477</v>
      </c>
      <c r="T156" s="29">
        <f t="shared" si="30"/>
        <v>56.832907528822183</v>
      </c>
      <c r="U156" s="29">
        <f t="shared" si="30"/>
        <v>354.34234664298435</v>
      </c>
      <c r="V156" s="29">
        <f t="shared" si="30"/>
        <v>1484.0372245587939</v>
      </c>
      <c r="W156" s="29">
        <f t="shared" si="30"/>
        <v>1329.2288397777565</v>
      </c>
      <c r="X156" s="29">
        <f t="shared" si="30"/>
        <v>2354.8606588726025</v>
      </c>
      <c r="Y156" s="29">
        <f t="shared" si="31"/>
        <v>5611.1839195690436</v>
      </c>
      <c r="Z156" s="24">
        <f t="shared" si="21"/>
        <v>-135.24426699351261</v>
      </c>
    </row>
    <row r="157" spans="1:26" x14ac:dyDescent="0.2">
      <c r="A157">
        <f t="shared" si="25"/>
        <v>2010</v>
      </c>
      <c r="C157">
        <f t="shared" si="22"/>
        <v>10</v>
      </c>
      <c r="D157" s="22">
        <f t="shared" si="27"/>
        <v>0.99487739205705961</v>
      </c>
      <c r="E157" s="11">
        <f t="shared" si="29"/>
        <v>140</v>
      </c>
      <c r="F157" s="25">
        <f t="shared" si="28"/>
        <v>5.6841435536916689E-3</v>
      </c>
      <c r="H157" s="23">
        <f t="shared" si="26"/>
        <v>1.0051489841701484</v>
      </c>
      <c r="I157">
        <f t="shared" si="23"/>
        <v>2010</v>
      </c>
    </row>
    <row r="158" spans="1:26" x14ac:dyDescent="0.2">
      <c r="A158">
        <f t="shared" si="25"/>
        <v>2011</v>
      </c>
      <c r="C158">
        <f t="shared" si="22"/>
        <v>9</v>
      </c>
      <c r="D158" s="22">
        <f t="shared" si="27"/>
        <v>0.99661662127343875</v>
      </c>
      <c r="E158" s="11">
        <f t="shared" si="29"/>
        <v>141</v>
      </c>
      <c r="F158" s="25">
        <f t="shared" si="28"/>
        <v>5.5273017995804904E-3</v>
      </c>
      <c r="H158" s="23">
        <f t="shared" si="26"/>
        <v>1.0033948648400406</v>
      </c>
      <c r="I158">
        <f t="shared" si="23"/>
        <v>2011</v>
      </c>
    </row>
    <row r="159" spans="1:26" x14ac:dyDescent="0.2">
      <c r="A159">
        <f t="shared" si="25"/>
        <v>2012</v>
      </c>
      <c r="C159">
        <f t="shared" si="22"/>
        <v>8</v>
      </c>
      <c r="D159" s="22">
        <f t="shared" si="27"/>
        <v>0.99787347733963683</v>
      </c>
      <c r="E159" s="11">
        <f t="shared" si="29"/>
        <v>142</v>
      </c>
      <c r="F159" s="25">
        <f t="shared" si="28"/>
        <v>5.3758275480326684E-3</v>
      </c>
      <c r="H159" s="23">
        <f t="shared" si="26"/>
        <v>1.0021310543958264</v>
      </c>
      <c r="I159">
        <f t="shared" si="23"/>
        <v>2012</v>
      </c>
    </row>
    <row r="160" spans="1:26" x14ac:dyDescent="0.2">
      <c r="A160">
        <f t="shared" si="25"/>
        <v>2013</v>
      </c>
      <c r="C160">
        <f t="shared" si="22"/>
        <v>7</v>
      </c>
      <c r="D160" s="22">
        <f t="shared" si="27"/>
        <v>0.99874460083359562</v>
      </c>
      <c r="E160" s="11">
        <f t="shared" si="29"/>
        <v>143</v>
      </c>
      <c r="F160" s="25">
        <f t="shared" si="28"/>
        <v>5.229502464492935E-3</v>
      </c>
      <c r="H160" s="23">
        <f t="shared" si="26"/>
        <v>1.0012569771745015</v>
      </c>
      <c r="I160">
        <f t="shared" si="23"/>
        <v>2013</v>
      </c>
    </row>
    <row r="161" spans="1:16" x14ac:dyDescent="0.2">
      <c r="A161">
        <f t="shared" si="25"/>
        <v>2014</v>
      </c>
      <c r="C161">
        <f t="shared" si="22"/>
        <v>6</v>
      </c>
      <c r="D161" s="22">
        <f t="shared" si="27"/>
        <v>0.99931709355148246</v>
      </c>
      <c r="E161" s="11">
        <f t="shared" si="29"/>
        <v>144</v>
      </c>
      <c r="F161" s="25">
        <f t="shared" si="28"/>
        <v>5.0881184619003391E-3</v>
      </c>
      <c r="H161" s="23">
        <f t="shared" si="26"/>
        <v>1.0006833731284337</v>
      </c>
      <c r="I161">
        <f t="shared" si="23"/>
        <v>2014</v>
      </c>
    </row>
    <row r="162" spans="1:16" x14ac:dyDescent="0.2">
      <c r="A162">
        <f t="shared" si="25"/>
        <v>2015</v>
      </c>
      <c r="C162">
        <f t="shared" si="22"/>
        <v>5</v>
      </c>
      <c r="D162" s="22">
        <f t="shared" si="27"/>
        <v>0.99966774157204075</v>
      </c>
      <c r="E162" s="11">
        <f t="shared" si="29"/>
        <v>145</v>
      </c>
      <c r="F162" s="25">
        <f t="shared" si="28"/>
        <v>4.9514771578860958E-3</v>
      </c>
      <c r="H162" s="23">
        <f t="shared" si="26"/>
        <v>1.0003323688603143</v>
      </c>
      <c r="I162">
        <f t="shared" si="23"/>
        <v>2015</v>
      </c>
    </row>
    <row r="163" spans="1:16" x14ac:dyDescent="0.2">
      <c r="A163">
        <f t="shared" si="25"/>
        <v>2016</v>
      </c>
      <c r="C163">
        <f t="shared" si="22"/>
        <v>4</v>
      </c>
      <c r="D163" s="22">
        <f t="shared" si="27"/>
        <v>0.99986245855933187</v>
      </c>
      <c r="E163" s="11">
        <f t="shared" si="29"/>
        <v>146</v>
      </c>
      <c r="F163" s="25">
        <f t="shared" si="28"/>
        <v>4.8193893638602391E-3</v>
      </c>
      <c r="H163" s="23">
        <f t="shared" si="26"/>
        <v>1.0001375603609184</v>
      </c>
      <c r="I163">
        <f t="shared" si="23"/>
        <v>2016</v>
      </c>
    </row>
    <row r="164" spans="1:16" x14ac:dyDescent="0.2">
      <c r="A164">
        <f t="shared" si="25"/>
        <v>2017</v>
      </c>
      <c r="C164">
        <f t="shared" si="22"/>
        <v>3</v>
      </c>
      <c r="D164" s="22">
        <f t="shared" si="27"/>
        <v>0.99995588995390916</v>
      </c>
      <c r="E164" s="11">
        <f t="shared" si="29"/>
        <v>147</v>
      </c>
      <c r="F164" s="25">
        <f t="shared" si="28"/>
        <v>4.6916746039387166E-3</v>
      </c>
      <c r="H164" s="23">
        <f t="shared" si="26"/>
        <v>1.0000441119918728</v>
      </c>
      <c r="I164">
        <f t="shared" si="23"/>
        <v>2017</v>
      </c>
    </row>
    <row r="165" spans="1:16" x14ac:dyDescent="0.2">
      <c r="A165">
        <f t="shared" si="25"/>
        <v>2018</v>
      </c>
      <c r="C165">
        <f t="shared" si="22"/>
        <v>2</v>
      </c>
      <c r="D165" s="22">
        <f t="shared" si="27"/>
        <v>0.99999112050593009</v>
      </c>
      <c r="E165" s="11">
        <f t="shared" si="29"/>
        <v>148</v>
      </c>
      <c r="F165" s="25">
        <f t="shared" si="28"/>
        <v>4.5681606618047524E-3</v>
      </c>
      <c r="H165" s="23">
        <f t="shared" si="26"/>
        <v>1.0000088795729161</v>
      </c>
      <c r="I165">
        <f t="shared" si="23"/>
        <v>2018</v>
      </c>
    </row>
    <row r="166" spans="1:16" x14ac:dyDescent="0.2">
      <c r="A166">
        <f t="shared" si="25"/>
        <v>2019</v>
      </c>
      <c r="C166">
        <f t="shared" si="22"/>
        <v>1</v>
      </c>
      <c r="D166" s="22">
        <f t="shared" si="27"/>
        <v>0.99999942682056486</v>
      </c>
      <c r="E166" s="11">
        <f t="shared" si="29"/>
        <v>149</v>
      </c>
      <c r="F166" s="25">
        <f t="shared" si="28"/>
        <v>4.4486831537299465E-3</v>
      </c>
      <c r="H166" s="23">
        <f t="shared" si="26"/>
        <v>1.0000005731797637</v>
      </c>
      <c r="I166">
        <f t="shared" si="23"/>
        <v>2019</v>
      </c>
    </row>
    <row r="167" spans="1:16" x14ac:dyDescent="0.2">
      <c r="A167">
        <f t="shared" si="25"/>
        <v>2020</v>
      </c>
      <c r="C167">
        <f t="shared" si="22"/>
        <v>0</v>
      </c>
      <c r="D167" s="22">
        <f t="shared" si="27"/>
        <v>1</v>
      </c>
      <c r="E167" s="11">
        <f t="shared" si="29"/>
        <v>150</v>
      </c>
      <c r="F167" s="25">
        <f t="shared" si="28"/>
        <v>4.3330851261021769E-3</v>
      </c>
      <c r="H167" s="23">
        <f t="shared" si="26"/>
        <v>1</v>
      </c>
      <c r="I167">
        <f t="shared" si="23"/>
        <v>2020</v>
      </c>
    </row>
    <row r="168" spans="1:16" x14ac:dyDescent="0.2">
      <c r="I168" t="s">
        <v>75</v>
      </c>
      <c r="J168">
        <v>1930</v>
      </c>
      <c r="K168">
        <v>1948</v>
      </c>
      <c r="L168">
        <v>1955</v>
      </c>
      <c r="M168">
        <v>1965</v>
      </c>
      <c r="N168">
        <v>1975</v>
      </c>
      <c r="O168">
        <v>1985</v>
      </c>
      <c r="P168">
        <v>1995</v>
      </c>
    </row>
    <row r="169" spans="1:16" x14ac:dyDescent="0.2">
      <c r="I169">
        <v>1999</v>
      </c>
      <c r="J169">
        <f t="shared" ref="J169:P169" si="33">$I169-J168</f>
        <v>69</v>
      </c>
      <c r="K169">
        <f t="shared" si="33"/>
        <v>51</v>
      </c>
      <c r="L169">
        <f t="shared" si="33"/>
        <v>44</v>
      </c>
      <c r="M169">
        <f t="shared" si="33"/>
        <v>34</v>
      </c>
      <c r="N169">
        <f t="shared" si="33"/>
        <v>24</v>
      </c>
      <c r="O169">
        <f t="shared" si="33"/>
        <v>14</v>
      </c>
      <c r="P169">
        <f t="shared" si="33"/>
        <v>4</v>
      </c>
    </row>
    <row r="170" spans="1:16" x14ac:dyDescent="0.2">
      <c r="I170">
        <v>2001</v>
      </c>
      <c r="J170">
        <f t="shared" ref="J170:P174" si="34">$I170-J$168</f>
        <v>71</v>
      </c>
      <c r="K170">
        <f t="shared" si="34"/>
        <v>53</v>
      </c>
      <c r="L170">
        <f t="shared" si="34"/>
        <v>46</v>
      </c>
      <c r="M170">
        <f t="shared" si="34"/>
        <v>36</v>
      </c>
      <c r="N170">
        <f t="shared" si="34"/>
        <v>26</v>
      </c>
      <c r="O170">
        <f t="shared" si="34"/>
        <v>16</v>
      </c>
      <c r="P170">
        <f t="shared" si="34"/>
        <v>6</v>
      </c>
    </row>
    <row r="171" spans="1:16" x14ac:dyDescent="0.2">
      <c r="I171">
        <v>2003</v>
      </c>
      <c r="J171">
        <f t="shared" si="34"/>
        <v>73</v>
      </c>
      <c r="K171">
        <f t="shared" si="34"/>
        <v>55</v>
      </c>
      <c r="L171">
        <f t="shared" si="34"/>
        <v>48</v>
      </c>
      <c r="M171">
        <f t="shared" si="34"/>
        <v>38</v>
      </c>
      <c r="N171">
        <f t="shared" si="34"/>
        <v>28</v>
      </c>
      <c r="O171">
        <f t="shared" si="34"/>
        <v>18</v>
      </c>
      <c r="P171">
        <f t="shared" si="34"/>
        <v>8</v>
      </c>
    </row>
    <row r="172" spans="1:16" x14ac:dyDescent="0.2">
      <c r="I172">
        <v>2005</v>
      </c>
      <c r="J172">
        <f t="shared" si="34"/>
        <v>75</v>
      </c>
      <c r="K172">
        <f t="shared" si="34"/>
        <v>57</v>
      </c>
      <c r="L172">
        <f t="shared" si="34"/>
        <v>50</v>
      </c>
      <c r="M172">
        <f t="shared" si="34"/>
        <v>40</v>
      </c>
      <c r="N172">
        <f t="shared" si="34"/>
        <v>30</v>
      </c>
      <c r="O172">
        <f t="shared" si="34"/>
        <v>20</v>
      </c>
      <c r="P172">
        <f t="shared" si="34"/>
        <v>10</v>
      </c>
    </row>
    <row r="173" spans="1:16" x14ac:dyDescent="0.2">
      <c r="I173">
        <v>2007</v>
      </c>
      <c r="J173">
        <f t="shared" si="34"/>
        <v>77</v>
      </c>
      <c r="K173">
        <f t="shared" si="34"/>
        <v>59</v>
      </c>
      <c r="L173">
        <f t="shared" si="34"/>
        <v>52</v>
      </c>
      <c r="M173">
        <f t="shared" si="34"/>
        <v>42</v>
      </c>
      <c r="N173">
        <f t="shared" si="34"/>
        <v>32</v>
      </c>
      <c r="O173">
        <f t="shared" si="34"/>
        <v>22</v>
      </c>
      <c r="P173">
        <f t="shared" si="34"/>
        <v>12</v>
      </c>
    </row>
    <row r="174" spans="1:16" x14ac:dyDescent="0.2">
      <c r="I174">
        <v>2009</v>
      </c>
      <c r="J174">
        <f t="shared" si="34"/>
        <v>79</v>
      </c>
      <c r="K174">
        <f t="shared" si="34"/>
        <v>61</v>
      </c>
      <c r="L174">
        <f t="shared" si="34"/>
        <v>54</v>
      </c>
      <c r="M174">
        <f t="shared" si="34"/>
        <v>44</v>
      </c>
      <c r="N174">
        <f t="shared" si="34"/>
        <v>34</v>
      </c>
      <c r="O174">
        <f t="shared" si="34"/>
        <v>24</v>
      </c>
      <c r="P174">
        <f t="shared" si="34"/>
        <v>14</v>
      </c>
    </row>
    <row r="176" spans="1:16" x14ac:dyDescent="0.2">
      <c r="I176">
        <v>1999</v>
      </c>
      <c r="J176">
        <f t="shared" ref="J176:P181" si="35">VLOOKUP(J169,$E17:$F167,2,FALSE)</f>
        <v>8.5709849093193499E-2</v>
      </c>
      <c r="K176">
        <f t="shared" si="35"/>
        <v>0.23646951597528673</v>
      </c>
      <c r="L176">
        <f t="shared" si="35"/>
        <v>0.35698711913360753</v>
      </c>
      <c r="M176">
        <f t="shared" si="35"/>
        <v>0.60607530007065136</v>
      </c>
      <c r="N176">
        <f t="shared" si="35"/>
        <v>0.85910192848938727</v>
      </c>
      <c r="O176">
        <f t="shared" si="35"/>
        <v>0.98089913773637061</v>
      </c>
      <c r="P176">
        <f t="shared" si="35"/>
        <v>0.99986245855933187</v>
      </c>
    </row>
    <row r="177" spans="9:21" x14ac:dyDescent="0.2">
      <c r="I177">
        <v>2001</v>
      </c>
      <c r="J177">
        <f t="shared" si="35"/>
        <v>7.7262001216894832E-2</v>
      </c>
      <c r="K177">
        <f t="shared" si="35"/>
        <v>0.21011912299160712</v>
      </c>
      <c r="L177">
        <f t="shared" si="35"/>
        <v>0.31773465836030484</v>
      </c>
      <c r="M177">
        <f t="shared" si="35"/>
        <v>0.55103975964017771</v>
      </c>
      <c r="N177">
        <f t="shared" si="35"/>
        <v>0.81628944326341157</v>
      </c>
      <c r="O177">
        <f t="shared" si="35"/>
        <v>0.96804126115320344</v>
      </c>
      <c r="P177">
        <f t="shared" si="35"/>
        <v>0.99931709355148246</v>
      </c>
    </row>
    <row r="178" spans="9:21" x14ac:dyDescent="0.2">
      <c r="I178">
        <v>2003</v>
      </c>
      <c r="J178">
        <f t="shared" si="35"/>
        <v>6.9786882355573565E-2</v>
      </c>
      <c r="K178">
        <f t="shared" si="35"/>
        <v>0.18684419824168677</v>
      </c>
      <c r="L178">
        <f t="shared" si="35"/>
        <v>0.28242620325369033</v>
      </c>
      <c r="M178">
        <f t="shared" si="35"/>
        <v>0.49778041970036685</v>
      </c>
      <c r="N178">
        <f t="shared" si="35"/>
        <v>0.7682448037638353</v>
      </c>
      <c r="O178">
        <f t="shared" si="35"/>
        <v>0.95003528082637045</v>
      </c>
      <c r="P178">
        <f t="shared" si="35"/>
        <v>0.99787347733963683</v>
      </c>
    </row>
    <row r="179" spans="9:21" x14ac:dyDescent="0.2">
      <c r="I179">
        <v>2005</v>
      </c>
      <c r="J179">
        <f t="shared" si="35"/>
        <v>6.3161046072174626E-2</v>
      </c>
      <c r="K179">
        <f t="shared" si="35"/>
        <v>0.16633101018005506</v>
      </c>
      <c r="L179">
        <f t="shared" si="35"/>
        <v>0.25089485022545271</v>
      </c>
      <c r="M179">
        <f t="shared" si="35"/>
        <v>0.44728095991378569</v>
      </c>
      <c r="N179">
        <f t="shared" si="35"/>
        <v>0.71619564655987122</v>
      </c>
      <c r="O179">
        <f t="shared" si="35"/>
        <v>0.92612580354620055</v>
      </c>
      <c r="P179">
        <f t="shared" si="35"/>
        <v>0.99487739205705961</v>
      </c>
    </row>
    <row r="180" spans="9:21" x14ac:dyDescent="0.2">
      <c r="I180">
        <v>2007</v>
      </c>
      <c r="J180">
        <f t="shared" si="35"/>
        <v>5.7277326812367101E-2</v>
      </c>
      <c r="K180">
        <f t="shared" si="35"/>
        <v>0.14827496853406261</v>
      </c>
      <c r="L180">
        <f t="shared" si="35"/>
        <v>0.22289029964111612</v>
      </c>
      <c r="M180">
        <f t="shared" si="35"/>
        <v>0.40021931047507942</v>
      </c>
      <c r="N180">
        <f t="shared" si="35"/>
        <v>0.66161951969955413</v>
      </c>
      <c r="O180">
        <f t="shared" si="35"/>
        <v>0.89584099329751798</v>
      </c>
      <c r="P180">
        <f t="shared" si="35"/>
        <v>0.98952423943937418</v>
      </c>
      <c r="R180" t="s">
        <v>76</v>
      </c>
    </row>
    <row r="181" spans="9:21" x14ac:dyDescent="0.2">
      <c r="I181">
        <v>2009</v>
      </c>
      <c r="J181">
        <f t="shared" si="35"/>
        <v>5.2042801348553311E-2</v>
      </c>
      <c r="K181">
        <f t="shared" si="35"/>
        <v>0.1323901917308119</v>
      </c>
      <c r="L181">
        <f t="shared" si="35"/>
        <v>0.19811690003603366</v>
      </c>
      <c r="M181">
        <f t="shared" si="35"/>
        <v>0.35698711913360753</v>
      </c>
      <c r="N181">
        <f t="shared" si="35"/>
        <v>0.60607530007065136</v>
      </c>
      <c r="O181">
        <f t="shared" si="35"/>
        <v>0.85910192848938727</v>
      </c>
      <c r="P181">
        <f t="shared" si="35"/>
        <v>0.98089913773637061</v>
      </c>
      <c r="S181" t="s">
        <v>77</v>
      </c>
      <c r="T181">
        <v>3.9534307075231441</v>
      </c>
    </row>
    <row r="182" spans="9:21" x14ac:dyDescent="0.2">
      <c r="S182" t="s">
        <v>78</v>
      </c>
      <c r="T182">
        <v>37.914757612346875</v>
      </c>
    </row>
    <row r="183" spans="9:21" x14ac:dyDescent="0.2">
      <c r="I183">
        <v>1999</v>
      </c>
      <c r="J183">
        <v>1</v>
      </c>
      <c r="K183">
        <v>1</v>
      </c>
      <c r="L183">
        <v>1</v>
      </c>
      <c r="M183">
        <v>1</v>
      </c>
      <c r="N183">
        <v>1</v>
      </c>
      <c r="O183">
        <v>1</v>
      </c>
      <c r="P183">
        <v>1</v>
      </c>
      <c r="S183" t="s">
        <v>81</v>
      </c>
      <c r="T183">
        <v>1.005511178272344</v>
      </c>
    </row>
    <row r="184" spans="9:21" x14ac:dyDescent="0.2">
      <c r="I184">
        <v>2001</v>
      </c>
      <c r="J184">
        <f t="shared" ref="J184:P188" si="36">J177/J$176</f>
        <v>0.9014366730816058</v>
      </c>
      <c r="K184">
        <f t="shared" si="36"/>
        <v>0.88856748458675128</v>
      </c>
      <c r="L184">
        <f t="shared" si="36"/>
        <v>0.89004516222163221</v>
      </c>
      <c r="M184">
        <f t="shared" si="36"/>
        <v>0.90919355990244433</v>
      </c>
      <c r="N184">
        <f t="shared" si="36"/>
        <v>0.95016600032401788</v>
      </c>
      <c r="O184">
        <f t="shared" si="36"/>
        <v>0.98689174443272587</v>
      </c>
      <c r="P184">
        <f t="shared" si="36"/>
        <v>0.99945455997154331</v>
      </c>
    </row>
    <row r="185" spans="9:21" x14ac:dyDescent="0.2">
      <c r="I185">
        <v>2003</v>
      </c>
      <c r="J185">
        <f t="shared" si="36"/>
        <v>0.81422243877355716</v>
      </c>
      <c r="K185">
        <f t="shared" si="36"/>
        <v>0.79014073958359066</v>
      </c>
      <c r="L185">
        <f t="shared" si="36"/>
        <v>0.79113835798649168</v>
      </c>
      <c r="M185">
        <f t="shared" si="36"/>
        <v>0.82131777956029495</v>
      </c>
      <c r="N185">
        <f t="shared" si="36"/>
        <v>0.89424174045876981</v>
      </c>
      <c r="O185">
        <f t="shared" si="36"/>
        <v>0.96853513707716687</v>
      </c>
      <c r="P185">
        <f t="shared" si="36"/>
        <v>0.9980107451753305</v>
      </c>
      <c r="S185" t="s">
        <v>80</v>
      </c>
      <c r="T185">
        <f>SUM(J204:Q209)*0.001</f>
        <v>138.93242930866748</v>
      </c>
    </row>
    <row r="186" spans="9:21" x14ac:dyDescent="0.2">
      <c r="I186">
        <v>2005</v>
      </c>
      <c r="J186">
        <f t="shared" si="36"/>
        <v>0.73691701409366328</v>
      </c>
      <c r="K186">
        <f t="shared" si="36"/>
        <v>0.70339303353349869</v>
      </c>
      <c r="L186">
        <f t="shared" si="36"/>
        <v>0.70281205337145991</v>
      </c>
      <c r="M186">
        <f t="shared" si="36"/>
        <v>0.73799569106618479</v>
      </c>
      <c r="N186">
        <f t="shared" si="36"/>
        <v>0.83365619702332983</v>
      </c>
      <c r="O186">
        <f t="shared" si="36"/>
        <v>0.94416007509541611</v>
      </c>
      <c r="P186">
        <f t="shared" si="36"/>
        <v>0.99501424775018044</v>
      </c>
      <c r="S186" t="s">
        <v>83</v>
      </c>
      <c r="T186">
        <f>AHS_tables!$IK$16</f>
        <v>231.41068084448949</v>
      </c>
    </row>
    <row r="187" spans="9:21" x14ac:dyDescent="0.2">
      <c r="I187">
        <v>2007</v>
      </c>
      <c r="J187">
        <f t="shared" si="36"/>
        <v>0.66827006952361656</v>
      </c>
      <c r="K187">
        <f t="shared" si="36"/>
        <v>0.62703629227861546</v>
      </c>
      <c r="L187">
        <f t="shared" si="36"/>
        <v>0.62436510365433173</v>
      </c>
      <c r="M187">
        <f t="shared" si="36"/>
        <v>0.6603458521217167</v>
      </c>
      <c r="N187">
        <f t="shared" si="36"/>
        <v>0.7701292451559516</v>
      </c>
      <c r="O187">
        <f t="shared" si="36"/>
        <v>0.91328553449935534</v>
      </c>
      <c r="P187">
        <f t="shared" si="36"/>
        <v>0.98966035875088887</v>
      </c>
    </row>
    <row r="188" spans="9:21" x14ac:dyDescent="0.2">
      <c r="I188">
        <v>2009</v>
      </c>
      <c r="J188">
        <f t="shared" si="36"/>
        <v>0.60719744462467151</v>
      </c>
      <c r="K188">
        <f t="shared" si="36"/>
        <v>0.55986155841181617</v>
      </c>
      <c r="L188">
        <f t="shared" si="36"/>
        <v>0.55496932359031581</v>
      </c>
      <c r="M188">
        <f t="shared" si="36"/>
        <v>0.58901446584606376</v>
      </c>
      <c r="N188">
        <f t="shared" si="36"/>
        <v>0.70547542727130352</v>
      </c>
      <c r="O188">
        <f t="shared" si="36"/>
        <v>0.87583105687292595</v>
      </c>
      <c r="P188">
        <f t="shared" si="36"/>
        <v>0.98103407057578207</v>
      </c>
    </row>
    <row r="189" spans="9:21" x14ac:dyDescent="0.2">
      <c r="S189" t="s">
        <v>41</v>
      </c>
      <c r="T189" t="s">
        <v>30</v>
      </c>
      <c r="U189" t="s">
        <v>79</v>
      </c>
    </row>
    <row r="190" spans="9:21" x14ac:dyDescent="0.2">
      <c r="J190">
        <f>J$16*J183*$T$183</f>
        <v>37.719843947210038</v>
      </c>
      <c r="K190">
        <f t="shared" ref="K190:P190" si="37">K$16*K183*$T$183</f>
        <v>16.350928655884413</v>
      </c>
      <c r="L190">
        <f t="shared" si="37"/>
        <v>102.97168038811283</v>
      </c>
      <c r="M190">
        <f t="shared" si="37"/>
        <v>604.90057739582016</v>
      </c>
      <c r="N190">
        <f t="shared" si="37"/>
        <v>2115.192054297127</v>
      </c>
      <c r="O190">
        <f t="shared" si="37"/>
        <v>1526.0414053488319</v>
      </c>
      <c r="P190">
        <f t="shared" si="37"/>
        <v>2413.6151707559579</v>
      </c>
      <c r="Q190" s="2">
        <f t="shared" ref="Q190:Q195" si="38">SUM(J190:P190)</f>
        <v>6816.7916607889438</v>
      </c>
      <c r="R190">
        <f t="shared" ref="R190:R195" si="39">I183</f>
        <v>1999</v>
      </c>
      <c r="S190" s="2">
        <f t="shared" ref="S190:S195" si="40">Q197</f>
        <v>6779.4290188811865</v>
      </c>
      <c r="T190">
        <f t="shared" ref="T190:T195" si="41">SUM(J190:P190)*$T$183</f>
        <v>6854.3602148769796</v>
      </c>
      <c r="U190">
        <f t="shared" ref="U190:U195" si="42">(S190-T190)^2</f>
        <v>5614.684133359965</v>
      </c>
    </row>
    <row r="191" spans="9:21" x14ac:dyDescent="0.2">
      <c r="J191">
        <f t="shared" ref="J191:P195" si="43">J$16*J184*$T$183</f>
        <v>34.002050636930363</v>
      </c>
      <c r="K191">
        <f t="shared" si="43"/>
        <v>14.528903546416643</v>
      </c>
      <c r="L191">
        <f t="shared" si="43"/>
        <v>91.649445975271931</v>
      </c>
      <c r="M191">
        <f t="shared" si="43"/>
        <v>549.97170934954977</v>
      </c>
      <c r="N191">
        <f t="shared" si="43"/>
        <v>2009.783574148644</v>
      </c>
      <c r="O191">
        <f t="shared" si="43"/>
        <v>1506.0376646012771</v>
      </c>
      <c r="P191">
        <f t="shared" si="43"/>
        <v>2412.2986884285369</v>
      </c>
      <c r="Q191" s="2">
        <f t="shared" si="38"/>
        <v>6618.272036686627</v>
      </c>
      <c r="R191">
        <f t="shared" si="39"/>
        <v>2001</v>
      </c>
      <c r="S191" s="2">
        <f t="shared" si="40"/>
        <v>6837.6489145402238</v>
      </c>
      <c r="T191">
        <f t="shared" si="41"/>
        <v>6654.7465137356767</v>
      </c>
      <c r="U191">
        <f t="shared" si="42"/>
        <v>33453.28822006721</v>
      </c>
    </row>
    <row r="192" spans="9:21" x14ac:dyDescent="0.2">
      <c r="J192">
        <f t="shared" si="43"/>
        <v>30.712343328855354</v>
      </c>
      <c r="K192">
        <f t="shared" si="43"/>
        <v>12.919534861039036</v>
      </c>
      <c r="L192">
        <f t="shared" si="43"/>
        <v>81.46484614136142</v>
      </c>
      <c r="M192">
        <f t="shared" si="43"/>
        <v>496.81559908147534</v>
      </c>
      <c r="N192">
        <f t="shared" si="43"/>
        <v>1891.4930240392234</v>
      </c>
      <c r="O192">
        <f t="shared" si="43"/>
        <v>1478.0247217149633</v>
      </c>
      <c r="P192">
        <f t="shared" si="43"/>
        <v>2408.813875132636</v>
      </c>
      <c r="Q192" s="2">
        <f t="shared" si="38"/>
        <v>6400.2439442995537</v>
      </c>
      <c r="R192">
        <f t="shared" si="39"/>
        <v>2003</v>
      </c>
      <c r="S192" s="2">
        <f t="shared" si="40"/>
        <v>6317.0725734817752</v>
      </c>
      <c r="T192">
        <f t="shared" si="41"/>
        <v>6435.5168296630791</v>
      </c>
      <c r="U192">
        <f t="shared" si="42"/>
        <v>14029.041822342348</v>
      </c>
    </row>
    <row r="193" spans="10:21" x14ac:dyDescent="0.2">
      <c r="J193">
        <f t="shared" si="43"/>
        <v>27.79639477365696</v>
      </c>
      <c r="K193">
        <f t="shared" si="43"/>
        <v>11.50112930835235</v>
      </c>
      <c r="L193">
        <f t="shared" si="43"/>
        <v>72.369738132679274</v>
      </c>
      <c r="M193">
        <f t="shared" si="43"/>
        <v>446.4140196415625</v>
      </c>
      <c r="N193">
        <f t="shared" si="43"/>
        <v>1763.3429639593076</v>
      </c>
      <c r="O193">
        <f t="shared" si="43"/>
        <v>1440.8273678728674</v>
      </c>
      <c r="P193">
        <f t="shared" si="43"/>
        <v>2401.5814834881626</v>
      </c>
      <c r="Q193" s="2">
        <f t="shared" si="38"/>
        <v>6163.8330971765881</v>
      </c>
      <c r="R193">
        <f t="shared" si="39"/>
        <v>2005</v>
      </c>
      <c r="S193" s="2">
        <f t="shared" si="40"/>
        <v>6107.1059712185688</v>
      </c>
      <c r="T193">
        <f t="shared" si="41"/>
        <v>6197.8030802161029</v>
      </c>
      <c r="U193">
        <f t="shared" si="42"/>
        <v>8225.9655805105795</v>
      </c>
    </row>
    <row r="194" spans="10:21" x14ac:dyDescent="0.2">
      <c r="J194">
        <f t="shared" si="43"/>
        <v>25.207042737022022</v>
      </c>
      <c r="K194">
        <f t="shared" si="43"/>
        <v>10.252625679697928</v>
      </c>
      <c r="L194">
        <f t="shared" si="43"/>
        <v>64.291923898984791</v>
      </c>
      <c r="M194">
        <f t="shared" si="43"/>
        <v>399.44358722936136</v>
      </c>
      <c r="N194">
        <f t="shared" si="43"/>
        <v>1628.971260135713</v>
      </c>
      <c r="O194">
        <f t="shared" si="43"/>
        <v>1393.7115405521554</v>
      </c>
      <c r="P194">
        <f t="shared" si="43"/>
        <v>2388.6592557769291</v>
      </c>
      <c r="Q194" s="2">
        <f t="shared" si="38"/>
        <v>5910.5372360098636</v>
      </c>
      <c r="R194">
        <f t="shared" si="39"/>
        <v>2007</v>
      </c>
      <c r="S194" s="2">
        <f t="shared" si="40"/>
        <v>5900.5893283575988</v>
      </c>
      <c r="T194">
        <f t="shared" si="41"/>
        <v>5943.1112604028413</v>
      </c>
      <c r="U194">
        <f t="shared" si="42"/>
        <v>1808.1147048602181</v>
      </c>
    </row>
    <row r="195" spans="10:21" x14ac:dyDescent="0.2">
      <c r="J195">
        <f t="shared" si="43"/>
        <v>22.90339285638732</v>
      </c>
      <c r="K195">
        <f t="shared" si="43"/>
        <v>9.1542563987638701</v>
      </c>
      <c r="L195">
        <f t="shared" si="43"/>
        <v>57.146123813949167</v>
      </c>
      <c r="M195">
        <f t="shared" si="43"/>
        <v>356.29519048477459</v>
      </c>
      <c r="N195">
        <f t="shared" si="43"/>
        <v>1492.2160182661319</v>
      </c>
      <c r="O195">
        <f t="shared" si="43"/>
        <v>1336.5544568785126</v>
      </c>
      <c r="P195">
        <f t="shared" si="43"/>
        <v>2367.8387157701786</v>
      </c>
      <c r="Q195" s="2">
        <f t="shared" si="38"/>
        <v>5642.1081544686986</v>
      </c>
      <c r="R195">
        <f t="shared" si="39"/>
        <v>2009</v>
      </c>
      <c r="S195" s="2">
        <f t="shared" si="40"/>
        <v>5692.9520862876816</v>
      </c>
      <c r="T195">
        <f t="shared" si="41"/>
        <v>5673.2028183398215</v>
      </c>
      <c r="U195">
        <f t="shared" si="42"/>
        <v>390.03358447637277</v>
      </c>
    </row>
    <row r="197" spans="10:21" x14ac:dyDescent="0.2">
      <c r="J197" s="2">
        <f>AHS_tables!JU30</f>
        <v>37.513102551499998</v>
      </c>
      <c r="K197" s="2">
        <f>AHS_tables!JV30</f>
        <v>16.261309679299998</v>
      </c>
      <c r="L197" s="2">
        <f>AHS_tables!JW30</f>
        <v>102.40729552607998</v>
      </c>
      <c r="M197" s="2">
        <f>AHS_tables!JX30</f>
        <v>601.58513447374332</v>
      </c>
      <c r="N197" s="2">
        <f>AHS_tables!JY30</f>
        <v>2103.5987465911835</v>
      </c>
      <c r="O197" s="2">
        <f>AHS_tables!JZ30</f>
        <v>1517.6772156534907</v>
      </c>
      <c r="P197" s="2">
        <f>AHS_tables!KA30</f>
        <v>2400.3862144058899</v>
      </c>
      <c r="Q197" s="2">
        <f t="shared" ref="Q197:Q202" si="44">SUM(J197:P197)</f>
        <v>6779.4290188811865</v>
      </c>
    </row>
    <row r="198" spans="10:21" x14ac:dyDescent="0.2">
      <c r="J198" s="2">
        <f>AHS_tables!JU31</f>
        <v>56.140796059100005</v>
      </c>
      <c r="K198" s="2">
        <f>AHS_tables!JV31</f>
        <v>23.506495982300002</v>
      </c>
      <c r="L198" s="2">
        <f>AHS_tables!JW31</f>
        <v>100.69828062954001</v>
      </c>
      <c r="M198" s="2">
        <f>AHS_tables!JX31</f>
        <v>594.31925623098221</v>
      </c>
      <c r="N198" s="2">
        <f>AHS_tables!JY31</f>
        <v>2093.3308423382309</v>
      </c>
      <c r="O198" s="2">
        <f>AHS_tables!JZ31</f>
        <v>1530.4189350944616</v>
      </c>
      <c r="P198" s="2">
        <f>AHS_tables!KA31</f>
        <v>2439.2343082056095</v>
      </c>
      <c r="Q198" s="2">
        <f t="shared" si="44"/>
        <v>6837.6489145402238</v>
      </c>
    </row>
    <row r="199" spans="10:21" x14ac:dyDescent="0.2">
      <c r="J199" s="2">
        <f>AHS_tables!JU32</f>
        <v>44.116775638500002</v>
      </c>
      <c r="K199" s="2">
        <f>AHS_tables!JV32</f>
        <v>16.566786128800004</v>
      </c>
      <c r="L199" s="2">
        <f>AHS_tables!JW32</f>
        <v>78.10466364137001</v>
      </c>
      <c r="M199" s="2">
        <f>AHS_tables!JX32</f>
        <v>525.5136000788018</v>
      </c>
      <c r="N199" s="2">
        <f>AHS_tables!JY32</f>
        <v>1901.1703932045291</v>
      </c>
      <c r="O199" s="2">
        <f>AHS_tables!JZ32</f>
        <v>1462.6714948205849</v>
      </c>
      <c r="P199" s="2">
        <f>AHS_tables!KA32</f>
        <v>2288.928859969189</v>
      </c>
      <c r="Q199" s="2">
        <f t="shared" si="44"/>
        <v>6317.0725734817752</v>
      </c>
    </row>
    <row r="200" spans="10:21" x14ac:dyDescent="0.2">
      <c r="J200" s="2">
        <f>AHS_tables!JU33</f>
        <v>49.866685941200004</v>
      </c>
      <c r="K200" s="2">
        <f>AHS_tables!JV33</f>
        <v>29.732345946799995</v>
      </c>
      <c r="L200" s="2">
        <f>AHS_tables!JW33</f>
        <v>48.801005342300009</v>
      </c>
      <c r="M200" s="2">
        <f>AHS_tables!JX33</f>
        <v>452.54489744626028</v>
      </c>
      <c r="N200" s="2">
        <f>AHS_tables!JY33</f>
        <v>1650.6140757450169</v>
      </c>
      <c r="O200" s="2">
        <f>AHS_tables!JZ33</f>
        <v>1495.3884086219016</v>
      </c>
      <c r="P200" s="2">
        <f>AHS_tables!KA33</f>
        <v>2380.1585521750899</v>
      </c>
      <c r="Q200" s="2">
        <f t="shared" si="44"/>
        <v>6107.1059712185688</v>
      </c>
    </row>
    <row r="201" spans="10:21" x14ac:dyDescent="0.2">
      <c r="J201" s="2">
        <f>AHS_tables!JU34</f>
        <v>55.675212703299998</v>
      </c>
      <c r="K201" s="2">
        <f>AHS_tables!JV34</f>
        <v>37.758586712099998</v>
      </c>
      <c r="L201" s="2">
        <f>AHS_tables!JW34</f>
        <v>41.692448847599998</v>
      </c>
      <c r="M201" s="2">
        <f>AHS_tables!JX34</f>
        <v>383.72673918330003</v>
      </c>
      <c r="N201" s="2">
        <f>AHS_tables!JY34</f>
        <v>1585.1717941231875</v>
      </c>
      <c r="O201" s="2">
        <f>AHS_tables!JZ34</f>
        <v>1496.448810304976</v>
      </c>
      <c r="P201" s="2">
        <f>AHS_tables!KA34</f>
        <v>2300.1157364831356</v>
      </c>
      <c r="Q201" s="2">
        <f t="shared" si="44"/>
        <v>5900.5893283575988</v>
      </c>
    </row>
    <row r="202" spans="10:21" x14ac:dyDescent="0.2">
      <c r="J202" s="2">
        <f>AHS_tables!JU35</f>
        <v>49.254241721900001</v>
      </c>
      <c r="K202" s="2">
        <f>AHS_tables!JV35</f>
        <v>53.767133913800009</v>
      </c>
      <c r="L202" s="2">
        <f>AHS_tables!JW35</f>
        <v>55.596116218799999</v>
      </c>
      <c r="M202" s="2">
        <f>AHS_tables!JX35</f>
        <v>401.48034546477976</v>
      </c>
      <c r="N202" s="2">
        <f>AHS_tables!JY35</f>
        <v>1496.2498974446548</v>
      </c>
      <c r="O202" s="2">
        <f>AHS_tables!JZ35</f>
        <v>1366.4914081526813</v>
      </c>
      <c r="P202" s="2">
        <f>AHS_tables!KA35</f>
        <v>2270.1129433710662</v>
      </c>
      <c r="Q202" s="2">
        <f t="shared" si="44"/>
        <v>5692.9520862876816</v>
      </c>
    </row>
    <row r="203" spans="10:21" x14ac:dyDescent="0.2">
      <c r="J203" t="s">
        <v>267</v>
      </c>
      <c r="K203">
        <v>0</v>
      </c>
    </row>
    <row r="204" spans="10:21" x14ac:dyDescent="0.2">
      <c r="J204" s="2">
        <f>(J190-J197)^2*$K$203</f>
        <v>0</v>
      </c>
      <c r="K204" s="2">
        <f>(K190-K197)^2*$K$203</f>
        <v>0</v>
      </c>
      <c r="L204" s="2">
        <f t="shared" ref="L204:Q204" si="45">(L190-L197)^2</f>
        <v>0.31853027249184213</v>
      </c>
      <c r="M204" s="2">
        <f t="shared" si="45"/>
        <v>10.992161769549419</v>
      </c>
      <c r="N204" s="2">
        <f t="shared" si="45"/>
        <v>134.40478356468932</v>
      </c>
      <c r="O204" s="2">
        <f t="shared" si="45"/>
        <v>69.959669259650425</v>
      </c>
      <c r="P204" s="2">
        <f t="shared" si="45"/>
        <v>175.00528611200642</v>
      </c>
      <c r="Q204" s="2">
        <f t="shared" si="45"/>
        <v>1395.9670103273004</v>
      </c>
    </row>
    <row r="205" spans="10:21" x14ac:dyDescent="0.2">
      <c r="J205" s="2">
        <f t="shared" ref="J205:K209" si="46">(J191-J198)^2*$K$203</f>
        <v>0</v>
      </c>
      <c r="K205" s="2">
        <f t="shared" si="46"/>
        <v>0</v>
      </c>
      <c r="L205" s="2">
        <f t="shared" ref="L205:P209" si="47">(L191-L198)^2</f>
        <v>81.881408600282867</v>
      </c>
      <c r="M205" s="2">
        <f t="shared" si="47"/>
        <v>1966.7049144008477</v>
      </c>
      <c r="N205" s="2">
        <f t="shared" si="47"/>
        <v>6980.1460219427645</v>
      </c>
      <c r="O205" s="2">
        <f t="shared" si="47"/>
        <v>594.44635086182927</v>
      </c>
      <c r="P205" s="2">
        <f t="shared" si="47"/>
        <v>725.52761277502395</v>
      </c>
      <c r="Q205" s="2">
        <f>(Q191-Q198)^2</f>
        <v>48126.214536791951</v>
      </c>
    </row>
    <row r="206" spans="10:21" x14ac:dyDescent="0.2">
      <c r="J206" s="2">
        <f t="shared" si="46"/>
        <v>0</v>
      </c>
      <c r="K206" s="2">
        <f t="shared" si="46"/>
        <v>0</v>
      </c>
      <c r="L206" s="2">
        <f t="shared" si="47"/>
        <v>11.290826433248522</v>
      </c>
      <c r="M206" s="2">
        <f t="shared" si="47"/>
        <v>823.57526124255048</v>
      </c>
      <c r="N206" s="2">
        <f t="shared" si="47"/>
        <v>93.651473961608829</v>
      </c>
      <c r="O206" s="2">
        <f t="shared" si="47"/>
        <v>235.72157607026404</v>
      </c>
      <c r="P206" s="2">
        <f t="shared" si="47"/>
        <v>14372.416860739906</v>
      </c>
      <c r="Q206" s="2">
        <f>(Q192-Q199)^2</f>
        <v>6917.4769237084256</v>
      </c>
    </row>
    <row r="207" spans="10:21" x14ac:dyDescent="0.2">
      <c r="J207" s="2">
        <f t="shared" si="46"/>
        <v>0</v>
      </c>
      <c r="K207" s="2">
        <f t="shared" si="46"/>
        <v>0</v>
      </c>
      <c r="L207" s="2">
        <f t="shared" si="47"/>
        <v>555.48516534429882</v>
      </c>
      <c r="M207" s="2">
        <f t="shared" si="47"/>
        <v>37.587662656135812</v>
      </c>
      <c r="N207" s="2">
        <f t="shared" si="47"/>
        <v>12707.802238030046</v>
      </c>
      <c r="O207" s="2">
        <f t="shared" si="47"/>
        <v>2976.9071676177696</v>
      </c>
      <c r="P207" s="2">
        <f t="shared" si="47"/>
        <v>458.9419860446306</v>
      </c>
      <c r="Q207" s="2">
        <f>(Q193-Q200)^2</f>
        <v>3217.9668194569886</v>
      </c>
    </row>
    <row r="208" spans="10:21" x14ac:dyDescent="0.2">
      <c r="J208" s="2">
        <f t="shared" si="46"/>
        <v>0</v>
      </c>
      <c r="K208" s="2">
        <f t="shared" si="46"/>
        <v>0</v>
      </c>
      <c r="L208" s="2">
        <f t="shared" si="47"/>
        <v>510.73627259816368</v>
      </c>
      <c r="M208" s="2">
        <f t="shared" si="47"/>
        <v>247.01931250298182</v>
      </c>
      <c r="N208" s="2">
        <f t="shared" si="47"/>
        <v>1918.3932229823763</v>
      </c>
      <c r="O208" s="2">
        <f t="shared" si="47"/>
        <v>10554.946596263819</v>
      </c>
      <c r="P208" s="2">
        <f t="shared" si="47"/>
        <v>7839.9548089303735</v>
      </c>
      <c r="Q208" s="2">
        <f>(Q194-Q201)^2</f>
        <v>98.960866657988618</v>
      </c>
    </row>
    <row r="209" spans="10:17" x14ac:dyDescent="0.2">
      <c r="J209" s="2">
        <f t="shared" si="46"/>
        <v>0</v>
      </c>
      <c r="K209" s="2">
        <f t="shared" si="46"/>
        <v>0</v>
      </c>
      <c r="L209" s="2">
        <f t="shared" si="47"/>
        <v>2.4025235450201072</v>
      </c>
      <c r="M209" s="2">
        <f t="shared" si="47"/>
        <v>2041.6982305670856</v>
      </c>
      <c r="N209" s="2">
        <f t="shared" si="47"/>
        <v>16.27218122692112</v>
      </c>
      <c r="O209" s="2">
        <f t="shared" si="47"/>
        <v>896.22105159194962</v>
      </c>
      <c r="P209" s="2">
        <f t="shared" si="47"/>
        <v>9550.3265910031241</v>
      </c>
      <c r="Q209" s="2">
        <f>(Q195-Q202)^2</f>
        <v>2585.1054028133958</v>
      </c>
    </row>
  </sheetData>
  <mergeCells count="1">
    <mergeCell ref="G6:R6"/>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C5:AM49"/>
  <sheetViews>
    <sheetView topLeftCell="A28" workbookViewId="0">
      <selection activeCell="K42" sqref="K42"/>
    </sheetView>
  </sheetViews>
  <sheetFormatPr defaultRowHeight="12.75" x14ac:dyDescent="0.2"/>
  <cols>
    <col min="7" max="7" width="11.85546875" customWidth="1"/>
  </cols>
  <sheetData>
    <row r="5" spans="3:35" x14ac:dyDescent="0.2">
      <c r="C5" t="s">
        <v>107</v>
      </c>
      <c r="F5">
        <v>0.96</v>
      </c>
      <c r="K5" t="s">
        <v>108</v>
      </c>
    </row>
    <row r="6" spans="3:35" x14ac:dyDescent="0.2">
      <c r="C6">
        <f>[9]National_Calibration!E7</f>
        <v>77.371132743362836</v>
      </c>
      <c r="I6" t="s">
        <v>103</v>
      </c>
      <c r="K6" t="s">
        <v>109</v>
      </c>
      <c r="AC6">
        <v>4.0000000000000001E-3</v>
      </c>
    </row>
    <row r="7" spans="3:35" x14ac:dyDescent="0.2">
      <c r="C7">
        <f>[9]National_Calibration!E8</f>
        <v>78.809185840707968</v>
      </c>
      <c r="E7" t="s">
        <v>101</v>
      </c>
      <c r="G7" t="s">
        <v>84</v>
      </c>
      <c r="H7" t="s">
        <v>102</v>
      </c>
      <c r="K7" t="s">
        <v>91</v>
      </c>
      <c r="L7" t="s">
        <v>110</v>
      </c>
      <c r="AC7">
        <f>0.96</f>
        <v>0.96</v>
      </c>
    </row>
    <row r="8" spans="3:35" x14ac:dyDescent="0.2">
      <c r="C8">
        <f>[9]National_Calibration!E9</f>
        <v>80.775999999999996</v>
      </c>
      <c r="D8">
        <v>1980</v>
      </c>
      <c r="E8">
        <f>'Comps Ann_2015'!E22</f>
        <v>956.7</v>
      </c>
      <c r="F8">
        <f>$F$5*E8</f>
        <v>918.43200000000002</v>
      </c>
      <c r="G8" s="24">
        <f>Survival_curve_SF!Z127</f>
        <v>-359.94858641573228</v>
      </c>
      <c r="H8">
        <f t="shared" ref="H8:H37" si="0">F8+G8</f>
        <v>558.48341358426774</v>
      </c>
      <c r="I8" s="2">
        <f t="shared" ref="I8:I26" si="1">I9-H9</f>
        <v>60905.542007111842</v>
      </c>
      <c r="AC8">
        <f>SUM(AI15:AI37)*0.001</f>
        <v>25576.018533379891</v>
      </c>
    </row>
    <row r="9" spans="3:35" x14ac:dyDescent="0.2">
      <c r="C9">
        <f>[9]National_Calibration!E10</f>
        <v>82.367999999999995</v>
      </c>
      <c r="D9">
        <f>D8+1</f>
        <v>1981</v>
      </c>
      <c r="E9">
        <f>'Comps Ann_2015'!E23</f>
        <v>818.5</v>
      </c>
      <c r="F9">
        <f t="shared" ref="F9:F37" si="2">$F$5*E9</f>
        <v>785.76</v>
      </c>
      <c r="G9" s="24">
        <f>Survival_curve_SF!Z128</f>
        <v>-366.66147258358251</v>
      </c>
      <c r="H9">
        <f t="shared" si="0"/>
        <v>419.09852741641748</v>
      </c>
      <c r="I9" s="2">
        <f t="shared" si="1"/>
        <v>61324.640534528262</v>
      </c>
    </row>
    <row r="10" spans="3:35" x14ac:dyDescent="0.2">
      <c r="C10">
        <f>[9]National_Calibration!E11</f>
        <v>83.527000000000001</v>
      </c>
      <c r="D10">
        <f t="shared" ref="D10:D38" si="3">D9+1</f>
        <v>1982</v>
      </c>
      <c r="E10">
        <f>'Comps Ann_2015'!E24</f>
        <v>631.5</v>
      </c>
      <c r="F10">
        <f t="shared" si="2"/>
        <v>606.24</v>
      </c>
      <c r="G10" s="24">
        <f>Survival_curve_SF!Z129</f>
        <v>-373.40368246372964</v>
      </c>
      <c r="H10">
        <f t="shared" si="0"/>
        <v>232.83631753627037</v>
      </c>
      <c r="I10" s="2">
        <f t="shared" si="1"/>
        <v>61557.47685206453</v>
      </c>
    </row>
    <row r="11" spans="3:35" x14ac:dyDescent="0.2">
      <c r="C11">
        <f>[9]National_Calibration!E12</f>
        <v>83.918000000000006</v>
      </c>
      <c r="D11">
        <f t="shared" si="3"/>
        <v>1983</v>
      </c>
      <c r="E11">
        <f>'Comps Ann_2015'!E25</f>
        <v>923.7</v>
      </c>
      <c r="F11">
        <f t="shared" si="2"/>
        <v>886.75200000000007</v>
      </c>
      <c r="G11" s="24">
        <f>Survival_curve_SF!Z130</f>
        <v>-380.15119542687899</v>
      </c>
      <c r="H11">
        <f t="shared" si="0"/>
        <v>506.60080457312108</v>
      </c>
      <c r="I11" s="2">
        <f t="shared" si="1"/>
        <v>62064.077656637652</v>
      </c>
    </row>
    <row r="12" spans="3:35" x14ac:dyDescent="0.2">
      <c r="C12">
        <f>[9]National_Calibration!E13</f>
        <v>85.29</v>
      </c>
      <c r="D12">
        <f t="shared" si="3"/>
        <v>1984</v>
      </c>
      <c r="E12">
        <f>'Comps Ann_2015'!E26</f>
        <v>1025.0999999999999</v>
      </c>
      <c r="F12">
        <f t="shared" si="2"/>
        <v>984.09599999999989</v>
      </c>
      <c r="G12" s="24">
        <f>Survival_curve_SF!Z131</f>
        <v>-386.88274761190405</v>
      </c>
      <c r="H12">
        <f t="shared" si="0"/>
        <v>597.21325238809584</v>
      </c>
      <c r="I12" s="2">
        <f t="shared" si="1"/>
        <v>62661.290909025745</v>
      </c>
      <c r="Q12" t="s">
        <v>105</v>
      </c>
      <c r="R12" t="s">
        <v>106</v>
      </c>
      <c r="S12" t="s">
        <v>112</v>
      </c>
    </row>
    <row r="13" spans="3:35" x14ac:dyDescent="0.2">
      <c r="C13">
        <f>[9]National_Calibration!E14</f>
        <v>86.789000000000001</v>
      </c>
      <c r="D13">
        <f t="shared" si="3"/>
        <v>1985</v>
      </c>
      <c r="E13">
        <f>'Comps Ann_2015'!E27</f>
        <v>1072.5</v>
      </c>
      <c r="F13">
        <f t="shared" si="2"/>
        <v>1029.5999999999999</v>
      </c>
      <c r="G13" s="24">
        <f>Survival_curve_SF!Z132</f>
        <v>-393.5789929402963</v>
      </c>
      <c r="H13">
        <f t="shared" si="0"/>
        <v>636.02100705970361</v>
      </c>
      <c r="I13" s="2">
        <f t="shared" si="1"/>
        <v>63297.311916085448</v>
      </c>
      <c r="J13">
        <f>55076+4102</f>
        <v>59178</v>
      </c>
      <c r="K13">
        <f>2518+1128</f>
        <v>3646</v>
      </c>
      <c r="L13">
        <f>511+107+429+38</f>
        <v>1085</v>
      </c>
      <c r="M13">
        <f>K13-K$27</f>
        <v>-44</v>
      </c>
      <c r="N13">
        <f>L13-L$27</f>
        <v>-414</v>
      </c>
      <c r="O13" s="2">
        <f>I13-N13</f>
        <v>63711.311916085448</v>
      </c>
      <c r="P13">
        <f>D13</f>
        <v>1985</v>
      </c>
      <c r="Q13" s="2">
        <f>O13</f>
        <v>63711.311916085448</v>
      </c>
      <c r="R13" s="2">
        <f>J13</f>
        <v>59178</v>
      </c>
      <c r="S13" s="2">
        <f>R13+M13</f>
        <v>59134</v>
      </c>
      <c r="AC13" s="2">
        <f>AG13</f>
        <v>59134</v>
      </c>
      <c r="AF13" t="s">
        <v>111</v>
      </c>
      <c r="AG13" s="2">
        <f>S13</f>
        <v>59134</v>
      </c>
      <c r="AH13" t="s">
        <v>113</v>
      </c>
    </row>
    <row r="14" spans="3:35" x14ac:dyDescent="0.2">
      <c r="C14">
        <f>[9]National_Calibration!E15</f>
        <v>88.457999999999998</v>
      </c>
      <c r="D14">
        <f t="shared" si="3"/>
        <v>1986</v>
      </c>
      <c r="E14">
        <f>'Comps Ann_2015'!E28</f>
        <v>1120.2</v>
      </c>
      <c r="F14">
        <f t="shared" si="2"/>
        <v>1075.3920000000001</v>
      </c>
      <c r="G14" s="24">
        <f>Survival_curve_SF!Z133</f>
        <v>-400.35878477834922</v>
      </c>
      <c r="H14">
        <f t="shared" si="0"/>
        <v>675.03321522165083</v>
      </c>
      <c r="I14" s="2">
        <f t="shared" si="1"/>
        <v>63972.345131307098</v>
      </c>
      <c r="O14" s="2"/>
      <c r="S14" s="2"/>
      <c r="AC14" s="2">
        <f>AC13</f>
        <v>59134</v>
      </c>
      <c r="AD14">
        <f>-$AC$6*AC14</f>
        <v>-236.536</v>
      </c>
      <c r="AE14">
        <f>$AC$7*(E13+E14)/2</f>
        <v>1052.4959999999999</v>
      </c>
      <c r="AF14" s="2">
        <f>AC14+AD14+AE14</f>
        <v>59949.96</v>
      </c>
      <c r="AG14" s="2"/>
    </row>
    <row r="15" spans="3:35" x14ac:dyDescent="0.2">
      <c r="C15">
        <f>[9]National_Calibration!E16</f>
        <v>89.478999999999999</v>
      </c>
      <c r="D15">
        <f t="shared" si="3"/>
        <v>1987</v>
      </c>
      <c r="E15">
        <f>'Comps Ann_2015'!E29</f>
        <v>1122.8</v>
      </c>
      <c r="F15">
        <f t="shared" si="2"/>
        <v>1077.8879999999999</v>
      </c>
      <c r="G15" s="24">
        <f>Survival_curve_SF!Z134</f>
        <v>-407.42631123993488</v>
      </c>
      <c r="H15">
        <f t="shared" si="0"/>
        <v>670.46168876006504</v>
      </c>
      <c r="I15" s="2">
        <f t="shared" si="1"/>
        <v>64642.806820067162</v>
      </c>
      <c r="J15">
        <f>56559+4820</f>
        <v>61379</v>
      </c>
      <c r="K15">
        <f>2895+1116</f>
        <v>4011</v>
      </c>
      <c r="L15">
        <f>487+192+701+104</f>
        <v>1484</v>
      </c>
      <c r="M15">
        <f>K15-K$27</f>
        <v>321</v>
      </c>
      <c r="N15">
        <f>L15-L$27</f>
        <v>-15</v>
      </c>
      <c r="O15" s="2">
        <f>I15-N15</f>
        <v>64657.806820067162</v>
      </c>
      <c r="P15">
        <f>D15</f>
        <v>1987</v>
      </c>
      <c r="Q15" s="2">
        <f>O15</f>
        <v>64657.806820067162</v>
      </c>
      <c r="R15" s="2">
        <f>J15</f>
        <v>61379</v>
      </c>
      <c r="S15" s="2">
        <f t="shared" ref="S15:S37" si="4">R15+M15</f>
        <v>61700</v>
      </c>
      <c r="AC15" s="2">
        <f>AF14</f>
        <v>59949.96</v>
      </c>
      <c r="AD15">
        <f>-$AC$6*AC15</f>
        <v>-239.79983999999999</v>
      </c>
      <c r="AE15">
        <f>$AC$7*(E14+E15)/2</f>
        <v>1076.6399999999999</v>
      </c>
      <c r="AF15" s="2">
        <f>AC15+AD15+AE15</f>
        <v>60786.800159999999</v>
      </c>
      <c r="AG15" s="2">
        <f t="shared" ref="AG15:AG37" si="5">S15</f>
        <v>61700</v>
      </c>
      <c r="AH15" s="2">
        <f>AG15-AF15</f>
        <v>913.19984000000113</v>
      </c>
      <c r="AI15">
        <f>AH15*AH15</f>
        <v>833933.94777602772</v>
      </c>
    </row>
    <row r="16" spans="3:35" x14ac:dyDescent="0.2">
      <c r="C16">
        <f>[9]National_Calibration!E17</f>
        <v>91.123999999999995</v>
      </c>
      <c r="D16">
        <f t="shared" si="3"/>
        <v>1988</v>
      </c>
      <c r="E16">
        <f>'Comps Ann_2015'!E30</f>
        <v>1084.5999999999999</v>
      </c>
      <c r="F16">
        <f t="shared" si="2"/>
        <v>1041.2159999999999</v>
      </c>
      <c r="G16" s="24">
        <f>Survival_curve_SF!Z135</f>
        <v>-414.62128059960378</v>
      </c>
      <c r="H16">
        <f t="shared" si="0"/>
        <v>626.59471940039612</v>
      </c>
      <c r="I16" s="2">
        <f t="shared" si="1"/>
        <v>65269.401539467559</v>
      </c>
      <c r="O16" s="2"/>
      <c r="S16" s="2"/>
      <c r="AC16" s="2">
        <f t="shared" ref="AC16:AC37" si="6">AF15</f>
        <v>60786.800159999999</v>
      </c>
      <c r="AD16">
        <f t="shared" ref="AD16:AD37" si="7">-$AC$6*AC16</f>
        <v>-243.14720063999999</v>
      </c>
      <c r="AE16">
        <f t="shared" ref="AE16:AE37" si="8">$AC$7*(E15+E16)/2</f>
        <v>1059.5519999999997</v>
      </c>
      <c r="AF16" s="2">
        <f t="shared" ref="AF16:AF37" si="9">AC16+AD16+AE16</f>
        <v>61603.204959359995</v>
      </c>
      <c r="AG16" s="2"/>
      <c r="AH16" s="2"/>
    </row>
    <row r="17" spans="3:39" x14ac:dyDescent="0.2">
      <c r="C17">
        <f>[9]National_Calibration!E18</f>
        <v>92.83</v>
      </c>
      <c r="D17">
        <f t="shared" si="3"/>
        <v>1989</v>
      </c>
      <c r="E17">
        <f>'Comps Ann_2015'!E31</f>
        <v>1026.3</v>
      </c>
      <c r="F17">
        <f t="shared" si="2"/>
        <v>985.24799999999993</v>
      </c>
      <c r="G17" s="24">
        <f>Survival_curve_SF!Z136</f>
        <v>-421.87247649866913</v>
      </c>
      <c r="H17">
        <f t="shared" si="0"/>
        <v>563.3755235013308</v>
      </c>
      <c r="I17" s="2">
        <f t="shared" si="1"/>
        <v>65832.777062968889</v>
      </c>
      <c r="J17">
        <f>58242+4962</f>
        <v>63204</v>
      </c>
      <c r="K17">
        <f>2644+1115</f>
        <v>3759</v>
      </c>
      <c r="L17">
        <f>440+151+665+93</f>
        <v>1349</v>
      </c>
      <c r="M17">
        <f>K17-K$27</f>
        <v>69</v>
      </c>
      <c r="N17">
        <f>L17-L$27</f>
        <v>-150</v>
      </c>
      <c r="O17" s="2">
        <f>I17-N17</f>
        <v>65982.777062968889</v>
      </c>
      <c r="P17">
        <f>D17</f>
        <v>1989</v>
      </c>
      <c r="Q17" s="2">
        <f>O17</f>
        <v>65982.777062968889</v>
      </c>
      <c r="R17" s="2">
        <f>J17</f>
        <v>63204</v>
      </c>
      <c r="S17" s="2">
        <f t="shared" si="4"/>
        <v>63273</v>
      </c>
      <c r="AC17" s="2">
        <f t="shared" si="6"/>
        <v>61603.204959359995</v>
      </c>
      <c r="AD17">
        <f t="shared" si="7"/>
        <v>-246.41281983744</v>
      </c>
      <c r="AE17">
        <f t="shared" si="8"/>
        <v>1013.2319999999997</v>
      </c>
      <c r="AF17" s="2">
        <f t="shared" si="9"/>
        <v>62370.024139522553</v>
      </c>
      <c r="AG17" s="2">
        <f t="shared" si="5"/>
        <v>63273</v>
      </c>
      <c r="AH17" s="2">
        <f t="shared" ref="AH17:AH37" si="10">AG17-AF17</f>
        <v>902.97586047744699</v>
      </c>
      <c r="AI17">
        <f>AH17*AH17</f>
        <v>815365.40460498584</v>
      </c>
    </row>
    <row r="18" spans="3:39" x14ac:dyDescent="0.2">
      <c r="C18">
        <f>[9]National_Calibration!E19</f>
        <v>93.347000000000008</v>
      </c>
      <c r="D18">
        <f t="shared" si="3"/>
        <v>1990</v>
      </c>
      <c r="E18">
        <f>'Comps Ann_2015'!E32</f>
        <v>966</v>
      </c>
      <c r="F18">
        <f t="shared" si="2"/>
        <v>927.36</v>
      </c>
      <c r="G18" s="24">
        <f>Survival_curve_SF!Z137</f>
        <v>-429.13859687310469</v>
      </c>
      <c r="H18">
        <f t="shared" si="0"/>
        <v>498.22140312689532</v>
      </c>
      <c r="I18" s="2">
        <f t="shared" si="1"/>
        <v>66330.998466095785</v>
      </c>
      <c r="O18" s="2"/>
      <c r="S18" s="2"/>
      <c r="AC18" s="2">
        <f t="shared" si="6"/>
        <v>62370.024139522553</v>
      </c>
      <c r="AD18">
        <f t="shared" si="7"/>
        <v>-249.48009655809022</v>
      </c>
      <c r="AE18">
        <f t="shared" si="8"/>
        <v>956.30399999999997</v>
      </c>
      <c r="AF18" s="2">
        <f t="shared" si="9"/>
        <v>63076.848042964462</v>
      </c>
      <c r="AG18" s="2"/>
      <c r="AH18" s="2"/>
    </row>
    <row r="19" spans="3:39" x14ac:dyDescent="0.2">
      <c r="C19">
        <f>[9]National_Calibration!E20</f>
        <v>94.311999999999998</v>
      </c>
      <c r="D19">
        <f t="shared" si="3"/>
        <v>1991</v>
      </c>
      <c r="E19">
        <f>'Comps Ann_2015'!E33</f>
        <v>837.6</v>
      </c>
      <c r="F19">
        <f t="shared" si="2"/>
        <v>804.096</v>
      </c>
      <c r="G19" s="24">
        <f>Survival_curve_SF!Z138</f>
        <v>-436.38853260599717</v>
      </c>
      <c r="H19">
        <f t="shared" si="0"/>
        <v>367.70746739400283</v>
      </c>
      <c r="I19" s="2">
        <f t="shared" si="1"/>
        <v>66698.705933489793</v>
      </c>
      <c r="J19">
        <f>57485+5442</f>
        <v>62927</v>
      </c>
      <c r="K19">
        <f>2684+1026</f>
        <v>3710</v>
      </c>
      <c r="L19">
        <f>444+259+692+66</f>
        <v>1461</v>
      </c>
      <c r="M19">
        <f>K19-K$27</f>
        <v>20</v>
      </c>
      <c r="N19">
        <f>L19-L$27</f>
        <v>-38</v>
      </c>
      <c r="O19" s="2">
        <f>I19-N19</f>
        <v>66736.705933489793</v>
      </c>
      <c r="P19">
        <f>D19</f>
        <v>1991</v>
      </c>
      <c r="Q19" s="2">
        <f>O19</f>
        <v>66736.705933489793</v>
      </c>
      <c r="R19" s="2">
        <f>J19</f>
        <v>62927</v>
      </c>
      <c r="S19" s="2">
        <f t="shared" si="4"/>
        <v>62947</v>
      </c>
      <c r="AC19" s="2">
        <f t="shared" si="6"/>
        <v>63076.848042964462</v>
      </c>
      <c r="AD19">
        <f t="shared" si="7"/>
        <v>-252.30739217185786</v>
      </c>
      <c r="AE19">
        <f t="shared" si="8"/>
        <v>865.72799999999995</v>
      </c>
      <c r="AF19" s="2">
        <f t="shared" si="9"/>
        <v>63690.268650792605</v>
      </c>
      <c r="AG19" s="2">
        <f t="shared" si="5"/>
        <v>62947</v>
      </c>
      <c r="AH19" s="2">
        <f t="shared" si="10"/>
        <v>-743.2686507926046</v>
      </c>
      <c r="AI19">
        <f>AH19*AH19</f>
        <v>552448.28725105885</v>
      </c>
    </row>
    <row r="20" spans="3:39" x14ac:dyDescent="0.2">
      <c r="C20">
        <f>[9]National_Calibration!E21</f>
        <v>95.668999999999997</v>
      </c>
      <c r="D20">
        <f t="shared" si="3"/>
        <v>1992</v>
      </c>
      <c r="E20">
        <f>'Comps Ann_2015'!E34</f>
        <v>963.6</v>
      </c>
      <c r="F20">
        <f t="shared" si="2"/>
        <v>925.05600000000004</v>
      </c>
      <c r="G20" s="24">
        <f>Survival_curve_SF!Z139</f>
        <v>-443.59638025773165</v>
      </c>
      <c r="H20">
        <f t="shared" si="0"/>
        <v>481.45961974226839</v>
      </c>
      <c r="I20" s="2">
        <f t="shared" si="1"/>
        <v>67180.165553232058</v>
      </c>
      <c r="O20" s="2"/>
      <c r="S20" s="2"/>
      <c r="AC20" s="2">
        <f t="shared" si="6"/>
        <v>63690.268650792605</v>
      </c>
      <c r="AD20">
        <f t="shared" si="7"/>
        <v>-254.76107460317041</v>
      </c>
      <c r="AE20">
        <f t="shared" si="8"/>
        <v>864.57600000000002</v>
      </c>
      <c r="AF20" s="2">
        <f t="shared" si="9"/>
        <v>64300.083576189434</v>
      </c>
      <c r="AG20" s="2"/>
      <c r="AH20" s="2"/>
    </row>
    <row r="21" spans="3:39" x14ac:dyDescent="0.2">
      <c r="C21">
        <f>[9]National_Calibration!E22</f>
        <v>96.426000000000002</v>
      </c>
      <c r="D21">
        <f t="shared" si="3"/>
        <v>1993</v>
      </c>
      <c r="E21">
        <f>'Comps Ann_2015'!E35</f>
        <v>1039.4000000000001</v>
      </c>
      <c r="F21">
        <f t="shared" si="2"/>
        <v>997.82400000000007</v>
      </c>
      <c r="G21" s="24">
        <f>Survival_curve_SF!Z140</f>
        <v>-450.73941727660713</v>
      </c>
      <c r="H21">
        <f t="shared" si="0"/>
        <v>547.08458272339294</v>
      </c>
      <c r="I21" s="2">
        <f t="shared" si="1"/>
        <v>67727.250135955444</v>
      </c>
      <c r="J21">
        <f>58918+5375</f>
        <v>64293</v>
      </c>
      <c r="K21">
        <f>2651+889</f>
        <v>3540</v>
      </c>
      <c r="L21">
        <f>388+195+624+70</f>
        <v>1277</v>
      </c>
      <c r="M21">
        <f>K21-K$27</f>
        <v>-150</v>
      </c>
      <c r="N21">
        <f>L21-L$27</f>
        <v>-222</v>
      </c>
      <c r="O21" s="2">
        <f>I21-N21</f>
        <v>67949.250135955444</v>
      </c>
      <c r="P21">
        <f>D21</f>
        <v>1993</v>
      </c>
      <c r="Q21" s="2">
        <f>O21</f>
        <v>67949.250135955444</v>
      </c>
      <c r="R21" s="2">
        <f>J21</f>
        <v>64293</v>
      </c>
      <c r="S21" s="2">
        <f t="shared" si="4"/>
        <v>64143</v>
      </c>
      <c r="AC21" s="2">
        <f t="shared" si="6"/>
        <v>64300.083576189434</v>
      </c>
      <c r="AD21">
        <f t="shared" si="7"/>
        <v>-257.20033430475775</v>
      </c>
      <c r="AE21">
        <f t="shared" si="8"/>
        <v>961.43999999999994</v>
      </c>
      <c r="AF21" s="2">
        <f t="shared" si="9"/>
        <v>65004.323241884682</v>
      </c>
      <c r="AG21" s="2">
        <f t="shared" si="5"/>
        <v>64143</v>
      </c>
      <c r="AH21" s="2">
        <f t="shared" si="10"/>
        <v>-861.32324188468192</v>
      </c>
      <c r="AI21">
        <f>AH21*AH21</f>
        <v>741877.72701073822</v>
      </c>
    </row>
    <row r="22" spans="3:39" x14ac:dyDescent="0.2">
      <c r="C22">
        <f>[9]National_Calibration!E23</f>
        <v>97.106999999999999</v>
      </c>
      <c r="D22">
        <f t="shared" si="3"/>
        <v>1994</v>
      </c>
      <c r="E22">
        <f>'Comps Ann_2015'!E36</f>
        <v>1160.3</v>
      </c>
      <c r="F22">
        <f t="shared" si="2"/>
        <v>1113.8879999999999</v>
      </c>
      <c r="G22" s="24">
        <f>Survival_curve_SF!Z141</f>
        <v>-457.79710073457682</v>
      </c>
      <c r="H22">
        <f t="shared" si="0"/>
        <v>656.0908992654231</v>
      </c>
      <c r="I22" s="2">
        <f t="shared" si="1"/>
        <v>68383.341035220874</v>
      </c>
      <c r="O22" s="2"/>
      <c r="S22" s="2"/>
      <c r="AC22" s="2">
        <f t="shared" si="6"/>
        <v>65004.323241884682</v>
      </c>
      <c r="AD22">
        <f t="shared" si="7"/>
        <v>-260.01729296753871</v>
      </c>
      <c r="AE22">
        <f t="shared" si="8"/>
        <v>1055.8559999999998</v>
      </c>
      <c r="AF22" s="2">
        <f t="shared" si="9"/>
        <v>65800.161948917143</v>
      </c>
      <c r="AG22" s="2"/>
      <c r="AH22" s="2"/>
    </row>
    <row r="23" spans="3:39" x14ac:dyDescent="0.2">
      <c r="C23">
        <f>[9]National_Calibration!E24</f>
        <v>98.990000000000009</v>
      </c>
      <c r="D23">
        <f t="shared" si="3"/>
        <v>1995</v>
      </c>
      <c r="E23">
        <f>'Comps Ann_2015'!E37</f>
        <v>1065.5</v>
      </c>
      <c r="F23">
        <f t="shared" si="2"/>
        <v>1022.88</v>
      </c>
      <c r="G23" s="24">
        <f>Survival_curve_SF!Z142</f>
        <v>-464.75051295716548</v>
      </c>
      <c r="H23">
        <f t="shared" si="0"/>
        <v>558.12948704283451</v>
      </c>
      <c r="I23" s="2">
        <f t="shared" si="1"/>
        <v>68941.470522263713</v>
      </c>
      <c r="J23">
        <f>60826+5545</f>
        <v>66371</v>
      </c>
      <c r="K23">
        <f>2666+917</f>
        <v>3583</v>
      </c>
      <c r="L23">
        <f>482+197+624+77</f>
        <v>1380</v>
      </c>
      <c r="M23">
        <f>K23-K$27</f>
        <v>-107</v>
      </c>
      <c r="N23">
        <f>L23-L$27</f>
        <v>-119</v>
      </c>
      <c r="O23" s="2">
        <f>I23-N23</f>
        <v>69060.470522263713</v>
      </c>
      <c r="P23">
        <f>D23</f>
        <v>1995</v>
      </c>
      <c r="Q23" s="2">
        <f>O23</f>
        <v>69060.470522263713</v>
      </c>
      <c r="R23" s="2">
        <f>J23</f>
        <v>66371</v>
      </c>
      <c r="S23" s="2">
        <f t="shared" si="4"/>
        <v>66264</v>
      </c>
      <c r="AC23" s="2">
        <f t="shared" si="6"/>
        <v>65800.161948917143</v>
      </c>
      <c r="AD23">
        <f t="shared" si="7"/>
        <v>-263.2006477956686</v>
      </c>
      <c r="AE23">
        <f t="shared" si="8"/>
        <v>1068.384</v>
      </c>
      <c r="AF23" s="2">
        <f t="shared" si="9"/>
        <v>66605.345301121473</v>
      </c>
      <c r="AG23" s="2">
        <f t="shared" si="5"/>
        <v>66264</v>
      </c>
      <c r="AH23" s="2">
        <f t="shared" si="10"/>
        <v>-341.34530112147331</v>
      </c>
      <c r="AI23">
        <f>AH23*AH23</f>
        <v>116516.6145977093</v>
      </c>
    </row>
    <row r="24" spans="3:39" x14ac:dyDescent="0.2">
      <c r="C24">
        <f>[9]National_Calibration!E25</f>
        <v>99.626999999999995</v>
      </c>
      <c r="D24">
        <f t="shared" si="3"/>
        <v>1996</v>
      </c>
      <c r="E24">
        <f>'Comps Ann_2015'!E38</f>
        <v>1128.5</v>
      </c>
      <c r="F24">
        <f t="shared" si="2"/>
        <v>1083.3599999999999</v>
      </c>
      <c r="G24" s="24">
        <f>Survival_curve_SF!Z143</f>
        <v>-471.58203235006658</v>
      </c>
      <c r="H24">
        <f t="shared" si="0"/>
        <v>611.77796764993332</v>
      </c>
      <c r="I24" s="2">
        <f t="shared" si="1"/>
        <v>69553.248489913647</v>
      </c>
      <c r="O24" s="2"/>
      <c r="S24" s="2"/>
      <c r="AC24" s="2">
        <f t="shared" si="6"/>
        <v>66605.345301121473</v>
      </c>
      <c r="AD24">
        <f t="shared" si="7"/>
        <v>-266.4213812044859</v>
      </c>
      <c r="AE24">
        <f t="shared" si="8"/>
        <v>1053.1199999999999</v>
      </c>
      <c r="AF24" s="2">
        <f t="shared" si="9"/>
        <v>67392.043919916978</v>
      </c>
      <c r="AG24" s="2"/>
      <c r="AH24" s="2"/>
    </row>
    <row r="25" spans="3:39" x14ac:dyDescent="0.2">
      <c r="C25">
        <f>[9]National_Calibration!E26</f>
        <v>101.018</v>
      </c>
      <c r="D25">
        <f t="shared" si="3"/>
        <v>1997</v>
      </c>
      <c r="E25">
        <f>'Comps Ann_2015'!E39</f>
        <v>1116.4000000000001</v>
      </c>
      <c r="F25">
        <f t="shared" si="2"/>
        <v>1071.7440000000001</v>
      </c>
      <c r="G25" s="24">
        <f>Survival_curve_SF!Z144</f>
        <v>-478.27512939152075</v>
      </c>
      <c r="H25">
        <f t="shared" si="0"/>
        <v>593.46887060847939</v>
      </c>
      <c r="I25" s="2">
        <f t="shared" si="1"/>
        <v>70146.717360522132</v>
      </c>
      <c r="J25" s="2">
        <f>AHS_tables!$CF$32</f>
        <v>67951.38235187353</v>
      </c>
      <c r="K25">
        <f>2884+1043</f>
        <v>3927</v>
      </c>
      <c r="L25">
        <f>574+280+682+98</f>
        <v>1634</v>
      </c>
      <c r="M25">
        <f>K25-K$27</f>
        <v>237</v>
      </c>
      <c r="N25">
        <f>L25-L$27</f>
        <v>135</v>
      </c>
      <c r="O25" s="2">
        <f>I25-N25</f>
        <v>70011.717360522132</v>
      </c>
      <c r="P25">
        <f>D25</f>
        <v>1997</v>
      </c>
      <c r="Q25" s="2">
        <f>O25</f>
        <v>70011.717360522132</v>
      </c>
      <c r="R25" s="2">
        <f>J25</f>
        <v>67951.38235187353</v>
      </c>
      <c r="S25" s="2">
        <f t="shared" si="4"/>
        <v>68188.38235187353</v>
      </c>
      <c r="AC25" s="2">
        <f t="shared" si="6"/>
        <v>67392.043919916978</v>
      </c>
      <c r="AD25">
        <f t="shared" si="7"/>
        <v>-269.56817567966789</v>
      </c>
      <c r="AE25">
        <f t="shared" si="8"/>
        <v>1077.5519999999999</v>
      </c>
      <c r="AF25" s="2">
        <f t="shared" si="9"/>
        <v>68200.027744237304</v>
      </c>
      <c r="AG25" s="2">
        <f t="shared" si="5"/>
        <v>68188.38235187353</v>
      </c>
      <c r="AH25" s="2">
        <f t="shared" si="10"/>
        <v>-11.64539236377459</v>
      </c>
      <c r="AI25">
        <f>AH25*AH25</f>
        <v>135.61516330625955</v>
      </c>
    </row>
    <row r="26" spans="3:39" x14ac:dyDescent="0.2">
      <c r="C26">
        <f>[9]National_Calibration!E27</f>
        <v>102.81575000000001</v>
      </c>
      <c r="D26">
        <f t="shared" si="3"/>
        <v>1998</v>
      </c>
      <c r="E26">
        <f>'Comps Ann_2015'!E40</f>
        <v>1159.7</v>
      </c>
      <c r="F26">
        <f t="shared" si="2"/>
        <v>1113.3119999999999</v>
      </c>
      <c r="G26" s="24">
        <f>Survival_curve_SF!Z145</f>
        <v>-484.81423726910725</v>
      </c>
      <c r="H26">
        <f t="shared" si="0"/>
        <v>628.49776273089265</v>
      </c>
      <c r="I26" s="2">
        <f t="shared" si="1"/>
        <v>70775.21512325303</v>
      </c>
      <c r="O26" s="2"/>
      <c r="S26" s="2"/>
      <c r="AC26" s="2">
        <f t="shared" si="6"/>
        <v>68200.027744237304</v>
      </c>
      <c r="AD26">
        <f t="shared" si="7"/>
        <v>-272.80011097694921</v>
      </c>
      <c r="AE26">
        <f t="shared" si="8"/>
        <v>1092.5280000000002</v>
      </c>
      <c r="AF26" s="2">
        <f t="shared" si="9"/>
        <v>69019.755633260356</v>
      </c>
      <c r="AG26" s="2"/>
      <c r="AH26" s="2"/>
      <c r="AL26" t="s">
        <v>107</v>
      </c>
      <c r="AM26" t="s">
        <v>592</v>
      </c>
    </row>
    <row r="27" spans="3:39" x14ac:dyDescent="0.2">
      <c r="C27">
        <f>[9]National_Calibration!E28</f>
        <v>104.6135</v>
      </c>
      <c r="D27">
        <f t="shared" si="3"/>
        <v>1999</v>
      </c>
      <c r="E27">
        <f>'Comps Ann_2015'!E41</f>
        <v>1270.4000000000001</v>
      </c>
      <c r="F27">
        <f t="shared" si="2"/>
        <v>1219.5840000000001</v>
      </c>
      <c r="G27" s="24">
        <f>Survival_curve_SF!Z146</f>
        <v>-495.78767003348912</v>
      </c>
      <c r="H27">
        <f t="shared" si="0"/>
        <v>723.79632996651094</v>
      </c>
      <c r="I27" s="2">
        <f>AHS_tables!$CR$32</f>
        <v>71499.011453219544</v>
      </c>
      <c r="J27" s="2">
        <f>AHS_tables!$CR$32</f>
        <v>71499.011453219544</v>
      </c>
      <c r="K27">
        <f>2719+971</f>
        <v>3690</v>
      </c>
      <c r="L27">
        <f>481+269+670+79</f>
        <v>1499</v>
      </c>
      <c r="M27">
        <f>K27-K$27</f>
        <v>0</v>
      </c>
      <c r="N27">
        <f>L27-L$27</f>
        <v>0</v>
      </c>
      <c r="O27" s="2">
        <f>I27-N27</f>
        <v>71499.011453219544</v>
      </c>
      <c r="P27">
        <f>D27</f>
        <v>1999</v>
      </c>
      <c r="Q27" s="2">
        <f>O27</f>
        <v>71499.011453219544</v>
      </c>
      <c r="R27" s="2">
        <f>J27</f>
        <v>71499.011453219544</v>
      </c>
      <c r="S27" s="2">
        <f t="shared" si="4"/>
        <v>71499.011453219544</v>
      </c>
      <c r="AC27" s="2">
        <f t="shared" si="6"/>
        <v>69019.755633260356</v>
      </c>
      <c r="AD27">
        <f t="shared" si="7"/>
        <v>-276.07902253304144</v>
      </c>
      <c r="AE27">
        <f t="shared" si="8"/>
        <v>1166.4480000000001</v>
      </c>
      <c r="AF27" s="2">
        <f t="shared" si="9"/>
        <v>69910.124610727318</v>
      </c>
      <c r="AG27" s="2">
        <f t="shared" si="5"/>
        <v>71499.011453219544</v>
      </c>
      <c r="AH27" s="2">
        <f t="shared" si="10"/>
        <v>1588.8868424922257</v>
      </c>
      <c r="AI27">
        <f>AH27*AH27</f>
        <v>2524561.3982449146</v>
      </c>
      <c r="AK27">
        <v>1999</v>
      </c>
      <c r="AL27" s="280">
        <f t="shared" ref="AL27:AL39" si="11">C27</f>
        <v>104.6135</v>
      </c>
      <c r="AM27" s="12">
        <f>AHS_tables!KG5*0.001</f>
        <v>102.79406383428312</v>
      </c>
    </row>
    <row r="28" spans="3:39" x14ac:dyDescent="0.2">
      <c r="C28">
        <f>[9]National_Calibration!E29</f>
        <v>106.41125</v>
      </c>
      <c r="D28">
        <f t="shared" si="3"/>
        <v>2000</v>
      </c>
      <c r="E28">
        <f>'Comps Ann_2015'!E42</f>
        <v>1241.8</v>
      </c>
      <c r="F28">
        <f t="shared" si="2"/>
        <v>1192.1279999999999</v>
      </c>
      <c r="G28" s="24">
        <f>Survival_curve_SF!Z147</f>
        <v>-500.78916376382404</v>
      </c>
      <c r="H28">
        <f t="shared" si="0"/>
        <v>691.33883623617589</v>
      </c>
      <c r="I28" s="2">
        <f>I27+H28</f>
        <v>72190.350289455717</v>
      </c>
      <c r="O28" s="2"/>
      <c r="S28" s="2"/>
      <c r="AC28" s="2">
        <f t="shared" si="6"/>
        <v>69910.124610727318</v>
      </c>
      <c r="AD28">
        <f t="shared" si="7"/>
        <v>-279.64049844290929</v>
      </c>
      <c r="AE28">
        <f t="shared" si="8"/>
        <v>1205.8559999999998</v>
      </c>
      <c r="AF28" s="2">
        <f t="shared" si="9"/>
        <v>70836.340112284408</v>
      </c>
      <c r="AG28" s="2"/>
      <c r="AH28" s="2"/>
      <c r="AK28">
        <f>AK27+1</f>
        <v>2000</v>
      </c>
      <c r="AL28" s="280">
        <f t="shared" si="11"/>
        <v>106.41125</v>
      </c>
      <c r="AM28" s="12"/>
    </row>
    <row r="29" spans="3:39" x14ac:dyDescent="0.2">
      <c r="C29">
        <f>[9]National_Calibration!E30</f>
        <v>108.209</v>
      </c>
      <c r="D29">
        <f t="shared" si="3"/>
        <v>2001</v>
      </c>
      <c r="E29">
        <f>'Comps Ann_2015'!E43</f>
        <v>1255.9000000000001</v>
      </c>
      <c r="F29">
        <f t="shared" si="2"/>
        <v>1205.664</v>
      </c>
      <c r="G29" s="24">
        <f>Survival_curve_SF!Z148</f>
        <v>-507.96565217444731</v>
      </c>
      <c r="H29">
        <f t="shared" si="0"/>
        <v>697.69834782555267</v>
      </c>
      <c r="I29" s="2">
        <f t="shared" ref="I29:I37" si="12">I28+H29</f>
        <v>72888.048637281274</v>
      </c>
      <c r="J29" s="2">
        <f>AHS_tables!$DC32</f>
        <v>74433.828759211698</v>
      </c>
      <c r="K29">
        <f>2916+1243</f>
        <v>4159</v>
      </c>
      <c r="L29">
        <f>556+334+858+78</f>
        <v>1826</v>
      </c>
      <c r="M29">
        <f>K29-K$27</f>
        <v>469</v>
      </c>
      <c r="N29">
        <f>L29-L$27</f>
        <v>327</v>
      </c>
      <c r="O29" s="2">
        <f>I29-N29</f>
        <v>72561.048637281274</v>
      </c>
      <c r="P29">
        <f>D29</f>
        <v>2001</v>
      </c>
      <c r="Q29" s="2">
        <f>O29</f>
        <v>72561.048637281274</v>
      </c>
      <c r="R29" s="2">
        <f>J29</f>
        <v>74433.828759211698</v>
      </c>
      <c r="S29" s="2">
        <f t="shared" si="4"/>
        <v>74902.828759211698</v>
      </c>
      <c r="AC29" s="2">
        <f t="shared" si="6"/>
        <v>70836.340112284408</v>
      </c>
      <c r="AD29">
        <f t="shared" si="7"/>
        <v>-283.34536044913762</v>
      </c>
      <c r="AE29">
        <f t="shared" si="8"/>
        <v>1198.896</v>
      </c>
      <c r="AF29" s="2">
        <f t="shared" si="9"/>
        <v>71751.890751835264</v>
      </c>
      <c r="AG29" s="2">
        <f t="shared" si="5"/>
        <v>74902.828759211698</v>
      </c>
      <c r="AH29" s="2">
        <f t="shared" si="10"/>
        <v>3150.9380073764332</v>
      </c>
      <c r="AI29">
        <f>AH29*AH29</f>
        <v>9928410.3263293672</v>
      </c>
      <c r="AK29" s="280">
        <f t="shared" ref="AK29:AK39" si="13">AK28+1</f>
        <v>2001</v>
      </c>
      <c r="AL29" s="280">
        <f t="shared" si="11"/>
        <v>108.209</v>
      </c>
      <c r="AM29" s="12">
        <f>AHS_tables!KG7*0.001</f>
        <v>106.2577265921973</v>
      </c>
    </row>
    <row r="30" spans="3:39" x14ac:dyDescent="0.2">
      <c r="C30">
        <f>[9]National_Calibration!E31</f>
        <v>109.291</v>
      </c>
      <c r="D30">
        <f t="shared" si="3"/>
        <v>2002</v>
      </c>
      <c r="E30">
        <f>'Comps Ann_2015'!E44</f>
        <v>1325.1</v>
      </c>
      <c r="F30">
        <f t="shared" si="2"/>
        <v>1272.0959999999998</v>
      </c>
      <c r="G30" s="24">
        <f>Survival_curve_SF!Z149</f>
        <v>-515.04180704255123</v>
      </c>
      <c r="H30">
        <f t="shared" si="0"/>
        <v>757.05419295744855</v>
      </c>
      <c r="I30" s="2">
        <f t="shared" si="12"/>
        <v>73645.102830238728</v>
      </c>
      <c r="O30" s="2"/>
      <c r="S30" s="2"/>
      <c r="AC30" s="2">
        <f t="shared" si="6"/>
        <v>71751.890751835264</v>
      </c>
      <c r="AD30">
        <f t="shared" si="7"/>
        <v>-287.00756300734105</v>
      </c>
      <c r="AE30">
        <f t="shared" si="8"/>
        <v>1238.8799999999999</v>
      </c>
      <c r="AF30" s="2">
        <f t="shared" si="9"/>
        <v>72703.763188827928</v>
      </c>
      <c r="AG30" s="2"/>
      <c r="AH30" s="2"/>
      <c r="AK30" s="280">
        <f t="shared" si="13"/>
        <v>2002</v>
      </c>
      <c r="AL30" s="280">
        <f t="shared" si="11"/>
        <v>109.291</v>
      </c>
      <c r="AM30" s="12"/>
    </row>
    <row r="31" spans="3:39" x14ac:dyDescent="0.2">
      <c r="C31">
        <f>[9]National_Calibration!E32</f>
        <v>111.27800000000001</v>
      </c>
      <c r="D31">
        <f t="shared" si="3"/>
        <v>2003</v>
      </c>
      <c r="E31">
        <f>'Comps Ann_2015'!E45</f>
        <v>1386.3</v>
      </c>
      <c r="F31">
        <f t="shared" si="2"/>
        <v>1330.848</v>
      </c>
      <c r="G31" s="24">
        <f>Survival_curve_SF!Z150</f>
        <v>-521.99542576736712</v>
      </c>
      <c r="H31">
        <f t="shared" si="0"/>
        <v>808.85257423263283</v>
      </c>
      <c r="I31" s="2">
        <f t="shared" si="12"/>
        <v>74453.955404471359</v>
      </c>
      <c r="J31" s="2">
        <f>AHS_tables!$DN32</f>
        <v>74025.57567727234</v>
      </c>
      <c r="K31">
        <f>3597+1284</f>
        <v>4881</v>
      </c>
      <c r="L31">
        <f>675+252+882+82</f>
        <v>1891</v>
      </c>
      <c r="M31">
        <f>K31-K$27</f>
        <v>1191</v>
      </c>
      <c r="N31">
        <f>L31-L$27</f>
        <v>392</v>
      </c>
      <c r="O31" s="2">
        <f>I31-N31</f>
        <v>74061.955404471359</v>
      </c>
      <c r="P31">
        <f>D31</f>
        <v>2003</v>
      </c>
      <c r="Q31" s="2">
        <f>O31</f>
        <v>74061.955404471359</v>
      </c>
      <c r="R31" s="2">
        <f>J31</f>
        <v>74025.57567727234</v>
      </c>
      <c r="S31" s="2">
        <f t="shared" si="4"/>
        <v>75216.57567727234</v>
      </c>
      <c r="AC31" s="2">
        <f t="shared" si="6"/>
        <v>72703.763188827928</v>
      </c>
      <c r="AD31">
        <f t="shared" si="7"/>
        <v>-290.81505275531174</v>
      </c>
      <c r="AE31">
        <f t="shared" si="8"/>
        <v>1301.4719999999998</v>
      </c>
      <c r="AF31" s="2">
        <f t="shared" si="9"/>
        <v>73714.420136072615</v>
      </c>
      <c r="AG31" s="2">
        <f t="shared" si="5"/>
        <v>75216.57567727234</v>
      </c>
      <c r="AH31" s="2">
        <f t="shared" si="10"/>
        <v>1502.1555411997251</v>
      </c>
      <c r="AI31">
        <f>AH31*AH31</f>
        <v>2256471.269957039</v>
      </c>
      <c r="AK31" s="280">
        <f t="shared" si="13"/>
        <v>2003</v>
      </c>
      <c r="AL31" s="280">
        <f t="shared" si="11"/>
        <v>111.27800000000001</v>
      </c>
      <c r="AM31" s="12">
        <f>AHS_tables!KG9*0.001</f>
        <v>105.83967536320802</v>
      </c>
    </row>
    <row r="32" spans="3:39" x14ac:dyDescent="0.2">
      <c r="C32">
        <v>112</v>
      </c>
      <c r="D32">
        <f t="shared" si="3"/>
        <v>2004</v>
      </c>
      <c r="E32">
        <f>'Comps Ann_2015'!E46</f>
        <v>1531.5</v>
      </c>
      <c r="F32">
        <f t="shared" si="2"/>
        <v>1470.24</v>
      </c>
      <c r="G32" s="24">
        <f>Survival_curve_SF!Z151</f>
        <v>-528.80678805880598</v>
      </c>
      <c r="H32">
        <f t="shared" si="0"/>
        <v>941.43321194119403</v>
      </c>
      <c r="I32" s="2">
        <f t="shared" si="12"/>
        <v>75395.388616412558</v>
      </c>
      <c r="O32" s="2"/>
      <c r="S32" s="2"/>
      <c r="AC32" s="2">
        <f t="shared" si="6"/>
        <v>73714.420136072615</v>
      </c>
      <c r="AD32">
        <f t="shared" si="7"/>
        <v>-294.85768054429047</v>
      </c>
      <c r="AE32">
        <f t="shared" si="8"/>
        <v>1400.5440000000001</v>
      </c>
      <c r="AF32" s="2">
        <f t="shared" si="9"/>
        <v>74820.106455528323</v>
      </c>
      <c r="AG32" s="2"/>
      <c r="AH32" s="2"/>
      <c r="AK32" s="280">
        <f t="shared" si="13"/>
        <v>2004</v>
      </c>
      <c r="AL32" s="280">
        <f t="shared" si="11"/>
        <v>112</v>
      </c>
      <c r="AM32" s="12"/>
    </row>
    <row r="33" spans="3:39" x14ac:dyDescent="0.2">
      <c r="C33">
        <f>[9]National_Calibration!E34</f>
        <v>113.343</v>
      </c>
      <c r="D33">
        <f t="shared" si="3"/>
        <v>2005</v>
      </c>
      <c r="E33">
        <f>'Comps Ann_2015'!E47</f>
        <v>1635.9</v>
      </c>
      <c r="F33">
        <f t="shared" si="2"/>
        <v>1570.4639999999999</v>
      </c>
      <c r="G33" s="24">
        <f>Survival_curve_SF!Z152</f>
        <v>-535.45806099784386</v>
      </c>
      <c r="H33">
        <f t="shared" si="0"/>
        <v>1035.0059390021561</v>
      </c>
      <c r="I33" s="2">
        <f t="shared" si="12"/>
        <v>76430.394555414707</v>
      </c>
      <c r="J33" s="2">
        <f>AHS_tables!$DY32</f>
        <v>76147.117574834105</v>
      </c>
      <c r="K33">
        <f>3707+1401</f>
        <v>5108</v>
      </c>
      <c r="L33">
        <f>681+229+1026+92</f>
        <v>2028</v>
      </c>
      <c r="M33">
        <f>K33-K$27</f>
        <v>1418</v>
      </c>
      <c r="N33">
        <f>L33-L$27</f>
        <v>529</v>
      </c>
      <c r="O33" s="2">
        <f>I33-N33</f>
        <v>75901.394555414707</v>
      </c>
      <c r="P33">
        <f>D33</f>
        <v>2005</v>
      </c>
      <c r="Q33" s="2">
        <f>O33</f>
        <v>75901.394555414707</v>
      </c>
      <c r="R33" s="2">
        <f>J33</f>
        <v>76147.117574834105</v>
      </c>
      <c r="S33" s="2">
        <f t="shared" si="4"/>
        <v>77565.117574834105</v>
      </c>
      <c r="AC33" s="2">
        <f t="shared" si="6"/>
        <v>74820.106455528323</v>
      </c>
      <c r="AD33">
        <f t="shared" si="7"/>
        <v>-299.28042582211327</v>
      </c>
      <c r="AE33">
        <f t="shared" si="8"/>
        <v>1520.3520000000001</v>
      </c>
      <c r="AF33" s="2">
        <f t="shared" si="9"/>
        <v>76041.178029706207</v>
      </c>
      <c r="AG33" s="2">
        <f t="shared" si="5"/>
        <v>77565.117574834105</v>
      </c>
      <c r="AH33" s="2">
        <f t="shared" si="10"/>
        <v>1523.9395451278979</v>
      </c>
      <c r="AI33">
        <f>AH33*AH33</f>
        <v>2322391.7372046243</v>
      </c>
      <c r="AK33" s="280">
        <f t="shared" si="13"/>
        <v>2005</v>
      </c>
      <c r="AL33" s="280">
        <f t="shared" si="11"/>
        <v>113.343</v>
      </c>
      <c r="AM33" s="12">
        <f>AHS_tables!KG11*0.001</f>
        <v>108.85464427596862</v>
      </c>
    </row>
    <row r="34" spans="3:39" x14ac:dyDescent="0.2">
      <c r="C34">
        <f>[9]National_Calibration!E35</f>
        <v>114.384</v>
      </c>
      <c r="D34">
        <f t="shared" si="3"/>
        <v>2006</v>
      </c>
      <c r="E34">
        <f>'Comps Ann_2015'!E48</f>
        <v>1654.5</v>
      </c>
      <c r="F34">
        <f t="shared" si="2"/>
        <v>1588.32</v>
      </c>
      <c r="G34" s="24">
        <f>Survival_curve_SF!Z153</f>
        <v>-541.93294076724851</v>
      </c>
      <c r="H34">
        <f t="shared" si="0"/>
        <v>1046.3870592327514</v>
      </c>
      <c r="I34" s="2">
        <f t="shared" si="12"/>
        <v>77476.781614647465</v>
      </c>
      <c r="O34" s="2"/>
      <c r="S34" s="2"/>
      <c r="AC34" s="2">
        <f t="shared" si="6"/>
        <v>76041.178029706207</v>
      </c>
      <c r="AD34">
        <f t="shared" si="7"/>
        <v>-304.16471211882481</v>
      </c>
      <c r="AE34">
        <f t="shared" si="8"/>
        <v>1579.3920000000001</v>
      </c>
      <c r="AF34" s="2">
        <f t="shared" si="9"/>
        <v>77316.405317587385</v>
      </c>
      <c r="AG34" s="2"/>
      <c r="AH34" s="2"/>
      <c r="AK34" s="280">
        <f t="shared" si="13"/>
        <v>2006</v>
      </c>
      <c r="AL34" s="280">
        <f t="shared" si="11"/>
        <v>114.384</v>
      </c>
      <c r="AM34" s="12"/>
    </row>
    <row r="35" spans="3:39" x14ac:dyDescent="0.2">
      <c r="C35">
        <f>[9]National_Calibration!E36</f>
        <v>116.011</v>
      </c>
      <c r="D35">
        <f t="shared" si="3"/>
        <v>2007</v>
      </c>
      <c r="E35">
        <f>'Comps Ann_2015'!E49</f>
        <v>1218.4000000000001</v>
      </c>
      <c r="F35">
        <f t="shared" si="2"/>
        <v>1169.664</v>
      </c>
      <c r="G35" s="24">
        <f>Survival_curve_SF!Z154</f>
        <v>-548.21642505533237</v>
      </c>
      <c r="H35">
        <f t="shared" si="0"/>
        <v>621.44757494466762</v>
      </c>
      <c r="I35" s="2">
        <f t="shared" si="12"/>
        <v>78098.229189592137</v>
      </c>
      <c r="J35" s="2">
        <f>AHS_tables!$EJ32</f>
        <v>77490.956361530247</v>
      </c>
      <c r="K35">
        <f>3582+2017</f>
        <v>5599</v>
      </c>
      <c r="L35">
        <f>850+192+567+104</f>
        <v>1713</v>
      </c>
      <c r="M35">
        <f>K35-K$27</f>
        <v>1909</v>
      </c>
      <c r="N35">
        <f>L35-L$27</f>
        <v>214</v>
      </c>
      <c r="O35" s="2">
        <f>I35-N35</f>
        <v>77884.229189592137</v>
      </c>
      <c r="P35">
        <f>D35</f>
        <v>2007</v>
      </c>
      <c r="Q35" s="2">
        <f>O35</f>
        <v>77884.229189592137</v>
      </c>
      <c r="R35" s="2">
        <f>J35</f>
        <v>77490.956361530247</v>
      </c>
      <c r="S35" s="2">
        <f t="shared" si="4"/>
        <v>79399.956361530247</v>
      </c>
      <c r="AC35" s="2">
        <f t="shared" si="6"/>
        <v>77316.405317587385</v>
      </c>
      <c r="AD35">
        <f t="shared" si="7"/>
        <v>-309.26562127034953</v>
      </c>
      <c r="AE35">
        <f t="shared" si="8"/>
        <v>1378.992</v>
      </c>
      <c r="AF35" s="2">
        <f t="shared" si="9"/>
        <v>78386.131696317039</v>
      </c>
      <c r="AG35" s="2">
        <f t="shared" si="5"/>
        <v>79399.956361530247</v>
      </c>
      <c r="AH35" s="2">
        <f t="shared" si="10"/>
        <v>1013.8246652132075</v>
      </c>
      <c r="AI35">
        <f>AH35*AH35</f>
        <v>1027840.4517946722</v>
      </c>
      <c r="AK35" s="280">
        <f t="shared" si="13"/>
        <v>2007</v>
      </c>
      <c r="AL35" s="280">
        <f t="shared" si="11"/>
        <v>116.011</v>
      </c>
      <c r="AM35" s="12">
        <f>AHS_tables!KG13*0.001</f>
        <v>110.64570519354855</v>
      </c>
    </row>
    <row r="36" spans="3:39" x14ac:dyDescent="0.2">
      <c r="C36">
        <f>[9]National_Calibration!E37</f>
        <v>116.783</v>
      </c>
      <c r="D36">
        <f t="shared" si="3"/>
        <v>2008</v>
      </c>
      <c r="E36">
        <f>'Comps Ann_2015'!E50</f>
        <v>818.8</v>
      </c>
      <c r="F36">
        <f t="shared" si="2"/>
        <v>786.04799999999989</v>
      </c>
      <c r="G36" s="24">
        <f>Survival_curve_SF!Z155</f>
        <v>-554.2946628320642</v>
      </c>
      <c r="H36">
        <f t="shared" si="0"/>
        <v>231.75333716793568</v>
      </c>
      <c r="I36" s="2">
        <f t="shared" si="12"/>
        <v>78329.982526760068</v>
      </c>
      <c r="O36" s="2"/>
      <c r="S36" s="2"/>
      <c r="AC36" s="2">
        <f t="shared" si="6"/>
        <v>78386.131696317039</v>
      </c>
      <c r="AD36">
        <f t="shared" si="7"/>
        <v>-313.54452678526815</v>
      </c>
      <c r="AE36">
        <f t="shared" si="8"/>
        <v>977.85599999999999</v>
      </c>
      <c r="AF36" s="2">
        <f t="shared" si="9"/>
        <v>79050.443169531776</v>
      </c>
      <c r="AG36" s="2"/>
      <c r="AH36" s="2"/>
      <c r="AK36" s="280">
        <f t="shared" si="13"/>
        <v>2008</v>
      </c>
      <c r="AL36" s="280">
        <f t="shared" si="11"/>
        <v>116.783</v>
      </c>
      <c r="AM36" s="12"/>
    </row>
    <row r="37" spans="3:39" x14ac:dyDescent="0.2">
      <c r="C37">
        <f>[9]National_Calibration!E38</f>
        <v>117.181</v>
      </c>
      <c r="D37">
        <f t="shared" si="3"/>
        <v>2009</v>
      </c>
      <c r="E37">
        <f>'Comps Ann_2015'!E51</f>
        <v>520.1</v>
      </c>
      <c r="F37">
        <f t="shared" si="2"/>
        <v>499.29599999999999</v>
      </c>
      <c r="G37" s="24">
        <f>Survival_curve_SF!Z156</f>
        <v>-560.15485236047243</v>
      </c>
      <c r="H37">
        <f t="shared" si="0"/>
        <v>-60.85885236047244</v>
      </c>
      <c r="I37" s="2">
        <f t="shared" si="12"/>
        <v>78269.123674399598</v>
      </c>
      <c r="J37" s="2">
        <f>AHS_tables!$EU32</f>
        <v>79051.852939674674</v>
      </c>
      <c r="K37">
        <f>4018+2108</f>
        <v>6126</v>
      </c>
      <c r="L37">
        <f>820+198+1477+175</f>
        <v>2670</v>
      </c>
      <c r="M37">
        <f>K37-K$27</f>
        <v>2436</v>
      </c>
      <c r="N37">
        <f>L37-L$27</f>
        <v>1171</v>
      </c>
      <c r="O37" s="2">
        <f>I37-N37</f>
        <v>77098.123674399598</v>
      </c>
      <c r="P37">
        <f>D37</f>
        <v>2009</v>
      </c>
      <c r="Q37" s="2">
        <f>O37</f>
        <v>77098.123674399598</v>
      </c>
      <c r="R37" s="2">
        <f>J37</f>
        <v>79051.852939674674</v>
      </c>
      <c r="S37" s="2">
        <f t="shared" si="4"/>
        <v>81487.852939674674</v>
      </c>
      <c r="AC37" s="2">
        <f t="shared" si="6"/>
        <v>79050.443169531776</v>
      </c>
      <c r="AD37">
        <f t="shared" si="7"/>
        <v>-316.2017726781271</v>
      </c>
      <c r="AE37">
        <f t="shared" si="8"/>
        <v>642.67200000000003</v>
      </c>
      <c r="AF37" s="2">
        <f t="shared" si="9"/>
        <v>79376.913396853648</v>
      </c>
      <c r="AG37" s="2">
        <f t="shared" si="5"/>
        <v>81487.852939674674</v>
      </c>
      <c r="AH37" s="2">
        <f t="shared" si="10"/>
        <v>2110.9395428210264</v>
      </c>
      <c r="AI37">
        <f>AH37*AH37</f>
        <v>4456065.7534454437</v>
      </c>
      <c r="AK37" s="280">
        <f t="shared" si="13"/>
        <v>2009</v>
      </c>
      <c r="AL37" s="280">
        <f t="shared" si="11"/>
        <v>117.181</v>
      </c>
      <c r="AM37" s="12">
        <f>AHS_tables!KG15*0.001</f>
        <v>111.80275465906956</v>
      </c>
    </row>
    <row r="38" spans="3:39" x14ac:dyDescent="0.2">
      <c r="C38">
        <v>118.682</v>
      </c>
      <c r="D38">
        <f t="shared" si="3"/>
        <v>2010</v>
      </c>
      <c r="E38">
        <f>'Comps Ann_2015'!D52</f>
        <v>651.70000000000005</v>
      </c>
      <c r="AK38" s="280">
        <f t="shared" si="13"/>
        <v>2010</v>
      </c>
      <c r="AL38" s="280">
        <f t="shared" si="11"/>
        <v>118.682</v>
      </c>
      <c r="AM38" s="12"/>
    </row>
    <row r="39" spans="3:39" s="280" customFormat="1" x14ac:dyDescent="0.2">
      <c r="C39" s="280">
        <v>118.682</v>
      </c>
      <c r="D39" s="280">
        <v>2011</v>
      </c>
      <c r="AK39" s="280">
        <f t="shared" si="13"/>
        <v>2011</v>
      </c>
      <c r="AL39" s="280">
        <f t="shared" si="11"/>
        <v>118.682</v>
      </c>
      <c r="AM39" s="12">
        <f>AHS_tables!KG17*0.001</f>
        <v>114.83278513599127</v>
      </c>
    </row>
    <row r="40" spans="3:39" s="341" customFormat="1" x14ac:dyDescent="0.2">
      <c r="AM40" s="12"/>
    </row>
    <row r="41" spans="3:39" s="341" customFormat="1" x14ac:dyDescent="0.2">
      <c r="AM41" s="12"/>
    </row>
    <row r="42" spans="3:39" s="341" customFormat="1" x14ac:dyDescent="0.2">
      <c r="AM42" s="12"/>
    </row>
    <row r="43" spans="3:39" s="341" customFormat="1" x14ac:dyDescent="0.2">
      <c r="AM43" s="12"/>
    </row>
    <row r="44" spans="3:39" s="341" customFormat="1" x14ac:dyDescent="0.2">
      <c r="AM44" s="12"/>
    </row>
    <row r="45" spans="3:39" s="280" customFormat="1" x14ac:dyDescent="0.2"/>
    <row r="46" spans="3:39" s="280" customFormat="1" x14ac:dyDescent="0.2"/>
    <row r="48" spans="3:39" x14ac:dyDescent="0.2">
      <c r="C48" s="50" t="s">
        <v>6</v>
      </c>
      <c r="E48">
        <f>SUM(E18:E27)</f>
        <v>10707.4</v>
      </c>
      <c r="F48">
        <f>SUM(F18:F27)</f>
        <v>10279.104000000001</v>
      </c>
      <c r="G48">
        <f>SUM(G18:G27)</f>
        <v>-4612.8696097493666</v>
      </c>
      <c r="H48">
        <f>SUM(H18:H27)</f>
        <v>5666.2343902506336</v>
      </c>
    </row>
    <row r="49" spans="5:8" x14ac:dyDescent="0.2">
      <c r="E49">
        <f>SUM(E28:E37)</f>
        <v>12588.3</v>
      </c>
      <c r="F49">
        <f>SUM(F28:F37)</f>
        <v>12084.768000000002</v>
      </c>
      <c r="G49">
        <f>SUM(G28:G37)</f>
        <v>-5314.655778819957</v>
      </c>
      <c r="H49">
        <f>SUM(H28:H37)</f>
        <v>6770.1122211800421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B1:DD139"/>
  <sheetViews>
    <sheetView topLeftCell="AO41" workbookViewId="0">
      <selection activeCell="AQ50" sqref="AQ50"/>
    </sheetView>
  </sheetViews>
  <sheetFormatPr defaultRowHeight="12.75" x14ac:dyDescent="0.2"/>
  <cols>
    <col min="7" max="7" width="11.85546875" customWidth="1"/>
    <col min="23" max="23" width="10.140625" bestFit="1" customWidth="1"/>
    <col min="24" max="25" width="10.140625" customWidth="1"/>
    <col min="26" max="26" width="11.85546875" customWidth="1"/>
    <col min="35" max="35" width="13.7109375" customWidth="1"/>
    <col min="37" max="37" width="11" customWidth="1"/>
    <col min="47" max="47" width="8.85546875" bestFit="1" customWidth="1"/>
    <col min="58" max="58" width="10" customWidth="1"/>
    <col min="59" max="59" width="10.7109375" customWidth="1"/>
    <col min="60" max="60" width="11.140625" bestFit="1" customWidth="1"/>
    <col min="61" max="61" width="10.28515625" customWidth="1"/>
    <col min="66" max="66" width="10" bestFit="1" customWidth="1"/>
    <col min="67" max="67" width="13.42578125" customWidth="1"/>
    <col min="68" max="68" width="12" customWidth="1"/>
    <col min="69" max="69" width="11.7109375" customWidth="1"/>
    <col min="84" max="84" width="13.28515625" customWidth="1"/>
    <col min="85" max="85" width="13.28515625" style="341" customWidth="1"/>
    <col min="86" max="86" width="10.28515625" customWidth="1"/>
    <col min="88" max="88" width="11.140625" bestFit="1" customWidth="1"/>
  </cols>
  <sheetData>
    <row r="1" spans="3:108" x14ac:dyDescent="0.2">
      <c r="BA1">
        <f>AHS_tables!DQ508</f>
        <v>59178.196109999197</v>
      </c>
      <c r="BB1">
        <f>AHS_tables!DR508</f>
        <v>10798.957009999976</v>
      </c>
      <c r="BC1" t="s">
        <v>501</v>
      </c>
      <c r="BD1" t="s">
        <v>500</v>
      </c>
      <c r="BG1" t="s">
        <v>436</v>
      </c>
      <c r="BJ1" t="s">
        <v>438</v>
      </c>
      <c r="BK1" t="s">
        <v>439</v>
      </c>
      <c r="CZ1" t="s">
        <v>502</v>
      </c>
    </row>
    <row r="2" spans="3:108" x14ac:dyDescent="0.2">
      <c r="AI2" t="s">
        <v>421</v>
      </c>
      <c r="AK2">
        <f>2^0.7</f>
        <v>1.6245047927124709</v>
      </c>
      <c r="BA2">
        <f>AHS_tables!DQ509</f>
        <v>61378.031859999668</v>
      </c>
      <c r="BB2">
        <f>AHS_tables!DR509</f>
        <v>11021.945950000056</v>
      </c>
      <c r="BG2" t="s">
        <v>435</v>
      </c>
      <c r="BJ2" t="s">
        <v>95</v>
      </c>
      <c r="BK2" t="s">
        <v>440</v>
      </c>
      <c r="CY2">
        <f>1973</f>
        <v>1973</v>
      </c>
      <c r="CZ2" s="282">
        <f>SFTotalMedAvgSqFt!G9</f>
        <v>1660</v>
      </c>
    </row>
    <row r="3" spans="3:108" x14ac:dyDescent="0.2">
      <c r="BA3">
        <f>AHS_tables!DQ510</f>
        <v>63204.538720000448</v>
      </c>
      <c r="BB3">
        <f>AHS_tables!DR510</f>
        <v>11433.545650000004</v>
      </c>
      <c r="BE3">
        <f>'Comps Ann'!C15</f>
        <v>1197.2</v>
      </c>
      <c r="BF3">
        <f>$AJ$9*BE3</f>
        <v>1197.2</v>
      </c>
      <c r="BG3" s="2">
        <f>SFTotalMedAvgSqFt!G9</f>
        <v>1660</v>
      </c>
      <c r="BH3">
        <f>BE3*BG3</f>
        <v>1987352</v>
      </c>
      <c r="BI3">
        <f>BH3</f>
        <v>1987352</v>
      </c>
      <c r="BJ3">
        <f>BE3</f>
        <v>1197.2</v>
      </c>
      <c r="BK3">
        <f>BI3/BJ3</f>
        <v>1660</v>
      </c>
      <c r="BM3" s="287" t="s">
        <v>431</v>
      </c>
      <c r="CY3">
        <f>CY2+1</f>
        <v>1974</v>
      </c>
      <c r="CZ3" s="344">
        <f>SFTotalMedAvgSqFt!G10</f>
        <v>1695</v>
      </c>
    </row>
    <row r="4" spans="3:108" x14ac:dyDescent="0.2">
      <c r="E4" t="s">
        <v>711</v>
      </c>
      <c r="Q4">
        <f>100000000/285000</f>
        <v>350.87719298245617</v>
      </c>
      <c r="AO4" t="s">
        <v>621</v>
      </c>
      <c r="AQ4" t="s">
        <v>622</v>
      </c>
      <c r="AV4" t="s">
        <v>705</v>
      </c>
      <c r="BA4">
        <f>AHS_tables!DQ511</f>
        <v>62927</v>
      </c>
      <c r="BB4">
        <f>AHS_tables!DR511</f>
        <v>11314.552662640299</v>
      </c>
      <c r="BE4">
        <f>'Comps Ann'!C16</f>
        <v>940.3</v>
      </c>
      <c r="BF4">
        <f t="shared" ref="BF4:BF43" si="0">$AJ$9*BE4</f>
        <v>940.3</v>
      </c>
      <c r="BG4" s="2">
        <f>SFTotalMedAvgSqFt!G10</f>
        <v>1695</v>
      </c>
      <c r="BH4">
        <f t="shared" ref="BH4:BH14" si="1">BE4*BG4</f>
        <v>1593808.5</v>
      </c>
      <c r="BI4" s="2">
        <f>BI3+BH4</f>
        <v>3581160.5</v>
      </c>
      <c r="BJ4">
        <f t="shared" ref="BJ4:BJ13" si="2">BJ3+BE4</f>
        <v>2137.5</v>
      </c>
      <c r="BK4">
        <f t="shared" ref="BK4:BK40" si="3">BI4/BJ4</f>
        <v>1675.3967251461988</v>
      </c>
      <c r="BT4" t="s">
        <v>706</v>
      </c>
      <c r="CY4" s="280">
        <f t="shared" ref="CY4:CY47" si="4">CY3+1</f>
        <v>1975</v>
      </c>
      <c r="CZ4" s="344">
        <f>SFTotalMedAvgSqFt!G11</f>
        <v>1645</v>
      </c>
    </row>
    <row r="5" spans="3:108" x14ac:dyDescent="0.2">
      <c r="AL5" t="s">
        <v>248</v>
      </c>
      <c r="AO5" s="210"/>
      <c r="AP5" s="210"/>
      <c r="AQ5" s="210"/>
      <c r="AR5" s="210"/>
      <c r="AS5" s="210" t="s">
        <v>248</v>
      </c>
      <c r="AT5" s="210"/>
      <c r="AV5" s="402">
        <f>MIN($AJ$11)</f>
        <v>13153.535730008105</v>
      </c>
      <c r="BA5">
        <f>AHS_tables!DQ512</f>
        <v>64292.825580001081</v>
      </c>
      <c r="BB5">
        <f>AHS_tables!DR512</f>
        <v>11282.986240000118</v>
      </c>
      <c r="BE5">
        <f>'Comps Ann'!C17</f>
        <v>874.8</v>
      </c>
      <c r="BF5">
        <f t="shared" si="0"/>
        <v>874.8</v>
      </c>
      <c r="BG5" s="2">
        <f>SFTotalMedAvgSqFt!G11</f>
        <v>1645</v>
      </c>
      <c r="BH5">
        <f t="shared" si="1"/>
        <v>1439046</v>
      </c>
      <c r="BI5" s="2">
        <f t="shared" ref="BI5:BI40" si="5">BI4+BH5</f>
        <v>5020206.5</v>
      </c>
      <c r="BJ5">
        <f t="shared" si="2"/>
        <v>3012.3</v>
      </c>
      <c r="BK5">
        <f t="shared" si="3"/>
        <v>1666.5692328121368</v>
      </c>
      <c r="BN5" s="280">
        <v>1901.3973272242877</v>
      </c>
      <c r="BT5">
        <f>MIN($BN$8)</f>
        <v>2605.122236180538</v>
      </c>
      <c r="BX5">
        <v>1883.609210497631</v>
      </c>
      <c r="CY5" s="280">
        <f t="shared" si="4"/>
        <v>1976</v>
      </c>
      <c r="CZ5" s="344">
        <f>SFTotalMedAvgSqFt!G12</f>
        <v>1700</v>
      </c>
    </row>
    <row r="6" spans="3:108" x14ac:dyDescent="0.2">
      <c r="AI6" t="s">
        <v>419</v>
      </c>
      <c r="AL6" s="211">
        <f>MIN($AJ$11)</f>
        <v>13153.535730008105</v>
      </c>
      <c r="AM6">
        <f>MIN($AJ$11)</f>
        <v>13153.535730008105</v>
      </c>
      <c r="AO6" s="210"/>
      <c r="AP6" s="210" t="s">
        <v>419</v>
      </c>
      <c r="AQ6" s="210"/>
      <c r="AR6" s="210"/>
      <c r="AS6" s="210">
        <v>10660.962724259465</v>
      </c>
      <c r="AT6" s="210">
        <v>10660.962724259465</v>
      </c>
      <c r="AV6" s="402">
        <f>COUNT($AJ$8:$AJ$10)</f>
        <v>3</v>
      </c>
      <c r="BA6">
        <f>AHS_tables!DQ513</f>
        <v>66371.689159998437</v>
      </c>
      <c r="BB6">
        <f>AHS_tables!DR513</f>
        <v>11388.519919999959</v>
      </c>
      <c r="BE6" s="341">
        <f>'Comps Ann'!C18</f>
        <v>1034.2</v>
      </c>
      <c r="BF6">
        <f t="shared" si="0"/>
        <v>1034.2</v>
      </c>
      <c r="BG6" s="344">
        <f>SFTotalMedAvgSqFt!G12</f>
        <v>1700</v>
      </c>
      <c r="BH6">
        <f t="shared" si="1"/>
        <v>1758140</v>
      </c>
      <c r="BI6" s="2">
        <f t="shared" si="5"/>
        <v>6778346.5</v>
      </c>
      <c r="BJ6">
        <f t="shared" si="2"/>
        <v>4046.5</v>
      </c>
      <c r="BK6">
        <f t="shared" si="3"/>
        <v>1675.113431360435</v>
      </c>
      <c r="BN6" s="280">
        <v>7.4990078376868796</v>
      </c>
      <c r="BO6" t="s">
        <v>432</v>
      </c>
      <c r="BT6">
        <f>COUNT($BN$5:$BN$6)</f>
        <v>2</v>
      </c>
      <c r="BX6">
        <v>10.199999999999999</v>
      </c>
      <c r="BY6" t="s">
        <v>432</v>
      </c>
      <c r="CY6" s="280">
        <f t="shared" si="4"/>
        <v>1977</v>
      </c>
      <c r="CZ6" s="344">
        <f>SFTotalMedAvgSqFt!G13</f>
        <v>1720</v>
      </c>
    </row>
    <row r="7" spans="3:108" x14ac:dyDescent="0.2">
      <c r="C7" t="s">
        <v>107</v>
      </c>
      <c r="F7">
        <v>0.95</v>
      </c>
      <c r="J7" t="s">
        <v>247</v>
      </c>
      <c r="K7" t="s">
        <v>108</v>
      </c>
      <c r="L7" s="280" t="s">
        <v>108</v>
      </c>
      <c r="AI7" t="s">
        <v>418</v>
      </c>
      <c r="AL7" s="211">
        <f>COUNT($AJ$8:$AJ$10)</f>
        <v>3</v>
      </c>
      <c r="AM7">
        <f>COUNT($AJ$8:$AJ$10)</f>
        <v>3</v>
      </c>
      <c r="AO7" s="210"/>
      <c r="AP7" s="210" t="s">
        <v>418</v>
      </c>
      <c r="AQ7" s="210"/>
      <c r="AR7" s="210"/>
      <c r="AS7" s="210">
        <v>3</v>
      </c>
      <c r="AT7" s="210">
        <v>3</v>
      </c>
      <c r="AV7" s="402" t="b">
        <f>$AJ$8&gt;=0</f>
        <v>1</v>
      </c>
      <c r="BA7">
        <f>AHS_tables!DQ514</f>
        <v>67951.38235187353</v>
      </c>
      <c r="BB7">
        <f>AHS_tables!DR514</f>
        <v>11824.177886069361</v>
      </c>
      <c r="BE7" s="341">
        <f>'Comps Ann'!C19</f>
        <v>1258.4000000000001</v>
      </c>
      <c r="BF7">
        <f t="shared" si="0"/>
        <v>1258.4000000000001</v>
      </c>
      <c r="BG7" s="344">
        <f>SFTotalMedAvgSqFt!G13</f>
        <v>1720</v>
      </c>
      <c r="BH7">
        <f t="shared" si="1"/>
        <v>2164448</v>
      </c>
      <c r="BI7" s="2">
        <f t="shared" si="5"/>
        <v>8942794.5</v>
      </c>
      <c r="BJ7">
        <f t="shared" si="2"/>
        <v>5304.9</v>
      </c>
      <c r="BK7">
        <f t="shared" si="3"/>
        <v>1685.7611830571736</v>
      </c>
      <c r="BN7" s="280">
        <v>1</v>
      </c>
      <c r="BT7">
        <f>{32767,32767,0.000001,0.01,FALSE,FALSE,TRUE,1,1,1,0.0001,TRUE}</f>
        <v>32767</v>
      </c>
      <c r="BX7">
        <v>1</v>
      </c>
      <c r="CY7" s="280">
        <f t="shared" si="4"/>
        <v>1978</v>
      </c>
      <c r="CZ7" s="344">
        <f>SFTotalMedAvgSqFt!G14</f>
        <v>1755</v>
      </c>
    </row>
    <row r="8" spans="3:108" x14ac:dyDescent="0.2">
      <c r="C8">
        <f>[9]National_Calibration!E7</f>
        <v>77.371132743362836</v>
      </c>
      <c r="I8" t="s">
        <v>103</v>
      </c>
      <c r="J8" t="s">
        <v>254</v>
      </c>
      <c r="K8" t="s">
        <v>109</v>
      </c>
      <c r="L8" s="280" t="s">
        <v>109</v>
      </c>
      <c r="AH8" t="s">
        <v>422</v>
      </c>
      <c r="AJ8">
        <v>9.8200707575270475E-6</v>
      </c>
      <c r="AL8" s="211" t="b">
        <f>$AJ$8&gt;=0</f>
        <v>1</v>
      </c>
      <c r="AM8" t="b">
        <f>$AJ$8&gt;=0</f>
        <v>1</v>
      </c>
      <c r="AO8" s="210" t="s">
        <v>422</v>
      </c>
      <c r="AP8" s="210"/>
      <c r="AQ8" s="210">
        <v>1.2269715041704705E-5</v>
      </c>
      <c r="AR8" s="210"/>
      <c r="AS8" s="210" t="b">
        <v>1</v>
      </c>
      <c r="AT8" s="210" t="b">
        <v>1</v>
      </c>
      <c r="AV8" s="402" t="b">
        <f>$AJ$9=1</f>
        <v>1</v>
      </c>
      <c r="BA8">
        <f>AHS_tables!DQ515</f>
        <v>71499.011453219544</v>
      </c>
      <c r="BB8">
        <f>AHS_tables!DR515</f>
        <v>12571.685165395969</v>
      </c>
      <c r="BE8" s="341">
        <f>'Comps Ann'!C20</f>
        <v>1369</v>
      </c>
      <c r="BF8">
        <f t="shared" si="0"/>
        <v>1369</v>
      </c>
      <c r="BG8" s="344">
        <f>SFTotalMedAvgSqFt!G14</f>
        <v>1755</v>
      </c>
      <c r="BH8">
        <f t="shared" si="1"/>
        <v>2402595</v>
      </c>
      <c r="BI8" s="2">
        <f t="shared" si="5"/>
        <v>11345389.5</v>
      </c>
      <c r="BJ8">
        <f t="shared" si="2"/>
        <v>6673.9</v>
      </c>
      <c r="BK8">
        <f t="shared" si="3"/>
        <v>1699.9639640989528</v>
      </c>
      <c r="BM8" t="s">
        <v>80</v>
      </c>
      <c r="BN8" s="280">
        <f>SUM(BT29:BT48)</f>
        <v>2605.122236180538</v>
      </c>
      <c r="BT8" s="341">
        <f>{0,0,1,100,0,FALSE,TRUE,0.075,0,0,FALSE,30}</f>
        <v>0</v>
      </c>
      <c r="BW8" t="s">
        <v>80</v>
      </c>
      <c r="BX8">
        <v>1744.2190133523072</v>
      </c>
      <c r="CY8" s="280">
        <f t="shared" si="4"/>
        <v>1979</v>
      </c>
      <c r="CZ8" s="344">
        <f>SFTotalMedAvgSqFt!G15</f>
        <v>1760</v>
      </c>
    </row>
    <row r="9" spans="3:108" x14ac:dyDescent="0.2">
      <c r="C9">
        <f>[9]National_Calibration!E8</f>
        <v>78.809185840707968</v>
      </c>
      <c r="E9" t="s">
        <v>101</v>
      </c>
      <c r="G9" t="s">
        <v>84</v>
      </c>
      <c r="H9" t="s">
        <v>102</v>
      </c>
      <c r="K9" t="s">
        <v>91</v>
      </c>
      <c r="L9" t="s">
        <v>110</v>
      </c>
      <c r="AA9" t="s">
        <v>426</v>
      </c>
      <c r="AH9" t="s">
        <v>492</v>
      </c>
      <c r="AJ9">
        <v>1</v>
      </c>
      <c r="AL9" s="211" t="b">
        <f>$AJ$9=1</f>
        <v>1</v>
      </c>
      <c r="AM9" t="b">
        <f>$AJ$9=1</f>
        <v>1</v>
      </c>
      <c r="AO9" s="210" t="s">
        <v>492</v>
      </c>
      <c r="AP9" s="210"/>
      <c r="AQ9" s="210">
        <v>1</v>
      </c>
      <c r="AR9" s="210"/>
      <c r="AS9" s="210" t="b">
        <v>1</v>
      </c>
      <c r="AT9" s="210" t="b">
        <v>1</v>
      </c>
      <c r="AV9" s="402">
        <f>{32767,32767,0.000001,0.01,FALSE,FALSE,TRUE,1,1,1,0.0001,FALSE}</f>
        <v>32767</v>
      </c>
      <c r="BA9">
        <f>AHS_tables!DQ516</f>
        <v>74433.828759211698</v>
      </c>
      <c r="BB9">
        <f>AHS_tables!DR516</f>
        <v>13040.920271135181</v>
      </c>
      <c r="BE9" s="341">
        <f>'Comps Ann'!C21</f>
        <v>1301</v>
      </c>
      <c r="BF9">
        <f t="shared" si="0"/>
        <v>1301</v>
      </c>
      <c r="BG9" s="344">
        <f>SFTotalMedAvgSqFt!G15</f>
        <v>1760</v>
      </c>
      <c r="BH9">
        <f t="shared" si="1"/>
        <v>2289760</v>
      </c>
      <c r="BI9" s="2">
        <f t="shared" si="5"/>
        <v>13635149.5</v>
      </c>
      <c r="BJ9">
        <f t="shared" si="2"/>
        <v>7974.9</v>
      </c>
      <c r="BK9">
        <f t="shared" si="3"/>
        <v>1709.7580533925191</v>
      </c>
      <c r="CI9" t="s">
        <v>508</v>
      </c>
      <c r="CY9" s="280">
        <f t="shared" si="4"/>
        <v>1980</v>
      </c>
      <c r="CZ9" s="344">
        <f>SFTotalMedAvgSqFt!G16</f>
        <v>1740</v>
      </c>
    </row>
    <row r="10" spans="3:108" x14ac:dyDescent="0.2">
      <c r="C10">
        <f>[9]National_Calibration!E9</f>
        <v>80.775999999999996</v>
      </c>
      <c r="D10">
        <v>1980</v>
      </c>
      <c r="E10">
        <f>'Comps Ann'!C22</f>
        <v>956.7</v>
      </c>
      <c r="F10">
        <f>$F$7*E10</f>
        <v>908.86500000000001</v>
      </c>
      <c r="G10" s="24">
        <f>Survival_curve_SF!Z127</f>
        <v>-359.94858641573228</v>
      </c>
      <c r="H10">
        <f t="shared" ref="H10:H39" si="6">F10+G10</f>
        <v>548.91641358426773</v>
      </c>
      <c r="I10" s="2">
        <f t="shared" ref="I10:I28" si="7">I11-H11</f>
        <v>61100.868007111858</v>
      </c>
      <c r="AA10" t="s">
        <v>427</v>
      </c>
      <c r="AH10" t="s">
        <v>423</v>
      </c>
      <c r="AJ10">
        <v>-826</v>
      </c>
      <c r="AL10" s="211">
        <f>{32767,32767,0.000001,0.01,FALSE,FALSE,TRUE,1,1,1,0.0001,FALSE}</f>
        <v>32767</v>
      </c>
      <c r="AM10">
        <f>{32767,32767,0.000001,0.01,FALSE,FALSE,TRUE,1,1,1,0.0001,FALSE}</f>
        <v>32767</v>
      </c>
      <c r="AO10" s="210" t="s">
        <v>423</v>
      </c>
      <c r="AP10" s="210"/>
      <c r="AQ10" s="210">
        <v>-610.10673293980926</v>
      </c>
      <c r="AR10" s="210"/>
      <c r="AS10" s="210">
        <v>32767</v>
      </c>
      <c r="AT10" s="210">
        <v>32767</v>
      </c>
      <c r="AV10" s="15"/>
      <c r="BA10">
        <f>AHS_tables!DQ517</f>
        <v>74025.57567727234</v>
      </c>
      <c r="BB10">
        <f>AHS_tables!DR517</f>
        <v>12817.999632810663</v>
      </c>
      <c r="BE10" s="341">
        <f>'Comps Ann'!C22</f>
        <v>956.7</v>
      </c>
      <c r="BF10">
        <f t="shared" si="0"/>
        <v>956.7</v>
      </c>
      <c r="BG10" s="344">
        <f>SFTotalMedAvgSqFt!G16</f>
        <v>1740</v>
      </c>
      <c r="BH10">
        <f t="shared" si="1"/>
        <v>1664658</v>
      </c>
      <c r="BI10" s="2">
        <f t="shared" si="5"/>
        <v>15299807.5</v>
      </c>
      <c r="BJ10">
        <f t="shared" si="2"/>
        <v>8931.6</v>
      </c>
      <c r="BK10">
        <f t="shared" si="3"/>
        <v>1712.9973912848761</v>
      </c>
      <c r="BM10" t="s">
        <v>252</v>
      </c>
      <c r="BN10">
        <v>1.1499999999999999</v>
      </c>
      <c r="BW10" t="s">
        <v>252</v>
      </c>
      <c r="BX10">
        <v>1.1499999999999999</v>
      </c>
      <c r="CI10" t="s">
        <v>509</v>
      </c>
      <c r="CY10" s="280">
        <f t="shared" si="4"/>
        <v>1981</v>
      </c>
      <c r="CZ10" s="344">
        <f>SFTotalMedAvgSqFt!G17</f>
        <v>1720</v>
      </c>
    </row>
    <row r="11" spans="3:108" x14ac:dyDescent="0.2">
      <c r="C11">
        <f>[9]National_Calibration!E10</f>
        <v>82.367999999999995</v>
      </c>
      <c r="D11">
        <f>D10+1</f>
        <v>1981</v>
      </c>
      <c r="E11">
        <f>'Comps Ann'!C23</f>
        <v>818.5</v>
      </c>
      <c r="F11">
        <f t="shared" ref="F11:F39" si="8">$F$7*E11</f>
        <v>777.57499999999993</v>
      </c>
      <c r="G11" s="24">
        <f>Survival_curve_SF!Z128</f>
        <v>-366.66147258358251</v>
      </c>
      <c r="H11">
        <f t="shared" si="6"/>
        <v>410.91352741641742</v>
      </c>
      <c r="I11" s="2">
        <f t="shared" si="7"/>
        <v>61511.781534528272</v>
      </c>
      <c r="AH11" t="s">
        <v>491</v>
      </c>
      <c r="AJ11">
        <f>SUM(AP15:AP48)*0.001</f>
        <v>13153.535730008105</v>
      </c>
      <c r="AL11" s="15">
        <f>{0,0,1,100,0,FALSE,TRUE,0.075,0,0,FALSE,30}</f>
        <v>0</v>
      </c>
      <c r="AM11">
        <f>{0,0,1,100,0,FALSE,TRUE,0.075,0,0,FALSE,30}</f>
        <v>0</v>
      </c>
      <c r="AO11" s="210" t="s">
        <v>491</v>
      </c>
      <c r="AP11" s="210"/>
      <c r="AQ11" s="210">
        <v>10660.962724259465</v>
      </c>
      <c r="AR11" s="210"/>
      <c r="AS11" s="210">
        <v>0</v>
      </c>
      <c r="AT11" s="210">
        <v>0</v>
      </c>
      <c r="BA11">
        <f>AHS_tables!DQ518</f>
        <v>76147.117574834105</v>
      </c>
      <c r="BB11">
        <f>AHS_tables!DR518</f>
        <v>12868.633017977834</v>
      </c>
      <c r="BE11" s="341">
        <f>'Comps Ann'!C23</f>
        <v>818.5</v>
      </c>
      <c r="BF11">
        <f t="shared" si="0"/>
        <v>818.5</v>
      </c>
      <c r="BG11" s="344">
        <f>SFTotalMedAvgSqFt!G17</f>
        <v>1720</v>
      </c>
      <c r="BH11">
        <f t="shared" si="1"/>
        <v>1407820</v>
      </c>
      <c r="BI11" s="2">
        <f t="shared" si="5"/>
        <v>16707627.5</v>
      </c>
      <c r="BJ11">
        <f t="shared" si="2"/>
        <v>9750.1</v>
      </c>
      <c r="BK11">
        <f t="shared" si="3"/>
        <v>1713.5852452795355</v>
      </c>
      <c r="BW11" s="1" t="s">
        <v>8</v>
      </c>
      <c r="CY11" s="280">
        <f t="shared" si="4"/>
        <v>1982</v>
      </c>
      <c r="CZ11" s="344">
        <f>SFTotalMedAvgSqFt!G18</f>
        <v>1710</v>
      </c>
    </row>
    <row r="12" spans="3:108" x14ac:dyDescent="0.2">
      <c r="C12">
        <f>[9]National_Calibration!E11</f>
        <v>83.527000000000001</v>
      </c>
      <c r="D12">
        <f t="shared" ref="D12:D41" si="9">D11+1</f>
        <v>1982</v>
      </c>
      <c r="E12">
        <f>'Comps Ann'!C24</f>
        <v>631.5</v>
      </c>
      <c r="F12">
        <f t="shared" si="8"/>
        <v>599.92499999999995</v>
      </c>
      <c r="G12" s="24">
        <f>Survival_curve_SF!Z129</f>
        <v>-373.40368246372964</v>
      </c>
      <c r="H12">
        <f t="shared" si="6"/>
        <v>226.52131753627032</v>
      </c>
      <c r="I12" s="2">
        <f t="shared" si="7"/>
        <v>61738.302852064546</v>
      </c>
      <c r="AJ12">
        <v>10453</v>
      </c>
      <c r="AL12">
        <v>0.7</v>
      </c>
      <c r="AO12" s="210"/>
      <c r="AP12" s="210"/>
      <c r="AQ12" s="210">
        <v>10453</v>
      </c>
      <c r="AR12" s="210"/>
      <c r="AS12" s="210">
        <v>0.7</v>
      </c>
      <c r="AT12" s="210"/>
      <c r="AX12" t="s">
        <v>417</v>
      </c>
      <c r="BA12">
        <f>AHS_tables!DQ519</f>
        <v>77490.956361530247</v>
      </c>
      <c r="BB12">
        <f>AHS_tables!DR519</f>
        <v>12938.166107471912</v>
      </c>
      <c r="BE12" s="341">
        <f>'Comps Ann'!C24</f>
        <v>631.5</v>
      </c>
      <c r="BF12">
        <f t="shared" si="0"/>
        <v>631.5</v>
      </c>
      <c r="BG12" s="344">
        <f>SFTotalMedAvgSqFt!G18</f>
        <v>1710</v>
      </c>
      <c r="BH12">
        <f t="shared" si="1"/>
        <v>1079865</v>
      </c>
      <c r="BI12" s="2">
        <f t="shared" si="5"/>
        <v>17787492.5</v>
      </c>
      <c r="BJ12">
        <f t="shared" si="2"/>
        <v>10381.6</v>
      </c>
      <c r="BK12">
        <f t="shared" si="3"/>
        <v>1713.3671592047467</v>
      </c>
      <c r="CY12" s="280">
        <f t="shared" si="4"/>
        <v>1983</v>
      </c>
      <c r="CZ12" s="344">
        <f>SFTotalMedAvgSqFt!G19</f>
        <v>1725</v>
      </c>
    </row>
    <row r="13" spans="3:108" x14ac:dyDescent="0.2">
      <c r="C13">
        <f>[9]National_Calibration!E12</f>
        <v>83.918000000000006</v>
      </c>
      <c r="D13">
        <f t="shared" si="9"/>
        <v>1983</v>
      </c>
      <c r="E13">
        <f>'Comps Ann'!C25</f>
        <v>923.7</v>
      </c>
      <c r="F13">
        <f t="shared" si="8"/>
        <v>877.51499999999999</v>
      </c>
      <c r="G13" s="24">
        <f>Survival_curve_SF!Z130</f>
        <v>-380.15119542687899</v>
      </c>
      <c r="H13">
        <f t="shared" si="6"/>
        <v>497.363804573121</v>
      </c>
      <c r="I13" s="2">
        <f t="shared" si="7"/>
        <v>62235.666656637666</v>
      </c>
      <c r="R13" t="s">
        <v>247</v>
      </c>
      <c r="Z13" t="s">
        <v>428</v>
      </c>
      <c r="AM13" t="s">
        <v>332</v>
      </c>
      <c r="AQ13" t="s">
        <v>424</v>
      </c>
      <c r="AU13" t="s">
        <v>30</v>
      </c>
      <c r="AV13" t="s">
        <v>332</v>
      </c>
      <c r="BA13">
        <f>AHS_tables!DQ520</f>
        <v>79051.852939674674</v>
      </c>
      <c r="BB13">
        <f>AHS_tables!DR520</f>
        <v>13240.246517199967</v>
      </c>
      <c r="BE13" s="341">
        <f>'Comps Ann'!C25</f>
        <v>923.7</v>
      </c>
      <c r="BF13">
        <f t="shared" si="0"/>
        <v>923.7</v>
      </c>
      <c r="BG13" s="344">
        <f>SFTotalMedAvgSqFt!G19</f>
        <v>1725</v>
      </c>
      <c r="BH13">
        <f t="shared" si="1"/>
        <v>1593382.5</v>
      </c>
      <c r="BI13" s="2">
        <f t="shared" si="5"/>
        <v>19380875</v>
      </c>
      <c r="BJ13">
        <f t="shared" si="2"/>
        <v>11305.300000000001</v>
      </c>
      <c r="BK13">
        <f t="shared" si="3"/>
        <v>1714.3176209388516</v>
      </c>
      <c r="BM13" t="s">
        <v>510</v>
      </c>
      <c r="BN13" t="s">
        <v>30</v>
      </c>
      <c r="BO13" s="410" t="s">
        <v>434</v>
      </c>
      <c r="BQ13" s="280" t="s">
        <v>434</v>
      </c>
      <c r="BR13" s="450" t="s">
        <v>441</v>
      </c>
      <c r="BS13" s="450"/>
      <c r="CJ13" t="s">
        <v>134</v>
      </c>
      <c r="CY13" s="280">
        <f t="shared" si="4"/>
        <v>1984</v>
      </c>
      <c r="CZ13" s="344">
        <f>SFTotalMedAvgSqFt!G20</f>
        <v>1780</v>
      </c>
    </row>
    <row r="14" spans="3:108" x14ac:dyDescent="0.2">
      <c r="C14">
        <f>[9]National_Calibration!E13</f>
        <v>85.29</v>
      </c>
      <c r="D14">
        <f t="shared" si="9"/>
        <v>1984</v>
      </c>
      <c r="E14" s="341">
        <f>'Comps Ann'!C26</f>
        <v>1025.0999999999999</v>
      </c>
      <c r="F14">
        <f t="shared" si="8"/>
        <v>973.84499999999991</v>
      </c>
      <c r="G14" s="24">
        <f>Survival_curve_SF!Z131</f>
        <v>-386.88274761190405</v>
      </c>
      <c r="H14">
        <f t="shared" si="6"/>
        <v>586.96225238809586</v>
      </c>
      <c r="I14" s="2">
        <f t="shared" si="7"/>
        <v>62822.628909025763</v>
      </c>
      <c r="Q14" t="s">
        <v>105</v>
      </c>
      <c r="R14" t="s">
        <v>106</v>
      </c>
      <c r="S14" t="s">
        <v>112</v>
      </c>
      <c r="T14" t="s">
        <v>243</v>
      </c>
      <c r="V14" t="s">
        <v>245</v>
      </c>
      <c r="X14" t="s">
        <v>244</v>
      </c>
      <c r="Y14" s="353" t="s">
        <v>603</v>
      </c>
      <c r="Z14" t="s">
        <v>429</v>
      </c>
      <c r="AJ14" t="s">
        <v>712</v>
      </c>
      <c r="AK14" t="s">
        <v>268</v>
      </c>
      <c r="AL14" t="s">
        <v>420</v>
      </c>
      <c r="AM14" t="s">
        <v>111</v>
      </c>
      <c r="AN14" t="s">
        <v>29</v>
      </c>
      <c r="AQ14" t="s">
        <v>425</v>
      </c>
      <c r="AT14" t="s">
        <v>29</v>
      </c>
      <c r="AU14" t="s">
        <v>715</v>
      </c>
      <c r="AV14" t="s">
        <v>714</v>
      </c>
      <c r="AX14" t="s">
        <v>30</v>
      </c>
      <c r="AY14" t="s">
        <v>29</v>
      </c>
      <c r="BE14" s="341">
        <f>'Comps Ann'!C26</f>
        <v>1025.0999999999999</v>
      </c>
      <c r="BF14">
        <f t="shared" si="0"/>
        <v>1025.0999999999999</v>
      </c>
      <c r="BG14" s="344">
        <f>SFTotalMedAvgSqFt!G20</f>
        <v>1780</v>
      </c>
      <c r="BH14">
        <f t="shared" si="1"/>
        <v>1824677.9999999998</v>
      </c>
      <c r="BI14" s="2">
        <v>0</v>
      </c>
      <c r="BJ14">
        <v>0</v>
      </c>
      <c r="BK14" t="e">
        <f t="shared" si="3"/>
        <v>#DIV/0!</v>
      </c>
      <c r="BM14" t="s">
        <v>433</v>
      </c>
      <c r="BN14" t="s">
        <v>437</v>
      </c>
      <c r="BO14" t="s">
        <v>511</v>
      </c>
      <c r="BQ14" s="280" t="s">
        <v>512</v>
      </c>
      <c r="BR14" t="s">
        <v>30</v>
      </c>
      <c r="BS14" t="s">
        <v>29</v>
      </c>
      <c r="BT14" s="410" t="s">
        <v>718</v>
      </c>
      <c r="BW14" t="s">
        <v>29</v>
      </c>
      <c r="BX14" t="s">
        <v>30</v>
      </c>
      <c r="CM14" s="280" t="s">
        <v>505</v>
      </c>
      <c r="CN14" t="s">
        <v>506</v>
      </c>
      <c r="CO14" s="280" t="str">
        <f t="shared" ref="CO14:CO39" si="10">BX14</f>
        <v>Predicted</v>
      </c>
      <c r="CY14" s="280">
        <f t="shared" si="4"/>
        <v>1985</v>
      </c>
      <c r="CZ14" s="344">
        <f>SFTotalMedAvgSqFt!G21</f>
        <v>1785</v>
      </c>
      <c r="DC14" s="280" t="s">
        <v>503</v>
      </c>
      <c r="DD14" s="280" t="s">
        <v>504</v>
      </c>
    </row>
    <row r="15" spans="3:108" x14ac:dyDescent="0.2">
      <c r="C15">
        <f>[9]National_Calibration!E14</f>
        <v>86.789000000000001</v>
      </c>
      <c r="D15">
        <f t="shared" si="9"/>
        <v>1985</v>
      </c>
      <c r="E15" s="341">
        <f>'Comps Ann'!C27</f>
        <v>1072.5</v>
      </c>
      <c r="F15">
        <f t="shared" si="8"/>
        <v>1018.875</v>
      </c>
      <c r="G15" s="24">
        <f>Survival_curve_SF!Z132</f>
        <v>-393.5789929402963</v>
      </c>
      <c r="H15">
        <f t="shared" si="6"/>
        <v>625.2960070597037</v>
      </c>
      <c r="I15" s="2">
        <f t="shared" si="7"/>
        <v>63447.924916085467</v>
      </c>
      <c r="J15">
        <f>55076+4102</f>
        <v>59178</v>
      </c>
      <c r="K15">
        <f>2518+1128</f>
        <v>3646</v>
      </c>
      <c r="L15">
        <f>511+107+763+62</f>
        <v>1443</v>
      </c>
      <c r="M15">
        <f>K15-K$29</f>
        <v>-44</v>
      </c>
      <c r="N15">
        <f>L15-L$29</f>
        <v>-56</v>
      </c>
      <c r="O15" s="2">
        <f>I15-N15</f>
        <v>63503.924916085467</v>
      </c>
      <c r="P15">
        <f>D15</f>
        <v>1985</v>
      </c>
      <c r="Q15" s="2">
        <f>O15</f>
        <v>63503.924916085467</v>
      </c>
      <c r="R15" s="2">
        <f>J15</f>
        <v>59178</v>
      </c>
      <c r="S15" s="2">
        <f>R15+L15</f>
        <v>60621</v>
      </c>
      <c r="T15" s="2">
        <f>429+38+1103+892+66+77</f>
        <v>2605</v>
      </c>
      <c r="U15" s="12">
        <f>T15/R15</f>
        <v>4.4019737064449629E-2</v>
      </c>
      <c r="V15" s="2">
        <f>L15+T15</f>
        <v>4048</v>
      </c>
      <c r="W15" s="2">
        <f>S15+T15</f>
        <v>63226</v>
      </c>
      <c r="X15" s="2">
        <f>60607+4514</f>
        <v>65121</v>
      </c>
      <c r="Y15" s="2">
        <f>X15-R15</f>
        <v>5943</v>
      </c>
      <c r="Z15" s="12">
        <f>Y15/X15</f>
        <v>9.126088358594002E-2</v>
      </c>
      <c r="AJ15" s="2">
        <f>X15+AJ10</f>
        <v>64295</v>
      </c>
      <c r="AM15" s="2">
        <f>AJ15</f>
        <v>64295</v>
      </c>
      <c r="AN15" s="2">
        <f>X15</f>
        <v>65121</v>
      </c>
      <c r="AO15" s="2">
        <f>AN15-AM15</f>
        <v>826</v>
      </c>
      <c r="AP15">
        <f>AO15*AO15</f>
        <v>682276</v>
      </c>
      <c r="AQ15">
        <f>AK15/AJ15</f>
        <v>0</v>
      </c>
      <c r="AS15">
        <f>D15</f>
        <v>1985</v>
      </c>
      <c r="AT15" s="2">
        <f>AN15</f>
        <v>65121</v>
      </c>
      <c r="AU15" s="2">
        <f>AM15</f>
        <v>64295</v>
      </c>
      <c r="AV15" s="2">
        <f>AU15-L15</f>
        <v>62852</v>
      </c>
      <c r="AW15">
        <f>AS15</f>
        <v>1985</v>
      </c>
      <c r="AX15" s="13">
        <f t="shared" ref="AX15:AX39" si="11">(1-Z15)*AU15</f>
        <v>58427.381489841988</v>
      </c>
      <c r="AY15" s="2">
        <f>R15</f>
        <v>59178</v>
      </c>
      <c r="BC15">
        <f>AHS_tables!$K$33</f>
        <v>906.53610065333385</v>
      </c>
      <c r="BD15" s="280">
        <f>AHS_tables!$L$33</f>
        <v>1806.3351335765044</v>
      </c>
      <c r="BE15" s="341">
        <f>'Comps Ann'!C27</f>
        <v>1072.5</v>
      </c>
      <c r="BF15">
        <f t="shared" si="0"/>
        <v>1072.5</v>
      </c>
      <c r="BG15" s="344">
        <f>SFTotalMedAvgSqFt!G21</f>
        <v>1785</v>
      </c>
      <c r="BH15">
        <f>BF15*BG15</f>
        <v>1914412.5</v>
      </c>
      <c r="BI15" s="2">
        <f t="shared" si="5"/>
        <v>1914412.5</v>
      </c>
      <c r="BJ15">
        <f>BJ14+BF15</f>
        <v>1072.5</v>
      </c>
      <c r="BK15">
        <f t="shared" si="3"/>
        <v>1785</v>
      </c>
      <c r="BL15" s="2">
        <f>BM15</f>
        <v>58427.381489841988</v>
      </c>
      <c r="BM15" s="2">
        <f>AX$15</f>
        <v>58427.381489841988</v>
      </c>
      <c r="BN15" s="345">
        <f>BN$27+$BN$6*(BV15-BV$27)</f>
        <v>1811.4092331720451</v>
      </c>
      <c r="BO15" s="344">
        <f>BM15*$BN15</f>
        <v>105835898.30076522</v>
      </c>
      <c r="BP15" s="262">
        <f>BJ15/(BJ15+BM15)</f>
        <v>1.8025245986130253E-2</v>
      </c>
      <c r="BQ15" s="344">
        <f>BJ15*BK15*$BN$7*$BN$10</f>
        <v>2201574.375</v>
      </c>
      <c r="BR15" s="345">
        <f>(BO15+BQ15)/BL15</f>
        <v>1849.0897575916233</v>
      </c>
      <c r="BS15" s="345"/>
      <c r="BV15">
        <f>AS15</f>
        <v>1985</v>
      </c>
      <c r="BW15" s="280"/>
      <c r="BX15" s="343">
        <f>BR15</f>
        <v>1849.0897575916233</v>
      </c>
      <c r="CI15">
        <v>1806.3351335765044</v>
      </c>
      <c r="CJ15" s="2">
        <f t="shared" ref="CJ15:CJ39" si="12">AX15*BX15*0.000001</f>
        <v>108.03747267576522</v>
      </c>
      <c r="CL15">
        <f>BV15</f>
        <v>1985</v>
      </c>
      <c r="CM15" s="280">
        <f>BC15</f>
        <v>906.53610065333385</v>
      </c>
      <c r="CO15" s="280">
        <f t="shared" si="10"/>
        <v>1849.0897575916233</v>
      </c>
      <c r="CY15" s="280">
        <f t="shared" si="4"/>
        <v>1986</v>
      </c>
      <c r="CZ15" s="344">
        <f>SFTotalMedAvgSqFt!G22</f>
        <v>1825</v>
      </c>
      <c r="DB15" s="280">
        <f t="shared" ref="DB15:DB39" si="13">CL15</f>
        <v>1985</v>
      </c>
      <c r="DC15">
        <f>CM15</f>
        <v>906.53610065333385</v>
      </c>
      <c r="DD15">
        <v>1636</v>
      </c>
    </row>
    <row r="16" spans="3:108" x14ac:dyDescent="0.2">
      <c r="C16">
        <f>[9]National_Calibration!E15</f>
        <v>88.457999999999998</v>
      </c>
      <c r="D16">
        <f t="shared" si="9"/>
        <v>1986</v>
      </c>
      <c r="E16" s="341">
        <f>'Comps Ann'!C28</f>
        <v>1120.2</v>
      </c>
      <c r="F16">
        <f t="shared" si="8"/>
        <v>1064.19</v>
      </c>
      <c r="G16" s="24">
        <f>Survival_curve_SF!Z133</f>
        <v>-400.35878477834922</v>
      </c>
      <c r="H16">
        <f t="shared" si="6"/>
        <v>663.83121522165084</v>
      </c>
      <c r="I16" s="2">
        <f t="shared" si="7"/>
        <v>64111.75613130712</v>
      </c>
      <c r="L16">
        <f>AVERAGE(L15,L17)</f>
        <v>1463.5</v>
      </c>
      <c r="O16" s="2"/>
      <c r="S16" s="2"/>
      <c r="T16" s="2"/>
      <c r="U16" s="2"/>
      <c r="V16" s="2"/>
      <c r="W16" s="2"/>
      <c r="X16" s="2"/>
      <c r="Y16" s="2"/>
      <c r="Z16" s="12">
        <f>AVERAGE(Z15,Z17)</f>
        <v>8.9423458100145459E-2</v>
      </c>
      <c r="AI16" s="24">
        <f>AL16^$AL$12</f>
        <v>134.26550654589704</v>
      </c>
      <c r="AJ16" s="2">
        <f>AJ15</f>
        <v>64295</v>
      </c>
      <c r="AK16" s="24">
        <f>-AJ16*AJ$8*AI16</f>
        <v>-84.772750121358783</v>
      </c>
      <c r="AL16">
        <f>$AJ$9*(E15+E16)/2</f>
        <v>1096.3499999999999</v>
      </c>
      <c r="AM16" s="2">
        <f>AJ16+AK16+AL16</f>
        <v>65306.577249878639</v>
      </c>
      <c r="AN16" s="2"/>
      <c r="AQ16">
        <f t="shared" ref="AQ16:AQ39" si="14">AK16/AJ16</f>
        <v>-1.3184967745759201E-3</v>
      </c>
      <c r="AS16">
        <f t="shared" ref="AS16:AS39" si="15">D16</f>
        <v>1986</v>
      </c>
      <c r="AU16" s="2">
        <f t="shared" ref="AU16:AU39" si="16">AM16</f>
        <v>65306.577249878639</v>
      </c>
      <c r="AV16" s="2">
        <f t="shared" ref="AV16:AV39" si="17">AU16-L16</f>
        <v>63843.077249878639</v>
      </c>
      <c r="AW16">
        <f t="shared" ref="AW16:AW39" si="18">AS16</f>
        <v>1986</v>
      </c>
      <c r="AX16" s="13">
        <f t="shared" si="11"/>
        <v>59466.637275510206</v>
      </c>
      <c r="BD16" s="280"/>
      <c r="BE16" s="341">
        <f>'Comps Ann'!C28</f>
        <v>1120.2</v>
      </c>
      <c r="BF16">
        <f t="shared" si="0"/>
        <v>1120.2</v>
      </c>
      <c r="BG16" s="344">
        <f>SFTotalMedAvgSqFt!G22</f>
        <v>1825</v>
      </c>
      <c r="BH16">
        <f t="shared" ref="BH16:BH40" si="19">BF16*BG16</f>
        <v>2044365</v>
      </c>
      <c r="BI16" s="2">
        <f t="shared" si="5"/>
        <v>3958777.5</v>
      </c>
      <c r="BJ16">
        <f t="shared" ref="BJ16:BJ40" si="20">BJ15+BF16</f>
        <v>2192.6999999999998</v>
      </c>
      <c r="BK16">
        <f t="shared" si="3"/>
        <v>1805.435080038309</v>
      </c>
      <c r="BL16">
        <f>(BJ16+BJ15)*0.5*$BN$7+BM16</f>
        <v>59975.208739720627</v>
      </c>
      <c r="BM16" s="2">
        <f>BM$15+SUM(AK$15:AK16)</f>
        <v>58342.608739720628</v>
      </c>
      <c r="BN16" s="345">
        <f t="shared" ref="BN16:BN24" si="21">BN$27+$BN$6*(BV16-BV$27)</f>
        <v>1818.9082410097319</v>
      </c>
      <c r="BO16" s="344">
        <f t="shared" ref="BO16:BO40" si="22">BM16*$BN16</f>
        <v>106119851.83868426</v>
      </c>
      <c r="BP16" s="262">
        <f t="shared" ref="BP16:BP40" si="23">BJ16/(BJ16+BM16)</f>
        <v>3.622183558074836E-2</v>
      </c>
      <c r="BQ16" s="344">
        <f t="shared" ref="BQ16:BQ40" si="24">BJ16*BK16*$BN$7*$BN$10</f>
        <v>4552594.125</v>
      </c>
      <c r="BR16" s="345">
        <f t="shared" ref="BR16:BR40" si="25">(BO16+BQ16)/BL16</f>
        <v>1845.3032226028363</v>
      </c>
      <c r="BS16" s="345"/>
      <c r="BV16">
        <f t="shared" ref="BV16:BV39" si="26">AS16</f>
        <v>1986</v>
      </c>
      <c r="BX16" s="343">
        <f t="shared" ref="BX16:BX38" si="27">BR16</f>
        <v>1845.3032226028363</v>
      </c>
      <c r="CJ16" s="2">
        <f t="shared" si="12"/>
        <v>109.73397740185293</v>
      </c>
      <c r="CL16" s="280">
        <f t="shared" ref="CL16:CL39" si="28">BV16</f>
        <v>1986</v>
      </c>
      <c r="CM16" s="280"/>
      <c r="CO16" s="280">
        <f t="shared" si="10"/>
        <v>1845.3032226028363</v>
      </c>
      <c r="CY16" s="280">
        <f t="shared" si="4"/>
        <v>1987</v>
      </c>
      <c r="CZ16" s="344">
        <f>SFTotalMedAvgSqFt!G23</f>
        <v>1905</v>
      </c>
      <c r="DB16" s="280">
        <f t="shared" si="13"/>
        <v>1986</v>
      </c>
      <c r="DC16" s="280"/>
    </row>
    <row r="17" spans="2:108" x14ac:dyDescent="0.2">
      <c r="C17">
        <f>[9]National_Calibration!E16</f>
        <v>89.478999999999999</v>
      </c>
      <c r="D17">
        <f t="shared" si="9"/>
        <v>1987</v>
      </c>
      <c r="E17" s="341">
        <f>'Comps Ann'!C29</f>
        <v>1122.8</v>
      </c>
      <c r="F17">
        <f t="shared" si="8"/>
        <v>1066.6599999999999</v>
      </c>
      <c r="G17" s="24">
        <f>Survival_curve_SF!Z134</f>
        <v>-407.42631123993488</v>
      </c>
      <c r="H17">
        <f t="shared" si="6"/>
        <v>659.23368876006498</v>
      </c>
      <c r="I17" s="2">
        <f t="shared" si="7"/>
        <v>64770.989820067181</v>
      </c>
      <c r="J17">
        <f>56559+4820</f>
        <v>61379</v>
      </c>
      <c r="K17">
        <f>2895+1116</f>
        <v>4011</v>
      </c>
      <c r="L17">
        <f>487+192+701+104</f>
        <v>1484</v>
      </c>
      <c r="M17">
        <f>K17-K$29</f>
        <v>321</v>
      </c>
      <c r="N17">
        <f>L17-L$29</f>
        <v>-15</v>
      </c>
      <c r="O17" s="2">
        <f>I17-N17</f>
        <v>64785.989820067181</v>
      </c>
      <c r="P17">
        <f>D17</f>
        <v>1987</v>
      </c>
      <c r="Q17" s="2">
        <f>O17</f>
        <v>64785.989820067181</v>
      </c>
      <c r="R17" s="2">
        <f>J17</f>
        <v>61379</v>
      </c>
      <c r="S17" s="2">
        <f>R17+L17</f>
        <v>62863</v>
      </c>
      <c r="T17" s="2">
        <f>959+948+116+111</f>
        <v>2134</v>
      </c>
      <c r="U17" s="12">
        <f>T17/R17</f>
        <v>3.4767591521530167E-2</v>
      </c>
      <c r="V17" s="12"/>
      <c r="W17" s="12"/>
      <c r="X17" s="2">
        <f>61775+5496</f>
        <v>67271</v>
      </c>
      <c r="Y17" s="2">
        <f>X17-R17</f>
        <v>5892</v>
      </c>
      <c r="Z17" s="12">
        <f>Y17/X17</f>
        <v>8.7586032614350912E-2</v>
      </c>
      <c r="AI17" s="24">
        <f t="shared" ref="AI17:AI41" si="29">AL17^$AL$12</f>
        <v>136.41417301858124</v>
      </c>
      <c r="AJ17" s="2">
        <f>AM16</f>
        <v>65306.577249878639</v>
      </c>
      <c r="AK17" s="24">
        <f t="shared" ref="AK17:AK41" si="30">-AJ17*AJ$8*AI17</f>
        <v>-87.484483951688489</v>
      </c>
      <c r="AL17">
        <f>$AJ$9*(E16+E17)/2</f>
        <v>1121.5</v>
      </c>
      <c r="AM17" s="2">
        <f>AJ17+AK17+AL17</f>
        <v>66340.592765926951</v>
      </c>
      <c r="AN17" s="2">
        <f>X17</f>
        <v>67271</v>
      </c>
      <c r="AO17" s="2">
        <f>AN17-AM17</f>
        <v>930.40723407304904</v>
      </c>
      <c r="AP17">
        <f>AO17*AO17</f>
        <v>865657.62121546152</v>
      </c>
      <c r="AQ17">
        <f t="shared" si="14"/>
        <v>-1.3395968313720048E-3</v>
      </c>
      <c r="AS17">
        <f t="shared" si="15"/>
        <v>1987</v>
      </c>
      <c r="AT17" s="2">
        <f>AN17</f>
        <v>67271</v>
      </c>
      <c r="AU17" s="2">
        <f t="shared" si="16"/>
        <v>66340.592765926951</v>
      </c>
      <c r="AV17" s="2">
        <f t="shared" si="17"/>
        <v>64856.592765926951</v>
      </c>
      <c r="AW17">
        <f t="shared" si="18"/>
        <v>1987</v>
      </c>
      <c r="AX17" s="13">
        <f t="shared" si="11"/>
        <v>60530.0834442751</v>
      </c>
      <c r="AY17" s="2">
        <f>R17</f>
        <v>61379</v>
      </c>
      <c r="BC17">
        <f>AHS_tables!$W$33</f>
        <v>1823.5360524637349</v>
      </c>
      <c r="BD17" s="280">
        <f>AHS_tables!$X$33</f>
        <v>1816.7276548600476</v>
      </c>
      <c r="BE17" s="341">
        <f>'Comps Ann'!C29</f>
        <v>1122.8</v>
      </c>
      <c r="BF17">
        <f t="shared" si="0"/>
        <v>1122.8</v>
      </c>
      <c r="BG17" s="344">
        <f>SFTotalMedAvgSqFt!G23</f>
        <v>1905</v>
      </c>
      <c r="BH17">
        <f t="shared" si="19"/>
        <v>2138934</v>
      </c>
      <c r="BI17" s="2">
        <f t="shared" si="5"/>
        <v>6097711.5</v>
      </c>
      <c r="BJ17">
        <f t="shared" si="20"/>
        <v>3315.5</v>
      </c>
      <c r="BK17">
        <f t="shared" si="3"/>
        <v>1839.1529181118988</v>
      </c>
      <c r="BL17">
        <f t="shared" ref="BL17:BL40" si="31">(BJ17+BJ16)*0.5*$BN$7+BM17</f>
        <v>61009.224255768939</v>
      </c>
      <c r="BM17" s="2">
        <f>BM$15+SUM(AK$15:AK17)</f>
        <v>58255.12425576894</v>
      </c>
      <c r="BN17" s="345">
        <f t="shared" si="21"/>
        <v>1826.4072488474189</v>
      </c>
      <c r="BO17" s="344">
        <f t="shared" si="22"/>
        <v>106397581.22324349</v>
      </c>
      <c r="BP17" s="262">
        <f t="shared" si="23"/>
        <v>5.3848731275277756E-2</v>
      </c>
      <c r="BQ17" s="344">
        <f t="shared" si="24"/>
        <v>7012368.2249999996</v>
      </c>
      <c r="BR17" s="345">
        <f t="shared" si="25"/>
        <v>1858.8984015399869</v>
      </c>
      <c r="BS17" s="345"/>
      <c r="BV17">
        <f t="shared" si="26"/>
        <v>1987</v>
      </c>
      <c r="BW17" s="280"/>
      <c r="BX17" s="343">
        <f t="shared" si="27"/>
        <v>1858.8984015399869</v>
      </c>
      <c r="CI17">
        <v>1816.7276548600476</v>
      </c>
      <c r="CJ17" s="2">
        <f t="shared" si="12"/>
        <v>112.51927535964501</v>
      </c>
      <c r="CL17" s="280">
        <f t="shared" si="28"/>
        <v>1987</v>
      </c>
      <c r="CM17" s="280">
        <f>BC17</f>
        <v>1823.5360524637349</v>
      </c>
      <c r="CO17" s="280">
        <f t="shared" si="10"/>
        <v>1858.8984015399869</v>
      </c>
      <c r="CY17" s="280">
        <f t="shared" si="4"/>
        <v>1988</v>
      </c>
      <c r="CZ17" s="344">
        <f>SFTotalMedAvgSqFt!G24</f>
        <v>1995</v>
      </c>
      <c r="DB17" s="280">
        <f t="shared" si="13"/>
        <v>1987</v>
      </c>
      <c r="DC17" s="280">
        <f>CM17</f>
        <v>1823.5360524637349</v>
      </c>
      <c r="DD17">
        <v>1653</v>
      </c>
    </row>
    <row r="18" spans="2:108" x14ac:dyDescent="0.2">
      <c r="C18">
        <f>[9]National_Calibration!E17</f>
        <v>91.123999999999995</v>
      </c>
      <c r="D18">
        <f t="shared" si="9"/>
        <v>1988</v>
      </c>
      <c r="E18" s="341">
        <f>'Comps Ann'!C30</f>
        <v>1084.5999999999999</v>
      </c>
      <c r="F18">
        <f t="shared" si="8"/>
        <v>1030.3699999999999</v>
      </c>
      <c r="G18" s="24">
        <f>Survival_curve_SF!Z135</f>
        <v>-414.62128059960378</v>
      </c>
      <c r="H18">
        <f t="shared" si="6"/>
        <v>615.74871940039611</v>
      </c>
      <c r="I18" s="2">
        <f t="shared" si="7"/>
        <v>65386.73853946758</v>
      </c>
      <c r="L18">
        <f>AVERAGE(L17,L19)</f>
        <v>1416.5</v>
      </c>
      <c r="O18" s="2"/>
      <c r="S18" s="2"/>
      <c r="T18" s="2"/>
      <c r="U18" s="2"/>
      <c r="V18" s="2"/>
      <c r="W18" s="2"/>
      <c r="X18" s="2"/>
      <c r="Y18" s="2"/>
      <c r="Z18" s="12">
        <f>AVERAGE(Z17,Z19)</f>
        <v>8.7709887428549391E-2</v>
      </c>
      <c r="AI18" s="24">
        <f t="shared" si="29"/>
        <v>134.89496189359753</v>
      </c>
      <c r="AJ18" s="2">
        <f t="shared" ref="AJ18:AJ39" si="32">AM17</f>
        <v>66340.592765926951</v>
      </c>
      <c r="AK18" s="24">
        <f t="shared" si="30"/>
        <v>-87.879928429555136</v>
      </c>
      <c r="AL18">
        <f t="shared" ref="AL18:AL39" si="33">$AJ$9*(E17+E18)/2</f>
        <v>1103.6999999999998</v>
      </c>
      <c r="AM18" s="2">
        <f t="shared" ref="AM18:AM39" si="34">AJ18+AK18+AL18</f>
        <v>67356.412837497395</v>
      </c>
      <c r="AN18" s="2"/>
      <c r="AO18" s="2"/>
      <c r="AQ18">
        <f t="shared" si="14"/>
        <v>-1.3246780706290427E-3</v>
      </c>
      <c r="AS18">
        <f t="shared" si="15"/>
        <v>1988</v>
      </c>
      <c r="AU18" s="2">
        <f t="shared" si="16"/>
        <v>67356.412837497395</v>
      </c>
      <c r="AV18" s="2">
        <f t="shared" si="17"/>
        <v>65939.912837497395</v>
      </c>
      <c r="AW18">
        <f t="shared" si="18"/>
        <v>1988</v>
      </c>
      <c r="AX18" s="13">
        <f t="shared" si="11"/>
        <v>61448.589449929605</v>
      </c>
      <c r="BD18" s="280"/>
      <c r="BE18" s="341">
        <f>'Comps Ann'!C30</f>
        <v>1084.5999999999999</v>
      </c>
      <c r="BF18">
        <f t="shared" si="0"/>
        <v>1084.5999999999999</v>
      </c>
      <c r="BG18" s="344">
        <f>SFTotalMedAvgSqFt!G24</f>
        <v>1995</v>
      </c>
      <c r="BH18">
        <f t="shared" si="19"/>
        <v>2163777</v>
      </c>
      <c r="BI18" s="2">
        <f t="shared" si="5"/>
        <v>8261488.5</v>
      </c>
      <c r="BJ18">
        <f t="shared" si="20"/>
        <v>4400.1000000000004</v>
      </c>
      <c r="BK18">
        <f t="shared" si="3"/>
        <v>1877.5683507193016</v>
      </c>
      <c r="BL18">
        <f t="shared" si="31"/>
        <v>62025.04432733939</v>
      </c>
      <c r="BM18" s="2">
        <f>BM$15+SUM(AK$15:AK18)</f>
        <v>58167.244327339387</v>
      </c>
      <c r="BN18" s="345">
        <f t="shared" si="21"/>
        <v>1833.9062566851057</v>
      </c>
      <c r="BO18" s="344">
        <f t="shared" si="22"/>
        <v>106673273.30603893</v>
      </c>
      <c r="BP18" s="262">
        <f t="shared" si="23"/>
        <v>7.0325823275790456E-2</v>
      </c>
      <c r="BQ18" s="344">
        <f t="shared" si="24"/>
        <v>9500711.7749999985</v>
      </c>
      <c r="BR18" s="345">
        <f t="shared" si="25"/>
        <v>1873.0173648555019</v>
      </c>
      <c r="BS18" s="345"/>
      <c r="BV18">
        <f t="shared" si="26"/>
        <v>1988</v>
      </c>
      <c r="BX18" s="343">
        <f t="shared" si="27"/>
        <v>1873.0173648555019</v>
      </c>
      <c r="CJ18" s="2">
        <f t="shared" si="12"/>
        <v>115.09427508559475</v>
      </c>
      <c r="CL18" s="280">
        <f t="shared" si="28"/>
        <v>1988</v>
      </c>
      <c r="CM18" s="280"/>
      <c r="CO18" s="280">
        <f t="shared" si="10"/>
        <v>1873.0173648555019</v>
      </c>
      <c r="CY18" s="280">
        <f t="shared" si="4"/>
        <v>1989</v>
      </c>
      <c r="CZ18" s="344">
        <f>SFTotalMedAvgSqFt!G25</f>
        <v>2035</v>
      </c>
      <c r="DB18" s="280">
        <f t="shared" si="13"/>
        <v>1988</v>
      </c>
      <c r="DC18" s="280"/>
    </row>
    <row r="19" spans="2:108" x14ac:dyDescent="0.2">
      <c r="C19">
        <f>[9]National_Calibration!E18</f>
        <v>92.83</v>
      </c>
      <c r="D19">
        <f t="shared" si="9"/>
        <v>1989</v>
      </c>
      <c r="E19" s="341">
        <f>'Comps Ann'!C31</f>
        <v>1026.3</v>
      </c>
      <c r="F19">
        <f t="shared" si="8"/>
        <v>974.9849999999999</v>
      </c>
      <c r="G19" s="24">
        <f>Survival_curve_SF!Z136</f>
        <v>-421.87247649866913</v>
      </c>
      <c r="H19">
        <f t="shared" si="6"/>
        <v>553.11252350133077</v>
      </c>
      <c r="I19" s="2">
        <f t="shared" si="7"/>
        <v>65939.851062968912</v>
      </c>
      <c r="J19">
        <f>58242+4962</f>
        <v>63204</v>
      </c>
      <c r="K19">
        <f>2644+1115</f>
        <v>3759</v>
      </c>
      <c r="L19">
        <f>440+151+665+93</f>
        <v>1349</v>
      </c>
      <c r="M19">
        <f>K19-K$29</f>
        <v>69</v>
      </c>
      <c r="N19">
        <f>L19-L$29</f>
        <v>-150</v>
      </c>
      <c r="O19" s="2">
        <f>I19-N19</f>
        <v>66089.851062968912</v>
      </c>
      <c r="P19">
        <f>D19</f>
        <v>1989</v>
      </c>
      <c r="Q19" s="2">
        <f>O19</f>
        <v>66089.851062968912</v>
      </c>
      <c r="R19" s="2">
        <f>J19</f>
        <v>63204</v>
      </c>
      <c r="S19" s="2">
        <f>R19+L19</f>
        <v>64553</v>
      </c>
      <c r="T19" s="2">
        <f>1141+992+210+119</f>
        <v>2462</v>
      </c>
      <c r="U19" s="12">
        <f>T19/R19</f>
        <v>3.8953230808176698E-2</v>
      </c>
      <c r="V19" s="12"/>
      <c r="W19" s="12"/>
      <c r="X19" s="2">
        <f>63587+5703</f>
        <v>69290</v>
      </c>
      <c r="Y19" s="2">
        <f>X19-R19</f>
        <v>6086</v>
      </c>
      <c r="Z19" s="12">
        <f>Y19/X19</f>
        <v>8.783374224274787E-2</v>
      </c>
      <c r="AI19" s="24">
        <f t="shared" si="29"/>
        <v>130.73936310057866</v>
      </c>
      <c r="AJ19" s="2">
        <f t="shared" si="32"/>
        <v>67356.412837497395</v>
      </c>
      <c r="AK19" s="24">
        <f t="shared" si="30"/>
        <v>-86.476864038721104</v>
      </c>
      <c r="AL19">
        <f t="shared" si="33"/>
        <v>1055.4499999999998</v>
      </c>
      <c r="AM19" s="2">
        <f t="shared" si="34"/>
        <v>68325.385973458673</v>
      </c>
      <c r="AN19" s="2">
        <f>X19</f>
        <v>69290</v>
      </c>
      <c r="AO19" s="2">
        <f t="shared" ref="AO19:AO47" si="35">AN19-AM19</f>
        <v>964.61402654132689</v>
      </c>
      <c r="AP19">
        <f>AO19*AO19</f>
        <v>930480.22020027169</v>
      </c>
      <c r="AQ19">
        <f t="shared" si="14"/>
        <v>-1.2838697964417032E-3</v>
      </c>
      <c r="AS19">
        <f t="shared" si="15"/>
        <v>1989</v>
      </c>
      <c r="AT19" s="2">
        <f>AN19</f>
        <v>69290</v>
      </c>
      <c r="AU19" s="2">
        <f t="shared" si="16"/>
        <v>68325.385973458673</v>
      </c>
      <c r="AV19" s="2">
        <f t="shared" si="17"/>
        <v>66976.385973458673</v>
      </c>
      <c r="AW19">
        <f t="shared" si="18"/>
        <v>1989</v>
      </c>
      <c r="AX19" s="13">
        <f t="shared" si="11"/>
        <v>62324.111633229644</v>
      </c>
      <c r="AY19" s="2">
        <f>R19</f>
        <v>63204</v>
      </c>
      <c r="BC19">
        <f>AHS_tables!$AI$33</f>
        <v>1831.0043123412818</v>
      </c>
      <c r="BD19" s="280">
        <f>AHS_tables!$AJ$33</f>
        <v>1830.4298710545052</v>
      </c>
      <c r="BE19" s="341">
        <f>'Comps Ann'!C31</f>
        <v>1026.3</v>
      </c>
      <c r="BF19">
        <f t="shared" si="0"/>
        <v>1026.3</v>
      </c>
      <c r="BG19" s="344">
        <f>SFTotalMedAvgSqFt!G25</f>
        <v>2035</v>
      </c>
      <c r="BH19">
        <f t="shared" si="19"/>
        <v>2088520.5</v>
      </c>
      <c r="BI19" s="2">
        <f t="shared" si="5"/>
        <v>10350009</v>
      </c>
      <c r="BJ19">
        <f t="shared" si="20"/>
        <v>5426.4000000000005</v>
      </c>
      <c r="BK19">
        <f t="shared" si="3"/>
        <v>1907.3435426802298</v>
      </c>
      <c r="BL19">
        <f t="shared" si="31"/>
        <v>62994.017463300661</v>
      </c>
      <c r="BM19" s="2">
        <f>BM$15+SUM(AK$15:AK19)</f>
        <v>58080.767463300661</v>
      </c>
      <c r="BN19" s="345">
        <f t="shared" si="21"/>
        <v>1841.4052645227925</v>
      </c>
      <c r="BO19" s="344">
        <f t="shared" si="22"/>
        <v>106950230.97444595</v>
      </c>
      <c r="BP19" s="262">
        <f t="shared" si="23"/>
        <v>8.5445473585887652E-2</v>
      </c>
      <c r="BQ19" s="344">
        <f t="shared" si="24"/>
        <v>11902510.35</v>
      </c>
      <c r="BR19" s="345">
        <f t="shared" si="25"/>
        <v>1886.7306152316403</v>
      </c>
      <c r="BS19" s="345"/>
      <c r="BV19">
        <f t="shared" si="26"/>
        <v>1989</v>
      </c>
      <c r="BW19" s="280"/>
      <c r="BX19" s="343">
        <f t="shared" si="27"/>
        <v>1886.7306152316403</v>
      </c>
      <c r="CI19">
        <v>1830.4298710545052</v>
      </c>
      <c r="CJ19" s="2">
        <f t="shared" si="12"/>
        <v>117.58880948552878</v>
      </c>
      <c r="CL19" s="280">
        <f t="shared" si="28"/>
        <v>1989</v>
      </c>
      <c r="CM19" s="280">
        <f>BC19</f>
        <v>1831.0043123412818</v>
      </c>
      <c r="CO19" s="280">
        <f t="shared" si="10"/>
        <v>1886.7306152316403</v>
      </c>
      <c r="CY19" s="280">
        <f t="shared" si="4"/>
        <v>1990</v>
      </c>
      <c r="CZ19" s="344">
        <f>SFTotalMedAvgSqFt!G26</f>
        <v>2080</v>
      </c>
      <c r="DB19" s="280">
        <f t="shared" si="13"/>
        <v>1989</v>
      </c>
      <c r="DC19" s="280">
        <f>CM19</f>
        <v>1831.0043123412818</v>
      </c>
      <c r="DD19">
        <v>1688</v>
      </c>
    </row>
    <row r="20" spans="2:108" x14ac:dyDescent="0.2">
      <c r="C20">
        <f>[9]National_Calibration!E19</f>
        <v>93.347000000000008</v>
      </c>
      <c r="D20">
        <f t="shared" si="9"/>
        <v>1990</v>
      </c>
      <c r="E20" s="341">
        <f>'Comps Ann'!C32</f>
        <v>966</v>
      </c>
      <c r="F20">
        <f t="shared" si="8"/>
        <v>917.69999999999993</v>
      </c>
      <c r="G20" s="24">
        <f>Survival_curve_SF!Z137</f>
        <v>-429.13859687310469</v>
      </c>
      <c r="H20">
        <f t="shared" si="6"/>
        <v>488.56140312689524</v>
      </c>
      <c r="I20" s="2">
        <f t="shared" si="7"/>
        <v>66428.412466095804</v>
      </c>
      <c r="L20">
        <f>AVERAGE(L19,L21)</f>
        <v>1405</v>
      </c>
      <c r="O20" s="2"/>
      <c r="S20" s="2"/>
      <c r="T20" s="2"/>
      <c r="U20" s="2"/>
      <c r="V20" s="2"/>
      <c r="W20" s="2"/>
      <c r="X20" s="2"/>
      <c r="Y20" s="2"/>
      <c r="Z20" s="12">
        <f>AVERAGE(Z19,Z21)</f>
        <v>9.3163311051461889E-2</v>
      </c>
      <c r="AI20" s="24">
        <f t="shared" si="29"/>
        <v>125.55306451889858</v>
      </c>
      <c r="AJ20" s="2">
        <f t="shared" si="32"/>
        <v>68325.385973458673</v>
      </c>
      <c r="AK20" s="24">
        <f t="shared" si="30"/>
        <v>-84.241099837958501</v>
      </c>
      <c r="AL20">
        <f t="shared" si="33"/>
        <v>996.15</v>
      </c>
      <c r="AM20" s="2">
        <f t="shared" si="34"/>
        <v>69237.294873620704</v>
      </c>
      <c r="AN20" s="2"/>
      <c r="AO20" s="2"/>
      <c r="AQ20">
        <f t="shared" si="14"/>
        <v>-1.2329399773999428E-3</v>
      </c>
      <c r="AS20">
        <f t="shared" si="15"/>
        <v>1990</v>
      </c>
      <c r="AU20" s="2">
        <f t="shared" si="16"/>
        <v>69237.294873620704</v>
      </c>
      <c r="AV20" s="2">
        <f t="shared" si="17"/>
        <v>67832.294873620704</v>
      </c>
      <c r="AW20">
        <f t="shared" si="18"/>
        <v>1990</v>
      </c>
      <c r="AX20" s="13">
        <f t="shared" si="11"/>
        <v>62786.919234947789</v>
      </c>
      <c r="BD20" s="280"/>
      <c r="BE20" s="341">
        <f>'Comps Ann'!C32</f>
        <v>966</v>
      </c>
      <c r="BF20">
        <f t="shared" si="0"/>
        <v>966</v>
      </c>
      <c r="BG20" s="344">
        <f>SFTotalMedAvgSqFt!G26</f>
        <v>2080</v>
      </c>
      <c r="BH20">
        <f t="shared" si="19"/>
        <v>2009280</v>
      </c>
      <c r="BI20" s="2">
        <f t="shared" si="5"/>
        <v>12359289</v>
      </c>
      <c r="BJ20">
        <f t="shared" si="20"/>
        <v>6392.4000000000005</v>
      </c>
      <c r="BK20">
        <f t="shared" si="3"/>
        <v>1933.4348601464237</v>
      </c>
      <c r="BL20">
        <f t="shared" si="31"/>
        <v>63905.926363462706</v>
      </c>
      <c r="BM20" s="2">
        <f>BM$15+SUM(AK$15:AK20)</f>
        <v>57996.526363462704</v>
      </c>
      <c r="BN20" s="345">
        <f t="shared" si="21"/>
        <v>1848.9042723604796</v>
      </c>
      <c r="BO20" s="344">
        <f t="shared" si="22"/>
        <v>107230025.37547338</v>
      </c>
      <c r="BP20" s="262">
        <f t="shared" si="23"/>
        <v>9.9277940494242309E-2</v>
      </c>
      <c r="BQ20" s="344">
        <f t="shared" si="24"/>
        <v>14213182.35</v>
      </c>
      <c r="BR20" s="345">
        <f t="shared" si="25"/>
        <v>1900.3434366128959</v>
      </c>
      <c r="BS20" s="345"/>
      <c r="BV20">
        <f t="shared" si="26"/>
        <v>1990</v>
      </c>
      <c r="BX20" s="343">
        <f t="shared" si="27"/>
        <v>1900.3434366128959</v>
      </c>
      <c r="CJ20" s="2">
        <f t="shared" si="12"/>
        <v>119.31670987327701</v>
      </c>
      <c r="CL20" s="280">
        <f t="shared" si="28"/>
        <v>1990</v>
      </c>
      <c r="CM20" s="280"/>
      <c r="CO20" s="280">
        <f t="shared" si="10"/>
        <v>1900.3434366128959</v>
      </c>
      <c r="CY20" s="280">
        <f t="shared" si="4"/>
        <v>1991</v>
      </c>
      <c r="CZ20" s="344">
        <f>SFTotalMedAvgSqFt!G27</f>
        <v>2075</v>
      </c>
      <c r="DB20" s="280">
        <f t="shared" si="13"/>
        <v>1990</v>
      </c>
      <c r="DC20" s="280"/>
    </row>
    <row r="21" spans="2:108" x14ac:dyDescent="0.2">
      <c r="C21">
        <f>[9]National_Calibration!E20</f>
        <v>94.311999999999998</v>
      </c>
      <c r="D21">
        <f t="shared" si="9"/>
        <v>1991</v>
      </c>
      <c r="E21" s="341">
        <f>'Comps Ann'!C33</f>
        <v>837.6</v>
      </c>
      <c r="F21">
        <f t="shared" si="8"/>
        <v>795.72</v>
      </c>
      <c r="G21" s="24">
        <f>Survival_curve_SF!Z138</f>
        <v>-436.38853260599717</v>
      </c>
      <c r="H21">
        <f t="shared" si="6"/>
        <v>359.33146739400286</v>
      </c>
      <c r="I21" s="2">
        <f t="shared" si="7"/>
        <v>66787.743933489808</v>
      </c>
      <c r="J21">
        <f>57485+5442</f>
        <v>62927</v>
      </c>
      <c r="K21">
        <f>2684+1026</f>
        <v>3710</v>
      </c>
      <c r="L21">
        <f>444+259+692+66</f>
        <v>1461</v>
      </c>
      <c r="M21">
        <f>K21-K$29</f>
        <v>20</v>
      </c>
      <c r="N21">
        <f>L21-L$29</f>
        <v>-38</v>
      </c>
      <c r="O21" s="2">
        <f>I21-N21</f>
        <v>66825.743933489808</v>
      </c>
      <c r="P21">
        <f>D21</f>
        <v>1991</v>
      </c>
      <c r="Q21" s="2">
        <f>O21</f>
        <v>66825.743933489808</v>
      </c>
      <c r="R21" s="2">
        <f>J21</f>
        <v>62927</v>
      </c>
      <c r="S21" s="2">
        <f>R21+L21</f>
        <v>64388</v>
      </c>
      <c r="T21" s="2"/>
      <c r="U21" s="2"/>
      <c r="V21" s="2"/>
      <c r="W21" s="2"/>
      <c r="X21" s="2">
        <f>63646+6156</f>
        <v>69802</v>
      </c>
      <c r="Y21" s="2">
        <f>X21-R21</f>
        <v>6875</v>
      </c>
      <c r="Z21" s="12">
        <f>Y21/X21</f>
        <v>9.8492879860175922E-2</v>
      </c>
      <c r="AI21" s="24">
        <f t="shared" si="29"/>
        <v>117.1054646677681</v>
      </c>
      <c r="AJ21" s="2">
        <f t="shared" si="32"/>
        <v>69237.294873620704</v>
      </c>
      <c r="AK21" s="24">
        <f t="shared" si="30"/>
        <v>-79.62177778588385</v>
      </c>
      <c r="AL21">
        <f t="shared" si="33"/>
        <v>901.8</v>
      </c>
      <c r="AM21" s="2">
        <f t="shared" si="34"/>
        <v>70059.473095834823</v>
      </c>
      <c r="AN21" s="2">
        <f>X21</f>
        <v>69802</v>
      </c>
      <c r="AO21" s="2">
        <f t="shared" si="35"/>
        <v>-257.47309583482274</v>
      </c>
      <c r="AP21">
        <f>AO21*AO21</f>
        <v>66292.395078767819</v>
      </c>
      <c r="AQ21">
        <f t="shared" si="14"/>
        <v>-1.1499839491305663E-3</v>
      </c>
      <c r="AS21">
        <f t="shared" si="15"/>
        <v>1991</v>
      </c>
      <c r="AT21" s="2">
        <f>AN21</f>
        <v>69802</v>
      </c>
      <c r="AU21" s="2">
        <f t="shared" si="16"/>
        <v>70059.473095834823</v>
      </c>
      <c r="AV21" s="2">
        <f t="shared" si="17"/>
        <v>68598.473095834823</v>
      </c>
      <c r="AW21">
        <f t="shared" si="18"/>
        <v>1991</v>
      </c>
      <c r="AX21" s="13">
        <f t="shared" si="11"/>
        <v>63159.113829139533</v>
      </c>
      <c r="AY21" s="2">
        <f>R21</f>
        <v>62927</v>
      </c>
      <c r="BC21">
        <f>AHS_tables!$AU$33</f>
        <v>1819.7856168231801</v>
      </c>
      <c r="BD21" s="280">
        <f>AHS_tables!$AV$33</f>
        <v>1816.7028988967954</v>
      </c>
      <c r="BE21" s="341">
        <f>'Comps Ann'!C33</f>
        <v>837.6</v>
      </c>
      <c r="BF21">
        <f t="shared" si="0"/>
        <v>837.6</v>
      </c>
      <c r="BG21" s="344">
        <f>SFTotalMedAvgSqFt!G27</f>
        <v>2075</v>
      </c>
      <c r="BH21">
        <f t="shared" si="19"/>
        <v>1738020</v>
      </c>
      <c r="BI21" s="2">
        <f t="shared" si="5"/>
        <v>14097309</v>
      </c>
      <c r="BJ21">
        <f t="shared" si="20"/>
        <v>7230.0000000000009</v>
      </c>
      <c r="BK21">
        <f t="shared" si="3"/>
        <v>1949.8352697095434</v>
      </c>
      <c r="BL21">
        <f t="shared" si="31"/>
        <v>64728.104585676818</v>
      </c>
      <c r="BM21" s="2">
        <f>BM$15+SUM(AK$15:AK21)</f>
        <v>57916.904585676821</v>
      </c>
      <c r="BN21" s="345">
        <f t="shared" si="21"/>
        <v>1856.4032801981664</v>
      </c>
      <c r="BO21" s="344">
        <f t="shared" si="22"/>
        <v>107517131.65177467</v>
      </c>
      <c r="BP21" s="262">
        <f t="shared" si="23"/>
        <v>0.11097994672166799</v>
      </c>
      <c r="BQ21" s="344">
        <f t="shared" si="24"/>
        <v>16211905.35</v>
      </c>
      <c r="BR21" s="345">
        <f t="shared" si="25"/>
        <v>1911.5195446207103</v>
      </c>
      <c r="BS21" s="345"/>
      <c r="BV21">
        <f t="shared" si="26"/>
        <v>1991</v>
      </c>
      <c r="BW21" s="280"/>
      <c r="BX21" s="343">
        <f t="shared" si="27"/>
        <v>1911.5195446207103</v>
      </c>
      <c r="CI21">
        <v>1816.7028988967954</v>
      </c>
      <c r="CJ21" s="2">
        <f t="shared" si="12"/>
        <v>120.7298805053244</v>
      </c>
      <c r="CL21" s="280">
        <f t="shared" si="28"/>
        <v>1991</v>
      </c>
      <c r="CM21" s="280">
        <f>BC21</f>
        <v>1819.7856168231801</v>
      </c>
      <c r="CO21" s="280">
        <f t="shared" si="10"/>
        <v>1911.5195446207103</v>
      </c>
      <c r="CY21" s="280">
        <f t="shared" si="4"/>
        <v>1992</v>
      </c>
      <c r="CZ21" s="344">
        <f>SFTotalMedAvgSqFt!G28</f>
        <v>2095</v>
      </c>
      <c r="DB21" s="280">
        <f t="shared" si="13"/>
        <v>1991</v>
      </c>
      <c r="DC21" s="280">
        <f>CM21</f>
        <v>1819.7856168231801</v>
      </c>
      <c r="DD21">
        <v>1697</v>
      </c>
    </row>
    <row r="22" spans="2:108" x14ac:dyDescent="0.2">
      <c r="C22">
        <f>[9]National_Calibration!E21</f>
        <v>95.668999999999997</v>
      </c>
      <c r="D22">
        <f t="shared" si="9"/>
        <v>1992</v>
      </c>
      <c r="E22" s="341">
        <f>'Comps Ann'!C34</f>
        <v>963.6</v>
      </c>
      <c r="F22">
        <f t="shared" si="8"/>
        <v>915.42</v>
      </c>
      <c r="G22" s="24">
        <f>Survival_curve_SF!Z139</f>
        <v>-443.59638025773165</v>
      </c>
      <c r="H22">
        <f t="shared" si="6"/>
        <v>471.82361974226831</v>
      </c>
      <c r="I22" s="2">
        <f t="shared" si="7"/>
        <v>67259.567553232075</v>
      </c>
      <c r="L22">
        <f>AVERAGE(L21,L23)</f>
        <v>1369</v>
      </c>
      <c r="O22" s="2"/>
      <c r="S22" s="2"/>
      <c r="T22" s="2"/>
      <c r="U22" s="2"/>
      <c r="V22" s="2"/>
      <c r="W22" s="2"/>
      <c r="X22" s="2"/>
      <c r="Y22" s="2"/>
      <c r="Z22" s="12">
        <f>AVERAGE(Z21,Z23)</f>
        <v>9.2373411875171951E-2</v>
      </c>
      <c r="AI22" s="24">
        <f t="shared" si="29"/>
        <v>116.99636260955062</v>
      </c>
      <c r="AJ22" s="2">
        <f t="shared" si="32"/>
        <v>70059.473095834823</v>
      </c>
      <c r="AK22" s="24">
        <f t="shared" si="30"/>
        <v>-80.492208530674603</v>
      </c>
      <c r="AL22">
        <f t="shared" si="33"/>
        <v>900.6</v>
      </c>
      <c r="AM22" s="2">
        <f t="shared" si="34"/>
        <v>70879.580887304153</v>
      </c>
      <c r="AN22" s="2"/>
      <c r="AO22" s="2"/>
      <c r="AQ22">
        <f t="shared" si="14"/>
        <v>-1.1489125591990789E-3</v>
      </c>
      <c r="AS22">
        <f t="shared" si="15"/>
        <v>1992</v>
      </c>
      <c r="AU22" s="2">
        <f t="shared" si="16"/>
        <v>70879.580887304153</v>
      </c>
      <c r="AV22" s="2">
        <f t="shared" si="17"/>
        <v>69510.580887304153</v>
      </c>
      <c r="AW22">
        <f t="shared" si="18"/>
        <v>1992</v>
      </c>
      <c r="AX22" s="13">
        <f t="shared" si="11"/>
        <v>64332.192168461639</v>
      </c>
      <c r="BD22" s="280"/>
      <c r="BE22" s="341">
        <f>'Comps Ann'!C34</f>
        <v>963.6</v>
      </c>
      <c r="BF22">
        <f t="shared" si="0"/>
        <v>963.6</v>
      </c>
      <c r="BG22" s="344">
        <f>SFTotalMedAvgSqFt!G28</f>
        <v>2095</v>
      </c>
      <c r="BH22">
        <f t="shared" si="19"/>
        <v>2018742</v>
      </c>
      <c r="BI22" s="2">
        <f t="shared" si="5"/>
        <v>16116051</v>
      </c>
      <c r="BJ22">
        <f t="shared" si="20"/>
        <v>8193.6</v>
      </c>
      <c r="BK22">
        <f t="shared" si="3"/>
        <v>1966.9072202694786</v>
      </c>
      <c r="BL22">
        <f t="shared" si="31"/>
        <v>65548.212377146148</v>
      </c>
      <c r="BM22" s="2">
        <f>BM$15+SUM(AK$15:AK22)</f>
        <v>57836.412377146145</v>
      </c>
      <c r="BN22" s="345">
        <f t="shared" si="21"/>
        <v>1863.9022880358532</v>
      </c>
      <c r="BO22" s="344">
        <f t="shared" si="22"/>
        <v>107801421.36154784</v>
      </c>
      <c r="BP22" s="262">
        <f t="shared" si="23"/>
        <v>0.12408902717146714</v>
      </c>
      <c r="BQ22" s="344">
        <f t="shared" si="24"/>
        <v>18533458.649999999</v>
      </c>
      <c r="BR22" s="345">
        <f t="shared" si="25"/>
        <v>1927.3581296870789</v>
      </c>
      <c r="BS22" s="345"/>
      <c r="BV22">
        <f t="shared" si="26"/>
        <v>1992</v>
      </c>
      <c r="BX22" s="343">
        <f t="shared" si="27"/>
        <v>1927.3581296870789</v>
      </c>
      <c r="CJ22" s="2">
        <f t="shared" si="12"/>
        <v>123.99117357647596</v>
      </c>
      <c r="CL22" s="280">
        <f t="shared" si="28"/>
        <v>1992</v>
      </c>
      <c r="CM22" s="280"/>
      <c r="CO22" s="280">
        <f t="shared" si="10"/>
        <v>1927.3581296870789</v>
      </c>
      <c r="CY22" s="280">
        <f t="shared" si="4"/>
        <v>1993</v>
      </c>
      <c r="CZ22" s="344">
        <f>SFTotalMedAvgSqFt!G29</f>
        <v>2095</v>
      </c>
      <c r="DB22" s="280">
        <f t="shared" si="13"/>
        <v>1992</v>
      </c>
      <c r="DC22" s="280"/>
    </row>
    <row r="23" spans="2:108" x14ac:dyDescent="0.2">
      <c r="C23">
        <f>[9]National_Calibration!E22</f>
        <v>96.426000000000002</v>
      </c>
      <c r="D23">
        <f t="shared" si="9"/>
        <v>1993</v>
      </c>
      <c r="E23" s="341">
        <f>'Comps Ann'!C35</f>
        <v>1039.4000000000001</v>
      </c>
      <c r="F23">
        <f t="shared" si="8"/>
        <v>987.43000000000006</v>
      </c>
      <c r="G23" s="24">
        <f>Survival_curve_SF!Z140</f>
        <v>-450.73941727660713</v>
      </c>
      <c r="H23">
        <f t="shared" si="6"/>
        <v>536.69058272339294</v>
      </c>
      <c r="I23" s="2">
        <f t="shared" si="7"/>
        <v>67796.258135955461</v>
      </c>
      <c r="J23">
        <f>58918+5375</f>
        <v>64293</v>
      </c>
      <c r="K23">
        <f>2651+889</f>
        <v>3540</v>
      </c>
      <c r="L23">
        <f>388+195+624+70</f>
        <v>1277</v>
      </c>
      <c r="M23">
        <f>K23-K$29</f>
        <v>-150</v>
      </c>
      <c r="N23">
        <f>L23-L$29</f>
        <v>-222</v>
      </c>
      <c r="O23" s="2">
        <f>I23-N23</f>
        <v>68018.258135955461</v>
      </c>
      <c r="P23">
        <f>D23</f>
        <v>1993</v>
      </c>
      <c r="Q23" s="2">
        <f>O23</f>
        <v>68018.258135955461</v>
      </c>
      <c r="R23" s="2">
        <f>J23</f>
        <v>64293</v>
      </c>
      <c r="S23" s="2">
        <f>R23+L23</f>
        <v>65570</v>
      </c>
      <c r="T23" s="2"/>
      <c r="U23" s="2"/>
      <c r="V23" s="2"/>
      <c r="W23" s="2"/>
      <c r="X23" s="2">
        <f>64283+6079</f>
        <v>70362</v>
      </c>
      <c r="Y23" s="2">
        <f>X23-R23</f>
        <v>6069</v>
      </c>
      <c r="Z23" s="12">
        <f>Y23/X23</f>
        <v>8.6253943890167994E-2</v>
      </c>
      <c r="AI23" s="24">
        <f t="shared" si="29"/>
        <v>126.0246986248579</v>
      </c>
      <c r="AJ23" s="2">
        <f t="shared" si="32"/>
        <v>70879.580887304153</v>
      </c>
      <c r="AK23" s="24">
        <f t="shared" si="30"/>
        <v>-87.718546239307969</v>
      </c>
      <c r="AL23">
        <f t="shared" si="33"/>
        <v>1001.5</v>
      </c>
      <c r="AM23" s="2">
        <f t="shared" si="34"/>
        <v>71793.362341064843</v>
      </c>
      <c r="AN23" s="2">
        <f>X23</f>
        <v>70362</v>
      </c>
      <c r="AO23" s="2">
        <f t="shared" si="35"/>
        <v>-1431.3623410648433</v>
      </c>
      <c r="AP23">
        <f>AO23*AO23</f>
        <v>2048798.1514186289</v>
      </c>
      <c r="AQ23">
        <f t="shared" si="14"/>
        <v>-1.2375714576921262E-3</v>
      </c>
      <c r="AS23">
        <f t="shared" si="15"/>
        <v>1993</v>
      </c>
      <c r="AT23" s="2">
        <f>AN23</f>
        <v>70362</v>
      </c>
      <c r="AU23" s="2">
        <f t="shared" si="16"/>
        <v>71793.362341064843</v>
      </c>
      <c r="AV23" s="2">
        <f t="shared" si="17"/>
        <v>70516.362341064843</v>
      </c>
      <c r="AW23">
        <f t="shared" si="18"/>
        <v>1993</v>
      </c>
      <c r="AX23" s="13">
        <f t="shared" si="11"/>
        <v>65600.901694012136</v>
      </c>
      <c r="AY23" s="2">
        <f>R23</f>
        <v>64293</v>
      </c>
      <c r="BC23">
        <f>AHS_tables!$BG$33</f>
        <v>1837.0820159552984</v>
      </c>
      <c r="BD23" s="280">
        <f>AHS_tables!$BH$33</f>
        <v>1826.8775794502085</v>
      </c>
      <c r="BE23" s="341">
        <f>'Comps Ann'!C35</f>
        <v>1039.4000000000001</v>
      </c>
      <c r="BF23">
        <f t="shared" si="0"/>
        <v>1039.4000000000001</v>
      </c>
      <c r="BG23" s="344">
        <f>SFTotalMedAvgSqFt!G29</f>
        <v>2095</v>
      </c>
      <c r="BH23">
        <f t="shared" si="19"/>
        <v>2177543</v>
      </c>
      <c r="BI23" s="2">
        <f t="shared" si="5"/>
        <v>18293594</v>
      </c>
      <c r="BJ23">
        <f t="shared" si="20"/>
        <v>9233</v>
      </c>
      <c r="BK23">
        <f t="shared" si="3"/>
        <v>1981.3271959276508</v>
      </c>
      <c r="BL23">
        <f t="shared" si="31"/>
        <v>66461.993830906838</v>
      </c>
      <c r="BM23" s="2">
        <f>BM$15+SUM(AK$15:AK23)</f>
        <v>57748.693830906843</v>
      </c>
      <c r="BN23" s="345">
        <f t="shared" si="21"/>
        <v>1871.4012958735402</v>
      </c>
      <c r="BO23" s="344">
        <f t="shared" si="22"/>
        <v>108070980.47016339</v>
      </c>
      <c r="BP23" s="262">
        <f t="shared" si="23"/>
        <v>0.13784363266937402</v>
      </c>
      <c r="BQ23" s="344">
        <f t="shared" si="24"/>
        <v>21037633.099999998</v>
      </c>
      <c r="BR23" s="345">
        <f t="shared" si="25"/>
        <v>1942.5931442659185</v>
      </c>
      <c r="BS23" s="345"/>
      <c r="BV23">
        <f t="shared" si="26"/>
        <v>1993</v>
      </c>
      <c r="BW23" s="280"/>
      <c r="BX23" s="343">
        <f t="shared" si="27"/>
        <v>1942.5931442659185</v>
      </c>
      <c r="CI23">
        <v>1826.8775794502085</v>
      </c>
      <c r="CJ23" s="2">
        <f t="shared" si="12"/>
        <v>127.43586188845045</v>
      </c>
      <c r="CL23" s="280">
        <f t="shared" si="28"/>
        <v>1993</v>
      </c>
      <c r="CM23" s="280">
        <f>BC23</f>
        <v>1837.0820159552984</v>
      </c>
      <c r="CO23" s="280">
        <f t="shared" si="10"/>
        <v>1942.5931442659185</v>
      </c>
      <c r="CY23" s="280">
        <f t="shared" si="4"/>
        <v>1994</v>
      </c>
      <c r="CZ23" s="344">
        <f>SFTotalMedAvgSqFt!G30</f>
        <v>2100</v>
      </c>
      <c r="DB23" s="280">
        <f t="shared" si="13"/>
        <v>1993</v>
      </c>
      <c r="DC23" s="280">
        <f>CM23</f>
        <v>1837.0820159552984</v>
      </c>
      <c r="DD23">
        <v>1725</v>
      </c>
    </row>
    <row r="24" spans="2:108" x14ac:dyDescent="0.2">
      <c r="C24">
        <f>[9]National_Calibration!E23</f>
        <v>97.106999999999999</v>
      </c>
      <c r="D24">
        <f t="shared" si="9"/>
        <v>1994</v>
      </c>
      <c r="E24" s="341">
        <f>'Comps Ann'!C36</f>
        <v>1160.3</v>
      </c>
      <c r="F24">
        <f t="shared" si="8"/>
        <v>1102.2849999999999</v>
      </c>
      <c r="G24" s="24">
        <f>Survival_curve_SF!Z141</f>
        <v>-457.79710073457682</v>
      </c>
      <c r="H24">
        <f t="shared" si="6"/>
        <v>644.48789926542304</v>
      </c>
      <c r="I24" s="2">
        <f t="shared" si="7"/>
        <v>68440.746035220887</v>
      </c>
      <c r="L24">
        <f>AVERAGE(L23,L25)</f>
        <v>1328.5</v>
      </c>
      <c r="O24" s="2"/>
      <c r="S24" s="2"/>
      <c r="T24" s="2"/>
      <c r="U24" s="2"/>
      <c r="V24" s="2"/>
      <c r="W24" s="2"/>
      <c r="X24" s="2"/>
      <c r="Y24" s="2"/>
      <c r="Z24" s="12">
        <f>AVERAGE(Z23,Z25)</f>
        <v>8.4776373895306373E-2</v>
      </c>
      <c r="AI24" s="24">
        <f t="shared" si="29"/>
        <v>134.56540455909234</v>
      </c>
      <c r="AJ24" s="2">
        <f t="shared" si="32"/>
        <v>71793.362341064843</v>
      </c>
      <c r="AK24" s="24">
        <f t="shared" si="30"/>
        <v>-94.870749549768604</v>
      </c>
      <c r="AL24">
        <f t="shared" si="33"/>
        <v>1099.8499999999999</v>
      </c>
      <c r="AM24" s="2">
        <f t="shared" si="34"/>
        <v>72798.341591515084</v>
      </c>
      <c r="AN24" s="2"/>
      <c r="AO24" s="2"/>
      <c r="AQ24">
        <f t="shared" si="14"/>
        <v>-1.3214417942855395E-3</v>
      </c>
      <c r="AS24">
        <f t="shared" si="15"/>
        <v>1994</v>
      </c>
      <c r="AU24" s="2">
        <f t="shared" si="16"/>
        <v>72798.341591515084</v>
      </c>
      <c r="AV24" s="2">
        <f t="shared" si="17"/>
        <v>71469.841591515084</v>
      </c>
      <c r="AW24">
        <f t="shared" si="18"/>
        <v>1994</v>
      </c>
      <c r="AX24" s="13">
        <f t="shared" si="11"/>
        <v>66626.762165794571</v>
      </c>
      <c r="BD24" s="280"/>
      <c r="BE24" s="341">
        <f>'Comps Ann'!C36</f>
        <v>1160.3</v>
      </c>
      <c r="BF24">
        <f t="shared" si="0"/>
        <v>1160.3</v>
      </c>
      <c r="BG24" s="344">
        <f>SFTotalMedAvgSqFt!G30</f>
        <v>2100</v>
      </c>
      <c r="BH24">
        <f t="shared" si="19"/>
        <v>2436630</v>
      </c>
      <c r="BI24" s="2">
        <f t="shared" si="5"/>
        <v>20730224</v>
      </c>
      <c r="BJ24">
        <f t="shared" si="20"/>
        <v>10393.299999999999</v>
      </c>
      <c r="BK24">
        <f t="shared" si="3"/>
        <v>1994.5757362916495</v>
      </c>
      <c r="BL24">
        <f t="shared" si="31"/>
        <v>67466.973081357064</v>
      </c>
      <c r="BM24" s="2">
        <f>BM$15+SUM(AK$15:AK24)</f>
        <v>57653.82308135707</v>
      </c>
      <c r="BN24" s="345">
        <f t="shared" si="21"/>
        <v>1878.900303711227</v>
      </c>
      <c r="BO24" s="344">
        <f t="shared" si="22"/>
        <v>108325785.69767515</v>
      </c>
      <c r="BP24" s="262">
        <f t="shared" si="23"/>
        <v>0.15273680251806943</v>
      </c>
      <c r="BQ24" s="344">
        <f t="shared" si="24"/>
        <v>23839757.599999998</v>
      </c>
      <c r="BR24" s="345">
        <f t="shared" si="25"/>
        <v>1958.9665470585048</v>
      </c>
      <c r="BS24" s="345"/>
      <c r="BV24">
        <f t="shared" si="26"/>
        <v>1994</v>
      </c>
      <c r="BX24" s="343">
        <f t="shared" si="27"/>
        <v>1958.9665470585048</v>
      </c>
      <c r="CJ24" s="2">
        <f t="shared" si="12"/>
        <v>130.51959822161481</v>
      </c>
      <c r="CL24" s="280">
        <f t="shared" si="28"/>
        <v>1994</v>
      </c>
      <c r="CM24" s="280"/>
      <c r="CO24" s="280">
        <f t="shared" si="10"/>
        <v>1958.9665470585048</v>
      </c>
      <c r="CY24" s="280">
        <f t="shared" si="4"/>
        <v>1995</v>
      </c>
      <c r="CZ24" s="344">
        <f>SFTotalMedAvgSqFt!G31</f>
        <v>2095</v>
      </c>
      <c r="DB24" s="280">
        <f t="shared" si="13"/>
        <v>1994</v>
      </c>
      <c r="DC24" s="280"/>
    </row>
    <row r="25" spans="2:108" x14ac:dyDescent="0.2">
      <c r="C25">
        <f>[9]National_Calibration!E24</f>
        <v>98.990000000000009</v>
      </c>
      <c r="D25">
        <f t="shared" si="9"/>
        <v>1995</v>
      </c>
      <c r="E25" s="341">
        <f>'Comps Ann'!C37</f>
        <v>1065.5</v>
      </c>
      <c r="F25">
        <f t="shared" si="8"/>
        <v>1012.2249999999999</v>
      </c>
      <c r="G25" s="24">
        <f>Survival_curve_SF!Z142</f>
        <v>-464.75051295716548</v>
      </c>
      <c r="H25">
        <f t="shared" si="6"/>
        <v>547.47448704283443</v>
      </c>
      <c r="I25" s="2">
        <f t="shared" si="7"/>
        <v>68988.220522263728</v>
      </c>
      <c r="J25">
        <f>60826+5545</f>
        <v>66371</v>
      </c>
      <c r="K25">
        <f>2666+917</f>
        <v>3583</v>
      </c>
      <c r="L25">
        <f>482+197+624+77</f>
        <v>1380</v>
      </c>
      <c r="M25">
        <f>K25-K$29</f>
        <v>-107</v>
      </c>
      <c r="N25">
        <f>L25-L$29</f>
        <v>-119</v>
      </c>
      <c r="O25" s="2">
        <f>I25-N25</f>
        <v>69107.220522263728</v>
      </c>
      <c r="P25">
        <f>D25</f>
        <v>1995</v>
      </c>
      <c r="Q25" s="2">
        <f>O25</f>
        <v>69107.220522263728</v>
      </c>
      <c r="R25" s="2">
        <f>J25</f>
        <v>66371</v>
      </c>
      <c r="S25" s="2">
        <f>R25+L25</f>
        <v>67751</v>
      </c>
      <c r="T25" s="2"/>
      <c r="U25" s="2"/>
      <c r="V25" s="2"/>
      <c r="W25" s="2"/>
      <c r="X25" s="2">
        <f>66189+6213</f>
        <v>72402</v>
      </c>
      <c r="Y25" s="2">
        <f>X25-R25</f>
        <v>6031</v>
      </c>
      <c r="Z25" s="12">
        <f>Y25/X25</f>
        <v>8.3298803900444737E-2</v>
      </c>
      <c r="AI25" s="24">
        <f t="shared" si="29"/>
        <v>135.68108245148474</v>
      </c>
      <c r="AJ25" s="2">
        <f t="shared" si="32"/>
        <v>72798.341591515084</v>
      </c>
      <c r="AK25" s="24">
        <f t="shared" si="30"/>
        <v>-96.996352373702166</v>
      </c>
      <c r="AL25">
        <f t="shared" si="33"/>
        <v>1112.9000000000001</v>
      </c>
      <c r="AM25" s="2">
        <f t="shared" si="34"/>
        <v>73814.245239141383</v>
      </c>
      <c r="AN25" s="2">
        <f>X25</f>
        <v>72402</v>
      </c>
      <c r="AO25" s="2">
        <f t="shared" si="35"/>
        <v>-1412.2452391413826</v>
      </c>
      <c r="AP25">
        <f>AO25*AO25</f>
        <v>1994436.6154775009</v>
      </c>
      <c r="AQ25">
        <f t="shared" si="14"/>
        <v>-1.3323978301314416E-3</v>
      </c>
      <c r="AS25">
        <f t="shared" si="15"/>
        <v>1995</v>
      </c>
      <c r="AT25" s="2">
        <f>AN25</f>
        <v>72402</v>
      </c>
      <c r="AU25" s="2">
        <f t="shared" si="16"/>
        <v>73814.245239141383</v>
      </c>
      <c r="AV25" s="2">
        <f t="shared" si="17"/>
        <v>72434.245239141383</v>
      </c>
      <c r="AW25">
        <f t="shared" si="18"/>
        <v>1995</v>
      </c>
      <c r="AX25" s="13">
        <f t="shared" si="11"/>
        <v>67665.606899906808</v>
      </c>
      <c r="AY25" s="2">
        <f>R25</f>
        <v>66371</v>
      </c>
      <c r="BC25">
        <f>AHS_tables!$BS$33</f>
        <v>1850.7285084965752</v>
      </c>
      <c r="BD25" s="280">
        <f>AHS_tables!$BT$33</f>
        <v>1844.150735046717</v>
      </c>
      <c r="BE25" s="341">
        <f>'Comps Ann'!C37</f>
        <v>1065.5</v>
      </c>
      <c r="BF25">
        <f t="shared" si="0"/>
        <v>1065.5</v>
      </c>
      <c r="BG25" s="344">
        <f>SFTotalMedAvgSqFt!G31</f>
        <v>2095</v>
      </c>
      <c r="BH25">
        <f t="shared" si="19"/>
        <v>2232222.5</v>
      </c>
      <c r="BI25" s="2">
        <f t="shared" si="5"/>
        <v>22962446.5</v>
      </c>
      <c r="BJ25">
        <f t="shared" si="20"/>
        <v>11458.8</v>
      </c>
      <c r="BK25">
        <f t="shared" si="3"/>
        <v>2003.9137169686182</v>
      </c>
      <c r="BL25">
        <f t="shared" si="31"/>
        <v>68482.876728983363</v>
      </c>
      <c r="BM25" s="2">
        <f>BM$15+SUM(AK$15:AK25)</f>
        <v>57556.826728983368</v>
      </c>
      <c r="BN25" s="345">
        <f>BN$27+$BN$6*(BV25-BV$27)</f>
        <v>1886.3993115489138</v>
      </c>
      <c r="BO25" s="344">
        <f t="shared" si="22"/>
        <v>108575158.31649435</v>
      </c>
      <c r="BP25" s="262">
        <f t="shared" si="23"/>
        <v>0.16603196323924468</v>
      </c>
      <c r="BQ25" s="344">
        <f t="shared" si="24"/>
        <v>26406813.474999998</v>
      </c>
      <c r="BR25" s="345">
        <f t="shared" si="25"/>
        <v>1971.0324425429283</v>
      </c>
      <c r="BS25" s="345"/>
      <c r="BU25">
        <f>BX25/BX15</f>
        <v>1.0659474124772239</v>
      </c>
      <c r="BV25">
        <f t="shared" si="26"/>
        <v>1995</v>
      </c>
      <c r="BW25" s="280"/>
      <c r="BX25" s="343">
        <f t="shared" si="27"/>
        <v>1971.0324425429283</v>
      </c>
      <c r="CI25">
        <v>1844.150735046717</v>
      </c>
      <c r="CJ25" s="2">
        <f t="shared" si="12"/>
        <v>133.37110644407292</v>
      </c>
      <c r="CL25" s="280">
        <f t="shared" si="28"/>
        <v>1995</v>
      </c>
      <c r="CM25" s="280">
        <f>BC25</f>
        <v>1850.7285084965752</v>
      </c>
      <c r="CO25" s="280">
        <f t="shared" si="10"/>
        <v>1971.0324425429283</v>
      </c>
      <c r="CY25" s="280">
        <f t="shared" si="4"/>
        <v>1996</v>
      </c>
      <c r="CZ25" s="344">
        <f>SFTotalMedAvgSqFt!G32</f>
        <v>2120</v>
      </c>
      <c r="DB25" s="280">
        <f t="shared" si="13"/>
        <v>1995</v>
      </c>
      <c r="DC25" s="280">
        <f>CM25</f>
        <v>1850.7285084965752</v>
      </c>
      <c r="DD25">
        <v>1732</v>
      </c>
    </row>
    <row r="26" spans="2:108" x14ac:dyDescent="0.2">
      <c r="C26">
        <f>[9]National_Calibration!E25</f>
        <v>99.626999999999995</v>
      </c>
      <c r="D26">
        <f t="shared" si="9"/>
        <v>1996</v>
      </c>
      <c r="E26" s="341">
        <f>'Comps Ann'!C38</f>
        <v>1128.5</v>
      </c>
      <c r="F26">
        <f t="shared" si="8"/>
        <v>1072.075</v>
      </c>
      <c r="G26" s="24">
        <f>Survival_curve_SF!Z143</f>
        <v>-471.58203235006658</v>
      </c>
      <c r="H26">
        <f t="shared" si="6"/>
        <v>600.49296764993346</v>
      </c>
      <c r="I26" s="2">
        <f t="shared" si="7"/>
        <v>69588.713489913658</v>
      </c>
      <c r="L26">
        <f>AVERAGE(L25,L27)</f>
        <v>1507</v>
      </c>
      <c r="O26" s="2"/>
      <c r="S26" s="2"/>
      <c r="T26" s="2"/>
      <c r="U26" s="2"/>
      <c r="V26" s="2"/>
      <c r="W26" s="2"/>
      <c r="X26" s="2"/>
      <c r="Y26" s="2"/>
      <c r="Z26" s="12">
        <f>AVERAGE(Z25,Z27)</f>
        <v>8.7956622483335384E-2</v>
      </c>
      <c r="AI26" s="24">
        <f t="shared" si="29"/>
        <v>134.32122358332083</v>
      </c>
      <c r="AJ26" s="2">
        <f t="shared" si="32"/>
        <v>73814.245239141383</v>
      </c>
      <c r="AK26" s="24">
        <f t="shared" si="30"/>
        <v>-97.364231379221522</v>
      </c>
      <c r="AL26">
        <f t="shared" si="33"/>
        <v>1097</v>
      </c>
      <c r="AM26" s="2">
        <f t="shared" si="34"/>
        <v>74813.88100776216</v>
      </c>
      <c r="AN26" s="2"/>
      <c r="AO26" s="2"/>
      <c r="AQ26">
        <f t="shared" si="14"/>
        <v>-1.3190439198258214E-3</v>
      </c>
      <c r="AS26">
        <f t="shared" si="15"/>
        <v>1996</v>
      </c>
      <c r="AU26" s="2">
        <f t="shared" si="16"/>
        <v>74813.88100776216</v>
      </c>
      <c r="AV26" s="2">
        <f t="shared" si="17"/>
        <v>73306.88100776216</v>
      </c>
      <c r="AW26">
        <f t="shared" si="18"/>
        <v>1996</v>
      </c>
      <c r="AX26" s="13">
        <f t="shared" si="11"/>
        <v>68233.504719449251</v>
      </c>
      <c r="BE26" s="341">
        <f>'Comps Ann'!C38</f>
        <v>1128.5</v>
      </c>
      <c r="BF26">
        <f t="shared" si="0"/>
        <v>1128.5</v>
      </c>
      <c r="BG26" s="344">
        <f>SFTotalMedAvgSqFt!G32</f>
        <v>2120</v>
      </c>
      <c r="BH26">
        <f t="shared" si="19"/>
        <v>2392420</v>
      </c>
      <c r="BI26" s="2">
        <f t="shared" si="5"/>
        <v>25354866.5</v>
      </c>
      <c r="BJ26">
        <f t="shared" si="20"/>
        <v>12587.3</v>
      </c>
      <c r="BK26">
        <f t="shared" si="3"/>
        <v>2014.3213000405171</v>
      </c>
      <c r="BL26">
        <f t="shared" si="31"/>
        <v>69482.512497604141</v>
      </c>
      <c r="BM26" s="2">
        <f>BM$15+SUM(AK$15:AK26)</f>
        <v>57459.462497604145</v>
      </c>
      <c r="BN26" s="345">
        <f>BN$27+$BN$6*(BV26-BV$27)</f>
        <v>1893.8983193866009</v>
      </c>
      <c r="BO26" s="344">
        <f t="shared" si="22"/>
        <v>108822379.4570699</v>
      </c>
      <c r="BP26" s="262">
        <f t="shared" si="23"/>
        <v>0.17969852640128131</v>
      </c>
      <c r="BQ26" s="344">
        <f t="shared" si="24"/>
        <v>29158096.474999998</v>
      </c>
      <c r="BR26" s="345">
        <f t="shared" si="25"/>
        <v>1985.8302610578116</v>
      </c>
      <c r="BS26" s="345"/>
      <c r="BV26">
        <f t="shared" si="26"/>
        <v>1996</v>
      </c>
      <c r="BX26" s="343">
        <f t="shared" si="27"/>
        <v>1985.8302610578116</v>
      </c>
      <c r="CJ26" s="2">
        <f t="shared" si="12"/>
        <v>135.5001584899133</v>
      </c>
      <c r="CL26" s="280">
        <f t="shared" si="28"/>
        <v>1996</v>
      </c>
      <c r="CM26" s="280"/>
      <c r="CO26" s="280">
        <f t="shared" si="10"/>
        <v>1985.8302610578116</v>
      </c>
      <c r="CY26" s="280">
        <f t="shared" si="4"/>
        <v>1997</v>
      </c>
      <c r="CZ26" s="344">
        <f>SFTotalMedAvgSqFt!G33</f>
        <v>2150</v>
      </c>
      <c r="DB26" s="280">
        <f t="shared" si="13"/>
        <v>1996</v>
      </c>
      <c r="DC26" s="280"/>
    </row>
    <row r="27" spans="2:108" x14ac:dyDescent="0.2">
      <c r="C27">
        <f>[9]National_Calibration!E26</f>
        <v>101.018</v>
      </c>
      <c r="D27">
        <f t="shared" si="9"/>
        <v>1997</v>
      </c>
      <c r="E27" s="341">
        <f>'Comps Ann'!C39</f>
        <v>1116.4000000000001</v>
      </c>
      <c r="F27">
        <f t="shared" si="8"/>
        <v>1060.58</v>
      </c>
      <c r="G27" s="24">
        <f>Survival_curve_SF!Z144</f>
        <v>-478.27512939152075</v>
      </c>
      <c r="H27">
        <f t="shared" si="6"/>
        <v>582.30487060847918</v>
      </c>
      <c r="I27" s="2">
        <f t="shared" si="7"/>
        <v>70171.018360522139</v>
      </c>
      <c r="J27" s="2">
        <f>AHS_tables!$CF$32</f>
        <v>67951.38235187353</v>
      </c>
      <c r="K27">
        <f>2884+1043</f>
        <v>3927</v>
      </c>
      <c r="L27">
        <f>574+280+682+98</f>
        <v>1634</v>
      </c>
      <c r="M27">
        <f>K27-K$29</f>
        <v>237</v>
      </c>
      <c r="N27">
        <f>L27-L$29</f>
        <v>135</v>
      </c>
      <c r="O27" s="2">
        <f>I27-N27</f>
        <v>70036.018360522139</v>
      </c>
      <c r="P27">
        <f>D27</f>
        <v>1997</v>
      </c>
      <c r="Q27" s="2">
        <f>O27</f>
        <v>70036.018360522139</v>
      </c>
      <c r="R27" s="2">
        <f>J27</f>
        <v>67951.38235187353</v>
      </c>
      <c r="S27" s="2">
        <f>R27+L27</f>
        <v>69585.38235187353</v>
      </c>
      <c r="T27" s="2"/>
      <c r="U27" s="2"/>
      <c r="V27" s="2"/>
      <c r="W27" s="2"/>
      <c r="X27" s="2">
        <f>68109+6778</f>
        <v>74887</v>
      </c>
      <c r="Y27" s="2">
        <f>X27-R27</f>
        <v>6935.6176481264702</v>
      </c>
      <c r="Z27" s="12">
        <f>Y27/X27</f>
        <v>9.2614441066226044E-2</v>
      </c>
      <c r="AI27" s="24">
        <f t="shared" si="29"/>
        <v>136.49505032826076</v>
      </c>
      <c r="AJ27" s="2">
        <f t="shared" si="32"/>
        <v>74813.88100776216</v>
      </c>
      <c r="AK27" s="24">
        <f t="shared" si="30"/>
        <v>-100.27985668882603</v>
      </c>
      <c r="AL27">
        <f t="shared" si="33"/>
        <v>1122.45</v>
      </c>
      <c r="AM27" s="2">
        <f t="shared" si="34"/>
        <v>75836.051151073334</v>
      </c>
      <c r="AN27" s="2">
        <f>X27</f>
        <v>74887</v>
      </c>
      <c r="AO27" s="2">
        <f t="shared" si="35"/>
        <v>-949.05115107333404</v>
      </c>
      <c r="AP27">
        <f>AO27*AO27</f>
        <v>900698.08735362033</v>
      </c>
      <c r="AQ27">
        <f t="shared" si="14"/>
        <v>-1.3403910522757361E-3</v>
      </c>
      <c r="AS27">
        <f t="shared" si="15"/>
        <v>1997</v>
      </c>
      <c r="AT27" s="2">
        <f>AN27</f>
        <v>74887</v>
      </c>
      <c r="AU27" s="2">
        <f t="shared" si="16"/>
        <v>75836.051151073334</v>
      </c>
      <c r="AV27" s="2">
        <f t="shared" si="17"/>
        <v>74202.051151073334</v>
      </c>
      <c r="AW27">
        <f t="shared" si="18"/>
        <v>1997</v>
      </c>
      <c r="AX27" s="13">
        <f t="shared" si="11"/>
        <v>68812.537661046954</v>
      </c>
      <c r="AY27" s="2">
        <f>R27</f>
        <v>67951.38235187353</v>
      </c>
      <c r="BA27">
        <f>AHS_tables!CA$33</f>
        <v>1814.8076748072108</v>
      </c>
      <c r="BB27">
        <f>AHS_tables!CB$33</f>
        <v>1842.0787039822753</v>
      </c>
      <c r="BC27" s="280">
        <f>AHS_tables!CE$33</f>
        <v>1903.2197683316294</v>
      </c>
      <c r="BD27">
        <f>AHS_tables!CF$33</f>
        <v>1921.3143841971068</v>
      </c>
      <c r="BE27" s="341">
        <f>'Comps Ann'!C39</f>
        <v>1116.4000000000001</v>
      </c>
      <c r="BF27">
        <f t="shared" si="0"/>
        <v>1116.4000000000001</v>
      </c>
      <c r="BG27" s="344">
        <f>SFTotalMedAvgSqFt!G33</f>
        <v>2150</v>
      </c>
      <c r="BH27">
        <f t="shared" si="19"/>
        <v>2400260</v>
      </c>
      <c r="BI27" s="2">
        <f t="shared" si="5"/>
        <v>27755126.5</v>
      </c>
      <c r="BJ27">
        <f t="shared" si="20"/>
        <v>13703.699999999999</v>
      </c>
      <c r="BK27">
        <f t="shared" si="3"/>
        <v>2025.3746433444983</v>
      </c>
      <c r="BL27">
        <f t="shared" si="31"/>
        <v>70504.682640915329</v>
      </c>
      <c r="BM27" s="2">
        <f>BM$15+SUM(AK$15:AK27)</f>
        <v>57359.182640915322</v>
      </c>
      <c r="BN27" s="208">
        <f>BN$5</f>
        <v>1901.3973272242877</v>
      </c>
      <c r="BO27" s="344">
        <f t="shared" si="22"/>
        <v>109062596.56520616</v>
      </c>
      <c r="BP27" s="262">
        <f t="shared" si="23"/>
        <v>0.19283906718568614</v>
      </c>
      <c r="BQ27" s="344">
        <f t="shared" si="24"/>
        <v>31918395.474999998</v>
      </c>
      <c r="BR27" s="345">
        <f t="shared" si="25"/>
        <v>1999.5975694016099</v>
      </c>
      <c r="BS27" s="345">
        <f>BD27</f>
        <v>1921.3143841971068</v>
      </c>
      <c r="BT27">
        <f>(BS27-BR27)^2</f>
        <v>6128.2570857625287</v>
      </c>
      <c r="BU27">
        <f>BX27/BX15</f>
        <v>1.0813956224634644</v>
      </c>
      <c r="BV27">
        <f t="shared" si="26"/>
        <v>1997</v>
      </c>
      <c r="BW27">
        <f>BS27</f>
        <v>1921.3143841971068</v>
      </c>
      <c r="BX27" s="343">
        <f t="shared" si="27"/>
        <v>1999.5975694016099</v>
      </c>
      <c r="CJ27" s="2">
        <f t="shared" si="12"/>
        <v>137.59738305138623</v>
      </c>
      <c r="CL27" s="280">
        <f t="shared" si="28"/>
        <v>1997</v>
      </c>
      <c r="CN27" s="280">
        <f>BC27</f>
        <v>1903.2197683316294</v>
      </c>
      <c r="CO27" s="280">
        <f t="shared" si="10"/>
        <v>1999.5975694016099</v>
      </c>
      <c r="CY27" s="280">
        <f t="shared" si="4"/>
        <v>1998</v>
      </c>
      <c r="CZ27" s="344">
        <f>SFTotalMedAvgSqFt!G34</f>
        <v>2190</v>
      </c>
      <c r="DB27" s="280">
        <f t="shared" si="13"/>
        <v>1997</v>
      </c>
      <c r="DC27" s="280">
        <f>CN27</f>
        <v>1903.2197683316294</v>
      </c>
      <c r="DD27">
        <v>1750</v>
      </c>
    </row>
    <row r="28" spans="2:108" x14ac:dyDescent="0.2">
      <c r="C28">
        <f>[9]National_Calibration!E27</f>
        <v>102.81575000000001</v>
      </c>
      <c r="D28">
        <f t="shared" si="9"/>
        <v>1998</v>
      </c>
      <c r="E28" s="341">
        <f>'Comps Ann'!C40</f>
        <v>1159.7</v>
      </c>
      <c r="F28">
        <f t="shared" si="8"/>
        <v>1101.7149999999999</v>
      </c>
      <c r="G28" s="24">
        <f>Survival_curve_SF!Z145</f>
        <v>-484.81423726910725</v>
      </c>
      <c r="H28">
        <f t="shared" si="6"/>
        <v>616.90076273089267</v>
      </c>
      <c r="I28" s="2">
        <f t="shared" si="7"/>
        <v>70787.919123253028</v>
      </c>
      <c r="L28">
        <f>AVERAGE(L27,L29)</f>
        <v>1566.5</v>
      </c>
      <c r="O28" s="2"/>
      <c r="S28" s="2"/>
      <c r="T28" s="2"/>
      <c r="U28" s="2"/>
      <c r="V28" s="2"/>
      <c r="W28" s="2"/>
      <c r="X28" s="2"/>
      <c r="Y28" s="2"/>
      <c r="Z28" s="12">
        <f>AVERAGE(Z27,Z29)</f>
        <v>9.0213911780978956E-2</v>
      </c>
      <c r="AI28" s="24">
        <f t="shared" si="29"/>
        <v>137.82022042775787</v>
      </c>
      <c r="AJ28" s="2">
        <f t="shared" si="32"/>
        <v>75836.051151073334</v>
      </c>
      <c r="AK28" s="24">
        <f t="shared" si="30"/>
        <v>-102.63683896800113</v>
      </c>
      <c r="AL28">
        <f t="shared" si="33"/>
        <v>1138.0500000000002</v>
      </c>
      <c r="AM28" s="2">
        <f t="shared" si="34"/>
        <v>76871.464312105338</v>
      </c>
      <c r="AN28" s="2"/>
      <c r="AO28" s="2"/>
      <c r="AQ28">
        <f t="shared" si="14"/>
        <v>-1.353404316418557E-3</v>
      </c>
      <c r="AS28">
        <f t="shared" si="15"/>
        <v>1998</v>
      </c>
      <c r="AU28" s="2">
        <f t="shared" si="16"/>
        <v>76871.464312105338</v>
      </c>
      <c r="AV28" s="2">
        <f t="shared" si="17"/>
        <v>75304.964312105338</v>
      </c>
      <c r="AW28">
        <f t="shared" si="18"/>
        <v>1998</v>
      </c>
      <c r="AX28" s="13">
        <f t="shared" si="11"/>
        <v>69936.588812178394</v>
      </c>
      <c r="BC28" s="280"/>
      <c r="BE28" s="341">
        <f>'Comps Ann'!C40</f>
        <v>1159.7</v>
      </c>
      <c r="BF28">
        <f t="shared" si="0"/>
        <v>1159.7</v>
      </c>
      <c r="BG28" s="344">
        <f>SFTotalMedAvgSqFt!G34</f>
        <v>2190</v>
      </c>
      <c r="BH28">
        <f t="shared" si="19"/>
        <v>2539743</v>
      </c>
      <c r="BI28" s="2">
        <f t="shared" si="5"/>
        <v>30294869.5</v>
      </c>
      <c r="BJ28">
        <f t="shared" si="20"/>
        <v>14863.4</v>
      </c>
      <c r="BK28">
        <f t="shared" si="3"/>
        <v>2038.2193508887603</v>
      </c>
      <c r="BL28">
        <f t="shared" si="31"/>
        <v>71540.095801947318</v>
      </c>
      <c r="BM28" s="2">
        <f>BM$15+SUM(AK$15:AK28)</f>
        <v>57256.545801947323</v>
      </c>
      <c r="BN28" s="345">
        <f>BN$27+$BN$6*(BV28-BV$27)</f>
        <v>1908.8963350619745</v>
      </c>
      <c r="BO28" s="344">
        <f t="shared" si="22"/>
        <v>109296810.43964532</v>
      </c>
      <c r="BP28" s="262">
        <f t="shared" si="23"/>
        <v>0.20609277828379441</v>
      </c>
      <c r="BQ28" s="344">
        <f t="shared" si="24"/>
        <v>34839099.924999997</v>
      </c>
      <c r="BR28" s="345">
        <f t="shared" si="25"/>
        <v>2014.7570219038193</v>
      </c>
      <c r="BS28" s="345"/>
      <c r="BV28">
        <f t="shared" si="26"/>
        <v>1998</v>
      </c>
      <c r="BX28" s="343">
        <f t="shared" si="27"/>
        <v>2014.7570219038193</v>
      </c>
      <c r="CJ28" s="2">
        <f t="shared" si="12"/>
        <v>140.9052333973365</v>
      </c>
      <c r="CL28" s="280">
        <f t="shared" si="28"/>
        <v>1998</v>
      </c>
      <c r="CN28" s="280"/>
      <c r="CO28" s="280">
        <f t="shared" si="10"/>
        <v>2014.7570219038193</v>
      </c>
      <c r="CY28" s="280">
        <f t="shared" si="4"/>
        <v>1999</v>
      </c>
      <c r="CZ28" s="344">
        <f>SFTotalMedAvgSqFt!G35</f>
        <v>2223</v>
      </c>
      <c r="DB28" s="280">
        <f t="shared" si="13"/>
        <v>1998</v>
      </c>
      <c r="DC28" s="280"/>
    </row>
    <row r="29" spans="2:108" x14ac:dyDescent="0.2">
      <c r="B29">
        <f>SUM(F16:F29)</f>
        <v>14308.235000000001</v>
      </c>
      <c r="C29">
        <f>[9]National_Calibration!E28</f>
        <v>104.6135</v>
      </c>
      <c r="D29">
        <f t="shared" si="9"/>
        <v>1999</v>
      </c>
      <c r="E29" s="341">
        <f>'Comps Ann'!C41</f>
        <v>1270.4000000000001</v>
      </c>
      <c r="F29">
        <f t="shared" si="8"/>
        <v>1206.8800000000001</v>
      </c>
      <c r="G29" s="24">
        <f>Survival_curve_SF!Z146</f>
        <v>-495.78767003348912</v>
      </c>
      <c r="H29">
        <f t="shared" si="6"/>
        <v>711.09232996651099</v>
      </c>
      <c r="I29" s="2">
        <f>AHS_tables!$CR$32</f>
        <v>71499.011453219544</v>
      </c>
      <c r="J29" s="2">
        <f>AHS_tables!$CR$32</f>
        <v>71499.011453219544</v>
      </c>
      <c r="K29">
        <f>2719+971</f>
        <v>3690</v>
      </c>
      <c r="L29">
        <f>481+269+670+79</f>
        <v>1499</v>
      </c>
      <c r="M29">
        <f>K29-K$29</f>
        <v>0</v>
      </c>
      <c r="N29">
        <f>L29-L$29</f>
        <v>0</v>
      </c>
      <c r="O29" s="2">
        <f>I29-N29</f>
        <v>71499.011453219544</v>
      </c>
      <c r="P29">
        <f>D29</f>
        <v>1999</v>
      </c>
      <c r="Q29" s="2">
        <f>O29</f>
        <v>71499.011453219544</v>
      </c>
      <c r="R29" s="2">
        <f>J29</f>
        <v>71499.011453219544</v>
      </c>
      <c r="S29" s="2">
        <f>R29+L29</f>
        <v>72998.011453219544</v>
      </c>
      <c r="T29" s="2"/>
      <c r="U29" s="2"/>
      <c r="V29" s="2"/>
      <c r="W29" s="2"/>
      <c r="X29" s="2">
        <f>70355+8027</f>
        <v>78382</v>
      </c>
      <c r="Y29" s="2">
        <f>X29-R29</f>
        <v>6882.9885467804561</v>
      </c>
      <c r="Z29" s="12">
        <f>Y29/X29</f>
        <v>8.7813382495731881E-2</v>
      </c>
      <c r="AI29" s="24">
        <f t="shared" si="29"/>
        <v>144.28324619203099</v>
      </c>
      <c r="AJ29" s="2">
        <f t="shared" si="32"/>
        <v>76871.464312105338</v>
      </c>
      <c r="AK29" s="24">
        <f t="shared" si="30"/>
        <v>-108.91700130140832</v>
      </c>
      <c r="AL29">
        <f t="shared" si="33"/>
        <v>1215.0500000000002</v>
      </c>
      <c r="AM29" s="2">
        <f t="shared" si="34"/>
        <v>77977.597310803932</v>
      </c>
      <c r="AN29" s="2">
        <f>X29</f>
        <v>78382</v>
      </c>
      <c r="AO29" s="2">
        <f t="shared" si="35"/>
        <v>404.40268919606751</v>
      </c>
      <c r="AP29">
        <f>AO29*AO29</f>
        <v>163541.53502901117</v>
      </c>
      <c r="AQ29">
        <f t="shared" si="14"/>
        <v>-1.4168716867314392E-3</v>
      </c>
      <c r="AS29">
        <f t="shared" si="15"/>
        <v>1999</v>
      </c>
      <c r="AT29" s="2">
        <f>AN29</f>
        <v>78382</v>
      </c>
      <c r="AU29" s="2">
        <f t="shared" si="16"/>
        <v>77977.597310803932</v>
      </c>
      <c r="AV29" s="2">
        <f t="shared" si="17"/>
        <v>76478.597310803932</v>
      </c>
      <c r="AW29">
        <f t="shared" si="18"/>
        <v>1999</v>
      </c>
      <c r="AX29" s="13">
        <f t="shared" si="11"/>
        <v>71130.12073205215</v>
      </c>
      <c r="AY29" s="2">
        <f>R29</f>
        <v>71499.011453219544</v>
      </c>
      <c r="BA29">
        <f>AHS_tables!CM$33</f>
        <v>1891.3058715735053</v>
      </c>
      <c r="BB29">
        <f>AHS_tables!CN$33</f>
        <v>1926.8201883884722</v>
      </c>
      <c r="BC29" s="280">
        <f>AHS_tables!CQ$33</f>
        <v>2033.5936104091231</v>
      </c>
      <c r="BD29">
        <f>AHS_tables!CR$33</f>
        <v>2035.1812359418229</v>
      </c>
      <c r="BE29" s="341">
        <f>'Comps Ann'!C41</f>
        <v>1270.4000000000001</v>
      </c>
      <c r="BF29">
        <f t="shared" si="0"/>
        <v>1270.4000000000001</v>
      </c>
      <c r="BG29" s="344">
        <f>SFTotalMedAvgSqFt!G35</f>
        <v>2223</v>
      </c>
      <c r="BH29">
        <f t="shared" si="19"/>
        <v>2824099.2</v>
      </c>
      <c r="BI29" s="2">
        <f t="shared" si="5"/>
        <v>33118968.699999999</v>
      </c>
      <c r="BJ29">
        <f t="shared" si="20"/>
        <v>16133.8</v>
      </c>
      <c r="BK29">
        <f t="shared" si="3"/>
        <v>2052.7692608065058</v>
      </c>
      <c r="BL29">
        <f t="shared" si="31"/>
        <v>72646.228800645913</v>
      </c>
      <c r="BM29" s="2">
        <f>BM$15+SUM(AK$15:AK29)</f>
        <v>57147.628800645914</v>
      </c>
      <c r="BN29" s="345">
        <f t="shared" ref="BN29:BN40" si="36">BN$27+$BN$6*(BV29-BV$27)</f>
        <v>1916.3953428996615</v>
      </c>
      <c r="BO29" s="344">
        <f t="shared" si="22"/>
        <v>109517449.6913164</v>
      </c>
      <c r="BP29" s="262">
        <f t="shared" si="23"/>
        <v>0.22016219203217546</v>
      </c>
      <c r="BQ29" s="344">
        <f t="shared" si="24"/>
        <v>38086814.005000003</v>
      </c>
      <c r="BR29" s="345">
        <f t="shared" si="25"/>
        <v>2031.8227956659466</v>
      </c>
      <c r="BS29" s="345">
        <f>BD29</f>
        <v>2035.1812359418229</v>
      </c>
      <c r="BT29">
        <f>(BS29-BR29)^2</f>
        <v>11.279121086628205</v>
      </c>
      <c r="BV29">
        <f t="shared" si="26"/>
        <v>1999</v>
      </c>
      <c r="BW29">
        <f>BS29</f>
        <v>2035.1812359418229</v>
      </c>
      <c r="BX29" s="343">
        <f t="shared" si="27"/>
        <v>2031.8227956659466</v>
      </c>
      <c r="CJ29" s="2">
        <f t="shared" si="12"/>
        <v>144.52380076185449</v>
      </c>
      <c r="CL29" s="280">
        <f t="shared" si="28"/>
        <v>1999</v>
      </c>
      <c r="CN29" s="280">
        <f>BC29</f>
        <v>2033.5936104091231</v>
      </c>
      <c r="CO29" s="280">
        <f t="shared" si="10"/>
        <v>2031.8227956659466</v>
      </c>
      <c r="CY29" s="280">
        <f t="shared" si="4"/>
        <v>2000</v>
      </c>
      <c r="CZ29" s="344">
        <f>SFTotalMedAvgSqFt!G36</f>
        <v>2266</v>
      </c>
      <c r="DB29" s="280">
        <f t="shared" si="13"/>
        <v>1999</v>
      </c>
      <c r="DC29" s="280">
        <f>CN29</f>
        <v>2033.5936104091231</v>
      </c>
      <c r="DD29">
        <v>1730</v>
      </c>
    </row>
    <row r="30" spans="2:108" x14ac:dyDescent="0.2">
      <c r="C30">
        <f>[9]National_Calibration!E29</f>
        <v>106.41125</v>
      </c>
      <c r="D30">
        <f t="shared" si="9"/>
        <v>2000</v>
      </c>
      <c r="E30" s="341">
        <f>'Comps Ann'!C42</f>
        <v>1241.8</v>
      </c>
      <c r="F30">
        <f t="shared" si="8"/>
        <v>1179.7099999999998</v>
      </c>
      <c r="G30" s="24">
        <f>Survival_curve_SF!Z147</f>
        <v>-500.78916376382404</v>
      </c>
      <c r="H30">
        <f t="shared" si="6"/>
        <v>678.92083623617577</v>
      </c>
      <c r="I30" s="2">
        <f>I29+H30</f>
        <v>72177.932289455726</v>
      </c>
      <c r="L30">
        <f>AVERAGE(L29,L31)</f>
        <v>1662.5</v>
      </c>
      <c r="O30" s="2"/>
      <c r="S30" s="2"/>
      <c r="T30" s="2"/>
      <c r="U30" s="2"/>
      <c r="V30" s="2"/>
      <c r="W30" s="2"/>
      <c r="X30" s="2"/>
      <c r="Y30" s="2"/>
      <c r="Z30" s="12">
        <f>AVERAGE(Z29,Z31)</f>
        <v>8.9237894233562001E-2</v>
      </c>
      <c r="AI30" s="24">
        <f t="shared" si="29"/>
        <v>147.67839065573517</v>
      </c>
      <c r="AJ30" s="2">
        <f t="shared" si="32"/>
        <v>77977.597310803932</v>
      </c>
      <c r="AK30" s="24">
        <f t="shared" si="30"/>
        <v>-113.08406650236272</v>
      </c>
      <c r="AL30">
        <f t="shared" si="33"/>
        <v>1256.0999999999999</v>
      </c>
      <c r="AM30" s="2">
        <f t="shared" si="34"/>
        <v>79120.613244301581</v>
      </c>
      <c r="AN30" s="2"/>
      <c r="AO30" s="2"/>
      <c r="AQ30">
        <f t="shared" si="14"/>
        <v>-1.4502122455970405E-3</v>
      </c>
      <c r="AS30">
        <f t="shared" si="15"/>
        <v>2000</v>
      </c>
      <c r="AU30" s="2">
        <f t="shared" si="16"/>
        <v>79120.613244301581</v>
      </c>
      <c r="AV30" s="2">
        <f t="shared" si="17"/>
        <v>77458.113244301581</v>
      </c>
      <c r="AW30">
        <f t="shared" si="18"/>
        <v>2000</v>
      </c>
      <c r="AX30" s="13">
        <f t="shared" si="11"/>
        <v>72060.05632791204</v>
      </c>
      <c r="BC30" s="280"/>
      <c r="BE30" s="341">
        <f>'Comps Ann'!C42</f>
        <v>1241.8</v>
      </c>
      <c r="BF30">
        <f t="shared" si="0"/>
        <v>1241.8</v>
      </c>
      <c r="BG30" s="344">
        <f>SFTotalMedAvgSqFt!G36</f>
        <v>2266</v>
      </c>
      <c r="BH30">
        <f t="shared" si="19"/>
        <v>2813918.8</v>
      </c>
      <c r="BI30" s="2">
        <f t="shared" si="5"/>
        <v>35932887.5</v>
      </c>
      <c r="BJ30">
        <f t="shared" si="20"/>
        <v>17375.599999999999</v>
      </c>
      <c r="BK30">
        <f t="shared" si="3"/>
        <v>2068.0084428739151</v>
      </c>
      <c r="BL30">
        <f t="shared" si="31"/>
        <v>73789.244734143547</v>
      </c>
      <c r="BM30" s="2">
        <f>BM$15+SUM(AK$15:AK30)</f>
        <v>57034.54473414355</v>
      </c>
      <c r="BN30" s="345">
        <f t="shared" si="36"/>
        <v>1923.8943507373483</v>
      </c>
      <c r="BO30" s="344">
        <f t="shared" si="22"/>
        <v>109728438.41089535</v>
      </c>
      <c r="BP30" s="262">
        <f t="shared" si="23"/>
        <v>0.2335111705813831</v>
      </c>
      <c r="BQ30" s="344">
        <f t="shared" si="24"/>
        <v>41322820.624999985</v>
      </c>
      <c r="BR30" s="345">
        <f t="shared" si="25"/>
        <v>2047.063356998982</v>
      </c>
      <c r="BS30" s="345"/>
      <c r="BV30">
        <f t="shared" si="26"/>
        <v>2000</v>
      </c>
      <c r="BX30" s="343">
        <f t="shared" si="27"/>
        <v>2047.063356998982</v>
      </c>
      <c r="CJ30" s="2">
        <f t="shared" si="12"/>
        <v>147.51150081215135</v>
      </c>
      <c r="CL30" s="280">
        <f t="shared" si="28"/>
        <v>2000</v>
      </c>
      <c r="CN30" s="280"/>
      <c r="CO30" s="280">
        <f t="shared" si="10"/>
        <v>2047.063356998982</v>
      </c>
      <c r="CY30" s="280">
        <f t="shared" si="4"/>
        <v>2001</v>
      </c>
      <c r="CZ30" s="344">
        <f>SFTotalMedAvgSqFt!G37</f>
        <v>2324</v>
      </c>
      <c r="DB30" s="280">
        <f t="shared" si="13"/>
        <v>2000</v>
      </c>
      <c r="DC30" s="280"/>
    </row>
    <row r="31" spans="2:108" x14ac:dyDescent="0.2">
      <c r="C31">
        <f>[9]National_Calibration!E30</f>
        <v>108.209</v>
      </c>
      <c r="D31">
        <f t="shared" si="9"/>
        <v>2001</v>
      </c>
      <c r="E31" s="341">
        <f>'Comps Ann'!C43</f>
        <v>1255.9000000000001</v>
      </c>
      <c r="F31">
        <f t="shared" si="8"/>
        <v>1193.105</v>
      </c>
      <c r="G31" s="24">
        <f>Survival_curve_SF!Z148</f>
        <v>-507.96565217444731</v>
      </c>
      <c r="H31">
        <f t="shared" si="6"/>
        <v>685.1393478255527</v>
      </c>
      <c r="I31" s="2">
        <f t="shared" ref="I31:I39" si="37">I30+H31</f>
        <v>72863.071637281275</v>
      </c>
      <c r="J31" s="2">
        <f>AHS_tables!$DC32</f>
        <v>74433.828759211698</v>
      </c>
      <c r="K31">
        <f>2916+1243</f>
        <v>4159</v>
      </c>
      <c r="L31">
        <f>556+334+858+78</f>
        <v>1826</v>
      </c>
      <c r="M31">
        <f>K31-K$29</f>
        <v>469</v>
      </c>
      <c r="N31">
        <f>L31-L$29</f>
        <v>327</v>
      </c>
      <c r="O31" s="2">
        <f>I31-N31</f>
        <v>72536.071637281275</v>
      </c>
      <c r="P31">
        <f>D31</f>
        <v>2001</v>
      </c>
      <c r="Q31" s="2">
        <f>O31</f>
        <v>72536.071637281275</v>
      </c>
      <c r="R31" s="2">
        <f>J31</f>
        <v>74433.828759211698</v>
      </c>
      <c r="S31" s="2">
        <f>R31+L31</f>
        <v>76259.828759211698</v>
      </c>
      <c r="T31" s="2">
        <f>1268+1384+222+652</f>
        <v>3526</v>
      </c>
      <c r="U31" s="12">
        <f>T31/R31</f>
        <v>4.737093414079728E-2</v>
      </c>
      <c r="V31" s="12"/>
      <c r="W31" s="12"/>
      <c r="X31" s="2">
        <f>73427+8428</f>
        <v>81855</v>
      </c>
      <c r="Y31" s="2">
        <f>X31-R31</f>
        <v>7421.1712407883024</v>
      </c>
      <c r="Z31" s="12">
        <f>Y31/X31</f>
        <v>9.0662405971392121E-2</v>
      </c>
      <c r="AI31" s="24">
        <f t="shared" si="29"/>
        <v>147.08121023107236</v>
      </c>
      <c r="AJ31" s="2">
        <f t="shared" si="32"/>
        <v>79120.613244301581</v>
      </c>
      <c r="AK31" s="24">
        <f t="shared" si="30"/>
        <v>-114.27769091927811</v>
      </c>
      <c r="AL31">
        <f t="shared" si="33"/>
        <v>1248.8499999999999</v>
      </c>
      <c r="AM31" s="2">
        <f t="shared" si="34"/>
        <v>80255.185553382311</v>
      </c>
      <c r="AN31" s="2">
        <f>X31</f>
        <v>81855</v>
      </c>
      <c r="AO31" s="2">
        <f t="shared" si="35"/>
        <v>1599.8144466176891</v>
      </c>
      <c r="AP31">
        <f>AO31*AO31</f>
        <v>2559406.2636066629</v>
      </c>
      <c r="AQ31">
        <f t="shared" si="14"/>
        <v>-1.4443478915718417E-3</v>
      </c>
      <c r="AS31">
        <f t="shared" si="15"/>
        <v>2001</v>
      </c>
      <c r="AT31" s="2">
        <f>AN31</f>
        <v>81855</v>
      </c>
      <c r="AU31" s="2">
        <f t="shared" si="16"/>
        <v>80255.185553382311</v>
      </c>
      <c r="AV31" s="2">
        <f t="shared" si="17"/>
        <v>78429.185553382311</v>
      </c>
      <c r="AW31">
        <f t="shared" si="18"/>
        <v>2001</v>
      </c>
      <c r="AX31" s="13">
        <f t="shared" si="11"/>
        <v>72979.057339432169</v>
      </c>
      <c r="AY31" s="2">
        <f>R31</f>
        <v>74433.828759211698</v>
      </c>
      <c r="BA31">
        <f>AHS_tables!CX$33</f>
        <v>1887.2209915937417</v>
      </c>
      <c r="BB31">
        <f>AHS_tables!CY$33</f>
        <v>1916.6441444300417</v>
      </c>
      <c r="BC31" s="280">
        <f>AHS_tables!DB$33</f>
        <v>2027.4037845229843</v>
      </c>
      <c r="BD31">
        <f>AHS_tables!DC$33</f>
        <v>2027.4533925593496</v>
      </c>
      <c r="BE31" s="341">
        <f>'Comps Ann'!C43</f>
        <v>1255.9000000000001</v>
      </c>
      <c r="BF31">
        <f t="shared" si="0"/>
        <v>1255.9000000000001</v>
      </c>
      <c r="BG31" s="344">
        <f>SFTotalMedAvgSqFt!G37</f>
        <v>2324</v>
      </c>
      <c r="BH31">
        <f t="shared" si="19"/>
        <v>2918711.6</v>
      </c>
      <c r="BI31" s="2">
        <f t="shared" si="5"/>
        <v>38851599.100000001</v>
      </c>
      <c r="BJ31">
        <f t="shared" si="20"/>
        <v>18631.5</v>
      </c>
      <c r="BK31">
        <f t="shared" si="3"/>
        <v>2085.2641547916164</v>
      </c>
      <c r="BL31">
        <f t="shared" si="31"/>
        <v>74923.817043224277</v>
      </c>
      <c r="BM31" s="2">
        <f>BM$15+SUM(AK$15:AK31)</f>
        <v>56920.267043224274</v>
      </c>
      <c r="BN31" s="345">
        <f t="shared" si="36"/>
        <v>1931.3933585750351</v>
      </c>
      <c r="BO31" s="344">
        <f t="shared" si="22"/>
        <v>109935425.73560081</v>
      </c>
      <c r="BP31" s="262">
        <f t="shared" si="23"/>
        <v>0.24660574767682991</v>
      </c>
      <c r="BQ31" s="344">
        <f t="shared" si="24"/>
        <v>44679338.964999996</v>
      </c>
      <c r="BR31" s="345">
        <f t="shared" si="25"/>
        <v>2063.6263714567831</v>
      </c>
      <c r="BS31" s="345">
        <f>BD31</f>
        <v>2027.4533925593496</v>
      </c>
      <c r="BT31">
        <f>(BS31-BR31)^2</f>
        <v>1308.4844023141688</v>
      </c>
      <c r="BV31">
        <f t="shared" si="26"/>
        <v>2001</v>
      </c>
      <c r="BW31">
        <f>BS31</f>
        <v>2027.4533925593496</v>
      </c>
      <c r="BX31" s="343">
        <f t="shared" si="27"/>
        <v>2063.6263714567831</v>
      </c>
      <c r="CJ31" s="2">
        <f t="shared" si="12"/>
        <v>150.60150728970891</v>
      </c>
      <c r="CL31" s="280">
        <f t="shared" si="28"/>
        <v>2001</v>
      </c>
      <c r="CN31" s="280">
        <f>BC31</f>
        <v>2027.4037845229843</v>
      </c>
      <c r="CO31" s="280">
        <f t="shared" si="10"/>
        <v>2063.6263714567831</v>
      </c>
      <c r="CY31" s="280">
        <f t="shared" si="4"/>
        <v>2002</v>
      </c>
      <c r="CZ31" s="344">
        <f>SFTotalMedAvgSqFt!G38</f>
        <v>2320</v>
      </c>
      <c r="DB31" s="280">
        <f t="shared" si="13"/>
        <v>2001</v>
      </c>
      <c r="DC31" s="280">
        <f>CN31</f>
        <v>2027.4037845229843</v>
      </c>
      <c r="DD31">
        <v>1737</v>
      </c>
    </row>
    <row r="32" spans="2:108" x14ac:dyDescent="0.2">
      <c r="C32">
        <f>[9]National_Calibration!E31</f>
        <v>109.291</v>
      </c>
      <c r="D32">
        <f t="shared" si="9"/>
        <v>2002</v>
      </c>
      <c r="E32" s="341">
        <f>'Comps Ann'!C44</f>
        <v>1325.1</v>
      </c>
      <c r="F32">
        <f t="shared" si="8"/>
        <v>1258.8449999999998</v>
      </c>
      <c r="G32" s="24">
        <f>Survival_curve_SF!Z149</f>
        <v>-515.04180704255123</v>
      </c>
      <c r="H32">
        <f t="shared" si="6"/>
        <v>743.80319295744857</v>
      </c>
      <c r="I32" s="2">
        <f t="shared" si="37"/>
        <v>73606.874830238725</v>
      </c>
      <c r="L32">
        <f>AVERAGE(L31,L33)</f>
        <v>1858.5</v>
      </c>
      <c r="O32" s="2"/>
      <c r="S32" s="2"/>
      <c r="T32" s="2"/>
      <c r="U32" s="2"/>
      <c r="V32" s="2"/>
      <c r="W32" s="2"/>
      <c r="X32" s="2"/>
      <c r="Y32" s="2"/>
      <c r="Z32" s="12">
        <f>AVERAGE(Z31,Z33)</f>
        <v>9.4741525975650526E-2</v>
      </c>
      <c r="AI32" s="24">
        <f t="shared" si="29"/>
        <v>150.49795761179007</v>
      </c>
      <c r="AJ32" s="2">
        <f t="shared" si="32"/>
        <v>80255.185553382311</v>
      </c>
      <c r="AK32" s="24">
        <f t="shared" si="30"/>
        <v>-118.60918628945629</v>
      </c>
      <c r="AL32">
        <f t="shared" si="33"/>
        <v>1290.5</v>
      </c>
      <c r="AM32" s="2">
        <f t="shared" si="34"/>
        <v>81427.076367092857</v>
      </c>
      <c r="AN32" s="2"/>
      <c r="AO32" s="2"/>
      <c r="AQ32">
        <f t="shared" si="14"/>
        <v>-1.4779005926110849E-3</v>
      </c>
      <c r="AS32">
        <f t="shared" si="15"/>
        <v>2002</v>
      </c>
      <c r="AU32" s="2">
        <f t="shared" si="16"/>
        <v>81427.076367092857</v>
      </c>
      <c r="AV32" s="2">
        <f t="shared" si="17"/>
        <v>79568.576367092857</v>
      </c>
      <c r="AW32">
        <f t="shared" si="18"/>
        <v>2002</v>
      </c>
      <c r="AX32" s="13">
        <f t="shared" si="11"/>
        <v>73712.550896338653</v>
      </c>
      <c r="BC32" s="280"/>
      <c r="BE32" s="341">
        <f>'Comps Ann'!C44</f>
        <v>1325.1</v>
      </c>
      <c r="BF32">
        <f t="shared" si="0"/>
        <v>1325.1</v>
      </c>
      <c r="BG32" s="344">
        <f>SFTotalMedAvgSqFt!G38</f>
        <v>2320</v>
      </c>
      <c r="BH32">
        <f t="shared" si="19"/>
        <v>3074232</v>
      </c>
      <c r="BI32" s="2">
        <f t="shared" si="5"/>
        <v>41925831.100000001</v>
      </c>
      <c r="BJ32">
        <f t="shared" si="20"/>
        <v>19956.599999999999</v>
      </c>
      <c r="BK32">
        <f t="shared" si="3"/>
        <v>2100.8504003688004</v>
      </c>
      <c r="BL32">
        <f t="shared" si="31"/>
        <v>76095.707856934809</v>
      </c>
      <c r="BM32" s="2">
        <f>BM$15+SUM(AK$15:AK32)</f>
        <v>56801.657856934813</v>
      </c>
      <c r="BN32" s="345">
        <f t="shared" si="36"/>
        <v>1938.8923664127221</v>
      </c>
      <c r="BO32" s="344">
        <f t="shared" si="22"/>
        <v>110132300.81839813</v>
      </c>
      <c r="BP32" s="262">
        <f t="shared" si="23"/>
        <v>0.25999287317328029</v>
      </c>
      <c r="BQ32" s="344">
        <f t="shared" si="24"/>
        <v>48214705.765000001</v>
      </c>
      <c r="BR32" s="345">
        <f t="shared" si="25"/>
        <v>2080.8927473426156</v>
      </c>
      <c r="BS32" s="345"/>
      <c r="BV32">
        <f t="shared" si="26"/>
        <v>2002</v>
      </c>
      <c r="BX32" s="343">
        <f t="shared" si="27"/>
        <v>2080.8927473426156</v>
      </c>
      <c r="CJ32" s="2">
        <f t="shared" si="12"/>
        <v>153.38791254831452</v>
      </c>
      <c r="CL32" s="280">
        <f t="shared" si="28"/>
        <v>2002</v>
      </c>
      <c r="CN32" s="280"/>
      <c r="CO32" s="280">
        <f t="shared" si="10"/>
        <v>2080.8927473426156</v>
      </c>
      <c r="CY32" s="280">
        <f t="shared" si="4"/>
        <v>2003</v>
      </c>
      <c r="CZ32" s="344">
        <f>SFTotalMedAvgSqFt!G39</f>
        <v>2330</v>
      </c>
      <c r="DB32" s="280">
        <f t="shared" si="13"/>
        <v>2002</v>
      </c>
      <c r="DC32" s="280"/>
    </row>
    <row r="33" spans="3:108" x14ac:dyDescent="0.2">
      <c r="C33">
        <f>[9]National_Calibration!E32</f>
        <v>111.27800000000001</v>
      </c>
      <c r="D33">
        <f t="shared" si="9"/>
        <v>2003</v>
      </c>
      <c r="E33" s="341">
        <f>'Comps Ann'!C45</f>
        <v>1386.3</v>
      </c>
      <c r="F33">
        <f t="shared" si="8"/>
        <v>1316.9849999999999</v>
      </c>
      <c r="G33" s="24">
        <f>Survival_curve_SF!Z150</f>
        <v>-521.99542576736712</v>
      </c>
      <c r="H33">
        <f t="shared" si="6"/>
        <v>794.98957423263278</v>
      </c>
      <c r="I33" s="2">
        <f t="shared" si="37"/>
        <v>74401.864404471358</v>
      </c>
      <c r="J33" s="2">
        <f>AHS_tables!$DN32</f>
        <v>74025.57567727234</v>
      </c>
      <c r="K33">
        <f>3597+1284</f>
        <v>4881</v>
      </c>
      <c r="L33">
        <f>675+252+882+82</f>
        <v>1891</v>
      </c>
      <c r="M33">
        <f>K33-K$29</f>
        <v>1191</v>
      </c>
      <c r="N33">
        <f>L33-L$29</f>
        <v>392</v>
      </c>
      <c r="O33" s="2">
        <f>I33-N33</f>
        <v>74009.864404471358</v>
      </c>
      <c r="P33">
        <f>D33</f>
        <v>2003</v>
      </c>
      <c r="Q33" s="2">
        <f>O33</f>
        <v>74009.864404471358</v>
      </c>
      <c r="R33" s="2">
        <f>J33</f>
        <v>74025.57567727234</v>
      </c>
      <c r="S33" s="2">
        <f>R33+L33</f>
        <v>75916.57567727234</v>
      </c>
      <c r="T33" s="2"/>
      <c r="U33" s="2"/>
      <c r="V33" s="2"/>
      <c r="W33" s="2"/>
      <c r="X33" s="2">
        <f>74916+7227</f>
        <v>82143</v>
      </c>
      <c r="Y33" s="2">
        <f>X33-R33</f>
        <v>8117.4243227276602</v>
      </c>
      <c r="Z33" s="12">
        <f>Y33/X33</f>
        <v>9.8820645979908944E-2</v>
      </c>
      <c r="AI33" s="24">
        <f t="shared" si="29"/>
        <v>155.78101071450217</v>
      </c>
      <c r="AJ33" s="2">
        <f t="shared" si="32"/>
        <v>81427.076367092857</v>
      </c>
      <c r="AK33" s="24">
        <f t="shared" si="30"/>
        <v>-124.56555749837925</v>
      </c>
      <c r="AL33">
        <f t="shared" si="33"/>
        <v>1355.6999999999998</v>
      </c>
      <c r="AM33" s="2">
        <f t="shared" si="34"/>
        <v>82658.210809594471</v>
      </c>
      <c r="AN33" s="2">
        <f>X33</f>
        <v>82143</v>
      </c>
      <c r="AO33" s="2">
        <f t="shared" si="35"/>
        <v>-515.21080959447136</v>
      </c>
      <c r="AP33">
        <f>AO33*AO33</f>
        <v>265442.1783229906</v>
      </c>
      <c r="AQ33">
        <f t="shared" si="14"/>
        <v>-1.5297805478954904E-3</v>
      </c>
      <c r="AS33">
        <f t="shared" si="15"/>
        <v>2003</v>
      </c>
      <c r="AT33" s="2">
        <f>AN33</f>
        <v>82143</v>
      </c>
      <c r="AU33" s="2">
        <f t="shared" si="16"/>
        <v>82658.210809594471</v>
      </c>
      <c r="AV33" s="2">
        <f t="shared" si="17"/>
        <v>80767.210809594471</v>
      </c>
      <c r="AW33">
        <f t="shared" si="18"/>
        <v>2003</v>
      </c>
      <c r="AX33" s="13">
        <f t="shared" si="11"/>
        <v>74489.873021846855</v>
      </c>
      <c r="AY33" s="2">
        <f>R33</f>
        <v>74025.57567727234</v>
      </c>
      <c r="BA33">
        <f>AHS_tables!DI$33</f>
        <v>1937.2430505530615</v>
      </c>
      <c r="BB33">
        <f>AHS_tables!DJ$33</f>
        <v>1963.5823265804706</v>
      </c>
      <c r="BC33" s="280">
        <f>AHS_tables!DM$33</f>
        <v>2099.997071605178</v>
      </c>
      <c r="BD33">
        <f>AHS_tables!DN$33</f>
        <v>2100.7245703310732</v>
      </c>
      <c r="BE33" s="341">
        <f>'Comps Ann'!C45</f>
        <v>1386.3</v>
      </c>
      <c r="BF33">
        <f t="shared" si="0"/>
        <v>1386.3</v>
      </c>
      <c r="BG33" s="344">
        <f>SFTotalMedAvgSqFt!G39</f>
        <v>2330</v>
      </c>
      <c r="BH33">
        <f t="shared" si="19"/>
        <v>3230079</v>
      </c>
      <c r="BI33" s="2">
        <f t="shared" si="5"/>
        <v>45155910.100000001</v>
      </c>
      <c r="BJ33">
        <f t="shared" si="20"/>
        <v>21342.899999999998</v>
      </c>
      <c r="BK33">
        <f t="shared" si="3"/>
        <v>2115.7345112426151</v>
      </c>
      <c r="BL33">
        <f t="shared" si="31"/>
        <v>77326.842299436437</v>
      </c>
      <c r="BM33" s="2">
        <f>BM$15+SUM(AK$15:AK33)</f>
        <v>56677.092299436437</v>
      </c>
      <c r="BN33" s="345">
        <f t="shared" si="36"/>
        <v>1946.3913742504089</v>
      </c>
      <c r="BO33" s="344">
        <f t="shared" si="22"/>
        <v>110315803.56921735</v>
      </c>
      <c r="BP33" s="262">
        <f t="shared" si="23"/>
        <v>0.27355680731276061</v>
      </c>
      <c r="BQ33" s="344">
        <f t="shared" si="24"/>
        <v>51929296.614999995</v>
      </c>
      <c r="BR33" s="345">
        <f t="shared" si="25"/>
        <v>2098.1730969428168</v>
      </c>
      <c r="BS33" s="345">
        <f>BD33</f>
        <v>2100.7245703310732</v>
      </c>
      <c r="BT33">
        <f>(BS33-BR33)^2</f>
        <v>6.5100164509808707</v>
      </c>
      <c r="BV33">
        <f t="shared" si="26"/>
        <v>2003</v>
      </c>
      <c r="BW33">
        <f>BS33</f>
        <v>2100.7245703310732</v>
      </c>
      <c r="BX33" s="343">
        <f t="shared" si="27"/>
        <v>2098.1730969428168</v>
      </c>
      <c r="BY33" t="s">
        <v>568</v>
      </c>
      <c r="CJ33" s="2">
        <f t="shared" si="12"/>
        <v>156.29264756912559</v>
      </c>
      <c r="CL33" s="280">
        <f t="shared" si="28"/>
        <v>2003</v>
      </c>
      <c r="CN33" s="280">
        <f>BC33</f>
        <v>2099.997071605178</v>
      </c>
      <c r="CO33" s="280">
        <f t="shared" si="10"/>
        <v>2098.1730969428168</v>
      </c>
      <c r="CY33" s="280">
        <f t="shared" si="4"/>
        <v>2004</v>
      </c>
      <c r="CZ33" s="344">
        <f>SFTotalMedAvgSqFt!G40</f>
        <v>2349</v>
      </c>
      <c r="DB33" s="280">
        <f t="shared" si="13"/>
        <v>2003</v>
      </c>
      <c r="DC33" s="280">
        <f>CN33</f>
        <v>2099.997071605178</v>
      </c>
      <c r="DD33">
        <v>1756</v>
      </c>
    </row>
    <row r="34" spans="3:108" x14ac:dyDescent="0.2">
      <c r="C34">
        <f>[9]National_Calibration!E33</f>
        <v>112</v>
      </c>
      <c r="D34">
        <f t="shared" si="9"/>
        <v>2004</v>
      </c>
      <c r="E34" s="341">
        <f>'Comps Ann'!C46</f>
        <v>1531.5</v>
      </c>
      <c r="F34">
        <f t="shared" si="8"/>
        <v>1454.925</v>
      </c>
      <c r="G34" s="24">
        <f>Survival_curve_SF!Z151</f>
        <v>-528.80678805880598</v>
      </c>
      <c r="H34">
        <f t="shared" si="6"/>
        <v>926.11821194119398</v>
      </c>
      <c r="I34" s="2">
        <f t="shared" si="37"/>
        <v>75327.982616412555</v>
      </c>
      <c r="L34">
        <f>AVERAGE(L33,L35)</f>
        <v>1959.5</v>
      </c>
      <c r="O34" s="2"/>
      <c r="S34" s="2"/>
      <c r="T34" s="2"/>
      <c r="U34" s="2"/>
      <c r="V34" s="2"/>
      <c r="W34" s="2"/>
      <c r="X34" s="2"/>
      <c r="Y34" s="2"/>
      <c r="Z34" s="12">
        <f>AVERAGE(Z33,Z35)</f>
        <v>0.10015949068022748</v>
      </c>
      <c r="AI34" s="24">
        <f t="shared" si="29"/>
        <v>163.99018922802918</v>
      </c>
      <c r="AJ34" s="2">
        <f t="shared" si="32"/>
        <v>82658.210809594471</v>
      </c>
      <c r="AK34" s="24">
        <f t="shared" si="30"/>
        <v>-133.11239103328853</v>
      </c>
      <c r="AL34">
        <f t="shared" si="33"/>
        <v>1458.9</v>
      </c>
      <c r="AM34" s="2">
        <f t="shared" si="34"/>
        <v>83983.998418561183</v>
      </c>
      <c r="AN34" s="2"/>
      <c r="AO34" s="2"/>
      <c r="AQ34">
        <f t="shared" si="14"/>
        <v>-1.6103952617594966E-3</v>
      </c>
      <c r="AS34">
        <f t="shared" si="15"/>
        <v>2004</v>
      </c>
      <c r="AU34" s="2">
        <f t="shared" si="16"/>
        <v>83983.998418561183</v>
      </c>
      <c r="AV34" s="2">
        <f t="shared" si="17"/>
        <v>82024.498418561183</v>
      </c>
      <c r="AW34">
        <f t="shared" si="18"/>
        <v>2004</v>
      </c>
      <c r="AX34" s="13">
        <f t="shared" si="11"/>
        <v>75572.203911669072</v>
      </c>
      <c r="BC34" s="280"/>
      <c r="BE34" s="341">
        <f>'Comps Ann'!C46</f>
        <v>1531.5</v>
      </c>
      <c r="BF34">
        <f t="shared" si="0"/>
        <v>1531.5</v>
      </c>
      <c r="BG34" s="344">
        <f>SFTotalMedAvgSqFt!G40</f>
        <v>2349</v>
      </c>
      <c r="BH34">
        <f t="shared" si="19"/>
        <v>3597493.5</v>
      </c>
      <c r="BI34" s="2">
        <f t="shared" si="5"/>
        <v>48753403.600000001</v>
      </c>
      <c r="BJ34">
        <f t="shared" si="20"/>
        <v>22874.399999999998</v>
      </c>
      <c r="BK34">
        <f t="shared" si="3"/>
        <v>2131.3522365613962</v>
      </c>
      <c r="BL34">
        <f t="shared" si="31"/>
        <v>78652.629908403149</v>
      </c>
      <c r="BM34" s="2">
        <f>BM$15+SUM(AK$15:AK34)</f>
        <v>56543.979908403147</v>
      </c>
      <c r="BN34" s="345">
        <f t="shared" si="36"/>
        <v>1953.8903820880957</v>
      </c>
      <c r="BO34" s="344">
        <f t="shared" si="22"/>
        <v>110480738.50801143</v>
      </c>
      <c r="BP34" s="262">
        <f t="shared" si="23"/>
        <v>0.28802400686569141</v>
      </c>
      <c r="BQ34" s="344">
        <f t="shared" si="24"/>
        <v>56066414.139999986</v>
      </c>
      <c r="BR34" s="345">
        <f t="shared" si="25"/>
        <v>2117.5026549267072</v>
      </c>
      <c r="BS34" s="345"/>
      <c r="BV34">
        <f t="shared" si="26"/>
        <v>2004</v>
      </c>
      <c r="BX34" s="343">
        <f t="shared" si="27"/>
        <v>2117.5026549267072</v>
      </c>
      <c r="BY34" t="s">
        <v>570</v>
      </c>
      <c r="BZ34" t="s">
        <v>571</v>
      </c>
      <c r="CJ34" s="2">
        <f t="shared" si="12"/>
        <v>160.02434242162172</v>
      </c>
      <c r="CL34" s="280">
        <f t="shared" si="28"/>
        <v>2004</v>
      </c>
      <c r="CN34" s="280"/>
      <c r="CO34" s="280">
        <f t="shared" si="10"/>
        <v>2117.5026549267072</v>
      </c>
      <c r="CY34" s="280">
        <f t="shared" si="4"/>
        <v>2005</v>
      </c>
      <c r="CZ34" s="344">
        <f>SFTotalMedAvgSqFt!G41</f>
        <v>2434</v>
      </c>
      <c r="DB34" s="280">
        <f t="shared" si="13"/>
        <v>2004</v>
      </c>
      <c r="DC34" s="280"/>
    </row>
    <row r="35" spans="3:108" x14ac:dyDescent="0.2">
      <c r="C35">
        <f>[9]National_Calibration!E34</f>
        <v>113.343</v>
      </c>
      <c r="D35">
        <f t="shared" si="9"/>
        <v>2005</v>
      </c>
      <c r="E35" s="341">
        <f>'Comps Ann'!C47</f>
        <v>1635.9</v>
      </c>
      <c r="F35">
        <f t="shared" si="8"/>
        <v>1554.105</v>
      </c>
      <c r="G35" s="24">
        <f>Survival_curve_SF!Z152</f>
        <v>-535.45806099784386</v>
      </c>
      <c r="H35">
        <f t="shared" si="6"/>
        <v>1018.6469390021562</v>
      </c>
      <c r="I35" s="2">
        <f t="shared" si="37"/>
        <v>76346.629555414707</v>
      </c>
      <c r="J35" s="2">
        <f>AHS_tables!$DY32</f>
        <v>76147.117574834105</v>
      </c>
      <c r="K35">
        <f>3707+1401</f>
        <v>5108</v>
      </c>
      <c r="L35">
        <f>681+229+1026+92</f>
        <v>2028</v>
      </c>
      <c r="M35">
        <f>K35-K$29</f>
        <v>1418</v>
      </c>
      <c r="N35">
        <f>L35-L$29</f>
        <v>529</v>
      </c>
      <c r="O35" s="2">
        <f>I35-N35</f>
        <v>75817.629555414707</v>
      </c>
      <c r="P35">
        <f>D35</f>
        <v>2005</v>
      </c>
      <c r="Q35" s="2">
        <f>O35</f>
        <v>75817.629555414707</v>
      </c>
      <c r="R35" s="2">
        <f>J35</f>
        <v>76147.117574834105</v>
      </c>
      <c r="S35" s="2">
        <f>R35+L35</f>
        <v>78175.117574834105</v>
      </c>
      <c r="T35" s="2">
        <f>1479+1659+159+143</f>
        <v>3440</v>
      </c>
      <c r="U35" s="12">
        <f>T35/R35</f>
        <v>4.5175708674977964E-2</v>
      </c>
      <c r="V35" s="12"/>
      <c r="W35" s="12"/>
      <c r="X35">
        <f>77703+7046</f>
        <v>84749</v>
      </c>
      <c r="Y35" s="2">
        <f>X35-R35</f>
        <v>8601.8824251658953</v>
      </c>
      <c r="Z35" s="12">
        <f>Y35/X35</f>
        <v>0.10149833538054602</v>
      </c>
      <c r="AI35" s="24">
        <f t="shared" si="29"/>
        <v>173.68849086320586</v>
      </c>
      <c r="AJ35" s="2">
        <f t="shared" si="32"/>
        <v>83983.998418561183</v>
      </c>
      <c r="AK35" s="24">
        <f t="shared" si="30"/>
        <v>-143.24590185408545</v>
      </c>
      <c r="AL35">
        <f t="shared" si="33"/>
        <v>1583.7</v>
      </c>
      <c r="AM35" s="2">
        <f t="shared" si="34"/>
        <v>85424.452516707097</v>
      </c>
      <c r="AN35" s="2">
        <f>X35</f>
        <v>84749</v>
      </c>
      <c r="AO35" s="2">
        <f t="shared" si="35"/>
        <v>-675.45251670709695</v>
      </c>
      <c r="AP35">
        <f>AO35*AO35</f>
        <v>456236.1023259511</v>
      </c>
      <c r="AQ35">
        <f t="shared" si="14"/>
        <v>-1.7056332700447717E-3</v>
      </c>
      <c r="AS35">
        <f t="shared" si="15"/>
        <v>2005</v>
      </c>
      <c r="AT35" s="2">
        <f>AN35</f>
        <v>84749</v>
      </c>
      <c r="AU35" s="2">
        <f t="shared" si="16"/>
        <v>85424.452516707097</v>
      </c>
      <c r="AV35" s="2">
        <f t="shared" si="17"/>
        <v>83396.452516707097</v>
      </c>
      <c r="AW35">
        <f t="shared" si="18"/>
        <v>2005</v>
      </c>
      <c r="AX35" s="13">
        <f t="shared" si="11"/>
        <v>76754.012785466839</v>
      </c>
      <c r="AY35" s="2">
        <f>R35</f>
        <v>76147.117574834105</v>
      </c>
      <c r="BA35">
        <f>AHS_tables!DT$33</f>
        <v>1957.8841866008936</v>
      </c>
      <c r="BB35">
        <f>AHS_tables!DU$33</f>
        <v>1994.4156904071954</v>
      </c>
      <c r="BC35" s="280">
        <f>AHS_tables!DX$33</f>
        <v>2161.6903570207087</v>
      </c>
      <c r="BD35">
        <f>AHS_tables!DY$33</f>
        <v>2164.1037414509847</v>
      </c>
      <c r="BE35" s="341">
        <f>'Comps Ann'!C47</f>
        <v>1635.9</v>
      </c>
      <c r="BF35">
        <f t="shared" si="0"/>
        <v>1635.9</v>
      </c>
      <c r="BG35" s="344">
        <f>SFTotalMedAvgSqFt!G41</f>
        <v>2434</v>
      </c>
      <c r="BH35">
        <f t="shared" si="19"/>
        <v>3981780.6</v>
      </c>
      <c r="BI35" s="2">
        <f t="shared" si="5"/>
        <v>52735184.200000003</v>
      </c>
      <c r="BJ35">
        <f t="shared" si="20"/>
        <v>24510.3</v>
      </c>
      <c r="BK35">
        <f t="shared" si="3"/>
        <v>2151.551967948169</v>
      </c>
      <c r="BL35">
        <f t="shared" si="31"/>
        <v>80093.084006549063</v>
      </c>
      <c r="BM35" s="2">
        <f>BM$15+SUM(AK$15:AK35)</f>
        <v>56400.734006549064</v>
      </c>
      <c r="BN35" s="345">
        <f t="shared" si="36"/>
        <v>1961.3893899257828</v>
      </c>
      <c r="BO35" s="344">
        <f t="shared" si="22"/>
        <v>110623801.26447162</v>
      </c>
      <c r="BP35" s="262">
        <f t="shared" si="23"/>
        <v>0.3029290170487266</v>
      </c>
      <c r="BQ35" s="344">
        <f t="shared" si="24"/>
        <v>60645461.829999998</v>
      </c>
      <c r="BR35" s="345">
        <f t="shared" si="25"/>
        <v>2138.3776791572573</v>
      </c>
      <c r="BS35" s="345">
        <f>BD35</f>
        <v>2164.1037414509847</v>
      </c>
      <c r="BT35">
        <f>(BS35-BR35)^2</f>
        <v>661.83028114074318</v>
      </c>
      <c r="BU35" s="280">
        <f>BX35/BX25</f>
        <v>1.0849023247930047</v>
      </c>
      <c r="BV35">
        <f t="shared" si="26"/>
        <v>2005</v>
      </c>
      <c r="BW35">
        <f>BS35</f>
        <v>2164.1037414509847</v>
      </c>
      <c r="BX35" s="343">
        <f t="shared" si="27"/>
        <v>2138.3776791572573</v>
      </c>
      <c r="BY35" s="280">
        <f>BX35-BX33</f>
        <v>40.204582214440507</v>
      </c>
      <c r="BZ35">
        <f>BS35-BS33</f>
        <v>63.379171119911462</v>
      </c>
      <c r="CJ35" s="2">
        <f t="shared" si="12"/>
        <v>164.12906772619303</v>
      </c>
      <c r="CL35" s="280">
        <f t="shared" si="28"/>
        <v>2005</v>
      </c>
      <c r="CN35" s="280">
        <f>BC35</f>
        <v>2161.6903570207087</v>
      </c>
      <c r="CO35" s="280">
        <f t="shared" si="10"/>
        <v>2138.3776791572573</v>
      </c>
      <c r="CY35" s="280">
        <f t="shared" si="4"/>
        <v>2006</v>
      </c>
      <c r="CZ35" s="344">
        <f>SFTotalMedAvgSqFt!G42</f>
        <v>2469</v>
      </c>
      <c r="DB35" s="280">
        <f t="shared" si="13"/>
        <v>2005</v>
      </c>
      <c r="DC35" s="280">
        <f>CN35</f>
        <v>2161.6903570207087</v>
      </c>
      <c r="DD35">
        <v>1795</v>
      </c>
    </row>
    <row r="36" spans="3:108" x14ac:dyDescent="0.2">
      <c r="C36">
        <f>[9]National_Calibration!E35</f>
        <v>114.384</v>
      </c>
      <c r="D36">
        <f t="shared" si="9"/>
        <v>2006</v>
      </c>
      <c r="E36" s="341">
        <f>'Comps Ann'!C48</f>
        <v>1654.5</v>
      </c>
      <c r="F36">
        <f t="shared" si="8"/>
        <v>1571.7749999999999</v>
      </c>
      <c r="G36" s="24">
        <f>Survival_curve_SF!Z153</f>
        <v>-541.93294076724851</v>
      </c>
      <c r="H36">
        <f t="shared" si="6"/>
        <v>1029.8420592327514</v>
      </c>
      <c r="I36" s="2">
        <f t="shared" si="37"/>
        <v>77376.471614647453</v>
      </c>
      <c r="L36">
        <f>AVERAGE(L35,L37)</f>
        <v>1870.5</v>
      </c>
      <c r="O36" s="2"/>
      <c r="S36" s="2"/>
      <c r="T36" s="2"/>
      <c r="U36" s="2"/>
      <c r="V36" s="2"/>
      <c r="W36" s="2"/>
      <c r="X36" s="2"/>
      <c r="Y36" s="2"/>
      <c r="Z36" s="12">
        <f>AVERAGE(Z35,Z37)</f>
        <v>0.10815109158004896</v>
      </c>
      <c r="AI36" s="24">
        <f t="shared" si="29"/>
        <v>178.38284682683289</v>
      </c>
      <c r="AJ36" s="2">
        <f t="shared" si="32"/>
        <v>85424.452516707097</v>
      </c>
      <c r="AK36" s="24">
        <f t="shared" si="30"/>
        <v>-149.64076224178237</v>
      </c>
      <c r="AL36">
        <f t="shared" si="33"/>
        <v>1645.2</v>
      </c>
      <c r="AM36" s="2">
        <f t="shared" si="34"/>
        <v>86920.011754465319</v>
      </c>
      <c r="AN36" s="2"/>
      <c r="AO36" s="2"/>
      <c r="AQ36">
        <f t="shared" si="14"/>
        <v>-1.751732177768608E-3</v>
      </c>
      <c r="AS36">
        <f t="shared" si="15"/>
        <v>2006</v>
      </c>
      <c r="AU36" s="2">
        <f t="shared" si="16"/>
        <v>86920.011754465319</v>
      </c>
      <c r="AV36" s="2">
        <f t="shared" si="17"/>
        <v>85049.511754465319</v>
      </c>
      <c r="AW36">
        <f t="shared" si="18"/>
        <v>2006</v>
      </c>
      <c r="AX36" s="13">
        <f t="shared" si="11"/>
        <v>77519.517603069209</v>
      </c>
      <c r="BC36" s="280"/>
      <c r="BE36" s="341">
        <f>'Comps Ann'!C48</f>
        <v>1654.5</v>
      </c>
      <c r="BF36">
        <f t="shared" si="0"/>
        <v>1654.5</v>
      </c>
      <c r="BG36" s="344">
        <f>SFTotalMedAvgSqFt!G42</f>
        <v>2469</v>
      </c>
      <c r="BH36">
        <f t="shared" si="19"/>
        <v>4084960.5</v>
      </c>
      <c r="BI36" s="2">
        <f t="shared" si="5"/>
        <v>56820144.700000003</v>
      </c>
      <c r="BJ36">
        <f t="shared" si="20"/>
        <v>26164.799999999999</v>
      </c>
      <c r="BK36">
        <f t="shared" si="3"/>
        <v>2171.6254165902283</v>
      </c>
      <c r="BL36">
        <f t="shared" si="31"/>
        <v>81588.643244307284</v>
      </c>
      <c r="BM36" s="2">
        <f>BM$15+SUM(AK$15:AK36)</f>
        <v>56251.093244307282</v>
      </c>
      <c r="BN36" s="345">
        <f t="shared" si="36"/>
        <v>1968.8883977634696</v>
      </c>
      <c r="BO36" s="344">
        <f t="shared" si="22"/>
        <v>110752124.8502277</v>
      </c>
      <c r="BP36" s="262">
        <f t="shared" si="23"/>
        <v>0.31747274669994896</v>
      </c>
      <c r="BQ36" s="344">
        <f t="shared" si="24"/>
        <v>65343166.405000001</v>
      </c>
      <c r="BR36" s="345">
        <f t="shared" si="25"/>
        <v>2158.3309177961414</v>
      </c>
      <c r="BS36" s="345"/>
      <c r="BV36">
        <f t="shared" si="26"/>
        <v>2006</v>
      </c>
      <c r="BX36" s="343">
        <f t="shared" si="27"/>
        <v>2158.3309177961414</v>
      </c>
      <c r="CJ36" s="2">
        <f t="shared" si="12"/>
        <v>167.31277157534649</v>
      </c>
      <c r="CL36" s="280">
        <f t="shared" si="28"/>
        <v>2006</v>
      </c>
      <c r="CN36" s="280"/>
      <c r="CO36" s="280">
        <f t="shared" si="10"/>
        <v>2158.3309177961414</v>
      </c>
      <c r="CY36" s="280">
        <f t="shared" si="4"/>
        <v>2007</v>
      </c>
      <c r="CZ36" s="344">
        <f>SFTotalMedAvgSqFt!G43</f>
        <v>2521</v>
      </c>
      <c r="DB36" s="280">
        <f t="shared" si="13"/>
        <v>2006</v>
      </c>
      <c r="DC36" s="280"/>
    </row>
    <row r="37" spans="3:108" x14ac:dyDescent="0.2">
      <c r="C37">
        <f>[9]National_Calibration!E36</f>
        <v>116.011</v>
      </c>
      <c r="D37">
        <f t="shared" si="9"/>
        <v>2007</v>
      </c>
      <c r="E37" s="341">
        <f>'Comps Ann'!C49</f>
        <v>1218.4000000000001</v>
      </c>
      <c r="F37">
        <f t="shared" si="8"/>
        <v>1157.48</v>
      </c>
      <c r="G37" s="24">
        <f>Survival_curve_SF!Z154</f>
        <v>-548.21642505533237</v>
      </c>
      <c r="H37">
        <f t="shared" si="6"/>
        <v>609.26357494466765</v>
      </c>
      <c r="I37" s="2">
        <f t="shared" si="37"/>
        <v>77985.735189592117</v>
      </c>
      <c r="J37" s="2">
        <f>AHS_tables!$EJ32</f>
        <v>77490.956361530247</v>
      </c>
      <c r="K37">
        <f>3582+2017</f>
        <v>5599</v>
      </c>
      <c r="L37">
        <f>850+192+567+104</f>
        <v>1713</v>
      </c>
      <c r="M37">
        <f>K37-K$29</f>
        <v>1909</v>
      </c>
      <c r="N37">
        <f>L37-L$29</f>
        <v>214</v>
      </c>
      <c r="O37" s="2">
        <f>I37-N37</f>
        <v>77771.735189592117</v>
      </c>
      <c r="P37">
        <f>D37</f>
        <v>2007</v>
      </c>
      <c r="Q37" s="2">
        <f>O37</f>
        <v>77771.735189592117</v>
      </c>
      <c r="R37" s="2">
        <f>J37</f>
        <v>77490.956361530247</v>
      </c>
      <c r="S37" s="2">
        <f>R37+L37</f>
        <v>79203.956361530247</v>
      </c>
      <c r="T37" s="2"/>
      <c r="U37" s="2"/>
      <c r="V37" s="2"/>
      <c r="W37" s="2"/>
      <c r="X37" s="2">
        <f>80406+7135</f>
        <v>87541</v>
      </c>
      <c r="Y37" s="2">
        <f>X37-R37</f>
        <v>10050.043638469753</v>
      </c>
      <c r="Z37" s="12">
        <f>Y37/X37</f>
        <v>0.11480384777955191</v>
      </c>
      <c r="AI37" s="24">
        <f t="shared" si="29"/>
        <v>162.21961246528681</v>
      </c>
      <c r="AJ37" s="2">
        <f t="shared" si="32"/>
        <v>86920.011754465319</v>
      </c>
      <c r="AK37" s="24">
        <f t="shared" si="30"/>
        <v>-138.46428040123752</v>
      </c>
      <c r="AL37">
        <f t="shared" si="33"/>
        <v>1436.45</v>
      </c>
      <c r="AM37" s="2">
        <f t="shared" si="34"/>
        <v>88217.997474064076</v>
      </c>
      <c r="AN37" s="2">
        <f>X37</f>
        <v>87541</v>
      </c>
      <c r="AO37" s="2">
        <f t="shared" si="35"/>
        <v>-676.9974740640755</v>
      </c>
      <c r="AP37">
        <f>AO37*AO37</f>
        <v>458325.57988913858</v>
      </c>
      <c r="AQ37">
        <f t="shared" si="14"/>
        <v>-1.5930080726677333E-3</v>
      </c>
      <c r="AS37">
        <f t="shared" si="15"/>
        <v>2007</v>
      </c>
      <c r="AT37" s="2">
        <f>AN37</f>
        <v>87541</v>
      </c>
      <c r="AU37" s="2">
        <f t="shared" si="16"/>
        <v>88217.997474064076</v>
      </c>
      <c r="AV37" s="2">
        <f t="shared" si="17"/>
        <v>86504.997474064076</v>
      </c>
      <c r="AW37">
        <f t="shared" si="18"/>
        <v>2007</v>
      </c>
      <c r="AX37" s="13">
        <f t="shared" si="11"/>
        <v>78090.231920634731</v>
      </c>
      <c r="AY37" s="2">
        <f>R37</f>
        <v>77490.956361530247</v>
      </c>
      <c r="BA37">
        <f>AHS_tables!EE$33</f>
        <v>1962.1595098291598</v>
      </c>
      <c r="BB37">
        <f>AHS_tables!EF$33</f>
        <v>1995.8682819957642</v>
      </c>
      <c r="BC37" s="280">
        <f>AHS_tables!EI$33</f>
        <v>2177.9290138830947</v>
      </c>
      <c r="BD37">
        <f>AHS_tables!EJ$33</f>
        <v>2180.0622521425626</v>
      </c>
      <c r="BE37" s="341">
        <f>'Comps Ann'!C49</f>
        <v>1218.4000000000001</v>
      </c>
      <c r="BF37">
        <f t="shared" si="0"/>
        <v>1218.4000000000001</v>
      </c>
      <c r="BG37" s="344">
        <f>SFTotalMedAvgSqFt!G43</f>
        <v>2521</v>
      </c>
      <c r="BH37">
        <f t="shared" si="19"/>
        <v>3071586.4000000004</v>
      </c>
      <c r="BI37" s="2">
        <f t="shared" si="5"/>
        <v>59891731.100000001</v>
      </c>
      <c r="BJ37">
        <f t="shared" si="20"/>
        <v>27383.200000000001</v>
      </c>
      <c r="BK37">
        <f t="shared" si="3"/>
        <v>2187.1706411230243</v>
      </c>
      <c r="BL37">
        <f t="shared" si="31"/>
        <v>82886.628963906041</v>
      </c>
      <c r="BM37" s="2">
        <f>BM$15+SUM(AK$15:AK37)</f>
        <v>56112.628963906041</v>
      </c>
      <c r="BN37" s="345">
        <f t="shared" si="36"/>
        <v>1976.3874056011564</v>
      </c>
      <c r="BO37" s="344">
        <f t="shared" si="22"/>
        <v>110900293.17943457</v>
      </c>
      <c r="BP37" s="262">
        <f t="shared" si="23"/>
        <v>0.32795889734608585</v>
      </c>
      <c r="BQ37" s="344">
        <f t="shared" si="24"/>
        <v>68875490.765000001</v>
      </c>
      <c r="BR37" s="345">
        <f t="shared" si="25"/>
        <v>2168.9358849751275</v>
      </c>
      <c r="BS37" s="345">
        <f>BD37</f>
        <v>2180.0622521425626</v>
      </c>
      <c r="BT37">
        <f>(BS37-BR37)^2</f>
        <v>123.79604634457759</v>
      </c>
      <c r="BV37">
        <f t="shared" si="26"/>
        <v>2007</v>
      </c>
      <c r="BW37">
        <f>BS37</f>
        <v>2180.0622521425626</v>
      </c>
      <c r="BX37" s="343">
        <f t="shared" si="27"/>
        <v>2168.9358849751275</v>
      </c>
      <c r="BY37">
        <f>BX37-BX35</f>
        <v>30.558205817870203</v>
      </c>
      <c r="BZ37" s="280">
        <f>BS37-BS35</f>
        <v>15.958510691577885</v>
      </c>
      <c r="CJ37" s="2">
        <f t="shared" si="12"/>
        <v>169.37270627869484</v>
      </c>
      <c r="CL37" s="280">
        <f t="shared" si="28"/>
        <v>2007</v>
      </c>
      <c r="CN37" s="280">
        <f>BC37</f>
        <v>2177.9290138830947</v>
      </c>
      <c r="CO37" s="280">
        <f t="shared" si="10"/>
        <v>2168.9358849751275</v>
      </c>
      <c r="CY37" s="280">
        <f t="shared" si="4"/>
        <v>2008</v>
      </c>
      <c r="CZ37" s="344">
        <f>SFTotalMedAvgSqFt!G44</f>
        <v>2519</v>
      </c>
      <c r="DB37" s="280">
        <f t="shared" si="13"/>
        <v>2007</v>
      </c>
      <c r="DC37" s="280">
        <f>CN37</f>
        <v>2177.9290138830947</v>
      </c>
      <c r="DD37">
        <v>1807</v>
      </c>
    </row>
    <row r="38" spans="3:108" x14ac:dyDescent="0.2">
      <c r="C38">
        <f>[9]National_Calibration!E37</f>
        <v>116.783</v>
      </c>
      <c r="D38">
        <f t="shared" si="9"/>
        <v>2008</v>
      </c>
      <c r="E38" s="341">
        <f>'Comps Ann'!C50</f>
        <v>818.8</v>
      </c>
      <c r="F38">
        <f t="shared" si="8"/>
        <v>777.8599999999999</v>
      </c>
      <c r="G38" s="24">
        <f>Survival_curve_SF!Z155</f>
        <v>-554.2946628320642</v>
      </c>
      <c r="H38">
        <f t="shared" si="6"/>
        <v>223.5653371679357</v>
      </c>
      <c r="I38" s="2">
        <f t="shared" si="37"/>
        <v>78209.300526760053</v>
      </c>
      <c r="L38">
        <f>AVERAGE(L37,L39)</f>
        <v>2191.5</v>
      </c>
      <c r="O38" s="2"/>
      <c r="S38" s="2"/>
      <c r="T38" s="2"/>
      <c r="U38" s="2"/>
      <c r="V38" s="2"/>
      <c r="W38" s="2"/>
      <c r="X38" s="2"/>
      <c r="Y38" s="2"/>
      <c r="Z38" s="12">
        <f>AVERAGE(Z37,Z39)</f>
        <v>0.11589478655565322</v>
      </c>
      <c r="AI38" s="24">
        <f t="shared" si="29"/>
        <v>127.52712538843005</v>
      </c>
      <c r="AJ38" s="2">
        <f t="shared" si="32"/>
        <v>88217.997474064076</v>
      </c>
      <c r="AK38" s="24">
        <f t="shared" si="30"/>
        <v>-110.47763851679653</v>
      </c>
      <c r="AL38">
        <f t="shared" si="33"/>
        <v>1018.6</v>
      </c>
      <c r="AM38" s="2">
        <f t="shared" si="34"/>
        <v>89126.119835547288</v>
      </c>
      <c r="AN38" s="2"/>
      <c r="AO38" s="2"/>
      <c r="AQ38">
        <f t="shared" si="14"/>
        <v>-1.252325394818407E-3</v>
      </c>
      <c r="AS38">
        <f t="shared" si="15"/>
        <v>2008</v>
      </c>
      <c r="AU38" s="2">
        <f t="shared" si="16"/>
        <v>89126.119835547288</v>
      </c>
      <c r="AV38" s="2">
        <f t="shared" si="17"/>
        <v>86934.619835547288</v>
      </c>
      <c r="AW38">
        <f t="shared" si="18"/>
        <v>2008</v>
      </c>
      <c r="AX38" s="13">
        <f t="shared" si="11"/>
        <v>78796.867200672961</v>
      </c>
      <c r="BC38" s="280"/>
      <c r="BE38" s="341">
        <f>'Comps Ann'!C50</f>
        <v>818.8</v>
      </c>
      <c r="BF38">
        <f t="shared" si="0"/>
        <v>818.8</v>
      </c>
      <c r="BG38" s="344">
        <f>SFTotalMedAvgSqFt!G44</f>
        <v>2519</v>
      </c>
      <c r="BH38">
        <f t="shared" si="19"/>
        <v>2062557.2</v>
      </c>
      <c r="BI38" s="2">
        <f t="shared" si="5"/>
        <v>61954288.300000004</v>
      </c>
      <c r="BJ38">
        <f t="shared" si="20"/>
        <v>28202</v>
      </c>
      <c r="BK38">
        <f t="shared" si="3"/>
        <v>2196.8047762570031</v>
      </c>
      <c r="BL38">
        <f t="shared" si="31"/>
        <v>83794.751325389254</v>
      </c>
      <c r="BM38" s="2">
        <f>BM$15+SUM(AK$15:AK38)</f>
        <v>56002.151325389248</v>
      </c>
      <c r="BN38" s="345">
        <f t="shared" si="36"/>
        <v>1983.8864134388434</v>
      </c>
      <c r="BO38" s="344">
        <f t="shared" si="22"/>
        <v>111101907.13778585</v>
      </c>
      <c r="BP38" s="262">
        <f t="shared" si="23"/>
        <v>0.33492410476318796</v>
      </c>
      <c r="BQ38" s="344">
        <f t="shared" si="24"/>
        <v>71247431.545000002</v>
      </c>
      <c r="BR38" s="345">
        <f t="shared" si="25"/>
        <v>2176.1427273015274</v>
      </c>
      <c r="BS38" s="345"/>
      <c r="BV38">
        <f t="shared" si="26"/>
        <v>2008</v>
      </c>
      <c r="BX38" s="343">
        <f t="shared" si="27"/>
        <v>2176.1427273015274</v>
      </c>
      <c r="CJ38" s="2">
        <f t="shared" si="12"/>
        <v>171.47322949288872</v>
      </c>
      <c r="CL38" s="280">
        <f t="shared" si="28"/>
        <v>2008</v>
      </c>
      <c r="CN38" s="280"/>
      <c r="CO38" s="280">
        <f t="shared" si="10"/>
        <v>2176.1427273015274</v>
      </c>
      <c r="CY38" s="280">
        <f t="shared" si="4"/>
        <v>2009</v>
      </c>
      <c r="CZ38" s="344">
        <f>SFTotalMedAvgSqFt!G45</f>
        <v>2438</v>
      </c>
      <c r="DB38" s="280">
        <f t="shared" si="13"/>
        <v>2008</v>
      </c>
      <c r="DC38" s="280"/>
    </row>
    <row r="39" spans="3:108" x14ac:dyDescent="0.2">
      <c r="C39">
        <f>[9]National_Calibration!E38</f>
        <v>117.181</v>
      </c>
      <c r="D39">
        <f t="shared" si="9"/>
        <v>2009</v>
      </c>
      <c r="E39" s="341">
        <f>'Comps Ann'!C51</f>
        <v>520.1</v>
      </c>
      <c r="F39">
        <f t="shared" si="8"/>
        <v>494.09499999999997</v>
      </c>
      <c r="G39" s="24">
        <f>Survival_curve_SF!Z156</f>
        <v>-560.15485236047243</v>
      </c>
      <c r="H39">
        <f t="shared" si="6"/>
        <v>-66.059852360472462</v>
      </c>
      <c r="I39" s="2">
        <f t="shared" si="37"/>
        <v>78143.240674399582</v>
      </c>
      <c r="J39" s="2">
        <f>AHS_tables!$EU32</f>
        <v>79051.852939674674</v>
      </c>
      <c r="K39">
        <f>4018+2108</f>
        <v>6126</v>
      </c>
      <c r="L39">
        <f>820+198+1477+175</f>
        <v>2670</v>
      </c>
      <c r="M39">
        <f t="shared" ref="M39:N41" si="38">K39-K$29</f>
        <v>2436</v>
      </c>
      <c r="N39">
        <f t="shared" si="38"/>
        <v>1171</v>
      </c>
      <c r="O39" s="2">
        <f>I39-N39</f>
        <v>76972.240674399582</v>
      </c>
      <c r="P39">
        <f>D39</f>
        <v>2009</v>
      </c>
      <c r="Q39" s="2">
        <f>O39</f>
        <v>76972.240674399582</v>
      </c>
      <c r="R39" s="2">
        <f>J39</f>
        <v>79051.852939674674</v>
      </c>
      <c r="S39" s="2">
        <f>R39+L39</f>
        <v>81721.852939674674</v>
      </c>
      <c r="T39" s="2">
        <f>1713+2118+213+195</f>
        <v>4239</v>
      </c>
      <c r="U39" s="12">
        <f>T39/R39</f>
        <v>5.362303149598311E-2</v>
      </c>
      <c r="V39" s="12"/>
      <c r="W39" s="12"/>
      <c r="X39" s="2">
        <f>82472+7053</f>
        <v>89525</v>
      </c>
      <c r="Y39" s="2">
        <f>X39-R39</f>
        <v>10473.147060325326</v>
      </c>
      <c r="Z39" s="12">
        <f>Y39/X39</f>
        <v>0.11698572533175454</v>
      </c>
      <c r="AI39" s="24">
        <f t="shared" si="29"/>
        <v>95.061070822187588</v>
      </c>
      <c r="AJ39" s="2">
        <f t="shared" si="32"/>
        <v>89126.119835547288</v>
      </c>
      <c r="AK39" s="24">
        <f t="shared" si="30"/>
        <v>-83.19980699557243</v>
      </c>
      <c r="AL39">
        <f t="shared" si="33"/>
        <v>669.45</v>
      </c>
      <c r="AM39" s="2">
        <f t="shared" si="34"/>
        <v>89712.370028551712</v>
      </c>
      <c r="AN39" s="2">
        <f>X39</f>
        <v>89525</v>
      </c>
      <c r="AO39" s="2">
        <f t="shared" si="35"/>
        <v>-187.37002855171158</v>
      </c>
      <c r="AP39">
        <f>AO39*AO39</f>
        <v>35107.527599469213</v>
      </c>
      <c r="AQ39">
        <f t="shared" si="14"/>
        <v>-9.3350644176017192E-4</v>
      </c>
      <c r="AS39">
        <f t="shared" si="15"/>
        <v>2009</v>
      </c>
      <c r="AT39" s="2">
        <f>AN39</f>
        <v>89525</v>
      </c>
      <c r="AU39" s="2">
        <f t="shared" si="16"/>
        <v>89712.370028551712</v>
      </c>
      <c r="AV39" s="2">
        <f t="shared" si="17"/>
        <v>87042.370028551712</v>
      </c>
      <c r="AW39">
        <f t="shared" si="18"/>
        <v>2009</v>
      </c>
      <c r="AX39" s="13">
        <f t="shared" si="11"/>
        <v>79217.303349530834</v>
      </c>
      <c r="AY39" s="2">
        <f>R39</f>
        <v>79051.852939674674</v>
      </c>
      <c r="BA39">
        <f>AHS_tables!EP$33</f>
        <v>1971.5622824737288</v>
      </c>
      <c r="BB39">
        <f>AHS_tables!EQ$33</f>
        <v>2012.9181747344328</v>
      </c>
      <c r="BC39" s="280">
        <f>AHS_tables!ET$33</f>
        <v>2187.8885038575272</v>
      </c>
      <c r="BD39">
        <f>AHS_tables!EU$33</f>
        <v>2192.3844424420886</v>
      </c>
      <c r="BE39" s="341">
        <f>'Comps Ann'!C51</f>
        <v>520.1</v>
      </c>
      <c r="BF39">
        <f t="shared" si="0"/>
        <v>520.1</v>
      </c>
      <c r="BG39" s="344">
        <f>SFTotalMedAvgSqFt!G45</f>
        <v>2438</v>
      </c>
      <c r="BH39">
        <f t="shared" si="19"/>
        <v>1268003.8</v>
      </c>
      <c r="BI39" s="2">
        <f t="shared" si="5"/>
        <v>63222292.100000001</v>
      </c>
      <c r="BJ39">
        <f t="shared" si="20"/>
        <v>28722.1</v>
      </c>
      <c r="BK39">
        <f t="shared" si="3"/>
        <v>2201.1723411588987</v>
      </c>
      <c r="BL39">
        <f t="shared" si="31"/>
        <v>84381.001518393678</v>
      </c>
      <c r="BM39" s="2">
        <f>BM$15+SUM(AK$15:AK39)</f>
        <v>55918.951518393675</v>
      </c>
      <c r="BN39" s="345">
        <f t="shared" si="36"/>
        <v>1991.3854212765302</v>
      </c>
      <c r="BO39" s="344">
        <f t="shared" si="22"/>
        <v>111356184.82679826</v>
      </c>
      <c r="BP39" s="262">
        <f t="shared" si="23"/>
        <v>0.3393400658988539</v>
      </c>
      <c r="BQ39" s="344">
        <f t="shared" si="24"/>
        <v>72705635.914999992</v>
      </c>
      <c r="BR39" s="345">
        <f t="shared" si="25"/>
        <v>2181.3182757931095</v>
      </c>
      <c r="BS39" s="345">
        <f>BD39</f>
        <v>2192.3844424420886</v>
      </c>
      <c r="BT39">
        <f>(BS39-BR39)^2</f>
        <v>122.46004430297745</v>
      </c>
      <c r="BU39" s="280">
        <f>BX39/BX27</f>
        <v>1.0908786393683607</v>
      </c>
      <c r="BV39">
        <f t="shared" si="26"/>
        <v>2009</v>
      </c>
      <c r="BW39">
        <f>BS39</f>
        <v>2192.3844424420886</v>
      </c>
      <c r="BX39" s="27">
        <f>BR39</f>
        <v>2181.3182757931095</v>
      </c>
      <c r="BY39" s="280">
        <f>BX39-BX37</f>
        <v>12.382390817982014</v>
      </c>
      <c r="BZ39" s="280">
        <f>BS39-BS37</f>
        <v>12.322190299526028</v>
      </c>
      <c r="CJ39" s="2">
        <f t="shared" si="12"/>
        <v>172.7981515553783</v>
      </c>
      <c r="CL39" s="280">
        <f t="shared" si="28"/>
        <v>2009</v>
      </c>
      <c r="CN39" s="280">
        <f>BC39</f>
        <v>2187.8885038575272</v>
      </c>
      <c r="CO39" s="280">
        <f t="shared" si="10"/>
        <v>2181.3182757931095</v>
      </c>
      <c r="CY39" s="280">
        <f t="shared" si="4"/>
        <v>2010</v>
      </c>
      <c r="CZ39" s="344">
        <f>SFTotalMedAvgSqFt!G46</f>
        <v>2392</v>
      </c>
      <c r="DB39" s="280">
        <f t="shared" si="13"/>
        <v>2009</v>
      </c>
      <c r="DC39" s="280">
        <f>CN39</f>
        <v>2187.8885038575272</v>
      </c>
      <c r="DD39">
        <v>1800</v>
      </c>
    </row>
    <row r="40" spans="3:108" x14ac:dyDescent="0.2">
      <c r="D40">
        <f t="shared" si="9"/>
        <v>2010</v>
      </c>
      <c r="E40" s="341">
        <f>'Comps Ann'!C52</f>
        <v>496.3</v>
      </c>
      <c r="F40">
        <f>$F$7*E40</f>
        <v>471.48500000000001</v>
      </c>
      <c r="G40" s="28">
        <f>G39</f>
        <v>-560.15485236047243</v>
      </c>
      <c r="H40">
        <f>F40+G40</f>
        <v>-88.669852360472419</v>
      </c>
      <c r="I40" s="2">
        <f>I39+H40</f>
        <v>78054.57082203911</v>
      </c>
      <c r="J40" s="2">
        <f>AHS_tables!$EU33</f>
        <v>2192.3844424420886</v>
      </c>
      <c r="L40">
        <f>820+198+1477+175</f>
        <v>2670</v>
      </c>
      <c r="M40">
        <f t="shared" si="38"/>
        <v>-3690</v>
      </c>
      <c r="N40">
        <f t="shared" si="38"/>
        <v>1171</v>
      </c>
      <c r="O40" s="2">
        <f>I40-N40</f>
        <v>76883.57082203911</v>
      </c>
      <c r="P40">
        <f>D40</f>
        <v>2010</v>
      </c>
      <c r="Q40" s="2">
        <f>O40</f>
        <v>76883.57082203911</v>
      </c>
      <c r="R40" s="2">
        <f>J40</f>
        <v>2192.3844424420886</v>
      </c>
      <c r="S40" s="2">
        <f>R40+L40</f>
        <v>4862.3844424420886</v>
      </c>
      <c r="T40" s="2">
        <f>1713+2118+213+195</f>
        <v>4239</v>
      </c>
      <c r="U40" s="12">
        <f>T40/R40</f>
        <v>1.933511257395256</v>
      </c>
      <c r="Z40" s="12">
        <f>AVERAGE(Z39,Z41)</f>
        <v>0.11478566495859174</v>
      </c>
      <c r="AI40" s="24">
        <f t="shared" si="29"/>
        <v>78.38342973684243</v>
      </c>
      <c r="AJ40" s="2">
        <f>AM39</f>
        <v>89712.370028551712</v>
      </c>
      <c r="AK40" s="24">
        <f t="shared" si="30"/>
        <v>-69.05437670543742</v>
      </c>
      <c r="AL40">
        <f>$AJ$9*(E39+E40)/2</f>
        <v>508.20000000000005</v>
      </c>
      <c r="AM40" s="2">
        <f>AJ40+AK40+AL40</f>
        <v>90151.515651846275</v>
      </c>
      <c r="AN40" s="2">
        <f>X40</f>
        <v>0</v>
      </c>
      <c r="AO40" s="2">
        <f>AN40-AM40</f>
        <v>-90151.515651846275</v>
      </c>
      <c r="AQ40">
        <f>AK40/AJ40</f>
        <v>-7.6973082623344239E-4</v>
      </c>
      <c r="AS40">
        <f>D40</f>
        <v>2010</v>
      </c>
      <c r="AT40" s="2"/>
      <c r="AU40" s="2">
        <f>AM40</f>
        <v>90151.515651846275</v>
      </c>
      <c r="AV40" s="2">
        <f>AU40-L40</f>
        <v>87481.515651846275</v>
      </c>
      <c r="AW40">
        <f>AS40</f>
        <v>2010</v>
      </c>
      <c r="AX40" s="13">
        <f>(1-Z40)*AU40</f>
        <v>79803.413980724203</v>
      </c>
      <c r="AY40" s="2"/>
      <c r="BE40" s="341">
        <f>'Comps Ann'!C52</f>
        <v>496.3</v>
      </c>
      <c r="BF40">
        <f t="shared" si="0"/>
        <v>496.3</v>
      </c>
      <c r="BG40" s="344">
        <f>SFTotalMedAvgSqFt!G46</f>
        <v>2392</v>
      </c>
      <c r="BH40">
        <f t="shared" si="19"/>
        <v>1187149.6000000001</v>
      </c>
      <c r="BI40" s="2">
        <f t="shared" si="5"/>
        <v>64409441.700000003</v>
      </c>
      <c r="BJ40">
        <f t="shared" si="20"/>
        <v>29218.399999999998</v>
      </c>
      <c r="BK40">
        <f t="shared" si="3"/>
        <v>2204.4137153300662</v>
      </c>
      <c r="BL40">
        <f t="shared" si="31"/>
        <v>84820.147141688241</v>
      </c>
      <c r="BM40" s="2">
        <f>BM$15+SUM(AK$15:AK40)</f>
        <v>55849.897141688234</v>
      </c>
      <c r="BN40" s="345">
        <f t="shared" si="36"/>
        <v>1998.884429114217</v>
      </c>
      <c r="BO40" s="344">
        <f t="shared" si="22"/>
        <v>111637489.76415123</v>
      </c>
      <c r="BP40" s="262">
        <f t="shared" si="23"/>
        <v>0.34346990573156005</v>
      </c>
      <c r="BQ40" s="344">
        <f t="shared" si="24"/>
        <v>74070857.954999998</v>
      </c>
      <c r="BR40" s="345">
        <f t="shared" si="25"/>
        <v>2189.4367550310162</v>
      </c>
      <c r="BS40" s="345"/>
      <c r="BV40">
        <f>AS40</f>
        <v>2010</v>
      </c>
      <c r="BX40" s="27">
        <f>BR40-5</f>
        <v>2184.4367550310162</v>
      </c>
      <c r="CY40" s="341">
        <f t="shared" si="4"/>
        <v>2011</v>
      </c>
      <c r="CZ40" s="344">
        <f>SFTotalMedAvgSqFt!G47</f>
        <v>2480</v>
      </c>
      <c r="DB40" s="280">
        <v>2010</v>
      </c>
    </row>
    <row r="41" spans="3:108" s="280" customFormat="1" x14ac:dyDescent="0.2">
      <c r="D41" s="280">
        <f t="shared" si="9"/>
        <v>2011</v>
      </c>
      <c r="E41" s="341">
        <f>'Comps Ann'!C53</f>
        <v>446.6</v>
      </c>
      <c r="F41" s="280">
        <f>$F$7*E41</f>
        <v>424.27</v>
      </c>
      <c r="G41" s="28">
        <f>G40</f>
        <v>-560.15485236047243</v>
      </c>
      <c r="H41" s="280">
        <f>F41+G41</f>
        <v>-135.88485236047245</v>
      </c>
      <c r="I41" s="282">
        <f>I40+H41</f>
        <v>77918.685969678641</v>
      </c>
      <c r="J41" s="282">
        <f>AHS_tables!$FI32</f>
        <v>80525.757068709005</v>
      </c>
      <c r="K41" s="280">
        <f>3906+1715</f>
        <v>5621</v>
      </c>
      <c r="L41" s="280">
        <f>803+252+1238+115</f>
        <v>2408</v>
      </c>
      <c r="M41" s="280">
        <f t="shared" si="38"/>
        <v>1931</v>
      </c>
      <c r="N41" s="280">
        <f t="shared" si="38"/>
        <v>909</v>
      </c>
      <c r="O41" s="282">
        <f>I41-N41</f>
        <v>77009.685969678641</v>
      </c>
      <c r="P41" s="280">
        <v>2011</v>
      </c>
      <c r="Q41" s="282">
        <f>O41</f>
        <v>77009.685969678641</v>
      </c>
      <c r="R41" s="282">
        <f>J41</f>
        <v>80525.757068709005</v>
      </c>
      <c r="S41" s="282">
        <f>R41+L41</f>
        <v>82933.757068709005</v>
      </c>
      <c r="T41" s="282">
        <f>1713+2118+213+195</f>
        <v>4239</v>
      </c>
      <c r="U41" s="12">
        <f>T41/R41</f>
        <v>5.2641541716683921E-2</v>
      </c>
      <c r="X41" s="282">
        <f>82974+7768</f>
        <v>90742</v>
      </c>
      <c r="Y41" s="282">
        <f>X41-R41</f>
        <v>10216.242931290995</v>
      </c>
      <c r="Z41" s="12">
        <f>Y41/X41</f>
        <v>0.11258560458542896</v>
      </c>
      <c r="AI41" s="24">
        <f t="shared" si="29"/>
        <v>74.371227235826083</v>
      </c>
      <c r="AJ41" s="282">
        <f>AM40</f>
        <v>90151.515651846275</v>
      </c>
      <c r="AK41" s="24">
        <f t="shared" si="30"/>
        <v>-65.840420774355863</v>
      </c>
      <c r="AL41" s="280">
        <f>$AJ$9*(E40+E41)/2</f>
        <v>471.45000000000005</v>
      </c>
      <c r="AM41" s="282">
        <f>AJ41+AK41+AL41</f>
        <v>90557.125231071914</v>
      </c>
      <c r="AN41" s="282">
        <f>X41</f>
        <v>90742</v>
      </c>
      <c r="AO41" s="282">
        <f t="shared" si="35"/>
        <v>184.87476892808627</v>
      </c>
      <c r="AP41" s="280">
        <f>AO41*AO41</f>
        <v>34178.680186213292</v>
      </c>
      <c r="AQ41" s="280">
        <f>AK41/AJ41</f>
        <v>-7.3033071377993485E-4</v>
      </c>
      <c r="AS41" s="280">
        <f>D41</f>
        <v>2011</v>
      </c>
      <c r="AT41" s="282">
        <f>AN41</f>
        <v>90742</v>
      </c>
      <c r="AU41" s="282">
        <f>AM41</f>
        <v>90557.125231071914</v>
      </c>
      <c r="AV41" s="282">
        <f>AU41-L41</f>
        <v>88149.125231071914</v>
      </c>
      <c r="AW41" s="280">
        <f>AS41</f>
        <v>2011</v>
      </c>
      <c r="AX41" s="13">
        <f>(1-Z41)*AU41</f>
        <v>80361.696537413271</v>
      </c>
      <c r="AY41" s="282">
        <f>R41</f>
        <v>80525.757068709005</v>
      </c>
      <c r="BD41" s="280">
        <f>AHS_tables!FI$33</f>
        <v>2201.2684808712961</v>
      </c>
      <c r="BE41" s="341">
        <f>'Comps Ann'!C53</f>
        <v>446.6</v>
      </c>
      <c r="BF41" s="280">
        <f t="shared" si="0"/>
        <v>446.6</v>
      </c>
      <c r="BG41" s="344">
        <f>SFTotalMedAvgSqFt!G47</f>
        <v>2480</v>
      </c>
      <c r="BH41" s="280">
        <f>BF41*BG41</f>
        <v>1107568</v>
      </c>
      <c r="BI41" s="282">
        <f>BI40+BH41</f>
        <v>65517009.700000003</v>
      </c>
      <c r="BJ41" s="280">
        <f>BJ40+BF41</f>
        <v>29664.999999999996</v>
      </c>
      <c r="BK41" s="280">
        <f>BI41/BJ41</f>
        <v>2208.562605764369</v>
      </c>
      <c r="BL41" s="280">
        <f>(BJ41+BJ40)*0.5*$BN$7+BM41</f>
        <v>85225.75672091388</v>
      </c>
      <c r="BM41" s="282">
        <f>BM$15+SUM(AK$15:AK41)</f>
        <v>55784.056720913883</v>
      </c>
      <c r="BN41" s="345">
        <f>BN$27+$BN$6*(BV41-BV$27)</f>
        <v>2006.3834369519041</v>
      </c>
      <c r="BO41" s="344">
        <f>BM41*$BN41</f>
        <v>111924207.45082715</v>
      </c>
      <c r="BP41" s="262">
        <f>BJ41/(BJ41+BM41)</f>
        <v>0.34716591543999348</v>
      </c>
      <c r="BQ41" s="344">
        <f>BJ41*BK41*$BN$7*$BN$10</f>
        <v>75344561.154999986</v>
      </c>
      <c r="BR41" s="345">
        <f>(BO41+BQ41)/BL41</f>
        <v>2197.3259705873934</v>
      </c>
      <c r="BS41" s="345">
        <f>BD41</f>
        <v>2201.2684808712961</v>
      </c>
      <c r="BT41" s="280">
        <f>(BS41-BR41)^2</f>
        <v>15.543387338678709</v>
      </c>
      <c r="BU41" s="280">
        <f>BX41/BX25</f>
        <v>1.1102435065777627</v>
      </c>
      <c r="BV41" s="280">
        <v>2011</v>
      </c>
      <c r="BW41" s="280">
        <f>BS41</f>
        <v>2201.2684808712961</v>
      </c>
      <c r="BX41" s="27">
        <f>BR41-9</f>
        <v>2188.3259705873934</v>
      </c>
      <c r="BY41" s="280">
        <f>BX41-BX39</f>
        <v>7.007694794283907</v>
      </c>
      <c r="BZ41" s="280">
        <f>BS41-BS39</f>
        <v>8.8840384292075214</v>
      </c>
      <c r="CG41" s="341"/>
      <c r="CY41" s="341">
        <f t="shared" si="4"/>
        <v>2012</v>
      </c>
      <c r="CZ41" s="344">
        <f>SFTotalMedAvgSqFt!G48</f>
        <v>2505</v>
      </c>
    </row>
    <row r="42" spans="3:108" s="341" customFormat="1" x14ac:dyDescent="0.2">
      <c r="D42" s="341">
        <v>2012</v>
      </c>
      <c r="E42" s="341">
        <f>'Comps Ann'!C54</f>
        <v>483</v>
      </c>
      <c r="F42" s="341">
        <f>$F$7*E42</f>
        <v>458.84999999999997</v>
      </c>
      <c r="G42" s="28"/>
      <c r="I42" s="344"/>
      <c r="J42" s="344"/>
      <c r="O42" s="344"/>
      <c r="Q42" s="344"/>
      <c r="R42" s="344"/>
      <c r="S42" s="344"/>
      <c r="T42" s="344"/>
      <c r="U42" s="12"/>
      <c r="X42" s="344"/>
      <c r="Y42" s="344"/>
      <c r="Z42" s="12">
        <f>AVERAGE(Z41,Z43)</f>
        <v>0.11142454467781776</v>
      </c>
      <c r="AI42" s="24">
        <f>AL42^$AL$12</f>
        <v>73.635337815936651</v>
      </c>
      <c r="AJ42" s="344">
        <f>AM41</f>
        <v>90557.125231071914</v>
      </c>
      <c r="AK42" s="24">
        <f>-AJ42*AJ$8*AI42</f>
        <v>-65.48224009451603</v>
      </c>
      <c r="AL42" s="341">
        <f>$AJ$9*(E41+E42)/2</f>
        <v>464.8</v>
      </c>
      <c r="AM42" s="344">
        <f>AJ42+AK42+AL42</f>
        <v>90956.442990977404</v>
      </c>
      <c r="AN42" s="344"/>
      <c r="AO42" s="344"/>
      <c r="AQ42" s="341">
        <f t="shared" ref="AQ42:AQ48" si="39">AK42/AJ42</f>
        <v>-7.2310422760690502E-4</v>
      </c>
      <c r="AS42" s="341">
        <v>2012</v>
      </c>
      <c r="AT42" s="344"/>
      <c r="AU42" s="344">
        <f>AM42</f>
        <v>90956.442990977404</v>
      </c>
      <c r="AV42" s="344">
        <f>AU42-L42</f>
        <v>90956.442990977404</v>
      </c>
      <c r="AW42" s="341">
        <f>AS42</f>
        <v>2012</v>
      </c>
      <c r="AX42" s="343">
        <f>(1-Z42)*AU42</f>
        <v>80821.662745193869</v>
      </c>
      <c r="AY42" s="344"/>
      <c r="BE42" s="341">
        <f>'Comps Ann'!C54</f>
        <v>483</v>
      </c>
      <c r="BF42" s="341">
        <f t="shared" si="0"/>
        <v>483</v>
      </c>
      <c r="BG42" s="344">
        <f>SFTotalMedAvgSqFt!G48</f>
        <v>2505</v>
      </c>
      <c r="BH42" s="341">
        <f t="shared" ref="BH42:BH48" si="40">BF42*BG42</f>
        <v>1209915</v>
      </c>
      <c r="BI42" s="344">
        <f t="shared" ref="BI42:BI43" si="41">BI41+BH42</f>
        <v>66726924.700000003</v>
      </c>
      <c r="BJ42" s="341">
        <f t="shared" ref="BJ42:BJ43" si="42">BJ41+BF42</f>
        <v>30147.999999999996</v>
      </c>
      <c r="BK42" s="341">
        <f t="shared" ref="BK42:BK43" si="43">BI42/BJ42</f>
        <v>2213.3118183627444</v>
      </c>
      <c r="BL42" s="341">
        <f t="shared" ref="BL42:BL43" si="44">(BJ42+BJ41)*0.5*$BN$7+BM42</f>
        <v>85625.074480819356</v>
      </c>
      <c r="BM42" s="344">
        <f>BM$15+SUM(AK$15:AK42)</f>
        <v>55718.574480819363</v>
      </c>
      <c r="BN42" s="345">
        <f t="shared" ref="BN42:BN43" si="45">BN$27+$BN$6*(BV42-BV$27)</f>
        <v>2013.8824447895909</v>
      </c>
      <c r="BO42" s="344">
        <f t="shared" ref="BO42:BO43" si="46">BM42*$BN42</f>
        <v>112210658.99562341</v>
      </c>
      <c r="BP42" s="262">
        <f t="shared" ref="BP42:BP43" si="47">BJ42/(BJ42+BM42)</f>
        <v>0.3511028614136037</v>
      </c>
      <c r="BQ42" s="344">
        <f t="shared" ref="BQ42:BQ43" si="48">BJ42*BK42*$BN$7*$BN$10</f>
        <v>76735963.405000001</v>
      </c>
      <c r="BR42" s="345">
        <f t="shared" ref="BR42:BR43" si="49">(BO42+BQ42)/BL42</f>
        <v>2206.6739625779692</v>
      </c>
      <c r="BS42" s="345"/>
      <c r="BV42" s="341">
        <v>2012</v>
      </c>
      <c r="BX42" s="208">
        <f>BR42-11</f>
        <v>2195.6739625779692</v>
      </c>
      <c r="CY42" s="341">
        <f t="shared" si="4"/>
        <v>2013</v>
      </c>
      <c r="CZ42" s="344">
        <f>SFTotalMedAvgSqFt!G49</f>
        <v>2598</v>
      </c>
    </row>
    <row r="43" spans="3:108" s="341" customFormat="1" x14ac:dyDescent="0.2">
      <c r="D43" s="341">
        <v>2013</v>
      </c>
      <c r="E43" s="341">
        <f>'Comps Ann'!C55</f>
        <v>569.1</v>
      </c>
      <c r="F43" s="341">
        <f>$F$7*E43</f>
        <v>540.64499999999998</v>
      </c>
      <c r="G43" s="28"/>
      <c r="I43" s="344"/>
      <c r="J43" s="344">
        <f>74323+6619</f>
        <v>80942</v>
      </c>
      <c r="K43" s="15"/>
      <c r="O43" s="344"/>
      <c r="Q43" s="344"/>
      <c r="R43" s="344">
        <f>J43</f>
        <v>80942</v>
      </c>
      <c r="S43" s="344"/>
      <c r="T43" s="344"/>
      <c r="U43" s="12"/>
      <c r="X43" s="344">
        <f>83392+7581</f>
        <v>90973</v>
      </c>
      <c r="Y43" s="344">
        <f>X43-R43</f>
        <v>10031</v>
      </c>
      <c r="Z43" s="12">
        <f>Y43/X43</f>
        <v>0.11026348477020655</v>
      </c>
      <c r="AI43" s="24">
        <f>AL43^$AL$12</f>
        <v>80.300623509861623</v>
      </c>
      <c r="AJ43" s="344">
        <f>AM42</f>
        <v>90956.442990977404</v>
      </c>
      <c r="AK43" s="24">
        <f>-AJ43*AJ$8*AI43</f>
        <v>-71.72441301195876</v>
      </c>
      <c r="AL43" s="341">
        <f>$AJ$9*(E42+E43)/2</f>
        <v>526.04999999999995</v>
      </c>
      <c r="AM43" s="344">
        <f>AJ43+AK43+AL43</f>
        <v>91410.768577965442</v>
      </c>
      <c r="AN43" s="344">
        <f>X43</f>
        <v>90973</v>
      </c>
      <c r="AO43" s="344">
        <f t="shared" si="35"/>
        <v>-437.76857796544209</v>
      </c>
      <c r="AP43" s="341">
        <f>AO43*AO43</f>
        <v>191641.32785388536</v>
      </c>
      <c r="AQ43" s="341">
        <f t="shared" si="39"/>
        <v>-7.8855780474038106E-4</v>
      </c>
      <c r="AS43" s="341">
        <v>2013</v>
      </c>
      <c r="AT43" s="344">
        <f>AN43</f>
        <v>90973</v>
      </c>
      <c r="AU43" s="344">
        <f>AM43</f>
        <v>91410.768577965442</v>
      </c>
      <c r="AV43" s="344">
        <f>AU43-L43</f>
        <v>91410.768577965442</v>
      </c>
      <c r="AW43" s="341">
        <f>AS43</f>
        <v>2013</v>
      </c>
      <c r="AX43" s="343">
        <f>(1-Z43)*AU43</f>
        <v>81331.498689036074</v>
      </c>
      <c r="AY43" s="344">
        <f>R43</f>
        <v>80942</v>
      </c>
      <c r="BD43" s="27">
        <f>RECS_4_adj!$W$52+BD41</f>
        <v>2217.3604819525503</v>
      </c>
      <c r="BE43" s="341">
        <f>'Comps Ann'!C55</f>
        <v>569.1</v>
      </c>
      <c r="BF43" s="341">
        <f t="shared" si="0"/>
        <v>569.1</v>
      </c>
      <c r="BG43" s="344">
        <f>SFTotalMedAvgSqFt!G49</f>
        <v>2598</v>
      </c>
      <c r="BH43" s="341">
        <f t="shared" si="40"/>
        <v>1478521.8</v>
      </c>
      <c r="BI43" s="344">
        <f t="shared" si="41"/>
        <v>68205446.5</v>
      </c>
      <c r="BJ43" s="341">
        <f t="shared" si="42"/>
        <v>30717.099999999995</v>
      </c>
      <c r="BK43" s="341">
        <f t="shared" si="43"/>
        <v>2220.4389900088227</v>
      </c>
      <c r="BL43" s="341">
        <f t="shared" si="44"/>
        <v>86079.400067807408</v>
      </c>
      <c r="BM43" s="344">
        <f>BM$15+SUM(AK$15:AK43)</f>
        <v>55646.850067807405</v>
      </c>
      <c r="BN43" s="345">
        <f t="shared" si="45"/>
        <v>2021.3814526272777</v>
      </c>
      <c r="BO43" s="344">
        <f t="shared" si="46"/>
        <v>112483510.62419686</v>
      </c>
      <c r="BP43" s="262">
        <f t="shared" si="47"/>
        <v>0.35567039228616698</v>
      </c>
      <c r="BQ43" s="344">
        <f t="shared" si="48"/>
        <v>78436263.474999994</v>
      </c>
      <c r="BR43" s="345">
        <f t="shared" si="49"/>
        <v>2217.949636600667</v>
      </c>
      <c r="BS43" s="345">
        <f>BD43</f>
        <v>2217.3604819525503</v>
      </c>
      <c r="BT43" s="341">
        <f>(BS43-BR43)^2</f>
        <v>0.34710319939741691</v>
      </c>
      <c r="BV43" s="341">
        <v>2013</v>
      </c>
      <c r="BW43" s="341">
        <f>BS43</f>
        <v>2217.3604819525503</v>
      </c>
      <c r="BX43" s="208">
        <f t="shared" ref="BX43:BX48" si="50">BR43-13</f>
        <v>2204.949636600667</v>
      </c>
      <c r="CY43" s="341">
        <f t="shared" si="4"/>
        <v>2014</v>
      </c>
      <c r="CZ43" s="344">
        <f>SFTotalMedAvgSqFt!G50</f>
        <v>2657</v>
      </c>
    </row>
    <row r="44" spans="3:108" s="341" customFormat="1" x14ac:dyDescent="0.2">
      <c r="D44" s="341">
        <v>2014</v>
      </c>
      <c r="E44" s="341">
        <f>'Comps Ann'!C56</f>
        <v>619.5</v>
      </c>
      <c r="G44" s="28"/>
      <c r="I44" s="344"/>
      <c r="J44" s="344"/>
      <c r="O44" s="344"/>
      <c r="Q44" s="344"/>
      <c r="R44" s="344"/>
      <c r="S44" s="344"/>
      <c r="T44" s="344"/>
      <c r="U44" s="12"/>
      <c r="X44" s="344"/>
      <c r="Y44" s="344"/>
      <c r="Z44" s="12">
        <f>AVERAGE(Z43,Z45)</f>
        <v>0.10737504259588315</v>
      </c>
      <c r="AI44" s="24">
        <f t="shared" ref="AI44:AI48" si="51">AL44^$AL$12</f>
        <v>87.458900081624321</v>
      </c>
      <c r="AJ44" s="344">
        <f t="shared" ref="AJ44:AJ48" si="52">AM43</f>
        <v>91410.768577965442</v>
      </c>
      <c r="AK44" s="24">
        <f t="shared" ref="AK44:AK48" si="53">-AJ44*AJ$8*AI44</f>
        <v>-78.508375089027197</v>
      </c>
      <c r="AL44" s="341">
        <f t="shared" ref="AL44:AL48" si="54">$AJ$9*(E43+E44)/2</f>
        <v>594.29999999999995</v>
      </c>
      <c r="AM44" s="344">
        <f t="shared" ref="AM44:AM48" si="55">AJ44+AK44+AL44</f>
        <v>91926.560202876411</v>
      </c>
      <c r="AN44" s="344"/>
      <c r="AO44" s="344"/>
      <c r="AQ44" s="341">
        <f t="shared" si="39"/>
        <v>-8.5885258717703899E-4</v>
      </c>
      <c r="AS44" s="341">
        <v>2014</v>
      </c>
      <c r="AT44" s="344"/>
      <c r="AU44" s="344">
        <f t="shared" ref="AU44:AU48" si="56">AM44</f>
        <v>91926.560202876411</v>
      </c>
      <c r="AV44" s="344"/>
      <c r="AW44" s="341">
        <f t="shared" ref="AW44:AW48" si="57">AS44</f>
        <v>2014</v>
      </c>
      <c r="AX44" s="343">
        <f t="shared" ref="AX44:AX48" si="58">(1-Z44)*AU44</f>
        <v>82055.941885399545</v>
      </c>
      <c r="AY44" s="344"/>
      <c r="BE44" s="341">
        <f>'Comps Ann'!C56</f>
        <v>619.5</v>
      </c>
      <c r="BF44" s="341">
        <f>$AJ$9*BE44</f>
        <v>619.5</v>
      </c>
      <c r="BG44" s="344">
        <f>SFTotalMedAvgSqFt!G50</f>
        <v>2657</v>
      </c>
      <c r="BH44" s="341">
        <f t="shared" si="40"/>
        <v>1646011.5</v>
      </c>
      <c r="BI44" s="344">
        <f t="shared" ref="BI44:BI48" si="59">BI43+BH44</f>
        <v>69851458</v>
      </c>
      <c r="BJ44" s="341">
        <f t="shared" ref="BJ44" si="60">BJ43+BF44</f>
        <v>31336.599999999995</v>
      </c>
      <c r="BK44" s="341">
        <f t="shared" ref="BK44" si="61">BI44/BJ44</f>
        <v>2229.0694587160065</v>
      </c>
      <c r="BL44" s="341">
        <f t="shared" ref="BL44" si="62">(BJ44+BJ43)*0.5*$BN$7+BM44</f>
        <v>86595.191692718377</v>
      </c>
      <c r="BM44" s="344">
        <f>BM$15+SUM(AK$15:AK44)</f>
        <v>55568.341692718379</v>
      </c>
      <c r="BN44" s="345">
        <f t="shared" ref="BN44" si="63">BN$27+$BN$6*(BV44-BV$27)</f>
        <v>2028.8804604649647</v>
      </c>
      <c r="BO44" s="344">
        <f t="shared" ref="BO44" si="64">BM44*$BN44</f>
        <v>112741522.68079697</v>
      </c>
      <c r="BP44" s="262">
        <f t="shared" ref="BP44" si="65">BJ44/(BJ44+BM44)</f>
        <v>0.3605847882713169</v>
      </c>
      <c r="BQ44" s="344">
        <f t="shared" ref="BQ44" si="66">BJ44*BK44*$BN$7*$BN$10</f>
        <v>80329176.699999988</v>
      </c>
      <c r="BR44" s="345">
        <f t="shared" ref="BR44" si="67">(BO44+BQ44)/BL44</f>
        <v>2229.5775967088935</v>
      </c>
      <c r="BS44" s="345"/>
      <c r="BV44" s="341">
        <v>2014</v>
      </c>
      <c r="BX44" s="208">
        <f t="shared" si="50"/>
        <v>2216.5775967088935</v>
      </c>
      <c r="CY44" s="341">
        <f t="shared" si="4"/>
        <v>2015</v>
      </c>
      <c r="CZ44" s="344">
        <f>SFTotalMedAvgSqFt!G51</f>
        <v>2687</v>
      </c>
    </row>
    <row r="45" spans="3:108" s="341" customFormat="1" x14ac:dyDescent="0.2">
      <c r="D45" s="341">
        <v>2015</v>
      </c>
      <c r="E45" s="341">
        <f>'Comps Ann'!C57</f>
        <v>647.9</v>
      </c>
      <c r="G45" s="28"/>
      <c r="I45" s="344"/>
      <c r="J45" s="344">
        <v>83272</v>
      </c>
      <c r="O45" s="344"/>
      <c r="Q45" s="344"/>
      <c r="R45" s="344">
        <f>J45</f>
        <v>83272</v>
      </c>
      <c r="S45" s="344"/>
      <c r="T45" s="344"/>
      <c r="U45" s="12"/>
      <c r="X45" s="344">
        <v>92988</v>
      </c>
      <c r="Y45" s="344">
        <f>X45-R45</f>
        <v>9716</v>
      </c>
      <c r="Z45" s="12">
        <f t="shared" ref="Z45:Z47" si="68">Y45/X45</f>
        <v>0.10448660042155977</v>
      </c>
      <c r="AI45" s="24">
        <f t="shared" si="51"/>
        <v>91.478407372316667</v>
      </c>
      <c r="AJ45" s="344">
        <f t="shared" si="52"/>
        <v>91926.560202876411</v>
      </c>
      <c r="AK45" s="24">
        <f t="shared" si="53"/>
        <v>-82.579875088623041</v>
      </c>
      <c r="AL45" s="341">
        <f t="shared" si="54"/>
        <v>633.70000000000005</v>
      </c>
      <c r="AM45" s="344">
        <f t="shared" si="55"/>
        <v>92477.680327787792</v>
      </c>
      <c r="AN45" s="344">
        <f>X45</f>
        <v>92988</v>
      </c>
      <c r="AO45" s="344">
        <f t="shared" si="35"/>
        <v>510.31967221220839</v>
      </c>
      <c r="AP45" s="341">
        <f>AO45*AO45</f>
        <v>260426.16784677582</v>
      </c>
      <c r="AQ45" s="341">
        <f t="shared" si="39"/>
        <v>-8.9832443318203358E-4</v>
      </c>
      <c r="AS45" s="341">
        <v>2015</v>
      </c>
      <c r="AT45" s="344">
        <f>AN45</f>
        <v>92988</v>
      </c>
      <c r="AU45" s="344">
        <f t="shared" si="56"/>
        <v>92477.680327787792</v>
      </c>
      <c r="AV45" s="344">
        <f t="shared" ref="AV45:AV47" si="69">AU45-L45</f>
        <v>92477.680327787792</v>
      </c>
      <c r="AW45" s="341">
        <f t="shared" si="57"/>
        <v>2015</v>
      </c>
      <c r="AX45" s="343">
        <f t="shared" si="58"/>
        <v>82815.001895465495</v>
      </c>
      <c r="AY45" s="344">
        <f>R45</f>
        <v>83272</v>
      </c>
      <c r="BD45" s="27">
        <f>RECS_4_adj!$W$52+BD43</f>
        <v>2233.4524830338046</v>
      </c>
      <c r="BE45" s="341">
        <f>'Comps Ann'!C57</f>
        <v>647.9</v>
      </c>
      <c r="BF45" s="341">
        <f t="shared" ref="BF45:BF48" si="70">$AJ$9*BE45</f>
        <v>647.9</v>
      </c>
      <c r="BG45" s="344">
        <f>SFTotalMedAvgSqFt!G51</f>
        <v>2687</v>
      </c>
      <c r="BH45" s="341">
        <f t="shared" si="40"/>
        <v>1740907.3</v>
      </c>
      <c r="BI45" s="344">
        <f t="shared" si="59"/>
        <v>71592365.299999997</v>
      </c>
      <c r="BJ45" s="341">
        <f t="shared" ref="BJ45:BJ48" si="71">BJ44+BF45</f>
        <v>31984.499999999996</v>
      </c>
      <c r="BK45" s="341">
        <f t="shared" ref="BK45:BK48" si="72">BI45/BJ45</f>
        <v>2238.3456142819182</v>
      </c>
      <c r="BL45" s="341">
        <f t="shared" ref="BL45:BL48" si="73">(BJ45+BJ44)*0.5*$BN$7+BM45</f>
        <v>87146.311817629758</v>
      </c>
      <c r="BM45" s="344">
        <f>BM$15+SUM(AK$15:AK45)</f>
        <v>55485.761817629755</v>
      </c>
      <c r="BN45" s="345">
        <f t="shared" ref="BN45:BN48" si="74">BN$27+$BN$6*(BV45-BV$27)</f>
        <v>2036.3794683026515</v>
      </c>
      <c r="BO45" s="344">
        <f t="shared" ref="BO45:BO48" si="75">BM45*$BN45</f>
        <v>112990066.14855245</v>
      </c>
      <c r="BP45" s="262">
        <f t="shared" ref="BP45:BP48" si="76">BJ45/(BJ45+BM45)</f>
        <v>0.3656614183536544</v>
      </c>
      <c r="BQ45" s="344">
        <f t="shared" ref="BQ45:BQ48" si="77">BJ45*BK45*$BN$7*$BN$10</f>
        <v>82331220.094999984</v>
      </c>
      <c r="BR45" s="345">
        <f t="shared" ref="BR45:BR48" si="78">(BO45+BQ45)/BL45</f>
        <v>2241.3029555662597</v>
      </c>
      <c r="BS45" s="345">
        <f>BD45</f>
        <v>2233.4524830338046</v>
      </c>
      <c r="BT45" s="341">
        <f>(BS45-BR45)^2</f>
        <v>61.629918982832223</v>
      </c>
      <c r="BV45" s="341">
        <v>2015</v>
      </c>
      <c r="BW45" s="341">
        <f>BS45</f>
        <v>2233.4524830338046</v>
      </c>
      <c r="BX45" s="208">
        <f t="shared" si="50"/>
        <v>2228.3029555662597</v>
      </c>
      <c r="CY45" s="341">
        <f t="shared" si="4"/>
        <v>2016</v>
      </c>
      <c r="CZ45" s="344">
        <f>SFTotalMedAvgSqFt!G52</f>
        <v>2640</v>
      </c>
    </row>
    <row r="46" spans="3:108" s="341" customFormat="1" x14ac:dyDescent="0.2">
      <c r="D46" s="341">
        <v>2016</v>
      </c>
      <c r="E46" s="341">
        <f>'Comps Ann'!C58</f>
        <v>738.4</v>
      </c>
      <c r="G46" s="28"/>
      <c r="I46" s="344"/>
      <c r="J46" s="344"/>
      <c r="O46" s="344"/>
      <c r="Q46" s="344"/>
      <c r="R46" s="344"/>
      <c r="S46" s="344"/>
      <c r="T46" s="344"/>
      <c r="U46" s="12"/>
      <c r="Y46" s="344"/>
      <c r="Z46" s="12">
        <f>AVERAGE(Z45,Z47)</f>
        <v>0.10008475935119088</v>
      </c>
      <c r="AI46" s="24">
        <f t="shared" si="51"/>
        <v>97.404508510795594</v>
      </c>
      <c r="AJ46" s="344">
        <f t="shared" si="52"/>
        <v>92477.680327787792</v>
      </c>
      <c r="AK46" s="24">
        <f t="shared" si="53"/>
        <v>-88.456673630987012</v>
      </c>
      <c r="AL46" s="341">
        <f t="shared" si="54"/>
        <v>693.15</v>
      </c>
      <c r="AM46" s="344">
        <f t="shared" si="55"/>
        <v>93082.373654156792</v>
      </c>
      <c r="AN46" s="344"/>
      <c r="AO46" s="344"/>
      <c r="AQ46" s="341">
        <f t="shared" si="39"/>
        <v>-9.5651916567815833E-4</v>
      </c>
      <c r="AS46" s="341">
        <v>2016</v>
      </c>
      <c r="AT46" s="344"/>
      <c r="AU46" s="344">
        <f t="shared" si="56"/>
        <v>93082.373654156792</v>
      </c>
      <c r="AV46" s="344"/>
      <c r="AW46" s="341">
        <f t="shared" si="57"/>
        <v>2016</v>
      </c>
      <c r="AX46" s="343">
        <f t="shared" si="58"/>
        <v>83766.246687142877</v>
      </c>
      <c r="AY46" s="344"/>
      <c r="BE46" s="341">
        <f>'Comps Ann'!C58</f>
        <v>738.4</v>
      </c>
      <c r="BF46" s="341">
        <f t="shared" si="70"/>
        <v>738.4</v>
      </c>
      <c r="BG46" s="344">
        <f>SFTotalMedAvgSqFt!G52</f>
        <v>2640</v>
      </c>
      <c r="BH46" s="341">
        <f t="shared" si="40"/>
        <v>1949376</v>
      </c>
      <c r="BI46" s="344">
        <f t="shared" si="59"/>
        <v>73541741.299999997</v>
      </c>
      <c r="BJ46" s="341">
        <f t="shared" si="71"/>
        <v>32722.899999999998</v>
      </c>
      <c r="BK46" s="341">
        <f t="shared" si="72"/>
        <v>2247.4090407635022</v>
      </c>
      <c r="BL46" s="341">
        <f t="shared" si="73"/>
        <v>87751.005143998773</v>
      </c>
      <c r="BM46" s="344">
        <f>BM$15+SUM(AK$15:AK46)</f>
        <v>55397.305143998768</v>
      </c>
      <c r="BN46" s="345">
        <f t="shared" si="74"/>
        <v>2043.8784761403383</v>
      </c>
      <c r="BO46" s="344">
        <f t="shared" si="75"/>
        <v>113225359.61999753</v>
      </c>
      <c r="BP46" s="262">
        <f t="shared" si="76"/>
        <v>0.37134389265806783</v>
      </c>
      <c r="BQ46" s="344">
        <f t="shared" si="77"/>
        <v>84573002.49499999</v>
      </c>
      <c r="BR46" s="345">
        <f t="shared" si="78"/>
        <v>2254.0865690417086</v>
      </c>
      <c r="BS46" s="345"/>
      <c r="BV46" s="341">
        <v>2016</v>
      </c>
      <c r="BX46" s="208">
        <f t="shared" si="50"/>
        <v>2241.0865690417086</v>
      </c>
      <c r="CY46" s="341">
        <f t="shared" si="4"/>
        <v>2017</v>
      </c>
      <c r="CZ46" s="344">
        <f>SFTotalMedAvgSqFt!G53</f>
        <v>2631</v>
      </c>
    </row>
    <row r="47" spans="3:108" s="341" customFormat="1" x14ac:dyDescent="0.2">
      <c r="D47" s="341">
        <v>2017</v>
      </c>
      <c r="E47" s="341">
        <f>'Comps Ann'!C59</f>
        <v>795.3</v>
      </c>
      <c r="G47" s="28"/>
      <c r="I47" s="344"/>
      <c r="J47" s="344">
        <f>'[8]Pivot Tables'!$K$46*0.001</f>
        <v>85790.283818839787</v>
      </c>
      <c r="O47" s="344"/>
      <c r="Q47" s="344"/>
      <c r="R47" s="344">
        <f>J47</f>
        <v>85790.283818839787</v>
      </c>
      <c r="S47" s="344"/>
      <c r="T47" s="344"/>
      <c r="U47" s="12"/>
      <c r="X47" s="344">
        <f>'[8]Pivot Tables'!$K$31*0.001</f>
        <v>94867.481277414001</v>
      </c>
      <c r="Y47" s="344">
        <f>X47-R47</f>
        <v>9077.1974585742137</v>
      </c>
      <c r="Z47" s="12">
        <f t="shared" si="68"/>
        <v>9.5682918280821982E-2</v>
      </c>
      <c r="AI47" s="24">
        <f t="shared" si="51"/>
        <v>104.54356249986208</v>
      </c>
      <c r="AJ47" s="344">
        <f t="shared" si="52"/>
        <v>93082.373654156792</v>
      </c>
      <c r="AK47" s="24">
        <f t="shared" si="53"/>
        <v>-95.560708699919246</v>
      </c>
      <c r="AL47" s="341">
        <f t="shared" si="54"/>
        <v>766.84999999999991</v>
      </c>
      <c r="AM47" s="344">
        <f t="shared" si="55"/>
        <v>93753.662945456876</v>
      </c>
      <c r="AN47" s="344">
        <f>X47</f>
        <v>94867.481277414001</v>
      </c>
      <c r="AO47" s="344">
        <f t="shared" si="35"/>
        <v>1113.8183319571253</v>
      </c>
      <c r="AP47" s="341">
        <f>AO47*AO47</f>
        <v>1240591.276603753</v>
      </c>
      <c r="AQ47" s="341">
        <f t="shared" si="39"/>
        <v>-1.0266251809925968E-3</v>
      </c>
      <c r="AS47" s="341">
        <v>2017</v>
      </c>
      <c r="AT47" s="344">
        <f>AN47</f>
        <v>94867.481277414001</v>
      </c>
      <c r="AU47" s="344">
        <f t="shared" si="56"/>
        <v>93753.662945456876</v>
      </c>
      <c r="AV47" s="344">
        <f t="shared" si="69"/>
        <v>93753.662945456876</v>
      </c>
      <c r="AW47" s="341">
        <f t="shared" si="57"/>
        <v>2017</v>
      </c>
      <c r="AX47" s="343">
        <f t="shared" si="58"/>
        <v>84783.038875318991</v>
      </c>
      <c r="AY47" s="344">
        <f>R47</f>
        <v>85790.283818839787</v>
      </c>
      <c r="BD47" s="27">
        <f>RECS_4_adj!$W$52+BD45</f>
        <v>2249.5444841150588</v>
      </c>
      <c r="BE47" s="341">
        <f>'Comps Ann'!C59</f>
        <v>795.3</v>
      </c>
      <c r="BF47" s="341">
        <f t="shared" si="70"/>
        <v>795.3</v>
      </c>
      <c r="BG47" s="344">
        <f>SFTotalMedAvgSqFt!G53</f>
        <v>2631</v>
      </c>
      <c r="BH47" s="341">
        <f t="shared" si="40"/>
        <v>2092434.2999999998</v>
      </c>
      <c r="BI47" s="344">
        <f t="shared" si="59"/>
        <v>75634175.599999994</v>
      </c>
      <c r="BJ47" s="341">
        <f t="shared" si="71"/>
        <v>33518.199999999997</v>
      </c>
      <c r="BK47" s="341">
        <f t="shared" si="72"/>
        <v>2256.510659880304</v>
      </c>
      <c r="BL47" s="341">
        <f t="shared" si="73"/>
        <v>88422.294435298842</v>
      </c>
      <c r="BM47" s="344">
        <f>BM$15+SUM(AK$15:AK47)</f>
        <v>55301.744435298846</v>
      </c>
      <c r="BN47" s="345">
        <f t="shared" si="74"/>
        <v>2051.3774839780253</v>
      </c>
      <c r="BO47" s="344">
        <f t="shared" si="75"/>
        <v>113444753.35927911</v>
      </c>
      <c r="BP47" s="262">
        <f t="shared" si="76"/>
        <v>0.37737244954500537</v>
      </c>
      <c r="BQ47" s="344">
        <f t="shared" si="77"/>
        <v>86979301.939999983</v>
      </c>
      <c r="BR47" s="345">
        <f t="shared" si="78"/>
        <v>2266.6687918388634</v>
      </c>
      <c r="BS47" s="345">
        <f>BD47</f>
        <v>2249.5444841150588</v>
      </c>
      <c r="BT47" s="341">
        <f>(BS47-BR47)^2</f>
        <v>293.24191501955312</v>
      </c>
      <c r="BV47" s="341">
        <v>2017</v>
      </c>
      <c r="BW47" s="341">
        <f>BS47</f>
        <v>2249.5444841150588</v>
      </c>
      <c r="BX47" s="208">
        <f t="shared" si="50"/>
        <v>2253.6687918388634</v>
      </c>
      <c r="CY47" s="341">
        <f t="shared" si="4"/>
        <v>2018</v>
      </c>
      <c r="CZ47" s="344">
        <f>SFTotalMedAvgSqFt!G54</f>
        <v>2588</v>
      </c>
    </row>
    <row r="48" spans="3:108" s="341" customFormat="1" x14ac:dyDescent="0.2">
      <c r="D48" s="341">
        <v>2018</v>
      </c>
      <c r="E48" s="341">
        <f>'Comps Ann'!C60</f>
        <v>840.2</v>
      </c>
      <c r="G48" s="28"/>
      <c r="I48" s="344"/>
      <c r="J48" s="344"/>
      <c r="O48" s="344"/>
      <c r="Q48" s="344"/>
      <c r="R48" s="344"/>
      <c r="S48" s="344"/>
      <c r="T48" s="344"/>
      <c r="U48" s="12"/>
      <c r="X48" s="344"/>
      <c r="Y48" s="344"/>
      <c r="Z48" s="213">
        <f>Z47</f>
        <v>9.5682918280821982E-2</v>
      </c>
      <c r="AI48" s="24">
        <f t="shared" si="51"/>
        <v>109.35392785367047</v>
      </c>
      <c r="AJ48" s="344">
        <f t="shared" si="52"/>
        <v>93753.662945456876</v>
      </c>
      <c r="AK48" s="24">
        <f t="shared" si="53"/>
        <v>-100.67861873428124</v>
      </c>
      <c r="AL48" s="341">
        <f t="shared" si="54"/>
        <v>817.75</v>
      </c>
      <c r="AM48" s="344">
        <f t="shared" si="55"/>
        <v>94470.734326722595</v>
      </c>
      <c r="AN48" s="344"/>
      <c r="AO48" s="344"/>
      <c r="AQ48" s="341">
        <f t="shared" si="39"/>
        <v>-1.0738633091365518E-3</v>
      </c>
      <c r="AS48" s="341">
        <v>2018</v>
      </c>
      <c r="AT48" s="344"/>
      <c r="AU48" s="344">
        <f t="shared" si="56"/>
        <v>94470.734326722595</v>
      </c>
      <c r="AV48" s="344"/>
      <c r="AW48" s="341">
        <f t="shared" si="57"/>
        <v>2018</v>
      </c>
      <c r="AX48" s="343">
        <f t="shared" si="58"/>
        <v>85431.498774209555</v>
      </c>
      <c r="AY48" s="344"/>
      <c r="BE48" s="341">
        <f>'Comps Ann'!C60</f>
        <v>840.2</v>
      </c>
      <c r="BF48" s="341">
        <f t="shared" si="70"/>
        <v>840.2</v>
      </c>
      <c r="BG48" s="344">
        <f>SFTotalMedAvgSqFt!G54</f>
        <v>2588</v>
      </c>
      <c r="BH48" s="341">
        <f t="shared" si="40"/>
        <v>2174437.6</v>
      </c>
      <c r="BI48" s="344">
        <f t="shared" si="59"/>
        <v>77808613.199999988</v>
      </c>
      <c r="BJ48" s="341">
        <f t="shared" si="71"/>
        <v>34358.399999999994</v>
      </c>
      <c r="BK48" s="341">
        <f t="shared" si="72"/>
        <v>2264.6168971779825</v>
      </c>
      <c r="BL48" s="341">
        <f t="shared" si="73"/>
        <v>89139.365816564561</v>
      </c>
      <c r="BM48" s="344">
        <f>BM$15+SUM(AK$15:AK48)</f>
        <v>55201.065816564565</v>
      </c>
      <c r="BN48" s="345">
        <f t="shared" si="74"/>
        <v>2058.8764918157121</v>
      </c>
      <c r="BO48" s="344">
        <f t="shared" si="75"/>
        <v>113652176.73289669</v>
      </c>
      <c r="BP48" s="262">
        <f t="shared" si="76"/>
        <v>0.38363783980548488</v>
      </c>
      <c r="BQ48" s="344">
        <f t="shared" si="77"/>
        <v>89479905.179999977</v>
      </c>
      <c r="BR48" s="345">
        <f t="shared" si="78"/>
        <v>2278.8145288234605</v>
      </c>
      <c r="BS48" s="345"/>
      <c r="BV48" s="341">
        <v>2018</v>
      </c>
      <c r="BX48" s="208">
        <f t="shared" si="50"/>
        <v>2265.8145288234605</v>
      </c>
    </row>
    <row r="49" spans="3:85" s="280" customFormat="1" x14ac:dyDescent="0.2">
      <c r="G49" s="28"/>
      <c r="I49" s="282"/>
      <c r="J49" s="282"/>
      <c r="O49" s="282"/>
      <c r="Q49" s="282"/>
      <c r="R49" s="282"/>
      <c r="S49" s="282"/>
      <c r="T49" s="282"/>
      <c r="U49" s="12"/>
      <c r="Z49" s="359"/>
      <c r="AJ49" s="282"/>
      <c r="AK49" s="24"/>
      <c r="AM49" s="282"/>
      <c r="AN49" s="282"/>
      <c r="AO49" s="282"/>
      <c r="AT49" s="282"/>
      <c r="AU49" s="282"/>
      <c r="AV49" s="282"/>
      <c r="AX49" s="15"/>
      <c r="AY49" s="282"/>
      <c r="BG49" s="282"/>
      <c r="BI49" s="282"/>
      <c r="BM49" s="282"/>
      <c r="BX49" s="15"/>
      <c r="CG49" s="341"/>
    </row>
    <row r="50" spans="3:85" x14ac:dyDescent="0.2">
      <c r="G50" s="28"/>
      <c r="I50" s="2"/>
      <c r="J50" s="2"/>
      <c r="O50" s="2"/>
      <c r="Q50" s="2"/>
      <c r="R50" s="2"/>
      <c r="S50" s="2"/>
      <c r="T50" s="2"/>
      <c r="U50" s="12"/>
      <c r="X50" s="357" t="s">
        <v>604</v>
      </c>
      <c r="Z50" s="359" t="s">
        <v>430</v>
      </c>
      <c r="AJ50" s="2"/>
      <c r="AK50" s="24"/>
      <c r="AM50" s="2"/>
      <c r="AN50" s="2"/>
      <c r="AO50" s="2"/>
      <c r="AQ50">
        <f>AVERAGE(AQ16:AQ41)</f>
        <v>-1.3218655174083438E-3</v>
      </c>
      <c r="AS50" t="s">
        <v>717</v>
      </c>
      <c r="AT50" s="12">
        <f>AT47/AT37</f>
        <v>1.0836919989195235</v>
      </c>
      <c r="AU50" s="2"/>
      <c r="AV50" s="2"/>
      <c r="AX50" s="12">
        <f>AX47/AX37</f>
        <v>1.0857060709140465</v>
      </c>
      <c r="AY50" s="2"/>
      <c r="BG50" s="2"/>
      <c r="BI50" s="2"/>
      <c r="BM50" s="2"/>
      <c r="BX50" s="15"/>
    </row>
    <row r="51" spans="3:85" x14ac:dyDescent="0.2">
      <c r="G51" s="28"/>
      <c r="I51" s="2"/>
      <c r="J51" s="2"/>
      <c r="O51" s="2"/>
      <c r="Q51" s="2"/>
      <c r="R51" s="2"/>
      <c r="S51" s="2"/>
      <c r="T51" s="2"/>
      <c r="U51" s="12"/>
      <c r="Z51" s="359"/>
      <c r="AJ51" s="2"/>
      <c r="AK51" s="24"/>
      <c r="AL51">
        <f>AX44-AX43</f>
        <v>724.44319636347063</v>
      </c>
      <c r="AM51" s="2">
        <f>AM44-AM43</f>
        <v>515.7916249109694</v>
      </c>
      <c r="AN51" s="12">
        <f>1-Z44</f>
        <v>0.89262495740411685</v>
      </c>
      <c r="AO51" s="2"/>
      <c r="AT51" s="2"/>
      <c r="AU51" s="2"/>
      <c r="AV51" s="2"/>
      <c r="AX51" s="13" t="s">
        <v>716</v>
      </c>
      <c r="AY51" s="13"/>
      <c r="AZ51" s="13"/>
      <c r="BA51" s="13"/>
      <c r="BB51" s="13"/>
      <c r="BC51" s="13"/>
      <c r="BD51" s="13"/>
      <c r="BE51" s="343"/>
      <c r="BF51" s="343"/>
      <c r="BG51" s="2"/>
      <c r="BI51" s="2"/>
      <c r="BM51" s="2"/>
      <c r="BX51" s="15"/>
    </row>
    <row r="52" spans="3:85" x14ac:dyDescent="0.2">
      <c r="AL52" s="341">
        <f t="shared" ref="AL52:AL55" si="79">AX45-AX44</f>
        <v>759.06001006595034</v>
      </c>
      <c r="AM52" s="344">
        <f t="shared" ref="AM52:AM55" si="80">AM45-AM44</f>
        <v>551.12012491138012</v>
      </c>
      <c r="AN52" s="12">
        <f t="shared" ref="AN52:AN55" si="81">1-Z45</f>
        <v>0.89551339957844023</v>
      </c>
      <c r="AX52" s="50" t="s">
        <v>73</v>
      </c>
    </row>
    <row r="53" spans="3:85" x14ac:dyDescent="0.2">
      <c r="C53" s="50" t="s">
        <v>6</v>
      </c>
      <c r="E53">
        <f>SUM(E20:E29)</f>
        <v>10707.4</v>
      </c>
      <c r="F53">
        <f>SUM(F20:F29)</f>
        <v>10172.029999999999</v>
      </c>
      <c r="G53">
        <f>SUM(G20:G29)</f>
        <v>-4612.8696097493666</v>
      </c>
      <c r="H53">
        <f>SUM(H20:H29)</f>
        <v>5559.1603902506331</v>
      </c>
      <c r="AL53" s="341">
        <f t="shared" si="79"/>
        <v>951.24479167738173</v>
      </c>
      <c r="AM53" s="344">
        <f t="shared" si="80"/>
        <v>604.69332636900072</v>
      </c>
      <c r="AN53" s="12">
        <f t="shared" si="81"/>
        <v>0.89991524064880912</v>
      </c>
      <c r="BF53" s="2">
        <f>SUM(BF30:BF39)</f>
        <v>12588.3</v>
      </c>
      <c r="BG53" s="2">
        <f>BH53/BF53</f>
        <v>2391.3732116330243</v>
      </c>
      <c r="BH53" s="2">
        <f>SUM(BH30:BH39)</f>
        <v>30103323.399999999</v>
      </c>
    </row>
    <row r="54" spans="3:85" x14ac:dyDescent="0.2">
      <c r="E54">
        <f>SUM(E30:E39)</f>
        <v>12588.3</v>
      </c>
      <c r="F54">
        <f>SUM(F30:F39)</f>
        <v>11958.884999999998</v>
      </c>
      <c r="G54">
        <f>SUM(G30:G39)</f>
        <v>-5314.655778819957</v>
      </c>
      <c r="H54">
        <f>SUM(H30:H39)</f>
        <v>6644.2292211800413</v>
      </c>
      <c r="AL54" s="341">
        <f t="shared" si="79"/>
        <v>1016.792188176114</v>
      </c>
      <c r="AM54" s="344">
        <f t="shared" si="80"/>
        <v>671.28929130008328</v>
      </c>
      <c r="AN54" s="12">
        <f t="shared" si="81"/>
        <v>0.90431708171917802</v>
      </c>
      <c r="BG54">
        <f>AHS_tables!$ET$33</f>
        <v>2187.8885038575272</v>
      </c>
    </row>
    <row r="55" spans="3:85" x14ac:dyDescent="0.2">
      <c r="AL55" s="341">
        <f t="shared" si="79"/>
        <v>648.45989889056364</v>
      </c>
      <c r="AM55" s="344">
        <f t="shared" si="80"/>
        <v>717.07138126571954</v>
      </c>
      <c r="AN55" s="12">
        <f t="shared" si="81"/>
        <v>0.90431708171917802</v>
      </c>
      <c r="AO55">
        <f>AN55*AL55</f>
        <v>586.41336337662779</v>
      </c>
      <c r="BF55" t="s">
        <v>133</v>
      </c>
      <c r="BG55">
        <f>BG54/BG53</f>
        <v>0.91490884535060035</v>
      </c>
    </row>
    <row r="56" spans="3:85" x14ac:dyDescent="0.2">
      <c r="AY56">
        <f>AX41/AX40</f>
        <v>1.0069957227246433</v>
      </c>
    </row>
    <row r="100" spans="52:54" x14ac:dyDescent="0.2">
      <c r="BA100" t="s">
        <v>623</v>
      </c>
      <c r="BB100" t="s">
        <v>624</v>
      </c>
    </row>
    <row r="101" spans="52:54" x14ac:dyDescent="0.2">
      <c r="AZ101">
        <f>AS15</f>
        <v>1985</v>
      </c>
      <c r="BA101" s="344">
        <f>AU15</f>
        <v>64295</v>
      </c>
      <c r="BB101">
        <f>AX15</f>
        <v>58427.381489841988</v>
      </c>
    </row>
    <row r="102" spans="52:54" x14ac:dyDescent="0.2">
      <c r="AZ102" s="341">
        <f t="shared" ref="AZ102:AZ134" si="82">AS16</f>
        <v>1986</v>
      </c>
      <c r="BA102" s="344">
        <f t="shared" ref="BA102:BA134" si="83">AU16</f>
        <v>65306.577249878639</v>
      </c>
      <c r="BB102" s="341">
        <f t="shared" ref="BB102:BB134" si="84">AX16</f>
        <v>59466.637275510206</v>
      </c>
    </row>
    <row r="103" spans="52:54" x14ac:dyDescent="0.2">
      <c r="AZ103" s="341">
        <f t="shared" si="82"/>
        <v>1987</v>
      </c>
      <c r="BA103" s="344">
        <f t="shared" si="83"/>
        <v>66340.592765926951</v>
      </c>
      <c r="BB103" s="341">
        <f t="shared" si="84"/>
        <v>60530.0834442751</v>
      </c>
    </row>
    <row r="104" spans="52:54" x14ac:dyDescent="0.2">
      <c r="AZ104" s="341">
        <f t="shared" si="82"/>
        <v>1988</v>
      </c>
      <c r="BA104" s="344">
        <f t="shared" si="83"/>
        <v>67356.412837497395</v>
      </c>
      <c r="BB104" s="341">
        <f t="shared" si="84"/>
        <v>61448.589449929605</v>
      </c>
    </row>
    <row r="105" spans="52:54" x14ac:dyDescent="0.2">
      <c r="AZ105" s="341">
        <f t="shared" si="82"/>
        <v>1989</v>
      </c>
      <c r="BA105" s="344">
        <f t="shared" si="83"/>
        <v>68325.385973458673</v>
      </c>
      <c r="BB105" s="341">
        <f t="shared" si="84"/>
        <v>62324.111633229644</v>
      </c>
    </row>
    <row r="106" spans="52:54" x14ac:dyDescent="0.2">
      <c r="AZ106" s="341">
        <f t="shared" si="82"/>
        <v>1990</v>
      </c>
      <c r="BA106" s="344">
        <f t="shared" si="83"/>
        <v>69237.294873620704</v>
      </c>
      <c r="BB106" s="341">
        <f t="shared" si="84"/>
        <v>62786.919234947789</v>
      </c>
    </row>
    <row r="107" spans="52:54" x14ac:dyDescent="0.2">
      <c r="AZ107" s="341">
        <f t="shared" si="82"/>
        <v>1991</v>
      </c>
      <c r="BA107" s="344">
        <f t="shared" si="83"/>
        <v>70059.473095834823</v>
      </c>
      <c r="BB107" s="341">
        <f t="shared" si="84"/>
        <v>63159.113829139533</v>
      </c>
    </row>
    <row r="108" spans="52:54" x14ac:dyDescent="0.2">
      <c r="AZ108" s="341">
        <f t="shared" si="82"/>
        <v>1992</v>
      </c>
      <c r="BA108" s="344">
        <f t="shared" si="83"/>
        <v>70879.580887304153</v>
      </c>
      <c r="BB108" s="341">
        <f t="shared" si="84"/>
        <v>64332.192168461639</v>
      </c>
    </row>
    <row r="109" spans="52:54" x14ac:dyDescent="0.2">
      <c r="AZ109" s="341">
        <f t="shared" si="82"/>
        <v>1993</v>
      </c>
      <c r="BA109" s="344">
        <f t="shared" si="83"/>
        <v>71793.362341064843</v>
      </c>
      <c r="BB109" s="341">
        <f t="shared" si="84"/>
        <v>65600.901694012136</v>
      </c>
    </row>
    <row r="110" spans="52:54" x14ac:dyDescent="0.2">
      <c r="AZ110" s="341">
        <f t="shared" si="82"/>
        <v>1994</v>
      </c>
      <c r="BA110" s="344">
        <f t="shared" si="83"/>
        <v>72798.341591515084</v>
      </c>
      <c r="BB110" s="341">
        <f t="shared" si="84"/>
        <v>66626.762165794571</v>
      </c>
    </row>
    <row r="111" spans="52:54" x14ac:dyDescent="0.2">
      <c r="AZ111" s="341">
        <f t="shared" si="82"/>
        <v>1995</v>
      </c>
      <c r="BA111" s="344">
        <f t="shared" si="83"/>
        <v>73814.245239141383</v>
      </c>
      <c r="BB111" s="341">
        <f t="shared" si="84"/>
        <v>67665.606899906808</v>
      </c>
    </row>
    <row r="112" spans="52:54" x14ac:dyDescent="0.2">
      <c r="AZ112" s="341">
        <f t="shared" si="82"/>
        <v>1996</v>
      </c>
      <c r="BA112" s="344">
        <f t="shared" si="83"/>
        <v>74813.88100776216</v>
      </c>
      <c r="BB112" s="341">
        <f t="shared" si="84"/>
        <v>68233.504719449251</v>
      </c>
    </row>
    <row r="113" spans="52:54" x14ac:dyDescent="0.2">
      <c r="AZ113" s="341">
        <f t="shared" si="82"/>
        <v>1997</v>
      </c>
      <c r="BA113" s="344">
        <f t="shared" si="83"/>
        <v>75836.051151073334</v>
      </c>
      <c r="BB113" s="341">
        <f t="shared" si="84"/>
        <v>68812.537661046954</v>
      </c>
    </row>
    <row r="114" spans="52:54" x14ac:dyDescent="0.2">
      <c r="AZ114" s="341">
        <f t="shared" si="82"/>
        <v>1998</v>
      </c>
      <c r="BA114" s="344">
        <f t="shared" si="83"/>
        <v>76871.464312105338</v>
      </c>
      <c r="BB114" s="341">
        <f t="shared" si="84"/>
        <v>69936.588812178394</v>
      </c>
    </row>
    <row r="115" spans="52:54" x14ac:dyDescent="0.2">
      <c r="AZ115" s="341">
        <f t="shared" si="82"/>
        <v>1999</v>
      </c>
      <c r="BA115" s="344">
        <f t="shared" si="83"/>
        <v>77977.597310803932</v>
      </c>
      <c r="BB115" s="341">
        <f t="shared" si="84"/>
        <v>71130.12073205215</v>
      </c>
    </row>
    <row r="116" spans="52:54" x14ac:dyDescent="0.2">
      <c r="AZ116" s="341">
        <f t="shared" si="82"/>
        <v>2000</v>
      </c>
      <c r="BA116" s="344">
        <f t="shared" si="83"/>
        <v>79120.613244301581</v>
      </c>
      <c r="BB116" s="341">
        <f t="shared" si="84"/>
        <v>72060.05632791204</v>
      </c>
    </row>
    <row r="117" spans="52:54" x14ac:dyDescent="0.2">
      <c r="AZ117" s="341">
        <f t="shared" si="82"/>
        <v>2001</v>
      </c>
      <c r="BA117" s="344">
        <f t="shared" si="83"/>
        <v>80255.185553382311</v>
      </c>
      <c r="BB117" s="341">
        <f t="shared" si="84"/>
        <v>72979.057339432169</v>
      </c>
    </row>
    <row r="118" spans="52:54" x14ac:dyDescent="0.2">
      <c r="AZ118" s="341">
        <f t="shared" si="82"/>
        <v>2002</v>
      </c>
      <c r="BA118" s="344">
        <f t="shared" si="83"/>
        <v>81427.076367092857</v>
      </c>
      <c r="BB118" s="341">
        <f t="shared" si="84"/>
        <v>73712.550896338653</v>
      </c>
    </row>
    <row r="119" spans="52:54" x14ac:dyDescent="0.2">
      <c r="AZ119" s="341">
        <f t="shared" si="82"/>
        <v>2003</v>
      </c>
      <c r="BA119" s="344">
        <f t="shared" si="83"/>
        <v>82658.210809594471</v>
      </c>
      <c r="BB119" s="341">
        <f t="shared" si="84"/>
        <v>74489.873021846855</v>
      </c>
    </row>
    <row r="120" spans="52:54" x14ac:dyDescent="0.2">
      <c r="AZ120" s="341">
        <f t="shared" si="82"/>
        <v>2004</v>
      </c>
      <c r="BA120" s="344">
        <f t="shared" si="83"/>
        <v>83983.998418561183</v>
      </c>
      <c r="BB120" s="341">
        <f t="shared" si="84"/>
        <v>75572.203911669072</v>
      </c>
    </row>
    <row r="121" spans="52:54" x14ac:dyDescent="0.2">
      <c r="AZ121" s="341">
        <f t="shared" si="82"/>
        <v>2005</v>
      </c>
      <c r="BA121" s="344">
        <f t="shared" si="83"/>
        <v>85424.452516707097</v>
      </c>
      <c r="BB121" s="341">
        <f t="shared" si="84"/>
        <v>76754.012785466839</v>
      </c>
    </row>
    <row r="122" spans="52:54" x14ac:dyDescent="0.2">
      <c r="AZ122" s="341">
        <f t="shared" si="82"/>
        <v>2006</v>
      </c>
      <c r="BA122" s="344">
        <f t="shared" si="83"/>
        <v>86920.011754465319</v>
      </c>
      <c r="BB122" s="341">
        <f t="shared" si="84"/>
        <v>77519.517603069209</v>
      </c>
    </row>
    <row r="123" spans="52:54" x14ac:dyDescent="0.2">
      <c r="AZ123" s="341">
        <f t="shared" si="82"/>
        <v>2007</v>
      </c>
      <c r="BA123" s="344">
        <f t="shared" si="83"/>
        <v>88217.997474064076</v>
      </c>
      <c r="BB123" s="341">
        <f t="shared" si="84"/>
        <v>78090.231920634731</v>
      </c>
    </row>
    <row r="124" spans="52:54" x14ac:dyDescent="0.2">
      <c r="AZ124" s="341">
        <f t="shared" si="82"/>
        <v>2008</v>
      </c>
      <c r="BA124" s="344">
        <f t="shared" si="83"/>
        <v>89126.119835547288</v>
      </c>
      <c r="BB124" s="341">
        <f t="shared" si="84"/>
        <v>78796.867200672961</v>
      </c>
    </row>
    <row r="125" spans="52:54" x14ac:dyDescent="0.2">
      <c r="AZ125" s="341">
        <f t="shared" si="82"/>
        <v>2009</v>
      </c>
      <c r="BA125" s="344">
        <f t="shared" si="83"/>
        <v>89712.370028551712</v>
      </c>
      <c r="BB125" s="341">
        <f t="shared" si="84"/>
        <v>79217.303349530834</v>
      </c>
    </row>
    <row r="126" spans="52:54" x14ac:dyDescent="0.2">
      <c r="AZ126" s="341">
        <f t="shared" si="82"/>
        <v>2010</v>
      </c>
      <c r="BA126" s="344">
        <f t="shared" si="83"/>
        <v>90151.515651846275</v>
      </c>
      <c r="BB126" s="341">
        <f t="shared" si="84"/>
        <v>79803.413980724203</v>
      </c>
    </row>
    <row r="127" spans="52:54" x14ac:dyDescent="0.2">
      <c r="AZ127" s="341">
        <f t="shared" si="82"/>
        <v>2011</v>
      </c>
      <c r="BA127" s="344">
        <f t="shared" si="83"/>
        <v>90557.125231071914</v>
      </c>
      <c r="BB127" s="341">
        <f t="shared" si="84"/>
        <v>80361.696537413271</v>
      </c>
    </row>
    <row r="128" spans="52:54" x14ac:dyDescent="0.2">
      <c r="AZ128" s="341">
        <f t="shared" si="82"/>
        <v>2012</v>
      </c>
      <c r="BA128" s="344">
        <f t="shared" si="83"/>
        <v>90956.442990977404</v>
      </c>
      <c r="BB128" s="341">
        <f t="shared" si="84"/>
        <v>80821.662745193869</v>
      </c>
    </row>
    <row r="129" spans="52:54" x14ac:dyDescent="0.2">
      <c r="AZ129" s="341">
        <f t="shared" si="82"/>
        <v>2013</v>
      </c>
      <c r="BA129" s="344">
        <f t="shared" si="83"/>
        <v>91410.768577965442</v>
      </c>
      <c r="BB129" s="341">
        <f t="shared" si="84"/>
        <v>81331.498689036074</v>
      </c>
    </row>
    <row r="130" spans="52:54" x14ac:dyDescent="0.2">
      <c r="AZ130" s="341">
        <f t="shared" si="82"/>
        <v>2014</v>
      </c>
      <c r="BA130" s="344">
        <f t="shared" si="83"/>
        <v>91926.560202876411</v>
      </c>
      <c r="BB130" s="341">
        <f t="shared" si="84"/>
        <v>82055.941885399545</v>
      </c>
    </row>
    <row r="131" spans="52:54" x14ac:dyDescent="0.2">
      <c r="AZ131" s="341">
        <f t="shared" si="82"/>
        <v>2015</v>
      </c>
      <c r="BA131" s="344">
        <f t="shared" si="83"/>
        <v>92477.680327787792</v>
      </c>
      <c r="BB131" s="341">
        <f t="shared" si="84"/>
        <v>82815.001895465495</v>
      </c>
    </row>
    <row r="132" spans="52:54" x14ac:dyDescent="0.2">
      <c r="AZ132" s="341">
        <f t="shared" si="82"/>
        <v>2016</v>
      </c>
      <c r="BA132" s="344">
        <f t="shared" si="83"/>
        <v>93082.373654156792</v>
      </c>
      <c r="BB132" s="341">
        <f t="shared" si="84"/>
        <v>83766.246687142877</v>
      </c>
    </row>
    <row r="133" spans="52:54" x14ac:dyDescent="0.2">
      <c r="AZ133" s="341">
        <f t="shared" si="82"/>
        <v>2017</v>
      </c>
      <c r="BA133" s="344">
        <f t="shared" si="83"/>
        <v>93753.662945456876</v>
      </c>
      <c r="BB133" s="341">
        <f t="shared" si="84"/>
        <v>84783.038875318991</v>
      </c>
    </row>
    <row r="134" spans="52:54" x14ac:dyDescent="0.2">
      <c r="AZ134" s="341">
        <f t="shared" si="82"/>
        <v>2018</v>
      </c>
      <c r="BA134" s="344">
        <f t="shared" si="83"/>
        <v>94470.734326722595</v>
      </c>
      <c r="BB134" s="341">
        <f t="shared" si="84"/>
        <v>85431.498774209555</v>
      </c>
    </row>
    <row r="135" spans="52:54" x14ac:dyDescent="0.2">
      <c r="AZ135" s="341"/>
      <c r="BA135" s="344"/>
      <c r="BB135" s="341"/>
    </row>
    <row r="136" spans="52:54" x14ac:dyDescent="0.2">
      <c r="AZ136" s="341"/>
      <c r="BA136" s="344"/>
      <c r="BB136" s="341"/>
    </row>
    <row r="137" spans="52:54" x14ac:dyDescent="0.2">
      <c r="AZ137" s="341"/>
      <c r="BA137" s="344"/>
      <c r="BB137" s="341"/>
    </row>
    <row r="138" spans="52:54" x14ac:dyDescent="0.2">
      <c r="AZ138" s="341"/>
      <c r="BA138" s="344"/>
      <c r="BB138" s="341"/>
    </row>
    <row r="139" spans="52:54" x14ac:dyDescent="0.2">
      <c r="AZ139" s="341"/>
      <c r="BA139" s="344"/>
      <c r="BB139" s="341"/>
    </row>
  </sheetData>
  <scenarios current="0">
    <scenario name="scen_unitsize" count="2" user="David" comment="Created by David on 1/13/2020">
      <inputCells r="BN5" val="1901.39732722429"/>
      <inputCells r="BN6" val="7.49900783768688"/>
    </scenario>
  </scenarios>
  <mergeCells count="1">
    <mergeCell ref="BR13:BS13"/>
  </mergeCells>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DM93"/>
  <sheetViews>
    <sheetView topLeftCell="CO36" workbookViewId="0">
      <selection activeCell="CT65" sqref="CT65"/>
    </sheetView>
  </sheetViews>
  <sheetFormatPr defaultRowHeight="12.75" x14ac:dyDescent="0.2"/>
  <cols>
    <col min="7" max="7" width="11.85546875" customWidth="1"/>
    <col min="23" max="23" width="10.140625" bestFit="1" customWidth="1"/>
    <col min="24" max="26" width="10.140625" customWidth="1"/>
    <col min="37" max="37" width="10.5703125" customWidth="1"/>
    <col min="55" max="55" width="10.140625" customWidth="1"/>
    <col min="59" max="59" width="10.7109375" customWidth="1"/>
    <col min="60" max="60" width="11.140625" bestFit="1" customWidth="1"/>
    <col min="61" max="61" width="10.28515625" customWidth="1"/>
    <col min="66" max="67" width="10" bestFit="1" customWidth="1"/>
    <col min="68" max="68" width="10" customWidth="1"/>
    <col min="71" max="71" width="9.5703125" bestFit="1" customWidth="1"/>
    <col min="78" max="78" width="9.140625" style="280"/>
    <col min="88" max="94" width="9.140625" style="280"/>
    <col min="95" max="95" width="12.5703125" style="280" bestFit="1" customWidth="1"/>
    <col min="96" max="107" width="9.140625" style="280"/>
    <col min="108" max="108" width="9.140625" style="341"/>
    <col min="109" max="109" width="11.140625" bestFit="1" customWidth="1"/>
  </cols>
  <sheetData>
    <row r="1" spans="1:117" x14ac:dyDescent="0.2">
      <c r="BD1" s="342" t="s">
        <v>742</v>
      </c>
      <c r="BE1" s="341"/>
      <c r="BF1" s="341"/>
      <c r="BG1" s="341"/>
      <c r="CK1" s="281" t="s">
        <v>514</v>
      </c>
    </row>
    <row r="2" spans="1:117" x14ac:dyDescent="0.2">
      <c r="BF2" t="s">
        <v>32</v>
      </c>
    </row>
    <row r="3" spans="1:117" x14ac:dyDescent="0.2">
      <c r="BC3" t="s">
        <v>740</v>
      </c>
      <c r="BD3">
        <v>1973</v>
      </c>
      <c r="BE3">
        <f>'Comps Ann_2015'!E15</f>
        <v>1197.2</v>
      </c>
      <c r="BF3" s="280">
        <f>'Comps Ann'!D15+'Comps Ann'!E15</f>
        <v>903.3</v>
      </c>
      <c r="BG3" s="2">
        <f>SFTotalMedAvgSqFt_2012!I9</f>
        <v>1660</v>
      </c>
      <c r="BH3">
        <f>BE3*BG3</f>
        <v>1987352</v>
      </c>
      <c r="BI3">
        <f>BH3</f>
        <v>1987352</v>
      </c>
      <c r="BJ3">
        <f>BE3</f>
        <v>1197.2</v>
      </c>
      <c r="BK3">
        <f>BI3/BJ3</f>
        <v>1660</v>
      </c>
      <c r="CM3" s="280">
        <v>0.75</v>
      </c>
      <c r="CN3" s="280" t="s">
        <v>515</v>
      </c>
      <c r="CQ3" s="280" t="s">
        <v>588</v>
      </c>
    </row>
    <row r="4" spans="1:117" x14ac:dyDescent="0.2">
      <c r="AP4" t="s">
        <v>625</v>
      </c>
      <c r="BC4" t="s">
        <v>741</v>
      </c>
      <c r="BD4">
        <f>BD3+1</f>
        <v>1974</v>
      </c>
      <c r="BE4">
        <f>'Comps Ann_2015'!E16</f>
        <v>940.3</v>
      </c>
      <c r="BF4" s="341">
        <f>'Comps Ann'!D16+'Comps Ann'!E16</f>
        <v>788.19999999999993</v>
      </c>
      <c r="BG4" s="2">
        <f>SFTotalMedAvgSqFt_2012!I10</f>
        <v>1695</v>
      </c>
      <c r="BH4">
        <f t="shared" ref="BH4:BH14" si="0">BE4*BG4</f>
        <v>1593808.5</v>
      </c>
      <c r="BI4" s="2">
        <f>BI3+BH4</f>
        <v>3581160.5</v>
      </c>
      <c r="BJ4">
        <f t="shared" ref="BJ4:BJ13" si="1">BJ3+BE4</f>
        <v>2137.5</v>
      </c>
      <c r="BK4">
        <f t="shared" ref="BK4:BK40" si="2">BI4/BJ4</f>
        <v>1675.3967251461988</v>
      </c>
      <c r="CQ4" s="280">
        <f>MIN($CM$8)</f>
        <v>1067.7978928896582</v>
      </c>
    </row>
    <row r="5" spans="1:117" x14ac:dyDescent="0.2">
      <c r="AL5" t="s">
        <v>248</v>
      </c>
      <c r="AP5" s="210"/>
      <c r="AQ5" s="210"/>
      <c r="AR5" s="210"/>
      <c r="AS5" s="210" t="s">
        <v>248</v>
      </c>
      <c r="AT5" s="210"/>
      <c r="AU5" s="210"/>
      <c r="BD5" s="280">
        <f t="shared" ref="BD5:BD40" si="3">BD4+1</f>
        <v>1975</v>
      </c>
      <c r="BE5">
        <f>'Comps Ann_2015'!E17</f>
        <v>874.8</v>
      </c>
      <c r="BF5" s="341">
        <f>'Comps Ann'!D17+'Comps Ann'!E17</f>
        <v>442.2</v>
      </c>
      <c r="BG5" s="2">
        <f>SFTotalMedAvgSqFt_2012!I11</f>
        <v>1645</v>
      </c>
      <c r="BH5">
        <f t="shared" si="0"/>
        <v>1439046</v>
      </c>
      <c r="BI5" s="2">
        <f t="shared" ref="BI5:BI40" si="4">BI4+BH5</f>
        <v>5020206.5</v>
      </c>
      <c r="BJ5">
        <f t="shared" si="1"/>
        <v>3012.3</v>
      </c>
      <c r="BK5">
        <f t="shared" si="2"/>
        <v>1666.5692328121368</v>
      </c>
      <c r="BN5">
        <v>950.82866507551239</v>
      </c>
      <c r="CM5" s="288">
        <v>567.081097939713</v>
      </c>
      <c r="CQ5" s="280">
        <f>COUNT($CM$5:$CM$7)</f>
        <v>3</v>
      </c>
    </row>
    <row r="6" spans="1:117" x14ac:dyDescent="0.2">
      <c r="AI6" t="s">
        <v>352</v>
      </c>
      <c r="AL6">
        <f>MIN($AJ$11)</f>
        <v>9605.2239235958896</v>
      </c>
      <c r="AP6" s="210" t="s">
        <v>352</v>
      </c>
      <c r="AQ6" s="210"/>
      <c r="AR6" s="210"/>
      <c r="AS6" s="210">
        <v>5915.3282505629904</v>
      </c>
      <c r="AT6" s="210"/>
      <c r="AU6" s="210"/>
      <c r="BD6" s="280">
        <f t="shared" si="3"/>
        <v>1976</v>
      </c>
      <c r="BE6">
        <f>'Comps Ann_2015'!E18</f>
        <v>1034.2</v>
      </c>
      <c r="BF6" s="341">
        <f>'Comps Ann'!D18+'Comps Ann'!E18</f>
        <v>342.9</v>
      </c>
      <c r="BG6" s="2">
        <f>SFTotalMedAvgSqFt_2012!I12</f>
        <v>1700</v>
      </c>
      <c r="BH6">
        <f t="shared" si="0"/>
        <v>1758140</v>
      </c>
      <c r="BI6" s="2">
        <f t="shared" si="4"/>
        <v>6778346.5</v>
      </c>
      <c r="BJ6">
        <f t="shared" si="1"/>
        <v>4046.5</v>
      </c>
      <c r="BK6">
        <f t="shared" si="2"/>
        <v>1675.113431360435</v>
      </c>
      <c r="BN6">
        <v>12.997215949348861</v>
      </c>
      <c r="CM6" s="288">
        <v>-22.774477793705259</v>
      </c>
      <c r="CQ6" s="280" t="b">
        <f>$CM$7&gt;=1</f>
        <v>1</v>
      </c>
    </row>
    <row r="7" spans="1:117" x14ac:dyDescent="0.2">
      <c r="C7" t="s">
        <v>107</v>
      </c>
      <c r="F7">
        <v>0.96</v>
      </c>
      <c r="K7" t="s">
        <v>108</v>
      </c>
      <c r="AI7" t="s">
        <v>353</v>
      </c>
      <c r="AL7">
        <f>COUNT($AJ$8:$AJ$10)</f>
        <v>3</v>
      </c>
      <c r="AP7" s="210" t="s">
        <v>353</v>
      </c>
      <c r="AQ7" s="210"/>
      <c r="AR7" s="210"/>
      <c r="AS7" s="210">
        <v>3</v>
      </c>
      <c r="AT7" s="210"/>
      <c r="AU7" s="210"/>
      <c r="BD7" s="280">
        <f t="shared" si="3"/>
        <v>1977</v>
      </c>
      <c r="BE7">
        <f>'Comps Ann_2015'!E19</f>
        <v>1258.4000000000001</v>
      </c>
      <c r="BF7" s="341">
        <f>'Comps Ann'!D19+'Comps Ann'!E19</f>
        <v>398.6</v>
      </c>
      <c r="BG7" s="2">
        <f>SFTotalMedAvgSqFt_2012!I13</f>
        <v>1720</v>
      </c>
      <c r="BH7">
        <f t="shared" si="0"/>
        <v>2164448</v>
      </c>
      <c r="BI7" s="2">
        <f t="shared" si="4"/>
        <v>8942794.5</v>
      </c>
      <c r="BJ7">
        <f t="shared" si="1"/>
        <v>5304.9</v>
      </c>
      <c r="BK7">
        <f t="shared" si="2"/>
        <v>1685.7611830571736</v>
      </c>
      <c r="BN7">
        <v>-3.6474346269012727E-2</v>
      </c>
      <c r="CM7" s="288">
        <v>2.4421649760725264</v>
      </c>
      <c r="CQ7" s="280">
        <f>{32767,32767,0.000001,0.01,FALSE,FALSE,TRUE,1,1,1,0.0001,FALSE}</f>
        <v>32767</v>
      </c>
    </row>
    <row r="8" spans="1:117" x14ac:dyDescent="0.2">
      <c r="C8">
        <f>[9]National_Calibration!E7</f>
        <v>77.371132743362836</v>
      </c>
      <c r="I8" t="s">
        <v>103</v>
      </c>
      <c r="K8" t="s">
        <v>109</v>
      </c>
      <c r="AJ8">
        <v>2.9233558434219225E-5</v>
      </c>
      <c r="AL8" t="b">
        <f>$AJ$9&gt;=0.8</f>
        <v>1</v>
      </c>
      <c r="AN8">
        <v>4.3736757772565946E-3</v>
      </c>
      <c r="AP8" s="210"/>
      <c r="AQ8" s="210">
        <v>4.6128416469839785E-5</v>
      </c>
      <c r="AR8" s="210"/>
      <c r="AS8" s="210" t="b">
        <v>1</v>
      </c>
      <c r="AT8" s="210"/>
      <c r="AU8" s="210">
        <v>4.3736757772565946E-3</v>
      </c>
      <c r="BD8" s="280">
        <f t="shared" si="3"/>
        <v>1978</v>
      </c>
      <c r="BE8">
        <f>'Comps Ann_2015'!E20</f>
        <v>1369</v>
      </c>
      <c r="BF8" s="341">
        <f>'Comps Ann'!D20+'Comps Ann'!E20</f>
        <v>498.29999999999995</v>
      </c>
      <c r="BG8" s="2">
        <f>SFTotalMedAvgSqFt_2012!I14</f>
        <v>1755</v>
      </c>
      <c r="BH8">
        <f t="shared" si="0"/>
        <v>2402595</v>
      </c>
      <c r="BI8" s="2">
        <f t="shared" si="4"/>
        <v>11345389.5</v>
      </c>
      <c r="BJ8">
        <f t="shared" si="1"/>
        <v>6673.9</v>
      </c>
      <c r="BK8">
        <f t="shared" si="2"/>
        <v>1699.9639640989528</v>
      </c>
      <c r="BN8">
        <f>SUM(BT29:BT39)</f>
        <v>6051.6596775134876</v>
      </c>
      <c r="CM8" s="280">
        <f>SUM(CU29:CU41)</f>
        <v>1067.7978928896582</v>
      </c>
      <c r="CQ8" s="280">
        <f>{0,0,1,100,0,FALSE,TRUE,0.075,0,0,FALSE,30}</f>
        <v>0</v>
      </c>
    </row>
    <row r="9" spans="1:117" x14ac:dyDescent="0.2">
      <c r="C9">
        <f>[9]National_Calibration!E8</f>
        <v>78.809185840707968</v>
      </c>
      <c r="E9" t="s">
        <v>101</v>
      </c>
      <c r="G9" t="s">
        <v>84</v>
      </c>
      <c r="H9" t="s">
        <v>102</v>
      </c>
      <c r="K9" t="s">
        <v>91</v>
      </c>
      <c r="L9" t="s">
        <v>110</v>
      </c>
      <c r="AJ9">
        <v>0.8</v>
      </c>
      <c r="AL9">
        <f>{32767,32767,0.000001,0.01,FALSE,FALSE,TRUE,1,1,1,0.0001,FALSE}</f>
        <v>32767</v>
      </c>
      <c r="AN9">
        <v>0.8</v>
      </c>
      <c r="AP9" s="210"/>
      <c r="AQ9" s="210">
        <v>0.8</v>
      </c>
      <c r="AR9" s="210"/>
      <c r="AS9" s="210">
        <v>32767</v>
      </c>
      <c r="AT9" s="210"/>
      <c r="AU9" s="210">
        <v>0.8</v>
      </c>
      <c r="BD9" s="280">
        <f t="shared" si="3"/>
        <v>1979</v>
      </c>
      <c r="BE9">
        <f>'Comps Ann_2015'!E21</f>
        <v>1301</v>
      </c>
      <c r="BF9" s="341">
        <f>'Comps Ann'!D21+'Comps Ann'!E21</f>
        <v>569.79999999999995</v>
      </c>
      <c r="BG9" s="2">
        <f>SFTotalMedAvgSqFt_2012!I15</f>
        <v>1760</v>
      </c>
      <c r="BH9">
        <f t="shared" si="0"/>
        <v>2289760</v>
      </c>
      <c r="BI9" s="2">
        <f t="shared" si="4"/>
        <v>13635149.5</v>
      </c>
      <c r="BJ9">
        <f t="shared" si="1"/>
        <v>7974.9</v>
      </c>
      <c r="BK9">
        <f t="shared" si="2"/>
        <v>1709.7580533925191</v>
      </c>
    </row>
    <row r="10" spans="1:117" x14ac:dyDescent="0.2">
      <c r="C10">
        <f>[9]National_Calibration!E9</f>
        <v>80.775999999999996</v>
      </c>
      <c r="D10">
        <v>1980</v>
      </c>
      <c r="E10">
        <f>'Comps Ann'!D22+'Comps Ann'!E22</f>
        <v>545.1</v>
      </c>
      <c r="F10">
        <f>$F$7*E10</f>
        <v>523.29600000000005</v>
      </c>
      <c r="G10" s="24">
        <f>Survival_curve_MF!Z127</f>
        <v>-59.958663091085327</v>
      </c>
      <c r="H10">
        <f t="shared" ref="H10:H39" si="5">F10+G10</f>
        <v>463.33733690891472</v>
      </c>
      <c r="I10" s="2">
        <f t="shared" ref="I10:I28" si="6">I11-H11</f>
        <v>66478.13933457747</v>
      </c>
      <c r="AJ10">
        <v>-1171.7547859095605</v>
      </c>
      <c r="AL10">
        <f>{0,0,1,100,0,FALSE,TRUE,0.075,0,0,FALSE,30}</f>
        <v>0</v>
      </c>
      <c r="AN10">
        <v>-100</v>
      </c>
      <c r="AP10" s="210"/>
      <c r="AQ10" s="210">
        <v>-755.04249423445845</v>
      </c>
      <c r="AR10" s="210"/>
      <c r="AS10" s="210">
        <v>0</v>
      </c>
      <c r="AT10" s="210"/>
      <c r="AU10" s="210">
        <v>-100</v>
      </c>
      <c r="BD10" s="280">
        <f t="shared" si="3"/>
        <v>1980</v>
      </c>
      <c r="BE10">
        <f>'Comps Ann_2015'!E22</f>
        <v>956.7</v>
      </c>
      <c r="BF10" s="341">
        <f>'Comps Ann'!D22+'Comps Ann'!E22</f>
        <v>545.1</v>
      </c>
      <c r="BG10" s="2">
        <f>SFTotalMedAvgSqFt_2012!I16</f>
        <v>1740</v>
      </c>
      <c r="BH10">
        <f t="shared" si="0"/>
        <v>1664658</v>
      </c>
      <c r="BI10" s="2">
        <f t="shared" si="4"/>
        <v>15299807.5</v>
      </c>
      <c r="BJ10">
        <f t="shared" si="1"/>
        <v>8931.6</v>
      </c>
      <c r="BK10">
        <f t="shared" si="2"/>
        <v>1712.9973912848761</v>
      </c>
      <c r="BM10" t="s">
        <v>252</v>
      </c>
      <c r="BN10">
        <v>1.1499999999999999</v>
      </c>
      <c r="CL10" s="280" t="s">
        <v>252</v>
      </c>
      <c r="CM10" s="280">
        <v>1.1499999999999999</v>
      </c>
      <c r="CS10" s="280">
        <v>0.75</v>
      </c>
    </row>
    <row r="11" spans="1:117" x14ac:dyDescent="0.2">
      <c r="C11">
        <f>[9]National_Calibration!E10</f>
        <v>82.367999999999995</v>
      </c>
      <c r="D11">
        <f>D10+1</f>
        <v>1981</v>
      </c>
      <c r="E11" s="341">
        <f>'Comps Ann'!D23+'Comps Ann'!E23</f>
        <v>447.1</v>
      </c>
      <c r="F11">
        <f t="shared" ref="F11:F41" si="7">$F$7*E11</f>
        <v>429.21600000000001</v>
      </c>
      <c r="G11" s="24">
        <f>Survival_curve_MF!Z128</f>
        <v>-63.428927716369799</v>
      </c>
      <c r="H11">
        <f t="shared" si="5"/>
        <v>365.78707228363021</v>
      </c>
      <c r="I11" s="2">
        <f t="shared" si="6"/>
        <v>66843.926406861094</v>
      </c>
      <c r="AJ11">
        <f>SUM(AP15:AP48)*0.001</f>
        <v>9605.2239235958896</v>
      </c>
      <c r="AL11">
        <f>{0,0,1,100,0,FALSE,TRUE,0.075,0,0,FALSE,30}</f>
        <v>0</v>
      </c>
      <c r="AN11">
        <v>9532.9043628403142</v>
      </c>
      <c r="AP11" s="210"/>
      <c r="AQ11" s="210">
        <v>5915.3282505629904</v>
      </c>
      <c r="AR11" s="210"/>
      <c r="AS11" s="210">
        <v>0</v>
      </c>
      <c r="AT11" s="210"/>
      <c r="AU11" s="210">
        <v>9532.9043628403142</v>
      </c>
      <c r="BD11" s="280">
        <f t="shared" si="3"/>
        <v>1981</v>
      </c>
      <c r="BE11">
        <f>'Comps Ann_2015'!E23</f>
        <v>818.5</v>
      </c>
      <c r="BF11" s="341">
        <f>'Comps Ann'!D23+'Comps Ann'!E23</f>
        <v>447.1</v>
      </c>
      <c r="BG11" s="2">
        <f>SFTotalMedAvgSqFt_2012!I17</f>
        <v>1720</v>
      </c>
      <c r="BH11">
        <f t="shared" si="0"/>
        <v>1407820</v>
      </c>
      <c r="BI11" s="2">
        <f t="shared" si="4"/>
        <v>16707627.5</v>
      </c>
      <c r="BJ11">
        <f t="shared" si="1"/>
        <v>9750.1</v>
      </c>
      <c r="BK11">
        <f t="shared" si="2"/>
        <v>1713.5852452795355</v>
      </c>
      <c r="BZ11" s="15"/>
    </row>
    <row r="12" spans="1:117" x14ac:dyDescent="0.2">
      <c r="C12">
        <f>[9]National_Calibration!E11</f>
        <v>83.527000000000001</v>
      </c>
      <c r="D12">
        <f t="shared" ref="D12:D48" si="8">D11+1</f>
        <v>1982</v>
      </c>
      <c r="E12" s="341">
        <f>'Comps Ann'!D24+'Comps Ann'!E24</f>
        <v>373.8</v>
      </c>
      <c r="F12">
        <f t="shared" si="7"/>
        <v>358.84800000000001</v>
      </c>
      <c r="G12" s="24">
        <f>Survival_curve_MF!Z129</f>
        <v>-66.976991618808825</v>
      </c>
      <c r="H12">
        <f t="shared" si="5"/>
        <v>291.87100838119119</v>
      </c>
      <c r="I12" s="2">
        <f t="shared" si="6"/>
        <v>67135.797415242283</v>
      </c>
      <c r="AI12" t="s">
        <v>589</v>
      </c>
      <c r="AJ12">
        <v>0.8</v>
      </c>
      <c r="AP12" s="210" t="s">
        <v>589</v>
      </c>
      <c r="AQ12" s="210">
        <v>0.8</v>
      </c>
      <c r="AR12" s="210"/>
      <c r="AS12" s="210"/>
      <c r="AT12" s="210"/>
      <c r="AU12" s="210"/>
      <c r="BD12" s="280">
        <f t="shared" si="3"/>
        <v>1982</v>
      </c>
      <c r="BE12">
        <f>'Comps Ann_2015'!E24</f>
        <v>631.5</v>
      </c>
      <c r="BF12" s="341">
        <f>'Comps Ann'!D24+'Comps Ann'!E24</f>
        <v>373.8</v>
      </c>
      <c r="BG12" s="2">
        <f>SFTotalMedAvgSqFt_2012!I18</f>
        <v>1710</v>
      </c>
      <c r="BH12">
        <f t="shared" si="0"/>
        <v>1079865</v>
      </c>
      <c r="BI12" s="2">
        <f t="shared" si="4"/>
        <v>17787492.5</v>
      </c>
      <c r="BJ12">
        <f t="shared" si="1"/>
        <v>10381.6</v>
      </c>
      <c r="BK12">
        <f t="shared" si="2"/>
        <v>1713.3671592047467</v>
      </c>
      <c r="BV12" t="s">
        <v>359</v>
      </c>
      <c r="BZ12" s="15"/>
    </row>
    <row r="13" spans="1:117" x14ac:dyDescent="0.2">
      <c r="A13" t="s">
        <v>257</v>
      </c>
      <c r="B13" t="s">
        <v>247</v>
      </c>
      <c r="C13">
        <f>[9]National_Calibration!E12</f>
        <v>83.918000000000006</v>
      </c>
      <c r="D13">
        <f t="shared" si="8"/>
        <v>1983</v>
      </c>
      <c r="E13" s="341">
        <f>'Comps Ann'!D25+'Comps Ann'!E25</f>
        <v>466.4</v>
      </c>
      <c r="F13">
        <f t="shared" si="7"/>
        <v>447.74399999999997</v>
      </c>
      <c r="G13" s="24">
        <f>Survival_curve_MF!Z130</f>
        <v>-70.596914005203871</v>
      </c>
      <c r="H13">
        <f t="shared" si="5"/>
        <v>377.1470859947961</v>
      </c>
      <c r="I13" s="2">
        <f t="shared" si="6"/>
        <v>67512.944501237085</v>
      </c>
      <c r="R13" t="s">
        <v>247</v>
      </c>
      <c r="AI13" t="s">
        <v>590</v>
      </c>
      <c r="AK13" t="s">
        <v>258</v>
      </c>
      <c r="AX13" t="s">
        <v>247</v>
      </c>
      <c r="AY13" s="280" t="s">
        <v>247</v>
      </c>
      <c r="BD13" s="280">
        <f t="shared" si="3"/>
        <v>1983</v>
      </c>
      <c r="BE13">
        <f>'Comps Ann_2015'!E25</f>
        <v>923.7</v>
      </c>
      <c r="BF13" s="341">
        <f>'Comps Ann'!D25+'Comps Ann'!E25</f>
        <v>466.4</v>
      </c>
      <c r="BG13" s="2">
        <f>SFTotalMedAvgSqFt_2012!I19</f>
        <v>1725</v>
      </c>
      <c r="BH13">
        <f t="shared" si="0"/>
        <v>1593382.5</v>
      </c>
      <c r="BI13" s="2">
        <f t="shared" si="4"/>
        <v>19380875</v>
      </c>
      <c r="BJ13">
        <f t="shared" si="1"/>
        <v>11305.300000000001</v>
      </c>
      <c r="BK13">
        <f t="shared" si="2"/>
        <v>1714.3176209388516</v>
      </c>
      <c r="BM13" s="280" t="s">
        <v>510</v>
      </c>
      <c r="BN13" s="280" t="s">
        <v>30</v>
      </c>
      <c r="BO13" s="280" t="s">
        <v>434</v>
      </c>
      <c r="BP13" s="280"/>
      <c r="BQ13" s="280" t="s">
        <v>434</v>
      </c>
      <c r="BR13" s="280" t="s">
        <v>441</v>
      </c>
      <c r="BZ13" s="15"/>
      <c r="CL13" s="280" t="s">
        <v>707</v>
      </c>
      <c r="CM13" s="280" t="s">
        <v>30</v>
      </c>
      <c r="CQ13" s="280" t="s">
        <v>441</v>
      </c>
      <c r="CR13" s="280" t="s">
        <v>509</v>
      </c>
      <c r="DE13" t="s">
        <v>134</v>
      </c>
    </row>
    <row r="14" spans="1:117" x14ac:dyDescent="0.2">
      <c r="A14" t="s">
        <v>254</v>
      </c>
      <c r="B14" t="s">
        <v>254</v>
      </c>
      <c r="C14">
        <f>[9]National_Calibration!E13</f>
        <v>85.29</v>
      </c>
      <c r="D14">
        <f t="shared" si="8"/>
        <v>1984</v>
      </c>
      <c r="E14" s="341">
        <f>'Comps Ann'!D26+'Comps Ann'!E26</f>
        <v>627</v>
      </c>
      <c r="F14">
        <f t="shared" si="7"/>
        <v>601.91999999999996</v>
      </c>
      <c r="G14" s="24">
        <f>Survival_curve_MF!Z131</f>
        <v>-74.282320507867553</v>
      </c>
      <c r="H14">
        <f t="shared" si="5"/>
        <v>527.63767949213241</v>
      </c>
      <c r="I14" s="2">
        <f t="shared" si="6"/>
        <v>68040.582180729223</v>
      </c>
      <c r="J14" t="s">
        <v>247</v>
      </c>
      <c r="Q14" t="s">
        <v>105</v>
      </c>
      <c r="R14" t="s">
        <v>106</v>
      </c>
      <c r="S14" t="s">
        <v>112</v>
      </c>
      <c r="T14" t="s">
        <v>243</v>
      </c>
      <c r="V14" t="s">
        <v>245</v>
      </c>
      <c r="X14" t="s">
        <v>244</v>
      </c>
      <c r="AK14" t="s">
        <v>84</v>
      </c>
      <c r="AL14" t="s">
        <v>572</v>
      </c>
      <c r="AM14" t="s">
        <v>111</v>
      </c>
      <c r="AN14" t="s">
        <v>29</v>
      </c>
      <c r="AQ14" t="s">
        <v>246</v>
      </c>
      <c r="AT14" t="s">
        <v>29</v>
      </c>
      <c r="AU14" t="s">
        <v>30</v>
      </c>
      <c r="AV14" t="s">
        <v>135</v>
      </c>
      <c r="AX14" t="s">
        <v>30</v>
      </c>
      <c r="AY14" t="s">
        <v>29</v>
      </c>
      <c r="AZ14" t="s">
        <v>256</v>
      </c>
      <c r="BD14" s="280">
        <f t="shared" si="3"/>
        <v>1984</v>
      </c>
      <c r="BE14">
        <f>'Comps Ann_2015'!E26</f>
        <v>1025.0999999999999</v>
      </c>
      <c r="BF14" s="341">
        <f>'Comps Ann'!D26+'Comps Ann'!E26</f>
        <v>627</v>
      </c>
      <c r="BG14" s="2">
        <f>SFTotalMedAvgSqFt_2012!I20</f>
        <v>1780</v>
      </c>
      <c r="BH14">
        <f t="shared" si="0"/>
        <v>1824677.9999999998</v>
      </c>
      <c r="BI14" s="2">
        <v>0</v>
      </c>
      <c r="BJ14">
        <v>0</v>
      </c>
      <c r="BK14" t="e">
        <f t="shared" si="2"/>
        <v>#DIV/0!</v>
      </c>
      <c r="BM14" s="280" t="s">
        <v>433</v>
      </c>
      <c r="BN14" s="280" t="s">
        <v>437</v>
      </c>
      <c r="BO14" s="280" t="s">
        <v>511</v>
      </c>
      <c r="BP14" s="280"/>
      <c r="BQ14" s="280" t="s">
        <v>512</v>
      </c>
      <c r="BR14" s="280" t="s">
        <v>30</v>
      </c>
      <c r="BS14" t="s">
        <v>29</v>
      </c>
      <c r="BT14" t="s">
        <v>132</v>
      </c>
      <c r="BW14" t="s">
        <v>29</v>
      </c>
      <c r="BX14" t="s">
        <v>30</v>
      </c>
      <c r="BY14" t="s">
        <v>265</v>
      </c>
      <c r="BZ14" s="15"/>
      <c r="CL14" s="280" t="s">
        <v>433</v>
      </c>
      <c r="CM14" s="280" t="s">
        <v>437</v>
      </c>
      <c r="CO14" s="280" t="s">
        <v>516</v>
      </c>
      <c r="CQ14" s="280" t="s">
        <v>29</v>
      </c>
      <c r="CR14" s="280" t="s">
        <v>30</v>
      </c>
      <c r="CS14" s="341" t="s">
        <v>743</v>
      </c>
      <c r="CT14" s="280" t="str">
        <f>Total_stock_MH!CC14</f>
        <v xml:space="preserve"> Final</v>
      </c>
      <c r="CU14" s="280" t="s">
        <v>132</v>
      </c>
      <c r="DI14" t="s">
        <v>260</v>
      </c>
      <c r="DJ14" t="s">
        <v>261</v>
      </c>
    </row>
    <row r="15" spans="1:117" x14ac:dyDescent="0.2">
      <c r="A15" s="2">
        <f>Total_stock_SF!AN15</f>
        <v>65121</v>
      </c>
      <c r="B15">
        <f>Total_stock_SF!J15</f>
        <v>59178</v>
      </c>
      <c r="C15">
        <f>[9]National_Calibration!E14</f>
        <v>86.789000000000001</v>
      </c>
      <c r="D15">
        <f t="shared" si="8"/>
        <v>1985</v>
      </c>
      <c r="E15" s="341">
        <f>'Comps Ann'!D27+'Comps Ann'!E27</f>
        <v>630.80000000000007</v>
      </c>
      <c r="F15">
        <f t="shared" si="7"/>
        <v>605.5680000000001</v>
      </c>
      <c r="G15" s="24">
        <f>Survival_curve_MF!Z132</f>
        <v>-78.026452098412847</v>
      </c>
      <c r="H15">
        <f t="shared" si="5"/>
        <v>527.54154790158725</v>
      </c>
      <c r="I15" s="2">
        <f t="shared" si="6"/>
        <v>68568.123728630817</v>
      </c>
      <c r="J15" s="2">
        <f>88425-4754-B15</f>
        <v>24493</v>
      </c>
      <c r="K15">
        <f>2518+1128</f>
        <v>3646</v>
      </c>
      <c r="L15">
        <f>511+107+763+62</f>
        <v>1443</v>
      </c>
      <c r="M15">
        <f>K15-K$29</f>
        <v>-44</v>
      </c>
      <c r="N15">
        <f>L15-L$29</f>
        <v>-56</v>
      </c>
      <c r="O15" s="2">
        <f>I15-N15</f>
        <v>68624.123728630817</v>
      </c>
      <c r="P15">
        <f>D15</f>
        <v>1985</v>
      </c>
      <c r="Q15" s="2">
        <f>O15</f>
        <v>68624.123728630817</v>
      </c>
      <c r="R15" s="2">
        <f>J15</f>
        <v>24493</v>
      </c>
      <c r="S15" s="2">
        <f>R15+L15</f>
        <v>25936</v>
      </c>
      <c r="T15" s="2">
        <f>429+38+1103+892+66+77</f>
        <v>2605</v>
      </c>
      <c r="U15" s="12">
        <f>T15/R15</f>
        <v>0.10635691830318866</v>
      </c>
      <c r="V15" s="2">
        <f>L15+T15</f>
        <v>4048</v>
      </c>
      <c r="W15" s="2">
        <f>S15+T15</f>
        <v>28541</v>
      </c>
      <c r="X15" s="2">
        <f>99931-6094-A15</f>
        <v>28716</v>
      </c>
      <c r="Y15" s="2">
        <f>X15-R15</f>
        <v>4223</v>
      </c>
      <c r="Z15" s="12">
        <f>Y15/X15</f>
        <v>0.14706087198774204</v>
      </c>
      <c r="AJ15" s="2">
        <f>X15+AJ10</f>
        <v>27544.245214090439</v>
      </c>
      <c r="AM15" s="2">
        <f>AJ15</f>
        <v>27544.245214090439</v>
      </c>
      <c r="AN15" s="2">
        <f>X15</f>
        <v>28716</v>
      </c>
      <c r="AO15" s="2">
        <f>AN15-AM15</f>
        <v>1171.7547859095612</v>
      </c>
      <c r="AP15">
        <f>AO15*AO15</f>
        <v>1373009.2783019615</v>
      </c>
      <c r="AQ15">
        <f>AK15/AJ15</f>
        <v>0</v>
      </c>
      <c r="AS15">
        <f>D15</f>
        <v>1985</v>
      </c>
      <c r="AT15" s="2">
        <f>AN15</f>
        <v>28716</v>
      </c>
      <c r="AU15" s="2">
        <f>AM15</f>
        <v>27544.245214090439</v>
      </c>
      <c r="AV15" s="2">
        <f>AU15-L15</f>
        <v>26101.245214090439</v>
      </c>
      <c r="AW15">
        <f>AS15</f>
        <v>1985</v>
      </c>
      <c r="AX15" s="13">
        <f t="shared" ref="AX15:AX48" si="9">(1-Z15)*AU15</f>
        <v>23493.564494662111</v>
      </c>
      <c r="AY15" s="2">
        <f>R15</f>
        <v>24493</v>
      </c>
      <c r="AZ15">
        <f>11655+5134+4558+3530+3839</f>
        <v>28716</v>
      </c>
      <c r="BD15" s="280">
        <f t="shared" si="3"/>
        <v>1985</v>
      </c>
      <c r="BE15">
        <f>'Comps Ann_2015'!E27</f>
        <v>1072.5</v>
      </c>
      <c r="BF15" s="341">
        <f>'Comps Ann'!D27+'Comps Ann'!E27</f>
        <v>630.80000000000007</v>
      </c>
      <c r="BG15" s="2">
        <f>SFTotalMedAvgSqFt_2012!I21</f>
        <v>1785</v>
      </c>
      <c r="BH15">
        <f>BF15*BG15</f>
        <v>1125978.0000000002</v>
      </c>
      <c r="BI15" s="2">
        <f t="shared" si="4"/>
        <v>1125978.0000000002</v>
      </c>
      <c r="BJ15">
        <f>BJ14+BF15</f>
        <v>630.80000000000007</v>
      </c>
      <c r="BK15">
        <f t="shared" si="2"/>
        <v>1785.0000000000002</v>
      </c>
      <c r="BL15" s="2">
        <f>BM15</f>
        <v>23493.564494662111</v>
      </c>
      <c r="BM15" s="2">
        <f>AX$15</f>
        <v>23493.564494662111</v>
      </c>
      <c r="BN15">
        <f>BN$27+$BN$6*(BV15-BV$27)</f>
        <v>794.86207368332612</v>
      </c>
      <c r="BO15">
        <f>BM15*$BN15</f>
        <v>18674143.392440088</v>
      </c>
      <c r="BP15">
        <f>BJ15/(BJ15+BM15)</f>
        <v>2.6147839050416202E-2</v>
      </c>
      <c r="BQ15">
        <f>BJ15*BK15*$BN$7*$BN$10</f>
        <v>-47229.708182783979</v>
      </c>
      <c r="BR15">
        <f>(BN15)</f>
        <v>794.86207368332612</v>
      </c>
      <c r="BV15">
        <f>AS15</f>
        <v>1985</v>
      </c>
      <c r="BX15">
        <f>BR15</f>
        <v>794.86207368332612</v>
      </c>
      <c r="BY15" s="13">
        <f>BX$29+0.5*(BX15-BX$29)</f>
        <v>879.97883608349616</v>
      </c>
      <c r="BZ15" s="15"/>
      <c r="CK15" s="280">
        <f>BV15</f>
        <v>1985</v>
      </c>
      <c r="CL15" s="282">
        <f>BL15</f>
        <v>23493.564494662111</v>
      </c>
      <c r="CM15" s="280">
        <f>CM$27+$CM$6*(CK15-CK$27)*CM$3</f>
        <v>772.05139808306035</v>
      </c>
      <c r="CN15" s="282">
        <f t="shared" ref="CN15:CN48" si="10">CB60*$CM$7</f>
        <v>2427.7968103806079</v>
      </c>
      <c r="CO15" s="280">
        <f>BP15</f>
        <v>2.6147839050416202E-2</v>
      </c>
      <c r="CP15" s="280">
        <f>CK15</f>
        <v>1985</v>
      </c>
      <c r="CR15" s="280">
        <f t="shared" ref="CR15:CR39" si="11">(1-CO15)*CM15+CO15*CN15</f>
        <v>815.34556263228171</v>
      </c>
      <c r="CS15" s="420">
        <f>CR$29+CS$10*(CR15-CR$29)</f>
        <v>847.17455014596089</v>
      </c>
      <c r="CT15" s="290">
        <f>CS15</f>
        <v>847.17455014596089</v>
      </c>
      <c r="DE15" s="2">
        <f t="shared" ref="DE15:DE33" si="12">AX15*BX15*0.000001</f>
        <v>18.674143392440087</v>
      </c>
      <c r="DF15" s="2">
        <f>AX15*BY15*0.000001</f>
        <v>20.673839539465316</v>
      </c>
      <c r="DH15">
        <f>BV15</f>
        <v>1985</v>
      </c>
      <c r="DI15">
        <f>Total_stock_SF!BX15</f>
        <v>1849.0897575916233</v>
      </c>
      <c r="DJ15">
        <f>BX15</f>
        <v>794.86207368332612</v>
      </c>
      <c r="DL15">
        <f>DI15/DI$15</f>
        <v>1</v>
      </c>
      <c r="DM15">
        <f>DJ15/DJ$15</f>
        <v>1</v>
      </c>
    </row>
    <row r="16" spans="1:117" x14ac:dyDescent="0.2">
      <c r="A16" s="2">
        <f>Total_stock_SF!AN16</f>
        <v>0</v>
      </c>
      <c r="B16">
        <f>Total_stock_SF!J16</f>
        <v>0</v>
      </c>
      <c r="C16">
        <f>[9]National_Calibration!E15</f>
        <v>88.457999999999998</v>
      </c>
      <c r="D16">
        <f t="shared" si="8"/>
        <v>1986</v>
      </c>
      <c r="E16" s="341">
        <f>'Comps Ann'!D28+'Comps Ann'!E28</f>
        <v>636.20000000000005</v>
      </c>
      <c r="F16">
        <f t="shared" si="7"/>
        <v>610.75200000000007</v>
      </c>
      <c r="G16" s="24">
        <f>Survival_curve_MF!Z133</f>
        <v>-81.82224706542911</v>
      </c>
      <c r="H16">
        <f t="shared" si="5"/>
        <v>528.92975293457096</v>
      </c>
      <c r="I16" s="2">
        <f t="shared" si="6"/>
        <v>69097.053481565381</v>
      </c>
      <c r="L16">
        <f>AVERAGE(L15,L17)</f>
        <v>1463.5</v>
      </c>
      <c r="O16" s="2"/>
      <c r="S16" s="2"/>
      <c r="T16" s="2"/>
      <c r="U16" s="2"/>
      <c r="V16" s="2"/>
      <c r="W16" s="2"/>
      <c r="X16" s="2"/>
      <c r="Y16" s="2"/>
      <c r="Z16" s="12">
        <f>AVERAGE(Z15,Z17)</f>
        <v>0.15401705905135898</v>
      </c>
      <c r="AI16" s="24">
        <f>AL16^$AJ$12</f>
        <v>145.83752488098986</v>
      </c>
      <c r="AJ16" s="2">
        <f>AJ15</f>
        <v>27544.245214090439</v>
      </c>
      <c r="AK16" s="24">
        <f>-AJ16*AJ$8*AI16</f>
        <v>-117.43075247642096</v>
      </c>
      <c r="AL16">
        <f>$AJ$9*(E15+E16)/2</f>
        <v>506.8</v>
      </c>
      <c r="AM16" s="2">
        <f>AJ16+AK16+AL16</f>
        <v>27933.614461614015</v>
      </c>
      <c r="AN16" s="2"/>
      <c r="AQ16">
        <f t="shared" ref="AQ16:AQ40" si="13">AK16/AJ16</f>
        <v>-4.2633498055103178E-3</v>
      </c>
      <c r="AS16">
        <f t="shared" ref="AS16:AS39" si="14">D16</f>
        <v>1986</v>
      </c>
      <c r="AU16" s="2">
        <f t="shared" ref="AU16:AU39" si="15">AM16</f>
        <v>27933.614461614015</v>
      </c>
      <c r="AV16" s="2">
        <f t="shared" ref="AV16:AV39" si="16">AU16-L16</f>
        <v>26470.114461614015</v>
      </c>
      <c r="AW16">
        <f t="shared" ref="AW16:AW39" si="17">AS16</f>
        <v>1986</v>
      </c>
      <c r="AX16" s="13">
        <f t="shared" si="9"/>
        <v>23631.361313561716</v>
      </c>
      <c r="BD16" s="280">
        <f t="shared" si="3"/>
        <v>1986</v>
      </c>
      <c r="BE16">
        <f>'Comps Ann_2015'!E28</f>
        <v>1120.2</v>
      </c>
      <c r="BF16" s="341">
        <f>'Comps Ann'!D28+'Comps Ann'!E28</f>
        <v>636.20000000000005</v>
      </c>
      <c r="BG16" s="2">
        <f>SFTotalMedAvgSqFt_2012!I22</f>
        <v>1825</v>
      </c>
      <c r="BH16">
        <f t="shared" ref="BH16:BH40" si="18">BF16*BG16</f>
        <v>1161065</v>
      </c>
      <c r="BI16" s="2">
        <f t="shared" si="4"/>
        <v>2287043</v>
      </c>
      <c r="BJ16">
        <f t="shared" ref="BJ16:BJ40" si="19">BJ15+BF16</f>
        <v>1267</v>
      </c>
      <c r="BK16">
        <f t="shared" si="2"/>
        <v>1805.0852407261248</v>
      </c>
      <c r="BL16">
        <f>(BJ16+BJ15)*0.5*$BN$7+BM16</f>
        <v>23341.52323501102</v>
      </c>
      <c r="BM16" s="2">
        <f>BM$15+SUM(AK$15:AK16)</f>
        <v>23376.133742185688</v>
      </c>
      <c r="BN16">
        <f t="shared" ref="BN16:BN24" si="20">BN$27+$BN$6*(BV16-BV$27)</f>
        <v>807.85928963267497</v>
      </c>
      <c r="BO16">
        <f t="shared" ref="BO16:BO40" si="21">BM16*$BN16</f>
        <v>18884626.799320534</v>
      </c>
      <c r="BP16">
        <f t="shared" ref="BP16:BP40" si="22">BJ16/(BJ16+BM16)</f>
        <v>5.1413915667351533E-2</v>
      </c>
      <c r="BQ16">
        <f t="shared" ref="BQ16:BQ40" si="23">BJ16*BK16*$BN$7*$BN$10</f>
        <v>-95931.158061239912</v>
      </c>
      <c r="BR16">
        <f t="shared" ref="BR16:BR40" si="24">(BO16+BQ16)/BL16</f>
        <v>804.94728009341179</v>
      </c>
      <c r="BV16">
        <f t="shared" ref="BV16:BV39" si="25">AS16</f>
        <v>1986</v>
      </c>
      <c r="BX16">
        <f t="shared" ref="BX16:BX39" si="26">BR16</f>
        <v>804.94728009341179</v>
      </c>
      <c r="BY16" s="13">
        <f t="shared" ref="BY16:BY26" si="27">BX$29+0.5*(BX16-BX$29)</f>
        <v>885.02143928853911</v>
      </c>
      <c r="BZ16" s="15"/>
      <c r="CK16" s="280">
        <f t="shared" ref="CK16:CK39" si="28">BV16</f>
        <v>1986</v>
      </c>
      <c r="CL16" s="282">
        <f t="shared" ref="CL16:CL39" si="29">BL16</f>
        <v>23341.52323501102</v>
      </c>
      <c r="CM16" s="280">
        <f t="shared" ref="CM16:CM26" si="30">CM$27+$CM$6*(CK16-CK$27)*CM$3</f>
        <v>754.97053973778134</v>
      </c>
      <c r="CN16" s="282">
        <f t="shared" si="10"/>
        <v>2450.1203235352868</v>
      </c>
      <c r="CO16" s="280">
        <f t="shared" ref="CO16:CO39" si="31">BP16</f>
        <v>5.1413915667351533E-2</v>
      </c>
      <c r="CP16" s="280">
        <f t="shared" ref="CP16:CP39" si="32">CK16</f>
        <v>1986</v>
      </c>
      <c r="CR16" s="280">
        <f t="shared" si="11"/>
        <v>842.12482776547552</v>
      </c>
      <c r="CS16" s="420">
        <f t="shared" ref="CS16:CS29" si="33">CR$29+CS$10*(CR16-CR$29)</f>
        <v>867.25899899585625</v>
      </c>
      <c r="CT16" s="290">
        <f t="shared" ref="CT16:CT29" si="34">CS16</f>
        <v>867.25899899585625</v>
      </c>
      <c r="DE16" s="2">
        <f t="shared" si="12"/>
        <v>19.022000014256179</v>
      </c>
      <c r="DF16" s="2">
        <f t="shared" ref="DF16:DF39" si="35">AX16*BY16*0.000001</f>
        <v>20.914261402075891</v>
      </c>
      <c r="DH16">
        <f t="shared" ref="DH16:DH39" si="36">BV16</f>
        <v>1986</v>
      </c>
      <c r="DI16">
        <f>Total_stock_SF!BX16</f>
        <v>1845.3032226028363</v>
      </c>
      <c r="DJ16">
        <f t="shared" ref="DJ16:DJ39" si="37">BX16</f>
        <v>804.94728009341179</v>
      </c>
      <c r="DL16">
        <f t="shared" ref="DL16:DL39" si="38">DI16/DI$15</f>
        <v>0.99795221677409596</v>
      </c>
      <c r="DM16">
        <f t="shared" ref="DM16:DM39" si="39">DJ16/DJ$15</f>
        <v>1.0126879954950569</v>
      </c>
    </row>
    <row r="17" spans="1:117" x14ac:dyDescent="0.2">
      <c r="A17" s="2">
        <f>Total_stock_SF!AN17</f>
        <v>67271</v>
      </c>
      <c r="B17">
        <f>Total_stock_SF!J17</f>
        <v>61379</v>
      </c>
      <c r="C17">
        <f>[9]National_Calibration!E16</f>
        <v>89.478999999999999</v>
      </c>
      <c r="D17">
        <f t="shared" si="8"/>
        <v>1987</v>
      </c>
      <c r="E17" s="341">
        <f>'Comps Ann'!D29+'Comps Ann'!E29</f>
        <v>546</v>
      </c>
      <c r="F17">
        <f t="shared" si="7"/>
        <v>524.16</v>
      </c>
      <c r="G17" s="24">
        <f>Survival_curve_MF!Z134</f>
        <v>-85.662736282800324</v>
      </c>
      <c r="H17">
        <f t="shared" si="5"/>
        <v>438.49726371719964</v>
      </c>
      <c r="I17" s="2">
        <f t="shared" si="6"/>
        <v>69535.550745282584</v>
      </c>
      <c r="J17" s="2">
        <f>90888-5267-B17</f>
        <v>24242</v>
      </c>
      <c r="K17">
        <f>2895+1116</f>
        <v>4011</v>
      </c>
      <c r="L17">
        <f>487+192+701+104</f>
        <v>1484</v>
      </c>
      <c r="M17">
        <f>K17-K$29</f>
        <v>321</v>
      </c>
      <c r="N17">
        <f>L17-L$29</f>
        <v>-15</v>
      </c>
      <c r="O17" s="2">
        <f>I17-N17</f>
        <v>69550.550745282584</v>
      </c>
      <c r="P17">
        <f>D17</f>
        <v>1987</v>
      </c>
      <c r="Q17" s="2">
        <f>O17</f>
        <v>69550.550745282584</v>
      </c>
      <c r="R17" s="2">
        <f>J17</f>
        <v>24242</v>
      </c>
      <c r="S17" s="2">
        <f>R17+L17</f>
        <v>25726</v>
      </c>
      <c r="T17" s="2">
        <f>959+948+116+111</f>
        <v>2134</v>
      </c>
      <c r="U17" s="12">
        <f>T17/R17</f>
        <v>8.8029040508208894E-2</v>
      </c>
      <c r="V17" s="12"/>
      <c r="W17" s="12"/>
      <c r="X17" s="2">
        <f>102852-6688-A17</f>
        <v>28893</v>
      </c>
      <c r="Y17" s="2">
        <f>X17-R17</f>
        <v>4651</v>
      </c>
      <c r="Z17" s="12">
        <f>Y17/X17</f>
        <v>0.16097324611497593</v>
      </c>
      <c r="AI17" s="24">
        <f t="shared" ref="AI17:AI43" si="40">AL17^$AJ$12</f>
        <v>137.97511257209976</v>
      </c>
      <c r="AJ17" s="2">
        <f>AM16</f>
        <v>27933.614461614015</v>
      </c>
      <c r="AK17" s="24">
        <f t="shared" ref="AK17:AK41" si="41">-AJ17*AJ$8*AI17</f>
        <v>-112.67033214116361</v>
      </c>
      <c r="AL17">
        <f>$AJ$9*(E16+E17)/2</f>
        <v>472.88000000000005</v>
      </c>
      <c r="AM17" s="2">
        <f>AJ17+AK17+AL17</f>
        <v>28293.824129472854</v>
      </c>
      <c r="AN17" s="2">
        <f>X17</f>
        <v>28893</v>
      </c>
      <c r="AO17" s="2">
        <f>AN17-AM17</f>
        <v>599.17587052714589</v>
      </c>
      <c r="AP17">
        <f>AO17*AO17</f>
        <v>359011.72382196307</v>
      </c>
      <c r="AQ17">
        <f t="shared" si="13"/>
        <v>-4.0335035158444539E-3</v>
      </c>
      <c r="AS17">
        <f t="shared" si="14"/>
        <v>1987</v>
      </c>
      <c r="AT17" s="2">
        <f>AN17</f>
        <v>28893</v>
      </c>
      <c r="AU17" s="2">
        <f t="shared" si="15"/>
        <v>28293.824129472854</v>
      </c>
      <c r="AV17" s="2">
        <f t="shared" si="16"/>
        <v>26809.824129472854</v>
      </c>
      <c r="AW17">
        <f t="shared" si="17"/>
        <v>1987</v>
      </c>
      <c r="AX17" s="13">
        <f t="shared" si="9"/>
        <v>23739.275414345375</v>
      </c>
      <c r="AY17" s="2">
        <f>R17</f>
        <v>24242</v>
      </c>
      <c r="BD17" s="280">
        <f t="shared" si="3"/>
        <v>1987</v>
      </c>
      <c r="BE17">
        <f>'Comps Ann_2015'!E29</f>
        <v>1122.8</v>
      </c>
      <c r="BF17" s="341">
        <f>'Comps Ann'!D29+'Comps Ann'!E29</f>
        <v>546</v>
      </c>
      <c r="BG17" s="2">
        <f>SFTotalMedAvgSqFt_2012!I23</f>
        <v>1905</v>
      </c>
      <c r="BH17">
        <f t="shared" si="18"/>
        <v>1040130</v>
      </c>
      <c r="BI17" s="2">
        <f t="shared" si="4"/>
        <v>3327173</v>
      </c>
      <c r="BJ17">
        <f t="shared" si="19"/>
        <v>1813</v>
      </c>
      <c r="BK17">
        <f t="shared" si="2"/>
        <v>1835.1753998896857</v>
      </c>
      <c r="BL17">
        <f t="shared" ref="BL17:BL40" si="42">(BJ17+BJ16)*0.5*$BN$7+BM17</f>
        <v>23207.292916790248</v>
      </c>
      <c r="BM17" s="2">
        <f>BM$15+SUM(AK$15:AK17)</f>
        <v>23263.463410044526</v>
      </c>
      <c r="BN17">
        <f t="shared" si="20"/>
        <v>820.85650558202383</v>
      </c>
      <c r="BO17">
        <f t="shared" si="21"/>
        <v>19095965.282504421</v>
      </c>
      <c r="BP17">
        <f t="shared" si="22"/>
        <v>7.2298871270411763E-2</v>
      </c>
      <c r="BQ17">
        <f t="shared" si="23"/>
        <v>-139559.92911374636</v>
      </c>
      <c r="BR17">
        <f t="shared" si="24"/>
        <v>816.8296673532268</v>
      </c>
      <c r="BV17">
        <f t="shared" si="25"/>
        <v>1987</v>
      </c>
      <c r="BX17">
        <f t="shared" si="26"/>
        <v>816.8296673532268</v>
      </c>
      <c r="BY17" s="13">
        <f t="shared" si="27"/>
        <v>890.96263291844662</v>
      </c>
      <c r="BZ17" s="15"/>
      <c r="CK17" s="280">
        <f t="shared" si="28"/>
        <v>1987</v>
      </c>
      <c r="CL17" s="282">
        <f t="shared" si="29"/>
        <v>23207.292916790248</v>
      </c>
      <c r="CM17" s="280">
        <f t="shared" si="30"/>
        <v>737.88968139250244</v>
      </c>
      <c r="CN17" s="282">
        <f t="shared" si="10"/>
        <v>2472.4438366899662</v>
      </c>
      <c r="CO17" s="280">
        <f t="shared" si="31"/>
        <v>7.2298871270411763E-2</v>
      </c>
      <c r="CP17" s="280">
        <f t="shared" si="32"/>
        <v>1987</v>
      </c>
      <c r="CR17" s="280">
        <f t="shared" si="11"/>
        <v>863.29598897791152</v>
      </c>
      <c r="CS17" s="420">
        <f t="shared" si="33"/>
        <v>883.13736990518328</v>
      </c>
      <c r="CT17" s="290">
        <f t="shared" si="34"/>
        <v>883.13736990518328</v>
      </c>
      <c r="DE17" s="2">
        <f t="shared" si="12"/>
        <v>19.390944439906367</v>
      </c>
      <c r="DF17" s="2">
        <f t="shared" si="35"/>
        <v>21.150807326741305</v>
      </c>
      <c r="DH17">
        <f t="shared" si="36"/>
        <v>1987</v>
      </c>
      <c r="DI17">
        <f>Total_stock_SF!BX17</f>
        <v>1858.8984015399869</v>
      </c>
      <c r="DJ17">
        <f t="shared" si="37"/>
        <v>816.8296673532268</v>
      </c>
      <c r="DL17">
        <f t="shared" si="38"/>
        <v>1.0053045796766182</v>
      </c>
      <c r="DM17">
        <f t="shared" si="39"/>
        <v>1.0276369880979535</v>
      </c>
    </row>
    <row r="18" spans="1:117" x14ac:dyDescent="0.2">
      <c r="A18" s="2">
        <f>Total_stock_SF!AN18</f>
        <v>0</v>
      </c>
      <c r="B18">
        <f>Total_stock_SF!J18</f>
        <v>0</v>
      </c>
      <c r="C18">
        <f>[9]National_Calibration!E17</f>
        <v>91.123999999999995</v>
      </c>
      <c r="D18">
        <f t="shared" si="8"/>
        <v>1988</v>
      </c>
      <c r="E18" s="341">
        <f>'Comps Ann'!D30+'Comps Ann'!E30</f>
        <v>445.20000000000005</v>
      </c>
      <c r="F18">
        <f t="shared" si="7"/>
        <v>427.39200000000005</v>
      </c>
      <c r="G18" s="24">
        <f>Survival_curve_MF!Z135</f>
        <v>-89.541309372805699</v>
      </c>
      <c r="H18">
        <f t="shared" si="5"/>
        <v>337.85069062719435</v>
      </c>
      <c r="I18" s="2">
        <f t="shared" si="6"/>
        <v>69873.401435909778</v>
      </c>
      <c r="L18">
        <f>AVERAGE(L17,L19)</f>
        <v>1416.5</v>
      </c>
      <c r="O18" s="2"/>
      <c r="S18" s="2"/>
      <c r="T18" s="2"/>
      <c r="U18" s="2"/>
      <c r="V18" s="2"/>
      <c r="W18" s="2"/>
      <c r="Y18" s="2"/>
      <c r="Z18" s="12">
        <f>AVERAGE(Z17,Z19)</f>
        <v>0.15552989767310754</v>
      </c>
      <c r="AI18" s="24">
        <f t="shared" si="40"/>
        <v>119.83316439956475</v>
      </c>
      <c r="AJ18" s="2">
        <f t="shared" ref="AJ18:AJ39" si="43">AM17</f>
        <v>28293.824129472854</v>
      </c>
      <c r="AK18" s="24">
        <f t="shared" si="41"/>
        <v>-99.117504731760306</v>
      </c>
      <c r="AL18">
        <f t="shared" ref="AL18:AL40" si="44">$AJ$9*(E17+E18)/2</f>
        <v>396.48</v>
      </c>
      <c r="AM18" s="2">
        <f t="shared" ref="AM18:AM40" si="45">AJ18+AK18+AL18</f>
        <v>28591.186624741094</v>
      </c>
      <c r="AN18" s="2"/>
      <c r="AO18" s="2"/>
      <c r="AQ18">
        <f t="shared" si="13"/>
        <v>-3.5031498138320752E-3</v>
      </c>
      <c r="AS18">
        <f t="shared" si="14"/>
        <v>1988</v>
      </c>
      <c r="AU18" s="2">
        <f t="shared" si="15"/>
        <v>28591.186624741094</v>
      </c>
      <c r="AV18" s="2">
        <f t="shared" si="16"/>
        <v>27174.686624741094</v>
      </c>
      <c r="AW18">
        <f t="shared" si="17"/>
        <v>1988</v>
      </c>
      <c r="AX18" s="13">
        <f t="shared" si="9"/>
        <v>24144.40229464239</v>
      </c>
      <c r="BD18" s="280">
        <f t="shared" si="3"/>
        <v>1988</v>
      </c>
      <c r="BE18">
        <f>'Comps Ann_2015'!E30</f>
        <v>1084.5999999999999</v>
      </c>
      <c r="BF18" s="341">
        <f>'Comps Ann'!D30+'Comps Ann'!E30</f>
        <v>445.20000000000005</v>
      </c>
      <c r="BG18" s="2">
        <f>SFTotalMedAvgSqFt_2012!I24</f>
        <v>1995</v>
      </c>
      <c r="BH18">
        <f t="shared" si="18"/>
        <v>888174.00000000012</v>
      </c>
      <c r="BI18" s="2">
        <f t="shared" si="4"/>
        <v>4215347</v>
      </c>
      <c r="BJ18">
        <f t="shared" si="19"/>
        <v>2258.1999999999998</v>
      </c>
      <c r="BK18">
        <f t="shared" si="2"/>
        <v>1866.6845274997788</v>
      </c>
      <c r="BL18">
        <f t="shared" si="42"/>
        <v>23090.098726047563</v>
      </c>
      <c r="BM18" s="2">
        <f>BM$15+SUM(AK$15:AK18)</f>
        <v>23164.345905312766</v>
      </c>
      <c r="BN18">
        <f t="shared" si="20"/>
        <v>833.85372153137268</v>
      </c>
      <c r="BO18">
        <f t="shared" si="21"/>
        <v>19315676.039985064</v>
      </c>
      <c r="BP18">
        <f t="shared" si="22"/>
        <v>8.8826666235976168E-2</v>
      </c>
      <c r="BQ18">
        <f t="shared" si="23"/>
        <v>-176814.83004035056</v>
      </c>
      <c r="BR18">
        <f t="shared" si="24"/>
        <v>828.87740918814166</v>
      </c>
      <c r="BV18">
        <f t="shared" si="25"/>
        <v>1988</v>
      </c>
      <c r="BX18">
        <f t="shared" si="26"/>
        <v>828.87740918814166</v>
      </c>
      <c r="BY18" s="13">
        <f t="shared" si="27"/>
        <v>896.98650383590393</v>
      </c>
      <c r="BZ18" s="15"/>
      <c r="CK18" s="280">
        <f t="shared" si="28"/>
        <v>1988</v>
      </c>
      <c r="CL18" s="282">
        <f t="shared" si="29"/>
        <v>23090.098726047563</v>
      </c>
      <c r="CM18" s="280">
        <f t="shared" si="30"/>
        <v>720.80882304722354</v>
      </c>
      <c r="CN18" s="282">
        <f t="shared" si="10"/>
        <v>2494.7673498446452</v>
      </c>
      <c r="CO18" s="280">
        <f t="shared" si="31"/>
        <v>8.8826666235976168E-2</v>
      </c>
      <c r="CP18" s="280">
        <f t="shared" si="32"/>
        <v>1988</v>
      </c>
      <c r="CR18" s="280">
        <f t="shared" si="11"/>
        <v>878.38364502352215</v>
      </c>
      <c r="CS18" s="420">
        <f t="shared" si="33"/>
        <v>894.45311193939119</v>
      </c>
      <c r="CT18" s="290">
        <f t="shared" si="34"/>
        <v>894.45311193939119</v>
      </c>
      <c r="DE18" s="2">
        <f t="shared" si="12"/>
        <v>20.012749620379406</v>
      </c>
      <c r="DF18" s="2">
        <f t="shared" si="35"/>
        <v>21.657203001478855</v>
      </c>
      <c r="DH18">
        <f t="shared" si="36"/>
        <v>1988</v>
      </c>
      <c r="DI18">
        <f>Total_stock_SF!BX18</f>
        <v>1873.0173648555019</v>
      </c>
      <c r="DJ18">
        <f t="shared" si="37"/>
        <v>828.87740918814166</v>
      </c>
      <c r="DL18">
        <f t="shared" si="38"/>
        <v>1.0129402086435455</v>
      </c>
      <c r="DM18">
        <f t="shared" si="39"/>
        <v>1.0427940099685362</v>
      </c>
    </row>
    <row r="19" spans="1:117" x14ac:dyDescent="0.2">
      <c r="A19" s="2">
        <f>Total_stock_SF!AN19</f>
        <v>69290</v>
      </c>
      <c r="B19">
        <f>Total_stock_SF!J19</f>
        <v>63204</v>
      </c>
      <c r="C19">
        <f>[9]National_Calibration!E18</f>
        <v>92.83</v>
      </c>
      <c r="D19">
        <f t="shared" si="8"/>
        <v>1989</v>
      </c>
      <c r="E19" s="341">
        <f>'Comps Ann'!D31+'Comps Ann'!E31</f>
        <v>396.59999999999997</v>
      </c>
      <c r="F19">
        <f t="shared" si="7"/>
        <v>380.73599999999993</v>
      </c>
      <c r="G19" s="24">
        <f>Survival_curve_MF!Z136</f>
        <v>-93.451478222683363</v>
      </c>
      <c r="H19">
        <f t="shared" si="5"/>
        <v>287.28452177731657</v>
      </c>
      <c r="I19" s="2">
        <f t="shared" si="6"/>
        <v>70160.685957687092</v>
      </c>
      <c r="J19" s="2">
        <f>93683-5438-B19</f>
        <v>25041</v>
      </c>
      <c r="K19">
        <f>2644+1115</f>
        <v>3759</v>
      </c>
      <c r="L19">
        <f>440+151+665+93</f>
        <v>1349</v>
      </c>
      <c r="M19">
        <f>K19-K$29</f>
        <v>69</v>
      </c>
      <c r="N19">
        <f>L19-L$29</f>
        <v>-150</v>
      </c>
      <c r="O19" s="2">
        <f>I19-N19</f>
        <v>70310.685957687092</v>
      </c>
      <c r="P19">
        <f>D19</f>
        <v>1989</v>
      </c>
      <c r="Q19" s="2">
        <f>O19</f>
        <v>70310.685957687092</v>
      </c>
      <c r="R19" s="2">
        <f>J19</f>
        <v>25041</v>
      </c>
      <c r="S19" s="2">
        <f>R19+L19</f>
        <v>26390</v>
      </c>
      <c r="T19" s="2">
        <f>1141+992+210+119</f>
        <v>2462</v>
      </c>
      <c r="U19" s="12">
        <f>T19/R19</f>
        <v>9.8318757238129467E-2</v>
      </c>
      <c r="V19" s="12"/>
      <c r="W19" s="12"/>
      <c r="X19" s="2">
        <f>105661-6908-A19</f>
        <v>29463</v>
      </c>
      <c r="Y19" s="2">
        <f>X19-R19</f>
        <v>4422</v>
      </c>
      <c r="Z19" s="12">
        <f>Y19/X19</f>
        <v>0.15008654923123918</v>
      </c>
      <c r="AI19" s="24">
        <f t="shared" si="40"/>
        <v>105.15141716038306</v>
      </c>
      <c r="AJ19" s="2">
        <f t="shared" si="43"/>
        <v>28591.186624741094</v>
      </c>
      <c r="AK19" s="24">
        <f t="shared" si="41"/>
        <v>-87.887880927031176</v>
      </c>
      <c r="AL19">
        <f t="shared" si="44"/>
        <v>336.72</v>
      </c>
      <c r="AM19" s="2">
        <f t="shared" si="45"/>
        <v>28840.018743814064</v>
      </c>
      <c r="AN19" s="2">
        <f>X19</f>
        <v>29463</v>
      </c>
      <c r="AO19" s="2">
        <f t="shared" ref="AO19:AO39" si="46">AN19-AM19</f>
        <v>622.98125618593622</v>
      </c>
      <c r="AP19">
        <f>AO19*AO19</f>
        <v>388105.64555900707</v>
      </c>
      <c r="AQ19">
        <f t="shared" si="13"/>
        <v>-3.0739500979990206E-3</v>
      </c>
      <c r="AS19">
        <f t="shared" si="14"/>
        <v>1989</v>
      </c>
      <c r="AT19" s="2">
        <f>AN19</f>
        <v>29463</v>
      </c>
      <c r="AU19" s="2">
        <f t="shared" si="15"/>
        <v>28840.018743814064</v>
      </c>
      <c r="AV19" s="2">
        <f t="shared" si="16"/>
        <v>27491.018743814064</v>
      </c>
      <c r="AW19">
        <f t="shared" si="17"/>
        <v>1989</v>
      </c>
      <c r="AX19" s="13">
        <f t="shared" si="9"/>
        <v>24511.519850790752</v>
      </c>
      <c r="AY19" s="2">
        <f>R19</f>
        <v>25041</v>
      </c>
      <c r="AZ19">
        <f>5586+4914+3670+4032+11261</f>
        <v>29463</v>
      </c>
      <c r="BD19" s="280">
        <f t="shared" si="3"/>
        <v>1989</v>
      </c>
      <c r="BE19">
        <f>'Comps Ann_2015'!E31</f>
        <v>1026.3</v>
      </c>
      <c r="BF19" s="341">
        <f>'Comps Ann'!D31+'Comps Ann'!E31</f>
        <v>396.59999999999997</v>
      </c>
      <c r="BG19" s="2">
        <f>SFTotalMedAvgSqFt_2012!I25</f>
        <v>2035</v>
      </c>
      <c r="BH19">
        <f t="shared" si="18"/>
        <v>807080.99999999988</v>
      </c>
      <c r="BI19" s="2">
        <f t="shared" si="4"/>
        <v>5022428</v>
      </c>
      <c r="BJ19">
        <f t="shared" si="19"/>
        <v>2654.7999999999997</v>
      </c>
      <c r="BK19">
        <f t="shared" si="2"/>
        <v>1891.8291396715385</v>
      </c>
      <c r="BL19">
        <f t="shared" si="42"/>
        <v>22986.858792775904</v>
      </c>
      <c r="BM19" s="2">
        <f>BM$15+SUM(AK$15:AK19)</f>
        <v>23076.458024385734</v>
      </c>
      <c r="BN19">
        <f t="shared" si="20"/>
        <v>846.85093748072154</v>
      </c>
      <c r="BO19">
        <f t="shared" si="21"/>
        <v>19542320.111685578</v>
      </c>
      <c r="BP19">
        <f t="shared" si="22"/>
        <v>0.10317412376355727</v>
      </c>
      <c r="BQ19">
        <f t="shared" si="23"/>
        <v>-210668.24468066278</v>
      </c>
      <c r="BR19">
        <f t="shared" si="24"/>
        <v>840.98710664548423</v>
      </c>
      <c r="BV19">
        <f t="shared" si="25"/>
        <v>1989</v>
      </c>
      <c r="BX19">
        <f t="shared" si="26"/>
        <v>840.98710664548423</v>
      </c>
      <c r="BY19" s="13">
        <f t="shared" si="27"/>
        <v>903.04135256457528</v>
      </c>
      <c r="BZ19" s="15"/>
      <c r="CK19" s="280">
        <f t="shared" si="28"/>
        <v>1989</v>
      </c>
      <c r="CL19" s="282">
        <f t="shared" si="29"/>
        <v>22986.858792775904</v>
      </c>
      <c r="CM19" s="280">
        <f t="shared" si="30"/>
        <v>703.72796470194453</v>
      </c>
      <c r="CN19" s="282">
        <f t="shared" si="10"/>
        <v>2517.0908629993241</v>
      </c>
      <c r="CO19" s="280">
        <f t="shared" si="31"/>
        <v>0.10317412376355727</v>
      </c>
      <c r="CP19" s="280">
        <f t="shared" si="32"/>
        <v>1989</v>
      </c>
      <c r="CR19" s="280">
        <f t="shared" si="11"/>
        <v>890.82009279912131</v>
      </c>
      <c r="CS19" s="420">
        <f t="shared" si="33"/>
        <v>903.78044777109062</v>
      </c>
      <c r="CT19" s="290">
        <f t="shared" si="34"/>
        <v>903.78044777109062</v>
      </c>
      <c r="DE19" s="2">
        <f t="shared" si="12"/>
        <v>20.613872158799865</v>
      </c>
      <c r="DF19" s="2">
        <f t="shared" si="35"/>
        <v>22.134916039471516</v>
      </c>
      <c r="DH19">
        <f t="shared" si="36"/>
        <v>1989</v>
      </c>
      <c r="DI19">
        <f>Total_stock_SF!BX19</f>
        <v>1886.7306152316403</v>
      </c>
      <c r="DJ19">
        <f t="shared" si="37"/>
        <v>840.98710664548423</v>
      </c>
      <c r="DL19">
        <f t="shared" si="38"/>
        <v>1.0203564253630624</v>
      </c>
      <c r="DM19">
        <f t="shared" si="39"/>
        <v>1.0580289769625295</v>
      </c>
    </row>
    <row r="20" spans="1:117" x14ac:dyDescent="0.2">
      <c r="A20" s="2">
        <f>Total_stock_SF!AN20</f>
        <v>0</v>
      </c>
      <c r="B20">
        <f>Total_stock_SF!J20</f>
        <v>0</v>
      </c>
      <c r="C20">
        <f>[9]National_Calibration!E19</f>
        <v>93.347000000000008</v>
      </c>
      <c r="D20">
        <f t="shared" si="8"/>
        <v>1990</v>
      </c>
      <c r="E20" s="341">
        <f>'Comps Ann'!D32+'Comps Ann'!E32</f>
        <v>342.1</v>
      </c>
      <c r="F20">
        <f t="shared" si="7"/>
        <v>328.416</v>
      </c>
      <c r="G20" s="24">
        <f>Survival_curve_MF!Z137</f>
        <v>-97.386840743823996</v>
      </c>
      <c r="H20">
        <f t="shared" si="5"/>
        <v>231.029159256176</v>
      </c>
      <c r="I20" s="2">
        <f t="shared" si="6"/>
        <v>70391.715116943262</v>
      </c>
      <c r="L20">
        <f>AVERAGE(L19,L21)</f>
        <v>1405</v>
      </c>
      <c r="O20" s="2"/>
      <c r="S20" s="2"/>
      <c r="T20" s="2"/>
      <c r="U20" s="2"/>
      <c r="V20" s="2"/>
      <c r="W20" s="2"/>
      <c r="Y20" s="2"/>
      <c r="Z20" s="12">
        <f>AVERAGE(Z19,Z21)</f>
        <v>0.15791605471510589</v>
      </c>
      <c r="AI20" s="24">
        <f t="shared" si="40"/>
        <v>94.71580882676011</v>
      </c>
      <c r="AJ20" s="2">
        <f t="shared" si="43"/>
        <v>28840.018743814064</v>
      </c>
      <c r="AK20" s="24">
        <f t="shared" si="41"/>
        <v>-79.854554905718771</v>
      </c>
      <c r="AL20">
        <f t="shared" si="44"/>
        <v>295.48</v>
      </c>
      <c r="AM20" s="2">
        <f t="shared" si="45"/>
        <v>29055.644188908343</v>
      </c>
      <c r="AN20" s="2"/>
      <c r="AO20" s="2"/>
      <c r="AQ20">
        <f t="shared" si="13"/>
        <v>-2.7688801319814289E-3</v>
      </c>
      <c r="AS20">
        <f t="shared" si="14"/>
        <v>1990</v>
      </c>
      <c r="AU20" s="2">
        <f t="shared" si="15"/>
        <v>29055.644188908343</v>
      </c>
      <c r="AV20" s="2">
        <f t="shared" si="16"/>
        <v>27650.644188908343</v>
      </c>
      <c r="AW20">
        <f t="shared" si="17"/>
        <v>1990</v>
      </c>
      <c r="AX20" s="13">
        <f t="shared" si="9"/>
        <v>24467.291491390042</v>
      </c>
      <c r="BD20" s="280">
        <f t="shared" si="3"/>
        <v>1990</v>
      </c>
      <c r="BE20">
        <f>'Comps Ann_2015'!E32</f>
        <v>966</v>
      </c>
      <c r="BF20" s="341">
        <f>'Comps Ann'!D32+'Comps Ann'!E32</f>
        <v>342.1</v>
      </c>
      <c r="BG20" s="2">
        <f>SFTotalMedAvgSqFt_2012!I26</f>
        <v>2080</v>
      </c>
      <c r="BH20">
        <f t="shared" si="18"/>
        <v>711568</v>
      </c>
      <c r="BI20" s="2">
        <f t="shared" si="4"/>
        <v>5733996</v>
      </c>
      <c r="BJ20">
        <f t="shared" si="19"/>
        <v>2996.8999999999996</v>
      </c>
      <c r="BK20">
        <f t="shared" si="2"/>
        <v>1913.309086055591</v>
      </c>
      <c r="BL20">
        <f t="shared" si="42"/>
        <v>22893.532438075727</v>
      </c>
      <c r="BM20" s="2">
        <f>BM$15+SUM(AK$15:AK20)</f>
        <v>22996.603469480015</v>
      </c>
      <c r="BN20">
        <f t="shared" si="20"/>
        <v>859.8481534300704</v>
      </c>
      <c r="BO20">
        <f t="shared" si="21"/>
        <v>19773587.02839594</v>
      </c>
      <c r="BP20">
        <f t="shared" si="22"/>
        <v>0.11529419277854472</v>
      </c>
      <c r="BQ20">
        <f t="shared" si="23"/>
        <v>-240515.31895050395</v>
      </c>
      <c r="BR20">
        <f t="shared" si="24"/>
        <v>853.213533659782</v>
      </c>
      <c r="BV20">
        <f t="shared" si="25"/>
        <v>1990</v>
      </c>
      <c r="BX20">
        <f t="shared" si="26"/>
        <v>853.213533659782</v>
      </c>
      <c r="BY20" s="13">
        <f t="shared" si="27"/>
        <v>909.15456607172416</v>
      </c>
      <c r="BZ20" s="15"/>
      <c r="CK20" s="280">
        <f t="shared" si="28"/>
        <v>1990</v>
      </c>
      <c r="CL20" s="282">
        <f t="shared" si="29"/>
        <v>22893.532438075727</v>
      </c>
      <c r="CM20" s="280">
        <f t="shared" si="30"/>
        <v>686.64710635666563</v>
      </c>
      <c r="CN20" s="282">
        <f t="shared" si="10"/>
        <v>2539.4143761540031</v>
      </c>
      <c r="CO20" s="280">
        <f t="shared" si="31"/>
        <v>0.11529419277854472</v>
      </c>
      <c r="CP20" s="280">
        <f t="shared" si="32"/>
        <v>1990</v>
      </c>
      <c r="CR20" s="280">
        <f t="shared" si="11"/>
        <v>900.26041313445785</v>
      </c>
      <c r="CS20" s="420">
        <f t="shared" si="33"/>
        <v>910.86068802259297</v>
      </c>
      <c r="CT20" s="290">
        <f t="shared" si="34"/>
        <v>910.86068802259297</v>
      </c>
      <c r="DE20" s="2">
        <f t="shared" si="12"/>
        <v>20.875824232452818</v>
      </c>
      <c r="DF20" s="2">
        <f t="shared" si="35"/>
        <v>22.244549778805101</v>
      </c>
      <c r="DH20">
        <f t="shared" si="36"/>
        <v>1990</v>
      </c>
      <c r="DI20">
        <f>Total_stock_SF!BX20</f>
        <v>1900.3434366128959</v>
      </c>
      <c r="DJ20">
        <f t="shared" si="37"/>
        <v>853.213533659782</v>
      </c>
      <c r="DL20">
        <f t="shared" si="38"/>
        <v>1.0277183294163226</v>
      </c>
      <c r="DM20">
        <f t="shared" si="39"/>
        <v>1.0734107990661323</v>
      </c>
    </row>
    <row r="21" spans="1:117" x14ac:dyDescent="0.2">
      <c r="A21" s="2">
        <f>Total_stock_SF!AN21</f>
        <v>69802</v>
      </c>
      <c r="B21">
        <f>Total_stock_SF!J21</f>
        <v>62927</v>
      </c>
      <c r="C21">
        <f>[9]National_Calibration!E20</f>
        <v>94.311999999999998</v>
      </c>
      <c r="D21">
        <f t="shared" si="8"/>
        <v>1991</v>
      </c>
      <c r="E21" s="341">
        <f>'Comps Ann'!D33+'Comps Ann'!E33</f>
        <v>253.39999999999998</v>
      </c>
      <c r="F21">
        <f t="shared" si="7"/>
        <v>243.26399999999998</v>
      </c>
      <c r="G21" s="24">
        <f>Survival_curve_MF!Z138</f>
        <v>-101.34111973080871</v>
      </c>
      <c r="H21">
        <f t="shared" si="5"/>
        <v>141.92288026919127</v>
      </c>
      <c r="I21" s="2">
        <f t="shared" si="6"/>
        <v>70533.637997212456</v>
      </c>
      <c r="J21" s="2">
        <f>93147-5630-B21</f>
        <v>24590</v>
      </c>
      <c r="K21">
        <f>2684+1026</f>
        <v>3710</v>
      </c>
      <c r="L21">
        <f>444+259+692+66</f>
        <v>1461</v>
      </c>
      <c r="M21">
        <f>K21-K$29</f>
        <v>20</v>
      </c>
      <c r="N21">
        <f>L21-L$29</f>
        <v>-38</v>
      </c>
      <c r="O21" s="2">
        <f>I21-N21</f>
        <v>70571.637997212456</v>
      </c>
      <c r="P21">
        <f>D21</f>
        <v>1991</v>
      </c>
      <c r="Q21" s="2">
        <f>O21</f>
        <v>70571.637997212456</v>
      </c>
      <c r="R21" s="2">
        <f>J21</f>
        <v>24590</v>
      </c>
      <c r="S21" s="2">
        <f>R21+L21</f>
        <v>26051</v>
      </c>
      <c r="T21" s="2"/>
      <c r="U21" s="2"/>
      <c r="V21" s="2"/>
      <c r="W21" s="2"/>
      <c r="X21" s="9">
        <f>(104592-6983-A21)*1.06</f>
        <v>29475.420000000002</v>
      </c>
      <c r="Y21" s="2">
        <f>X21-R21</f>
        <v>4885.4200000000019</v>
      </c>
      <c r="Z21" s="12">
        <f>Y21/X21</f>
        <v>0.16574556019897263</v>
      </c>
      <c r="AI21" s="24">
        <f t="shared" si="40"/>
        <v>79.717451407674687</v>
      </c>
      <c r="AJ21" s="2">
        <f t="shared" si="43"/>
        <v>29055.644188908343</v>
      </c>
      <c r="AK21" s="24">
        <f t="shared" si="41"/>
        <v>-67.711993041003936</v>
      </c>
      <c r="AL21">
        <f t="shared" si="44"/>
        <v>238.20000000000002</v>
      </c>
      <c r="AM21" s="2">
        <f t="shared" si="45"/>
        <v>29226.13219586734</v>
      </c>
      <c r="AN21" s="10">
        <f>X21</f>
        <v>29475.420000000002</v>
      </c>
      <c r="AO21" s="2">
        <f t="shared" si="46"/>
        <v>249.28780413266213</v>
      </c>
      <c r="AP21">
        <f>AO21*AO21</f>
        <v>62144.409289284522</v>
      </c>
      <c r="AQ21">
        <f t="shared" si="13"/>
        <v>-2.3304247739532897E-3</v>
      </c>
      <c r="AS21">
        <f t="shared" si="14"/>
        <v>1991</v>
      </c>
      <c r="AT21" s="2">
        <f>AN21</f>
        <v>29475.420000000002</v>
      </c>
      <c r="AU21" s="2">
        <f t="shared" si="15"/>
        <v>29226.13219586734</v>
      </c>
      <c r="AV21" s="2">
        <f t="shared" si="16"/>
        <v>27765.13219586734</v>
      </c>
      <c r="AW21">
        <f t="shared" si="17"/>
        <v>1991</v>
      </c>
      <c r="AX21" s="13">
        <f t="shared" si="9"/>
        <v>24382.03054261408</v>
      </c>
      <c r="AY21" s="2">
        <f>R21</f>
        <v>24590</v>
      </c>
      <c r="BD21" s="280">
        <f t="shared" si="3"/>
        <v>1991</v>
      </c>
      <c r="BE21">
        <f>'Comps Ann_2015'!E33</f>
        <v>837.6</v>
      </c>
      <c r="BF21" s="341">
        <f>'Comps Ann'!D33+'Comps Ann'!E33</f>
        <v>253.39999999999998</v>
      </c>
      <c r="BG21" s="2">
        <f>SFTotalMedAvgSqFt_2012!I27</f>
        <v>2075</v>
      </c>
      <c r="BH21">
        <f t="shared" si="18"/>
        <v>525805</v>
      </c>
      <c r="BI21" s="2">
        <f t="shared" si="4"/>
        <v>6259801</v>
      </c>
      <c r="BJ21">
        <f t="shared" si="19"/>
        <v>3250.2999999999997</v>
      </c>
      <c r="BK21">
        <f t="shared" si="2"/>
        <v>1925.9148386302804</v>
      </c>
      <c r="BL21">
        <f t="shared" si="42"/>
        <v>22814.960208433124</v>
      </c>
      <c r="BM21" s="2">
        <f>BM$15+SUM(AK$15:AK21)</f>
        <v>22928.89147643901</v>
      </c>
      <c r="BN21">
        <f t="shared" si="20"/>
        <v>872.84536937941925</v>
      </c>
      <c r="BO21">
        <f t="shared" si="21"/>
        <v>20013376.750213027</v>
      </c>
      <c r="BP21">
        <f t="shared" si="22"/>
        <v>0.12415585878292822</v>
      </c>
      <c r="BQ21">
        <f t="shared" si="23"/>
        <v>-262570.47163647896</v>
      </c>
      <c r="BR21">
        <f t="shared" si="24"/>
        <v>865.69540766834359</v>
      </c>
      <c r="BV21">
        <f t="shared" si="25"/>
        <v>1991</v>
      </c>
      <c r="BX21">
        <f t="shared" si="26"/>
        <v>865.69540766834359</v>
      </c>
      <c r="BY21" s="13">
        <f t="shared" si="27"/>
        <v>915.39550307600496</v>
      </c>
      <c r="BZ21" s="15"/>
      <c r="CK21" s="280">
        <f t="shared" si="28"/>
        <v>1991</v>
      </c>
      <c r="CL21" s="282">
        <f t="shared" si="29"/>
        <v>22814.960208433124</v>
      </c>
      <c r="CM21" s="280">
        <f t="shared" si="30"/>
        <v>669.56624801138673</v>
      </c>
      <c r="CN21" s="282">
        <f t="shared" si="10"/>
        <v>2561.7378893086825</v>
      </c>
      <c r="CO21" s="280">
        <f t="shared" si="31"/>
        <v>0.12415585878292822</v>
      </c>
      <c r="CP21" s="280">
        <f t="shared" si="32"/>
        <v>1991</v>
      </c>
      <c r="CR21" s="280">
        <f t="shared" si="11"/>
        <v>904.49044310135525</v>
      </c>
      <c r="CS21" s="420">
        <f t="shared" si="33"/>
        <v>914.03321049776605</v>
      </c>
      <c r="CT21" s="290">
        <f t="shared" si="34"/>
        <v>914.03321049776605</v>
      </c>
      <c r="DE21" s="2">
        <f t="shared" si="12"/>
        <v>21.107411870370303</v>
      </c>
      <c r="DF21" s="2">
        <f t="shared" si="35"/>
        <v>22.319201114570731</v>
      </c>
      <c r="DH21">
        <f t="shared" si="36"/>
        <v>1991</v>
      </c>
      <c r="DI21">
        <f>Total_stock_SF!BX21</f>
        <v>1911.5195446207103</v>
      </c>
      <c r="DJ21">
        <f t="shared" si="37"/>
        <v>865.69540766834359</v>
      </c>
      <c r="DL21">
        <f t="shared" si="38"/>
        <v>1.0337624427223044</v>
      </c>
      <c r="DM21">
        <f t="shared" si="39"/>
        <v>1.0891139938993208</v>
      </c>
    </row>
    <row r="22" spans="1:117" x14ac:dyDescent="0.2">
      <c r="A22" s="2">
        <f>Total_stock_SF!AN22</f>
        <v>0</v>
      </c>
      <c r="B22">
        <f>Total_stock_SF!J22</f>
        <v>0</v>
      </c>
      <c r="C22">
        <f>[9]National_Calibration!E21</f>
        <v>95.668999999999997</v>
      </c>
      <c r="D22">
        <f t="shared" si="8"/>
        <v>1992</v>
      </c>
      <c r="E22" s="341">
        <f>'Comps Ann'!D34+'Comps Ann'!E34</f>
        <v>194.1</v>
      </c>
      <c r="F22">
        <f t="shared" si="7"/>
        <v>186.33599999999998</v>
      </c>
      <c r="G22" s="24">
        <f>Survival_curve_MF!Z139</f>
        <v>-105.30821489167647</v>
      </c>
      <c r="H22">
        <f t="shared" si="5"/>
        <v>81.027785108323513</v>
      </c>
      <c r="I22" s="2">
        <f t="shared" si="6"/>
        <v>70614.665782320779</v>
      </c>
      <c r="L22">
        <f>AVERAGE(L21,L23)</f>
        <v>1369</v>
      </c>
      <c r="O22" s="2"/>
      <c r="S22" s="2"/>
      <c r="T22" s="2"/>
      <c r="U22" s="2"/>
      <c r="V22" s="2"/>
      <c r="W22" s="2"/>
      <c r="Y22" s="2"/>
      <c r="Z22" s="12">
        <f>AVERAGE(Z21,Z23)</f>
        <v>0.15829177451289414</v>
      </c>
      <c r="AI22" s="24">
        <f t="shared" si="40"/>
        <v>63.428205528953605</v>
      </c>
      <c r="AJ22" s="2">
        <f t="shared" si="43"/>
        <v>29226.13219586734</v>
      </c>
      <c r="AK22" s="24">
        <f t="shared" si="41"/>
        <v>-54.192034016881387</v>
      </c>
      <c r="AL22">
        <f t="shared" si="44"/>
        <v>179</v>
      </c>
      <c r="AM22" s="2">
        <f t="shared" si="45"/>
        <v>29350.94016185046</v>
      </c>
      <c r="AN22" s="2"/>
      <c r="AO22" s="2"/>
      <c r="AQ22">
        <f t="shared" si="13"/>
        <v>-1.854232152708332E-3</v>
      </c>
      <c r="AS22">
        <f t="shared" si="14"/>
        <v>1992</v>
      </c>
      <c r="AU22" s="2">
        <f t="shared" si="15"/>
        <v>29350.94016185046</v>
      </c>
      <c r="AV22" s="2">
        <f t="shared" si="16"/>
        <v>27981.94016185046</v>
      </c>
      <c r="AW22">
        <f t="shared" si="17"/>
        <v>1992</v>
      </c>
      <c r="AX22" s="13">
        <f t="shared" si="9"/>
        <v>24704.927760009377</v>
      </c>
      <c r="BD22" s="280">
        <f t="shared" si="3"/>
        <v>1992</v>
      </c>
      <c r="BE22">
        <f>'Comps Ann_2015'!E34</f>
        <v>963.6</v>
      </c>
      <c r="BF22" s="341">
        <f>'Comps Ann'!D34+'Comps Ann'!E34</f>
        <v>194.1</v>
      </c>
      <c r="BG22" s="2">
        <f>SFTotalMedAvgSqFt_2012!I28</f>
        <v>2095</v>
      </c>
      <c r="BH22">
        <f t="shared" si="18"/>
        <v>406639.5</v>
      </c>
      <c r="BI22" s="2">
        <f t="shared" si="4"/>
        <v>6666440.5</v>
      </c>
      <c r="BJ22">
        <f t="shared" si="19"/>
        <v>3444.3999999999996</v>
      </c>
      <c r="BK22">
        <f t="shared" si="2"/>
        <v>1935.4431831378472</v>
      </c>
      <c r="BL22">
        <f t="shared" si="42"/>
        <v>22752.60703943855</v>
      </c>
      <c r="BM22" s="2">
        <f>BM$15+SUM(AK$15:AK22)</f>
        <v>22874.69944242213</v>
      </c>
      <c r="BN22">
        <f t="shared" si="20"/>
        <v>885.84258532876811</v>
      </c>
      <c r="BO22">
        <f t="shared" si="21"/>
        <v>20263382.892693751</v>
      </c>
      <c r="BP22">
        <f t="shared" si="22"/>
        <v>0.13087073923388823</v>
      </c>
      <c r="BQ22">
        <f t="shared" si="23"/>
        <v>-279627.16805558588</v>
      </c>
      <c r="BR22">
        <f t="shared" si="24"/>
        <v>878.30619541747637</v>
      </c>
      <c r="BV22">
        <f t="shared" si="25"/>
        <v>1992</v>
      </c>
      <c r="BX22">
        <f t="shared" si="26"/>
        <v>878.30619541747637</v>
      </c>
      <c r="BY22" s="13">
        <f t="shared" si="27"/>
        <v>921.7008969505714</v>
      </c>
      <c r="BZ22" s="15"/>
      <c r="CK22" s="280">
        <f t="shared" si="28"/>
        <v>1992</v>
      </c>
      <c r="CL22" s="282">
        <f t="shared" si="29"/>
        <v>22752.60703943855</v>
      </c>
      <c r="CM22" s="280">
        <f t="shared" si="30"/>
        <v>652.48538966610772</v>
      </c>
      <c r="CN22" s="282">
        <f t="shared" si="10"/>
        <v>2584.0614024633614</v>
      </c>
      <c r="CO22" s="280">
        <f t="shared" si="31"/>
        <v>0.13087073923388823</v>
      </c>
      <c r="CP22" s="280">
        <f t="shared" si="32"/>
        <v>1992</v>
      </c>
      <c r="CR22" s="280">
        <f t="shared" si="11"/>
        <v>905.27217034733064</v>
      </c>
      <c r="CS22" s="420">
        <f t="shared" si="33"/>
        <v>914.61950593224753</v>
      </c>
      <c r="CT22" s="290">
        <f t="shared" si="34"/>
        <v>914.61950593224753</v>
      </c>
      <c r="DE22" s="2">
        <f t="shared" si="12"/>
        <v>21.69849110895743</v>
      </c>
      <c r="DF22" s="2">
        <f t="shared" si="35"/>
        <v>22.770554075499714</v>
      </c>
      <c r="DH22">
        <f t="shared" si="36"/>
        <v>1992</v>
      </c>
      <c r="DI22">
        <f>Total_stock_SF!BX22</f>
        <v>1927.3581296870789</v>
      </c>
      <c r="DJ22">
        <f t="shared" si="37"/>
        <v>878.30619541747637</v>
      </c>
      <c r="DL22">
        <f t="shared" si="38"/>
        <v>1.0423280545328408</v>
      </c>
      <c r="DM22">
        <f t="shared" si="39"/>
        <v>1.1049793725186521</v>
      </c>
    </row>
    <row r="23" spans="1:117" x14ac:dyDescent="0.2">
      <c r="A23" s="2">
        <f>Total_stock_SF!AN23</f>
        <v>70362</v>
      </c>
      <c r="B23">
        <f>Total_stock_SF!J23</f>
        <v>64293</v>
      </c>
      <c r="C23">
        <f>[9]National_Calibration!E22</f>
        <v>96.426000000000002</v>
      </c>
      <c r="D23">
        <f t="shared" si="8"/>
        <v>1993</v>
      </c>
      <c r="E23" s="341">
        <f>'Comps Ann'!D35+'Comps Ann'!E35</f>
        <v>153.4</v>
      </c>
      <c r="F23">
        <f t="shared" si="7"/>
        <v>147.26400000000001</v>
      </c>
      <c r="G23" s="24">
        <f>Survival_curve_MF!Z140</f>
        <v>-109.28225802065572</v>
      </c>
      <c r="H23">
        <f t="shared" si="5"/>
        <v>37.981741979344292</v>
      </c>
      <c r="I23" s="2">
        <f t="shared" si="6"/>
        <v>70652.647524300119</v>
      </c>
      <c r="J23" s="2">
        <f>94724-5655-B23</f>
        <v>24776</v>
      </c>
      <c r="K23">
        <f>2651+889</f>
        <v>3540</v>
      </c>
      <c r="L23">
        <f>388+195+624+70</f>
        <v>1277</v>
      </c>
      <c r="M23">
        <f>K23-K$29</f>
        <v>-150</v>
      </c>
      <c r="N23">
        <f>L23-L$29</f>
        <v>-222</v>
      </c>
      <c r="O23" s="2">
        <f>I23-N23</f>
        <v>70874.647524300119</v>
      </c>
      <c r="P23">
        <f>D23</f>
        <v>1993</v>
      </c>
      <c r="Q23" s="2">
        <f>O23</f>
        <v>70874.647524300119</v>
      </c>
      <c r="R23" s="2">
        <f>J23</f>
        <v>24776</v>
      </c>
      <c r="S23" s="2">
        <f>R23+L23</f>
        <v>26053</v>
      </c>
      <c r="T23" s="2"/>
      <c r="U23" s="2"/>
      <c r="V23" s="2"/>
      <c r="W23" s="2"/>
      <c r="X23" s="2">
        <f>106611-7072-A23</f>
        <v>29177</v>
      </c>
      <c r="Y23" s="2">
        <f>X23-R23</f>
        <v>4401</v>
      </c>
      <c r="Z23" s="12">
        <f>Y23/X23</f>
        <v>0.15083798882681565</v>
      </c>
      <c r="AI23" s="24">
        <f t="shared" si="40"/>
        <v>51.809790982191373</v>
      </c>
      <c r="AJ23" s="2">
        <f t="shared" si="43"/>
        <v>29350.94016185046</v>
      </c>
      <c r="AK23" s="24">
        <f t="shared" si="41"/>
        <v>-44.454480559999823</v>
      </c>
      <c r="AL23">
        <f t="shared" si="44"/>
        <v>139</v>
      </c>
      <c r="AM23" s="2">
        <f t="shared" si="45"/>
        <v>29445.485681290462</v>
      </c>
      <c r="AN23" s="2">
        <f>X23</f>
        <v>29177</v>
      </c>
      <c r="AO23" s="2">
        <f t="shared" si="46"/>
        <v>-268.4856812904618</v>
      </c>
      <c r="AP23">
        <f>AO23*AO23</f>
        <v>72084.561058003426</v>
      </c>
      <c r="AQ23">
        <f t="shared" si="13"/>
        <v>-1.5145845521425758E-3</v>
      </c>
      <c r="AS23">
        <f t="shared" si="14"/>
        <v>1993</v>
      </c>
      <c r="AT23" s="2">
        <f>AN23</f>
        <v>29177</v>
      </c>
      <c r="AU23" s="2">
        <f t="shared" si="15"/>
        <v>29445.485681290462</v>
      </c>
      <c r="AV23" s="2">
        <f t="shared" si="16"/>
        <v>28168.485681290462</v>
      </c>
      <c r="AW23">
        <f t="shared" si="17"/>
        <v>1993</v>
      </c>
      <c r="AX23" s="13">
        <f t="shared" si="9"/>
        <v>25003.987841095812</v>
      </c>
      <c r="AY23" s="2">
        <f>R23</f>
        <v>24776</v>
      </c>
      <c r="AZ23">
        <f>10732+5521+5025+3826+4072</f>
        <v>29176</v>
      </c>
      <c r="BD23" s="280">
        <f t="shared" si="3"/>
        <v>1993</v>
      </c>
      <c r="BE23">
        <f>'Comps Ann_2015'!E35</f>
        <v>1039.4000000000001</v>
      </c>
      <c r="BF23" s="341">
        <f>'Comps Ann'!D35+'Comps Ann'!E35</f>
        <v>153.4</v>
      </c>
      <c r="BG23" s="2">
        <f>SFTotalMedAvgSqFt_2012!I29</f>
        <v>2095</v>
      </c>
      <c r="BH23">
        <f t="shared" si="18"/>
        <v>321373</v>
      </c>
      <c r="BI23" s="2">
        <f t="shared" si="4"/>
        <v>6987813.5</v>
      </c>
      <c r="BJ23">
        <f t="shared" si="19"/>
        <v>3597.7999999999997</v>
      </c>
      <c r="BK23">
        <f t="shared" si="2"/>
        <v>1942.2462338095504</v>
      </c>
      <c r="BL23">
        <f t="shared" si="42"/>
        <v>22701.815141214312</v>
      </c>
      <c r="BM23" s="2">
        <f>BM$15+SUM(AK$15:AK23)</f>
        <v>22830.244961862132</v>
      </c>
      <c r="BN23">
        <f t="shared" si="20"/>
        <v>898.83980127811697</v>
      </c>
      <c r="BO23">
        <f t="shared" si="21"/>
        <v>20520732.844650891</v>
      </c>
      <c r="BP23">
        <f t="shared" si="22"/>
        <v>0.13613568484509259</v>
      </c>
      <c r="BQ23">
        <f t="shared" si="23"/>
        <v>-293107.31865162402</v>
      </c>
      <c r="BR23">
        <f t="shared" si="24"/>
        <v>891.01357755648155</v>
      </c>
      <c r="BV23">
        <f t="shared" si="25"/>
        <v>1993</v>
      </c>
      <c r="BX23">
        <f t="shared" si="26"/>
        <v>891.01357755648155</v>
      </c>
      <c r="BY23" s="13">
        <f t="shared" si="27"/>
        <v>928.05458802007388</v>
      </c>
      <c r="BZ23" s="15"/>
      <c r="CK23" s="280">
        <f t="shared" si="28"/>
        <v>1993</v>
      </c>
      <c r="CL23" s="282">
        <f t="shared" si="29"/>
        <v>22701.815141214312</v>
      </c>
      <c r="CM23" s="280">
        <f t="shared" si="30"/>
        <v>635.40453132082882</v>
      </c>
      <c r="CN23" s="282">
        <f t="shared" si="10"/>
        <v>2606.3849156180404</v>
      </c>
      <c r="CO23" s="280">
        <f t="shared" si="31"/>
        <v>0.13613568484509259</v>
      </c>
      <c r="CP23" s="280">
        <f t="shared" si="32"/>
        <v>1993</v>
      </c>
      <c r="CR23" s="280">
        <f t="shared" si="11"/>
        <v>903.72529575337353</v>
      </c>
      <c r="CS23" s="420">
        <f t="shared" si="33"/>
        <v>913.45934998677967</v>
      </c>
      <c r="CT23" s="290">
        <f t="shared" si="34"/>
        <v>913.45934998677967</v>
      </c>
      <c r="DE23" s="2">
        <f t="shared" si="12"/>
        <v>22.278892659473545</v>
      </c>
      <c r="DF23" s="2">
        <f t="shared" si="35"/>
        <v>23.205065634727109</v>
      </c>
      <c r="DH23">
        <f t="shared" si="36"/>
        <v>1993</v>
      </c>
      <c r="DI23">
        <f>Total_stock_SF!BX23</f>
        <v>1942.5931442659185</v>
      </c>
      <c r="DJ23">
        <f t="shared" si="37"/>
        <v>891.01357755648155</v>
      </c>
      <c r="DL23">
        <f t="shared" si="38"/>
        <v>1.05056725142217</v>
      </c>
      <c r="DM23">
        <f t="shared" si="39"/>
        <v>1.1209662745985567</v>
      </c>
    </row>
    <row r="24" spans="1:117" x14ac:dyDescent="0.2">
      <c r="A24" s="2">
        <f>Total_stock_SF!AN24</f>
        <v>0</v>
      </c>
      <c r="B24">
        <f>Total_stock_SF!J24</f>
        <v>0</v>
      </c>
      <c r="C24">
        <f>[9]National_Calibration!E23</f>
        <v>97.106999999999999</v>
      </c>
      <c r="D24">
        <f t="shared" si="8"/>
        <v>1994</v>
      </c>
      <c r="E24" s="341">
        <f>'Comps Ann'!D36+'Comps Ann'!E36</f>
        <v>186.70000000000002</v>
      </c>
      <c r="F24">
        <f t="shared" si="7"/>
        <v>179.232</v>
      </c>
      <c r="G24" s="24">
        <f>Survival_curve_MF!Z141</f>
        <v>-113.25766681727691</v>
      </c>
      <c r="H24">
        <f t="shared" si="5"/>
        <v>65.974333182723086</v>
      </c>
      <c r="I24" s="2">
        <f t="shared" si="6"/>
        <v>70718.621857482838</v>
      </c>
      <c r="L24">
        <f>AVERAGE(L23,L25)</f>
        <v>1328.5</v>
      </c>
      <c r="O24" s="2"/>
      <c r="S24" s="2"/>
      <c r="T24" s="2"/>
      <c r="U24" s="2"/>
      <c r="V24" s="2"/>
      <c r="W24" s="2"/>
      <c r="Y24" s="2"/>
      <c r="Z24" s="12">
        <f>AVERAGE(Z23,Z25)</f>
        <v>0.14767824359730336</v>
      </c>
      <c r="AI24" s="24">
        <f t="shared" si="40"/>
        <v>50.925265116154883</v>
      </c>
      <c r="AJ24" s="2">
        <f t="shared" si="43"/>
        <v>29445.485681290462</v>
      </c>
      <c r="AK24" s="24">
        <f t="shared" si="41"/>
        <v>-43.836281127227046</v>
      </c>
      <c r="AL24">
        <f t="shared" si="44"/>
        <v>136.04000000000002</v>
      </c>
      <c r="AM24" s="2">
        <f t="shared" si="45"/>
        <v>29537.689400163235</v>
      </c>
      <c r="AN24" s="2"/>
      <c r="AO24" s="2"/>
      <c r="AQ24">
        <f t="shared" si="13"/>
        <v>-1.4887267135512197E-3</v>
      </c>
      <c r="AS24">
        <f t="shared" si="14"/>
        <v>1994</v>
      </c>
      <c r="AU24" s="2">
        <f t="shared" si="15"/>
        <v>29537.689400163235</v>
      </c>
      <c r="AV24" s="2">
        <f t="shared" si="16"/>
        <v>28209.189400163235</v>
      </c>
      <c r="AW24">
        <f t="shared" si="17"/>
        <v>1994</v>
      </c>
      <c r="AX24" s="13">
        <f t="shared" si="9"/>
        <v>25175.615309624442</v>
      </c>
      <c r="BD24" s="280">
        <f t="shared" si="3"/>
        <v>1994</v>
      </c>
      <c r="BE24">
        <f>'Comps Ann_2015'!E36</f>
        <v>1160.3</v>
      </c>
      <c r="BF24" s="341">
        <f>'Comps Ann'!D36+'Comps Ann'!E36</f>
        <v>186.70000000000002</v>
      </c>
      <c r="BG24" s="2">
        <f>SFTotalMedAvgSqFt_2012!I30</f>
        <v>2100</v>
      </c>
      <c r="BH24">
        <f t="shared" si="18"/>
        <v>392070.00000000006</v>
      </c>
      <c r="BI24" s="2">
        <f t="shared" si="4"/>
        <v>7379883.5</v>
      </c>
      <c r="BJ24">
        <f t="shared" si="19"/>
        <v>3784.4999999999995</v>
      </c>
      <c r="BK24">
        <f t="shared" si="2"/>
        <v>1950.0286695732595</v>
      </c>
      <c r="BL24">
        <f t="shared" si="42"/>
        <v>22651.77639750404</v>
      </c>
      <c r="BM24" s="2">
        <f>BM$15+SUM(AK$15:AK24)</f>
        <v>22786.408680734905</v>
      </c>
      <c r="BN24">
        <f t="shared" si="20"/>
        <v>911.83701722746582</v>
      </c>
      <c r="BO24">
        <f t="shared" si="21"/>
        <v>20777490.924767349</v>
      </c>
      <c r="BP24">
        <f t="shared" si="22"/>
        <v>0.14243020611274507</v>
      </c>
      <c r="BQ24">
        <f t="shared" si="23"/>
        <v>-309552.89013456961</v>
      </c>
      <c r="BR24">
        <f t="shared" si="24"/>
        <v>903.5908564278476</v>
      </c>
      <c r="BV24">
        <f t="shared" si="25"/>
        <v>1994</v>
      </c>
      <c r="BX24">
        <f t="shared" si="26"/>
        <v>903.5908564278476</v>
      </c>
      <c r="BY24" s="13">
        <f t="shared" si="27"/>
        <v>934.34322745575696</v>
      </c>
      <c r="BZ24" s="15"/>
      <c r="CK24" s="280">
        <f t="shared" si="28"/>
        <v>1994</v>
      </c>
      <c r="CL24" s="282">
        <f t="shared" si="29"/>
        <v>22651.77639750404</v>
      </c>
      <c r="CM24" s="280">
        <f t="shared" si="30"/>
        <v>618.32367297554981</v>
      </c>
      <c r="CN24" s="282">
        <f t="shared" si="10"/>
        <v>2628.7084287727198</v>
      </c>
      <c r="CO24" s="280">
        <f t="shared" si="31"/>
        <v>0.14243020611274507</v>
      </c>
      <c r="CP24" s="280">
        <f t="shared" si="32"/>
        <v>1994</v>
      </c>
      <c r="CR24" s="280">
        <f t="shared" si="11"/>
        <v>904.66318810966141</v>
      </c>
      <c r="CS24" s="420">
        <f t="shared" si="33"/>
        <v>914.16276925399563</v>
      </c>
      <c r="CT24" s="290">
        <f t="shared" si="34"/>
        <v>914.16276925399563</v>
      </c>
      <c r="DE24" s="2">
        <f t="shared" si="12"/>
        <v>22.748455798721579</v>
      </c>
      <c r="DF24" s="2">
        <f t="shared" si="35"/>
        <v>23.522665661579065</v>
      </c>
      <c r="DH24">
        <f t="shared" si="36"/>
        <v>1994</v>
      </c>
      <c r="DI24">
        <f>Total_stock_SF!BX24</f>
        <v>1958.9665470585048</v>
      </c>
      <c r="DJ24">
        <f t="shared" si="37"/>
        <v>903.5908564278476</v>
      </c>
      <c r="DL24">
        <f t="shared" si="38"/>
        <v>1.0594220962047793</v>
      </c>
      <c r="DM24">
        <f t="shared" si="39"/>
        <v>1.1367894963722212</v>
      </c>
    </row>
    <row r="25" spans="1:117" x14ac:dyDescent="0.2">
      <c r="A25" s="2">
        <f>Total_stock_SF!AN25</f>
        <v>72402</v>
      </c>
      <c r="B25">
        <f>Total_stock_SF!J25</f>
        <v>66371</v>
      </c>
      <c r="C25">
        <f>[9]National_Calibration!E24</f>
        <v>98.990000000000009</v>
      </c>
      <c r="D25">
        <f t="shared" si="8"/>
        <v>1995</v>
      </c>
      <c r="E25" s="341">
        <f>'Comps Ann'!D37+'Comps Ann'!E37</f>
        <v>247.10000000000002</v>
      </c>
      <c r="F25">
        <f t="shared" si="7"/>
        <v>237.21600000000001</v>
      </c>
      <c r="G25" s="24">
        <f>Survival_curve_MF!Z142</f>
        <v>-117.22919455175725</v>
      </c>
      <c r="H25">
        <f t="shared" si="5"/>
        <v>119.98680544824276</v>
      </c>
      <c r="I25" s="2">
        <f t="shared" si="6"/>
        <v>70838.608662931074</v>
      </c>
      <c r="J25" s="2">
        <f>97693-6164-B25</f>
        <v>25158</v>
      </c>
      <c r="K25">
        <f>2666+917</f>
        <v>3583</v>
      </c>
      <c r="L25">
        <f>482+197+624+77</f>
        <v>1380</v>
      </c>
      <c r="M25">
        <f>K25-K$29</f>
        <v>-107</v>
      </c>
      <c r="N25">
        <f>L25-L$29</f>
        <v>-119</v>
      </c>
      <c r="O25" s="2">
        <f>I25-N25</f>
        <v>70957.608662931074</v>
      </c>
      <c r="P25">
        <f>D25</f>
        <v>1995</v>
      </c>
      <c r="Q25" s="2">
        <f>O25</f>
        <v>70957.608662931074</v>
      </c>
      <c r="R25" s="2">
        <f>J25</f>
        <v>25158</v>
      </c>
      <c r="S25" s="2">
        <f>R25+L25</f>
        <v>26538</v>
      </c>
      <c r="T25" s="2"/>
      <c r="U25" s="2"/>
      <c r="V25" s="2"/>
      <c r="W25" s="2"/>
      <c r="X25" s="2">
        <f>109457-7647-A25</f>
        <v>29408</v>
      </c>
      <c r="Y25" s="2">
        <f>X25-R25</f>
        <v>4250</v>
      </c>
      <c r="Z25" s="12">
        <f>Y25/X25</f>
        <v>0.14451849836779107</v>
      </c>
      <c r="AI25" s="24">
        <f t="shared" si="40"/>
        <v>61.869930932825064</v>
      </c>
      <c r="AJ25" s="2">
        <f t="shared" si="43"/>
        <v>29537.689400163235</v>
      </c>
      <c r="AK25" s="24">
        <f t="shared" si="41"/>
        <v>-53.424176114753401</v>
      </c>
      <c r="AL25">
        <f t="shared" si="44"/>
        <v>173.52000000000004</v>
      </c>
      <c r="AM25" s="2">
        <f t="shared" si="45"/>
        <v>29657.785224048483</v>
      </c>
      <c r="AN25" s="2">
        <f>X25</f>
        <v>29408</v>
      </c>
      <c r="AO25" s="2">
        <f t="shared" si="46"/>
        <v>-249.78522404848263</v>
      </c>
      <c r="AP25">
        <f>AO25*AO25</f>
        <v>62392.658152950666</v>
      </c>
      <c r="AQ25">
        <f t="shared" si="13"/>
        <v>-1.808678241245849E-3</v>
      </c>
      <c r="AS25">
        <f t="shared" si="14"/>
        <v>1995</v>
      </c>
      <c r="AT25" s="2">
        <f>AN25</f>
        <v>29408</v>
      </c>
      <c r="AU25" s="2">
        <f t="shared" si="15"/>
        <v>29657.785224048483</v>
      </c>
      <c r="AV25" s="2">
        <f t="shared" si="16"/>
        <v>28277.785224048483</v>
      </c>
      <c r="AW25">
        <f t="shared" si="17"/>
        <v>1995</v>
      </c>
      <c r="AX25" s="13">
        <f t="shared" si="9"/>
        <v>25371.686638554533</v>
      </c>
      <c r="AY25" s="2">
        <f>R25</f>
        <v>25158</v>
      </c>
      <c r="BD25" s="280">
        <f t="shared" si="3"/>
        <v>1995</v>
      </c>
      <c r="BE25">
        <f>'Comps Ann_2015'!E37</f>
        <v>1065.5</v>
      </c>
      <c r="BF25" s="341">
        <f>'Comps Ann'!D37+'Comps Ann'!E37</f>
        <v>247.10000000000002</v>
      </c>
      <c r="BG25" s="2">
        <f>SFTotalMedAvgSqFt_2012!I31</f>
        <v>2095</v>
      </c>
      <c r="BH25">
        <f t="shared" si="18"/>
        <v>517674.50000000006</v>
      </c>
      <c r="BI25" s="2">
        <f t="shared" si="4"/>
        <v>7897558</v>
      </c>
      <c r="BJ25">
        <f t="shared" si="19"/>
        <v>4031.5999999999995</v>
      </c>
      <c r="BK25">
        <f t="shared" si="2"/>
        <v>1958.9140787776569</v>
      </c>
      <c r="BL25">
        <f t="shared" si="42"/>
        <v>22590.440935683535</v>
      </c>
      <c r="BM25" s="2">
        <f>BM$15+SUM(AK$15:AK25)</f>
        <v>22732.984504620152</v>
      </c>
      <c r="BN25">
        <f>BN$27+$BN$6*(BV25-BV$27)</f>
        <v>924.83423317681468</v>
      </c>
      <c r="BO25">
        <f t="shared" si="21"/>
        <v>21024242.292150788</v>
      </c>
      <c r="BP25">
        <f t="shared" si="22"/>
        <v>0.15063189190566575</v>
      </c>
      <c r="BQ25">
        <f t="shared" si="23"/>
        <v>-331267.00494735333</v>
      </c>
      <c r="BR25">
        <f t="shared" si="24"/>
        <v>916.00581618206081</v>
      </c>
      <c r="BV25">
        <f t="shared" si="25"/>
        <v>1995</v>
      </c>
      <c r="BX25">
        <f t="shared" si="26"/>
        <v>916.00581618206081</v>
      </c>
      <c r="BY25" s="13">
        <f t="shared" si="27"/>
        <v>940.55070733286357</v>
      </c>
      <c r="BZ25" s="15"/>
      <c r="CK25" s="280">
        <f t="shared" si="28"/>
        <v>1995</v>
      </c>
      <c r="CL25" s="282">
        <f t="shared" si="29"/>
        <v>22590.440935683535</v>
      </c>
      <c r="CM25" s="280">
        <f t="shared" si="30"/>
        <v>601.24281463027091</v>
      </c>
      <c r="CN25" s="282">
        <f t="shared" si="10"/>
        <v>2651.0319419273983</v>
      </c>
      <c r="CO25" s="280">
        <f t="shared" si="31"/>
        <v>0.15063189190566575</v>
      </c>
      <c r="CP25" s="280">
        <f t="shared" si="32"/>
        <v>1995</v>
      </c>
      <c r="CR25" s="280">
        <f t="shared" si="11"/>
        <v>910.00642888270067</v>
      </c>
      <c r="CS25" s="420">
        <f t="shared" si="33"/>
        <v>918.17019983377509</v>
      </c>
      <c r="CT25" s="290">
        <f t="shared" si="34"/>
        <v>918.17019983377509</v>
      </c>
      <c r="DE25" s="2">
        <f t="shared" si="12"/>
        <v>23.240612527264631</v>
      </c>
      <c r="DF25" s="2">
        <f t="shared" si="35"/>
        <v>23.863357814120228</v>
      </c>
      <c r="DH25">
        <f t="shared" si="36"/>
        <v>1995</v>
      </c>
      <c r="DI25">
        <f>Total_stock_SF!BX25</f>
        <v>1971.0324425429283</v>
      </c>
      <c r="DJ25">
        <f t="shared" si="37"/>
        <v>916.00581618206081</v>
      </c>
      <c r="DL25">
        <f t="shared" si="38"/>
        <v>1.0659474124772239</v>
      </c>
      <c r="DM25">
        <f t="shared" si="39"/>
        <v>1.1524085077268367</v>
      </c>
    </row>
    <row r="26" spans="1:117" x14ac:dyDescent="0.2">
      <c r="A26" s="2">
        <f>Total_stock_SF!AN26</f>
        <v>0</v>
      </c>
      <c r="B26">
        <f>Total_stock_SF!J26</f>
        <v>0</v>
      </c>
      <c r="C26">
        <f>[9]National_Calibration!E25</f>
        <v>99.626999999999995</v>
      </c>
      <c r="D26">
        <f t="shared" si="8"/>
        <v>1996</v>
      </c>
      <c r="E26" s="341">
        <f>'Comps Ann'!D38+'Comps Ann'!E38</f>
        <v>284.40000000000003</v>
      </c>
      <c r="F26">
        <f t="shared" si="7"/>
        <v>273.024</v>
      </c>
      <c r="G26" s="24">
        <f>Survival_curve_MF!Z143</f>
        <v>-121.19197355455617</v>
      </c>
      <c r="H26">
        <f t="shared" si="5"/>
        <v>151.83202644544383</v>
      </c>
      <c r="I26" s="2">
        <f t="shared" si="6"/>
        <v>70990.440689376512</v>
      </c>
      <c r="L26">
        <f>AVERAGE(L25,L27)</f>
        <v>1507</v>
      </c>
      <c r="O26" s="2"/>
      <c r="S26" s="2"/>
      <c r="T26" s="2"/>
      <c r="U26" s="2"/>
      <c r="V26" s="2"/>
      <c r="W26" s="2"/>
      <c r="Y26" s="2"/>
      <c r="Z26" s="12">
        <f>AVERAGE(Z25,Z27)</f>
        <v>0.14386578954992676</v>
      </c>
      <c r="AI26" s="24">
        <f t="shared" si="40"/>
        <v>72.786461734699927</v>
      </c>
      <c r="AJ26" s="2">
        <f t="shared" si="43"/>
        <v>29657.785224048483</v>
      </c>
      <c r="AK26" s="24">
        <f t="shared" si="41"/>
        <v>-63.106051377847884</v>
      </c>
      <c r="AL26">
        <f t="shared" si="44"/>
        <v>212.60000000000002</v>
      </c>
      <c r="AM26" s="2">
        <f t="shared" si="45"/>
        <v>29807.279172670635</v>
      </c>
      <c r="AN26" s="2"/>
      <c r="AO26" s="2"/>
      <c r="AQ26">
        <f t="shared" si="13"/>
        <v>-2.1278072823414118E-3</v>
      </c>
      <c r="AS26">
        <f t="shared" si="14"/>
        <v>1996</v>
      </c>
      <c r="AU26" s="2">
        <f t="shared" si="15"/>
        <v>29807.279172670635</v>
      </c>
      <c r="AV26" s="2">
        <f t="shared" si="16"/>
        <v>28300.279172670635</v>
      </c>
      <c r="AW26">
        <f t="shared" si="17"/>
        <v>1996</v>
      </c>
      <c r="AX26" s="13">
        <f t="shared" si="9"/>
        <v>25519.031420159285</v>
      </c>
      <c r="BD26" s="280">
        <f t="shared" si="3"/>
        <v>1996</v>
      </c>
      <c r="BE26">
        <f>'Comps Ann_2015'!E38</f>
        <v>1128.5</v>
      </c>
      <c r="BF26" s="341">
        <f>'Comps Ann'!D38+'Comps Ann'!E38</f>
        <v>284.40000000000003</v>
      </c>
      <c r="BG26" s="2">
        <f>SFTotalMedAvgSqFt_2012!I32</f>
        <v>2120</v>
      </c>
      <c r="BH26">
        <f t="shared" si="18"/>
        <v>602928.00000000012</v>
      </c>
      <c r="BI26" s="2">
        <f t="shared" si="4"/>
        <v>8500486</v>
      </c>
      <c r="BJ26">
        <f t="shared" si="19"/>
        <v>4315.9999999999991</v>
      </c>
      <c r="BK26">
        <f t="shared" si="2"/>
        <v>1969.5287303058392</v>
      </c>
      <c r="BL26">
        <f t="shared" si="42"/>
        <v>22517.641826784697</v>
      </c>
      <c r="BM26" s="2">
        <f>BM$15+SUM(AK$15:AK26)</f>
        <v>22669.878453242301</v>
      </c>
      <c r="BN26">
        <f>BN$27+$BN$6*(BV26-BV$27)</f>
        <v>937.83144912616353</v>
      </c>
      <c r="BO26">
        <f t="shared" si="21"/>
        <v>21260524.961318217</v>
      </c>
      <c r="BP26">
        <f t="shared" si="22"/>
        <v>0.15993550135780146</v>
      </c>
      <c r="BQ26">
        <f t="shared" si="23"/>
        <v>-356557.12029172917</v>
      </c>
      <c r="BR26">
        <f t="shared" si="24"/>
        <v>928.33734552795192</v>
      </c>
      <c r="BV26">
        <f t="shared" si="25"/>
        <v>1996</v>
      </c>
      <c r="BX26">
        <f t="shared" si="26"/>
        <v>928.33734552795192</v>
      </c>
      <c r="BY26" s="13">
        <f t="shared" si="27"/>
        <v>946.71647200580912</v>
      </c>
      <c r="BZ26" s="15"/>
      <c r="CK26" s="280">
        <f t="shared" si="28"/>
        <v>1996</v>
      </c>
      <c r="CL26" s="282">
        <f t="shared" si="29"/>
        <v>22517.641826784697</v>
      </c>
      <c r="CM26" s="280">
        <f t="shared" si="30"/>
        <v>584.1619562849919</v>
      </c>
      <c r="CN26" s="282">
        <f t="shared" si="10"/>
        <v>2674.3759443270715</v>
      </c>
      <c r="CO26" s="280">
        <f t="shared" si="31"/>
        <v>0.15993550135780146</v>
      </c>
      <c r="CP26" s="280">
        <f t="shared" si="32"/>
        <v>1996</v>
      </c>
      <c r="CR26" s="280">
        <f t="shared" si="11"/>
        <v>918.46137840759161</v>
      </c>
      <c r="CS26" s="420">
        <f t="shared" si="33"/>
        <v>924.51141197744323</v>
      </c>
      <c r="CT26" s="290">
        <f t="shared" si="34"/>
        <v>924.51141197744323</v>
      </c>
      <c r="DE26" s="2">
        <f t="shared" si="12"/>
        <v>23.690269889035072</v>
      </c>
      <c r="DF26" s="2">
        <f t="shared" si="35"/>
        <v>24.159287395098588</v>
      </c>
      <c r="DH26">
        <f t="shared" si="36"/>
        <v>1996</v>
      </c>
      <c r="DI26">
        <f>Total_stock_SF!BX26</f>
        <v>1985.8302610578116</v>
      </c>
      <c r="DJ26">
        <f t="shared" si="37"/>
        <v>928.33734552795192</v>
      </c>
      <c r="DL26">
        <f t="shared" si="38"/>
        <v>1.0739501708366435</v>
      </c>
      <c r="DM26">
        <f t="shared" si="39"/>
        <v>1.1679225569615019</v>
      </c>
    </row>
    <row r="27" spans="1:117" x14ac:dyDescent="0.2">
      <c r="A27" s="2">
        <f>Total_stock_SF!AN27</f>
        <v>74887</v>
      </c>
      <c r="B27">
        <f>Total_stock_SF!J27</f>
        <v>67951.38235187353</v>
      </c>
      <c r="C27">
        <f>[9]National_Calibration!E26</f>
        <v>101.018</v>
      </c>
      <c r="D27">
        <f t="shared" si="8"/>
        <v>1997</v>
      </c>
      <c r="E27" s="341">
        <f>'Comps Ann'!D39+'Comps Ann'!E39</f>
        <v>284.10000000000002</v>
      </c>
      <c r="F27">
        <f t="shared" si="7"/>
        <v>272.73599999999999</v>
      </c>
      <c r="G27" s="24">
        <f>Survival_curve_MF!Z144</f>
        <v>-125.14155098702395</v>
      </c>
      <c r="H27">
        <f t="shared" si="5"/>
        <v>147.59444901297604</v>
      </c>
      <c r="I27" s="2">
        <f t="shared" si="6"/>
        <v>71138.035138389489</v>
      </c>
      <c r="J27" s="2">
        <f>99487-6544-B27</f>
        <v>24991.61764812647</v>
      </c>
      <c r="K27">
        <f>2884+1043</f>
        <v>3927</v>
      </c>
      <c r="L27">
        <f>574+280+682+98</f>
        <v>1634</v>
      </c>
      <c r="M27">
        <f>K27-K$29</f>
        <v>237</v>
      </c>
      <c r="N27">
        <f>L27-L$29</f>
        <v>135</v>
      </c>
      <c r="O27" s="2">
        <f>I27-N27</f>
        <v>71003.035138389489</v>
      </c>
      <c r="P27">
        <f>D27</f>
        <v>1997</v>
      </c>
      <c r="Q27" s="2">
        <f>O27</f>
        <v>71003.035138389489</v>
      </c>
      <c r="R27" s="2">
        <f>J27</f>
        <v>24991.61764812647</v>
      </c>
      <c r="S27" s="2">
        <f>R27+L27</f>
        <v>26625.61764812647</v>
      </c>
      <c r="T27" s="2"/>
      <c r="U27" s="2"/>
      <c r="V27" s="2"/>
      <c r="W27" s="2"/>
      <c r="X27" s="2">
        <f>112357-8301-A27</f>
        <v>29169</v>
      </c>
      <c r="Y27" s="2">
        <f>X27-R27</f>
        <v>4177.3823518735298</v>
      </c>
      <c r="Z27" s="12">
        <f>Y27/X27</f>
        <v>0.14321308073206246</v>
      </c>
      <c r="AI27" s="24">
        <f t="shared" si="40"/>
        <v>76.81258278294176</v>
      </c>
      <c r="AJ27" s="2">
        <f t="shared" si="43"/>
        <v>29807.279172670635</v>
      </c>
      <c r="AK27" s="24">
        <f t="shared" si="41"/>
        <v>-66.932398212153387</v>
      </c>
      <c r="AL27">
        <f t="shared" si="44"/>
        <v>227.4</v>
      </c>
      <c r="AM27" s="2">
        <f t="shared" si="45"/>
        <v>29967.746774458483</v>
      </c>
      <c r="AN27" s="2">
        <f>X27</f>
        <v>29169</v>
      </c>
      <c r="AO27" s="2">
        <f t="shared" si="46"/>
        <v>-798.74677445848283</v>
      </c>
      <c r="AP27">
        <f>AO27*AO27</f>
        <v>637996.4097078304</v>
      </c>
      <c r="AQ27">
        <f t="shared" si="13"/>
        <v>-2.2455051272684298E-3</v>
      </c>
      <c r="AS27">
        <f t="shared" si="14"/>
        <v>1997</v>
      </c>
      <c r="AT27" s="2">
        <f>AN27</f>
        <v>29169</v>
      </c>
      <c r="AU27" s="2">
        <f t="shared" si="15"/>
        <v>29967.746774458483</v>
      </c>
      <c r="AV27" s="2">
        <f t="shared" si="16"/>
        <v>28333.746774458483</v>
      </c>
      <c r="AW27">
        <f t="shared" si="17"/>
        <v>1997</v>
      </c>
      <c r="AX27" s="13">
        <f t="shared" si="9"/>
        <v>25675.973436289958</v>
      </c>
      <c r="AY27" s="2">
        <f>R27</f>
        <v>24991.61764812647</v>
      </c>
      <c r="BC27">
        <f>AHS_tables!CF$34</f>
        <v>809.06447582775183</v>
      </c>
      <c r="BD27" s="280">
        <f t="shared" si="3"/>
        <v>1997</v>
      </c>
      <c r="BE27">
        <f>'Comps Ann_2015'!E39</f>
        <v>1116.4000000000001</v>
      </c>
      <c r="BF27" s="341">
        <f>'Comps Ann'!D39+'Comps Ann'!E39</f>
        <v>284.10000000000002</v>
      </c>
      <c r="BG27" s="2">
        <f>SFTotalMedAvgSqFt_2012!I33</f>
        <v>2150</v>
      </c>
      <c r="BH27">
        <f t="shared" si="18"/>
        <v>610815</v>
      </c>
      <c r="BI27" s="2">
        <f t="shared" si="4"/>
        <v>9111301</v>
      </c>
      <c r="BJ27">
        <f t="shared" si="19"/>
        <v>4600.0999999999995</v>
      </c>
      <c r="BK27">
        <f t="shared" si="2"/>
        <v>1980.674550553249</v>
      </c>
      <c r="BL27">
        <f t="shared" si="42"/>
        <v>22440.341595645576</v>
      </c>
      <c r="BM27" s="2">
        <f>BM$15+SUM(AK$15:AK27)</f>
        <v>22602.946055030148</v>
      </c>
      <c r="BN27" s="27">
        <f>BN$5</f>
        <v>950.82866507551239</v>
      </c>
      <c r="BO27">
        <f t="shared" si="21"/>
        <v>21491529.024278134</v>
      </c>
      <c r="BP27">
        <f t="shared" si="22"/>
        <v>0.16910238620683399</v>
      </c>
      <c r="BQ27">
        <f t="shared" si="23"/>
        <v>-382178.05978048214</v>
      </c>
      <c r="BR27">
        <f t="shared" si="24"/>
        <v>940.68759490692446</v>
      </c>
      <c r="BS27">
        <f>BC27</f>
        <v>809.06447582775183</v>
      </c>
      <c r="BT27">
        <f>(BS27-BR27)^2</f>
        <v>17324.645476130056</v>
      </c>
      <c r="BV27">
        <f t="shared" si="25"/>
        <v>1997</v>
      </c>
      <c r="BW27">
        <f>BS27</f>
        <v>809.06447582775183</v>
      </c>
      <c r="BX27">
        <f t="shared" si="26"/>
        <v>940.68759490692446</v>
      </c>
      <c r="BY27" s="13">
        <f>BX$29+0.5*(BX27-BX$29)</f>
        <v>952.89159669529545</v>
      </c>
      <c r="BZ27" s="15"/>
      <c r="CK27" s="280">
        <f t="shared" si="28"/>
        <v>1997</v>
      </c>
      <c r="CL27" s="282">
        <f t="shared" si="29"/>
        <v>22440.341595645576</v>
      </c>
      <c r="CM27" s="27">
        <f>CM$5</f>
        <v>567.081097939713</v>
      </c>
      <c r="CN27" s="282">
        <f t="shared" si="10"/>
        <v>2697.7199467267446</v>
      </c>
      <c r="CO27" s="280">
        <f t="shared" si="31"/>
        <v>0.16910238620683399</v>
      </c>
      <c r="CP27" s="280">
        <f t="shared" si="32"/>
        <v>1997</v>
      </c>
      <c r="CR27" s="280">
        <f t="shared" si="11"/>
        <v>927.37721141458178</v>
      </c>
      <c r="CS27" s="420">
        <f t="shared" si="33"/>
        <v>931.19828673268592</v>
      </c>
      <c r="CT27" s="290">
        <f t="shared" si="34"/>
        <v>931.19828673268592</v>
      </c>
      <c r="DE27" s="2">
        <f t="shared" si="12"/>
        <v>24.15306969867768</v>
      </c>
      <c r="DF27" s="2">
        <f t="shared" si="35"/>
        <v>24.466419324412328</v>
      </c>
      <c r="DH27">
        <f t="shared" si="36"/>
        <v>1997</v>
      </c>
      <c r="DI27">
        <f>Total_stock_SF!BX27</f>
        <v>1999.5975694016099</v>
      </c>
      <c r="DJ27">
        <f t="shared" si="37"/>
        <v>940.68759490692446</v>
      </c>
      <c r="DL27">
        <f t="shared" si="38"/>
        <v>1.0813956224634644</v>
      </c>
      <c r="DM27">
        <f t="shared" si="39"/>
        <v>1.183460157493557</v>
      </c>
    </row>
    <row r="28" spans="1:117" x14ac:dyDescent="0.2">
      <c r="A28" s="2">
        <f>Total_stock_SF!AN28</f>
        <v>0</v>
      </c>
      <c r="B28">
        <f>Total_stock_SF!J28</f>
        <v>0</v>
      </c>
      <c r="C28">
        <f>[9]National_Calibration!E27</f>
        <v>102.81575000000001</v>
      </c>
      <c r="D28">
        <f t="shared" si="8"/>
        <v>1998</v>
      </c>
      <c r="E28" s="341">
        <f>'Comps Ann'!D40+'Comps Ann'!E40</f>
        <v>314.5</v>
      </c>
      <c r="F28">
        <f t="shared" si="7"/>
        <v>301.92</v>
      </c>
      <c r="G28" s="24">
        <f>Survival_curve_MF!Z145</f>
        <v>-129.07391572022607</v>
      </c>
      <c r="H28">
        <f t="shared" si="5"/>
        <v>172.84608427977395</v>
      </c>
      <c r="I28" s="2">
        <f t="shared" si="6"/>
        <v>71310.881222669268</v>
      </c>
      <c r="L28">
        <f>AVERAGE(L27,L29)</f>
        <v>1566.5</v>
      </c>
      <c r="O28" s="2"/>
      <c r="S28" s="2"/>
      <c r="T28" s="2"/>
      <c r="U28" s="2"/>
      <c r="V28" s="2"/>
      <c r="W28" s="2"/>
      <c r="Y28" s="2"/>
      <c r="Z28" s="12">
        <f>AVERAGE(Z27,Z29)</f>
        <v>0.15306720480619201</v>
      </c>
      <c r="AI28" s="24">
        <f t="shared" si="40"/>
        <v>80.049267657346064</v>
      </c>
      <c r="AJ28" s="2">
        <f t="shared" si="43"/>
        <v>29967.746774458483</v>
      </c>
      <c r="AK28" s="24">
        <f t="shared" si="41"/>
        <v>-70.128271732720677</v>
      </c>
      <c r="AL28">
        <f t="shared" si="44"/>
        <v>239.44000000000003</v>
      </c>
      <c r="AM28" s="2">
        <f t="shared" si="45"/>
        <v>30137.058502725762</v>
      </c>
      <c r="AN28" s="2"/>
      <c r="AO28" s="2"/>
      <c r="AQ28">
        <f t="shared" si="13"/>
        <v>-2.3401249436774811E-3</v>
      </c>
      <c r="AS28">
        <f t="shared" si="14"/>
        <v>1998</v>
      </c>
      <c r="AU28" s="2">
        <f t="shared" si="15"/>
        <v>30137.058502725762</v>
      </c>
      <c r="AV28" s="2">
        <f t="shared" si="16"/>
        <v>28570.558502725762</v>
      </c>
      <c r="AW28">
        <f t="shared" si="17"/>
        <v>1998</v>
      </c>
      <c r="AX28" s="13">
        <f t="shared" si="9"/>
        <v>25524.063196632847</v>
      </c>
      <c r="BD28" s="280">
        <f t="shared" si="3"/>
        <v>1998</v>
      </c>
      <c r="BE28">
        <f>'Comps Ann_2015'!E40</f>
        <v>1159.7</v>
      </c>
      <c r="BF28" s="341">
        <f>'Comps Ann'!D40+'Comps Ann'!E40</f>
        <v>314.5</v>
      </c>
      <c r="BG28" s="2">
        <f>SFTotalMedAvgSqFt_2012!I34</f>
        <v>2190</v>
      </c>
      <c r="BH28">
        <f t="shared" si="18"/>
        <v>688755</v>
      </c>
      <c r="BI28" s="2">
        <f t="shared" si="4"/>
        <v>9800056</v>
      </c>
      <c r="BJ28">
        <f t="shared" si="19"/>
        <v>4914.5999999999995</v>
      </c>
      <c r="BK28">
        <f t="shared" si="2"/>
        <v>1994.0699141333987</v>
      </c>
      <c r="BL28">
        <f t="shared" si="42"/>
        <v>22359.296552074542</v>
      </c>
      <c r="BM28" s="2">
        <f>BM$15+SUM(AK$15:AK28)</f>
        <v>22532.817783297429</v>
      </c>
      <c r="BN28">
        <f>BN$27+$BN$6*(BV28-BV$27)</f>
        <v>963.82588102486125</v>
      </c>
      <c r="BO28">
        <f t="shared" si="21"/>
        <v>21717712.951959305</v>
      </c>
      <c r="BP28">
        <f t="shared" si="22"/>
        <v>0.17905509504761793</v>
      </c>
      <c r="BQ28">
        <f t="shared" si="23"/>
        <v>-411068.2313996731</v>
      </c>
      <c r="BR28">
        <f t="shared" si="24"/>
        <v>952.92106667741996</v>
      </c>
      <c r="BV28">
        <f t="shared" si="25"/>
        <v>1998</v>
      </c>
      <c r="BX28">
        <f t="shared" si="26"/>
        <v>952.92106667741996</v>
      </c>
      <c r="BY28" s="13">
        <f>BX$29+0.5*(BX28-BX$29)</f>
        <v>959.00833258054308</v>
      </c>
      <c r="BZ28" s="15"/>
      <c r="CK28" s="280">
        <f t="shared" si="28"/>
        <v>1998</v>
      </c>
      <c r="CL28" s="282">
        <f t="shared" si="29"/>
        <v>22359.296552074542</v>
      </c>
      <c r="CM28" s="280">
        <f t="shared" ref="CM28:CM39" si="47">CM$27+$CM$6*(CK28-CK$27)</f>
        <v>544.30662014600773</v>
      </c>
      <c r="CN28" s="282">
        <f t="shared" si="10"/>
        <v>2721.0639491264178</v>
      </c>
      <c r="CO28" s="280">
        <f t="shared" si="31"/>
        <v>0.17905509504761793</v>
      </c>
      <c r="CP28" s="280">
        <f t="shared" si="32"/>
        <v>1998</v>
      </c>
      <c r="CR28" s="280">
        <f t="shared" si="11"/>
        <v>934.06611058219391</v>
      </c>
      <c r="CS28" s="420">
        <f t="shared" si="33"/>
        <v>936.21496110839507</v>
      </c>
      <c r="CT28" s="290">
        <f t="shared" si="34"/>
        <v>936.21496110839507</v>
      </c>
      <c r="DE28" s="2">
        <f t="shared" si="12"/>
        <v>24.322417527277249</v>
      </c>
      <c r="DF28" s="2">
        <f t="shared" si="35"/>
        <v>24.477789286883272</v>
      </c>
      <c r="DH28">
        <f t="shared" si="36"/>
        <v>1998</v>
      </c>
      <c r="DI28">
        <f>Total_stock_SF!BX28</f>
        <v>2014.7570219038193</v>
      </c>
      <c r="DJ28">
        <f t="shared" si="37"/>
        <v>952.92106667741996</v>
      </c>
      <c r="DL28">
        <f t="shared" si="38"/>
        <v>1.0895939548807907</v>
      </c>
      <c r="DM28">
        <f t="shared" si="39"/>
        <v>1.1988508424633488</v>
      </c>
    </row>
    <row r="29" spans="1:117" x14ac:dyDescent="0.2">
      <c r="A29" s="2">
        <f>Total_stock_SF!AN29</f>
        <v>78382</v>
      </c>
      <c r="B29">
        <f>Total_stock_SF!J29</f>
        <v>71499.011453219544</v>
      </c>
      <c r="C29">
        <f>[9]National_Calibration!E28</f>
        <v>104.6135</v>
      </c>
      <c r="D29">
        <f t="shared" si="8"/>
        <v>1999</v>
      </c>
      <c r="E29" s="341">
        <f>'Comps Ann'!D41+'Comps Ann'!E41</f>
        <v>334.5</v>
      </c>
      <c r="F29">
        <f t="shared" si="7"/>
        <v>321.12</v>
      </c>
      <c r="G29" s="24">
        <f>Survival_curve_MF!Z146</f>
        <v>-132.9897694497231</v>
      </c>
      <c r="H29">
        <f t="shared" si="5"/>
        <v>188.13023055027691</v>
      </c>
      <c r="I29" s="2">
        <f>AHS_tables!$CR$32</f>
        <v>71499.011453219544</v>
      </c>
      <c r="J29" s="2">
        <f>102803-6785-B29</f>
        <v>24518.988546780456</v>
      </c>
      <c r="K29">
        <f>2719+971</f>
        <v>3690</v>
      </c>
      <c r="L29">
        <f>481+269+670+79</f>
        <v>1499</v>
      </c>
      <c r="M29">
        <f>K29-K$29</f>
        <v>0</v>
      </c>
      <c r="N29">
        <f>L29-L$29</f>
        <v>0</v>
      </c>
      <c r="O29" s="2">
        <f>I29-N29</f>
        <v>71499.011453219544</v>
      </c>
      <c r="P29">
        <f>D29</f>
        <v>1999</v>
      </c>
      <c r="Q29" s="2">
        <f>O29</f>
        <v>71499.011453219544</v>
      </c>
      <c r="R29" s="2">
        <f>J29</f>
        <v>24518.988546780456</v>
      </c>
      <c r="S29" s="2">
        <f>R29+L29</f>
        <v>26017.988546780456</v>
      </c>
      <c r="T29" s="2"/>
      <c r="U29" s="2"/>
      <c r="V29" s="2"/>
      <c r="W29" s="2"/>
      <c r="X29" s="9">
        <f>(115253-8433-A29)*1.03</f>
        <v>29291.14</v>
      </c>
      <c r="Y29" s="2">
        <f>X29-R29</f>
        <v>4772.1514532195433</v>
      </c>
      <c r="Z29" s="12">
        <f>Y29/X29</f>
        <v>0.1629213288803216</v>
      </c>
      <c r="AI29" s="24">
        <f t="shared" si="40"/>
        <v>85.397223440866085</v>
      </c>
      <c r="AJ29" s="2">
        <f t="shared" si="43"/>
        <v>30137.058502725762</v>
      </c>
      <c r="AK29" s="24">
        <f t="shared" si="41"/>
        <v>-75.236103364206286</v>
      </c>
      <c r="AL29">
        <f t="shared" si="44"/>
        <v>259.60000000000002</v>
      </c>
      <c r="AM29" s="2">
        <f t="shared" si="45"/>
        <v>30321.422399361556</v>
      </c>
      <c r="AN29" s="2">
        <f>X29</f>
        <v>29291.14</v>
      </c>
      <c r="AO29" s="2">
        <f t="shared" si="46"/>
        <v>-1030.2823993615566</v>
      </c>
      <c r="AP29">
        <f>AO29*AO29</f>
        <v>1061481.822434206</v>
      </c>
      <c r="AQ29">
        <f t="shared" si="13"/>
        <v>-2.4964647215786344E-3</v>
      </c>
      <c r="AS29">
        <f t="shared" si="14"/>
        <v>1999</v>
      </c>
      <c r="AT29" s="2">
        <f>AN29</f>
        <v>29291.14</v>
      </c>
      <c r="AU29" s="2">
        <f t="shared" si="15"/>
        <v>30321.422399361556</v>
      </c>
      <c r="AV29" s="2">
        <f t="shared" si="16"/>
        <v>28822.422399361556</v>
      </c>
      <c r="AW29">
        <f t="shared" si="17"/>
        <v>1999</v>
      </c>
      <c r="AX29" s="13">
        <f t="shared" si="9"/>
        <v>25381.415968516019</v>
      </c>
      <c r="AY29" s="2">
        <f>R29</f>
        <v>24518.988546780456</v>
      </c>
      <c r="BC29">
        <f>AHS_tables!CR$34</f>
        <v>939.00179310083502</v>
      </c>
      <c r="BD29" s="280">
        <f t="shared" si="3"/>
        <v>1999</v>
      </c>
      <c r="BE29">
        <f>'Comps Ann_2015'!E41</f>
        <v>1270.4000000000001</v>
      </c>
      <c r="BF29" s="341">
        <f>'Comps Ann'!D41+'Comps Ann'!E41</f>
        <v>334.5</v>
      </c>
      <c r="BG29" s="2">
        <f>SFTotalMedAvgSqFt_2012!I35</f>
        <v>2223</v>
      </c>
      <c r="BH29">
        <f t="shared" si="18"/>
        <v>743593.5</v>
      </c>
      <c r="BI29" s="2">
        <f t="shared" si="4"/>
        <v>10543649.5</v>
      </c>
      <c r="BJ29">
        <f t="shared" si="19"/>
        <v>5249.0999999999995</v>
      </c>
      <c r="BK29">
        <f t="shared" si="2"/>
        <v>2008.6585319388087</v>
      </c>
      <c r="BL29">
        <f t="shared" si="42"/>
        <v>22272.224523346038</v>
      </c>
      <c r="BM29" s="2">
        <f>BM$15+SUM(AK$15:AK29)</f>
        <v>22457.581679933221</v>
      </c>
      <c r="BN29">
        <f t="shared" ref="BN29:BN40" si="48">BN$27+$BN$6*(BV29-BV$27)</f>
        <v>976.8230969742101</v>
      </c>
      <c r="BO29">
        <f t="shared" si="21"/>
        <v>21937084.487143654</v>
      </c>
      <c r="BP29">
        <f t="shared" si="22"/>
        <v>0.1894524959949174</v>
      </c>
      <c r="BQ29">
        <f t="shared" si="23"/>
        <v>-442258.63122241833</v>
      </c>
      <c r="BR29">
        <f t="shared" si="24"/>
        <v>965.09559848366632</v>
      </c>
      <c r="BS29">
        <f>BC29</f>
        <v>939.00179310083502</v>
      </c>
      <c r="BT29">
        <f>(BS29-BR29)^2</f>
        <v>680.88667935707599</v>
      </c>
      <c r="BV29">
        <f t="shared" si="25"/>
        <v>1999</v>
      </c>
      <c r="BW29">
        <f>BS29</f>
        <v>939.00179310083502</v>
      </c>
      <c r="BX29">
        <f t="shared" si="26"/>
        <v>965.09559848366632</v>
      </c>
      <c r="BY29" s="13">
        <f>BX$29+0.5*(BX29-BX$29)</f>
        <v>965.09559848366632</v>
      </c>
      <c r="BZ29" s="15"/>
      <c r="CK29" s="280">
        <f t="shared" si="28"/>
        <v>1999</v>
      </c>
      <c r="CL29" s="282">
        <f t="shared" si="29"/>
        <v>22272.224523346038</v>
      </c>
      <c r="CM29" s="280">
        <f t="shared" si="47"/>
        <v>521.53214235230246</v>
      </c>
      <c r="CN29" s="282">
        <f t="shared" si="10"/>
        <v>2744.407951526091</v>
      </c>
      <c r="CO29" s="280">
        <f t="shared" si="31"/>
        <v>0.1894524959949174</v>
      </c>
      <c r="CP29" s="280">
        <f t="shared" si="32"/>
        <v>1999</v>
      </c>
      <c r="CQ29" s="345">
        <f>BS29</f>
        <v>939.00179310083502</v>
      </c>
      <c r="CR29" s="280">
        <f t="shared" si="11"/>
        <v>942.66151268699832</v>
      </c>
      <c r="CS29" s="420">
        <f t="shared" si="33"/>
        <v>942.66151268699832</v>
      </c>
      <c r="CT29" s="290">
        <f t="shared" si="34"/>
        <v>942.66151268699832</v>
      </c>
      <c r="CU29" s="280">
        <f>(CQ29-CR29)^2</f>
        <v>13.393547449347315</v>
      </c>
      <c r="DE29" s="2">
        <f t="shared" si="12"/>
        <v>24.495492834497853</v>
      </c>
      <c r="DF29" s="2">
        <f t="shared" si="35"/>
        <v>24.495492834497853</v>
      </c>
      <c r="DH29">
        <f t="shared" si="36"/>
        <v>1999</v>
      </c>
      <c r="DI29">
        <f>Total_stock_SF!BX29</f>
        <v>2031.8227956659466</v>
      </c>
      <c r="DJ29">
        <f t="shared" si="37"/>
        <v>965.09559848366632</v>
      </c>
      <c r="DL29">
        <f t="shared" si="38"/>
        <v>1.0988232384740084</v>
      </c>
      <c r="DM29">
        <f t="shared" si="39"/>
        <v>1.2141673762486767</v>
      </c>
    </row>
    <row r="30" spans="1:117" x14ac:dyDescent="0.2">
      <c r="A30" s="2">
        <f>Total_stock_SF!AN30</f>
        <v>0</v>
      </c>
      <c r="B30">
        <f>Total_stock_SF!J30</f>
        <v>0</v>
      </c>
      <c r="C30">
        <f>[9]National_Calibration!E29</f>
        <v>106.41125</v>
      </c>
      <c r="D30">
        <f t="shared" si="8"/>
        <v>2000</v>
      </c>
      <c r="E30" s="341">
        <f>'Comps Ann'!D42+'Comps Ann'!E42</f>
        <v>332</v>
      </c>
      <c r="F30">
        <f t="shared" si="7"/>
        <v>318.71999999999997</v>
      </c>
      <c r="G30" s="24">
        <f>Survival_curve_MF!Z147</f>
        <v>-136.88001860504301</v>
      </c>
      <c r="H30">
        <f t="shared" si="5"/>
        <v>181.83998139495696</v>
      </c>
      <c r="I30" s="2">
        <f>I29+H30</f>
        <v>71680.851434614495</v>
      </c>
      <c r="L30">
        <f>AVERAGE(L29,L31)</f>
        <v>1662.5</v>
      </c>
      <c r="O30" s="2"/>
      <c r="S30" s="2"/>
      <c r="T30" s="2"/>
      <c r="U30" s="2"/>
      <c r="V30" s="2"/>
      <c r="W30" s="2"/>
      <c r="Y30" s="2"/>
      <c r="Z30" s="12">
        <f>AVERAGE(Z29,Z31)</f>
        <v>0.16467592696142838</v>
      </c>
      <c r="AI30" s="24">
        <f t="shared" si="40"/>
        <v>87.234467838796704</v>
      </c>
      <c r="AJ30" s="2">
        <f t="shared" si="43"/>
        <v>30321.422399361556</v>
      </c>
      <c r="AK30" s="24">
        <f t="shared" si="41"/>
        <v>-77.324900409224114</v>
      </c>
      <c r="AL30">
        <f t="shared" si="44"/>
        <v>266.60000000000002</v>
      </c>
      <c r="AM30" s="2">
        <f t="shared" si="45"/>
        <v>30510.69749895233</v>
      </c>
      <c r="AN30" s="2"/>
      <c r="AO30" s="2"/>
      <c r="AQ30">
        <f t="shared" si="13"/>
        <v>-2.5501739130434809E-3</v>
      </c>
      <c r="AS30">
        <f t="shared" si="14"/>
        <v>2000</v>
      </c>
      <c r="AU30" s="2">
        <f t="shared" si="15"/>
        <v>30510.69749895233</v>
      </c>
      <c r="AV30" s="2">
        <f t="shared" si="16"/>
        <v>28848.19749895233</v>
      </c>
      <c r="AW30">
        <f t="shared" si="17"/>
        <v>2000</v>
      </c>
      <c r="AX30" s="13">
        <f t="shared" si="9"/>
        <v>25486.320106072621</v>
      </c>
      <c r="BD30" s="280">
        <f t="shared" si="3"/>
        <v>2000</v>
      </c>
      <c r="BE30">
        <f>'Comps Ann_2015'!E42</f>
        <v>1241.8</v>
      </c>
      <c r="BF30" s="341">
        <f>'Comps Ann'!D42+'Comps Ann'!E42</f>
        <v>332</v>
      </c>
      <c r="BG30" s="2">
        <f>SFTotalMedAvgSqFt_2012!I36</f>
        <v>2266</v>
      </c>
      <c r="BH30">
        <f t="shared" si="18"/>
        <v>752312</v>
      </c>
      <c r="BI30" s="2">
        <f t="shared" si="4"/>
        <v>11295961.5</v>
      </c>
      <c r="BJ30">
        <f t="shared" si="19"/>
        <v>5581.0999999999995</v>
      </c>
      <c r="BK30">
        <f t="shared" si="2"/>
        <v>2023.9668703302218</v>
      </c>
      <c r="BL30">
        <f t="shared" si="42"/>
        <v>22182.744547042668</v>
      </c>
      <c r="BM30" s="2">
        <f>BM$15+SUM(AK$15:AK30)</f>
        <v>22380.256779523999</v>
      </c>
      <c r="BN30">
        <f t="shared" si="48"/>
        <v>989.82031292355896</v>
      </c>
      <c r="BO30">
        <f t="shared" si="21"/>
        <v>22152432.768818047</v>
      </c>
      <c r="BP30">
        <f t="shared" si="22"/>
        <v>0.19960047160826686</v>
      </c>
      <c r="BQ30">
        <f t="shared" si="23"/>
        <v>-473814.73287130182</v>
      </c>
      <c r="BR30">
        <f t="shared" si="24"/>
        <v>977.27393424980266</v>
      </c>
      <c r="BV30">
        <f t="shared" si="25"/>
        <v>2000</v>
      </c>
      <c r="BX30">
        <f t="shared" si="26"/>
        <v>977.27393424980266</v>
      </c>
      <c r="BY30" s="13">
        <f>BX30</f>
        <v>977.27393424980266</v>
      </c>
      <c r="BZ30" s="15"/>
      <c r="CK30" s="280">
        <f t="shared" si="28"/>
        <v>2000</v>
      </c>
      <c r="CL30" s="282">
        <f t="shared" si="29"/>
        <v>22182.744547042668</v>
      </c>
      <c r="CM30" s="280">
        <f t="shared" si="47"/>
        <v>498.75766455859724</v>
      </c>
      <c r="CN30" s="282">
        <f t="shared" si="10"/>
        <v>2767.7519539257642</v>
      </c>
      <c r="CO30" s="280">
        <f t="shared" si="31"/>
        <v>0.19960047160826686</v>
      </c>
      <c r="CP30" s="280">
        <f t="shared" si="32"/>
        <v>2000</v>
      </c>
      <c r="CQ30" s="345"/>
      <c r="CR30" s="280">
        <f t="shared" si="11"/>
        <v>951.64999479274809</v>
      </c>
      <c r="CS30" s="420"/>
      <c r="CT30" s="290">
        <f>CR30</f>
        <v>951.64999479274809</v>
      </c>
      <c r="DE30" s="2">
        <f t="shared" si="12"/>
        <v>24.907116319611436</v>
      </c>
      <c r="DF30" s="2">
        <f t="shared" si="35"/>
        <v>24.907116319611436</v>
      </c>
      <c r="DH30">
        <f t="shared" si="36"/>
        <v>2000</v>
      </c>
      <c r="DI30">
        <f>Total_stock_SF!BX30</f>
        <v>2047.063356998982</v>
      </c>
      <c r="DJ30">
        <f t="shared" si="37"/>
        <v>977.27393424980266</v>
      </c>
      <c r="DL30">
        <f t="shared" si="38"/>
        <v>1.1070654350847806</v>
      </c>
      <c r="DM30">
        <f t="shared" si="39"/>
        <v>1.229488695719491</v>
      </c>
    </row>
    <row r="31" spans="1:117" x14ac:dyDescent="0.2">
      <c r="A31" s="2">
        <f>Total_stock_SF!AN31</f>
        <v>81855</v>
      </c>
      <c r="B31">
        <f>Total_stock_SF!J31</f>
        <v>74433.828759211698</v>
      </c>
      <c r="C31">
        <f>[9]National_Calibration!E30</f>
        <v>108.209</v>
      </c>
      <c r="D31">
        <f t="shared" si="8"/>
        <v>2001</v>
      </c>
      <c r="E31" s="341">
        <f>'Comps Ann'!D43+'Comps Ann'!E43</f>
        <v>314.89999999999998</v>
      </c>
      <c r="F31">
        <f t="shared" si="7"/>
        <v>302.30399999999997</v>
      </c>
      <c r="G31" s="24">
        <f>Survival_curve_MF!Z148</f>
        <v>-140.74746814380342</v>
      </c>
      <c r="H31">
        <f t="shared" si="5"/>
        <v>161.55653185619656</v>
      </c>
      <c r="I31" s="2">
        <f t="shared" ref="I31:I39" si="49">I30+H31</f>
        <v>71842.407966470695</v>
      </c>
      <c r="J31" s="2">
        <f>106261-7219-B31</f>
        <v>24608.171240788302</v>
      </c>
      <c r="K31">
        <f>2916+1243</f>
        <v>4159</v>
      </c>
      <c r="L31">
        <f>556+334+858+78</f>
        <v>1826</v>
      </c>
      <c r="M31">
        <f>K31-K$29</f>
        <v>469</v>
      </c>
      <c r="N31">
        <f>L31-L$29</f>
        <v>327</v>
      </c>
      <c r="O31" s="2">
        <f>I31-N31</f>
        <v>71515.407966470695</v>
      </c>
      <c r="P31">
        <f>D31</f>
        <v>2001</v>
      </c>
      <c r="Q31" s="2">
        <f>O31</f>
        <v>71515.407966470695</v>
      </c>
      <c r="R31" s="2">
        <f>J31</f>
        <v>24608.171240788302</v>
      </c>
      <c r="S31" s="2">
        <f>R31+L31</f>
        <v>26434.171240788302</v>
      </c>
      <c r="T31" s="2">
        <f>1268+1384+222+652</f>
        <v>3526</v>
      </c>
      <c r="U31" s="12">
        <f>T31/R31</f>
        <v>0.1432857389319373</v>
      </c>
      <c r="V31" s="12"/>
      <c r="W31" s="12"/>
      <c r="X31" s="9">
        <f>(119117-8876-A31)*1.04</f>
        <v>29521.440000000002</v>
      </c>
      <c r="Y31" s="2">
        <f>X31-R31</f>
        <v>4913.2687592116999</v>
      </c>
      <c r="Z31" s="12">
        <f>Y31/X31</f>
        <v>0.16643052504253517</v>
      </c>
      <c r="AI31" s="24">
        <f t="shared" si="40"/>
        <v>85.176092750609342</v>
      </c>
      <c r="AJ31" s="2">
        <f t="shared" si="43"/>
        <v>30510.69749895233</v>
      </c>
      <c r="AK31" s="24">
        <f t="shared" si="41"/>
        <v>-75.971645456450204</v>
      </c>
      <c r="AL31">
        <f t="shared" si="44"/>
        <v>258.76</v>
      </c>
      <c r="AM31" s="2">
        <f t="shared" si="45"/>
        <v>30693.485853495877</v>
      </c>
      <c r="AN31" s="2">
        <f>X31</f>
        <v>29521.440000000002</v>
      </c>
      <c r="AO31" s="2">
        <f t="shared" si="46"/>
        <v>-1172.0458534958743</v>
      </c>
      <c r="AP31">
        <f>AO31*AO31</f>
        <v>1373691.4826968724</v>
      </c>
      <c r="AQ31">
        <f t="shared" si="13"/>
        <v>-2.4900002846234147E-3</v>
      </c>
      <c r="AS31">
        <f t="shared" si="14"/>
        <v>2001</v>
      </c>
      <c r="AT31" s="2">
        <f>AN31</f>
        <v>29521.440000000002</v>
      </c>
      <c r="AU31" s="2">
        <f t="shared" si="15"/>
        <v>30693.485853495877</v>
      </c>
      <c r="AV31" s="2">
        <f t="shared" si="16"/>
        <v>28867.485853495877</v>
      </c>
      <c r="AW31">
        <f t="shared" si="17"/>
        <v>2001</v>
      </c>
      <c r="AX31" s="13">
        <f t="shared" si="9"/>
        <v>25585.15288751293</v>
      </c>
      <c r="AY31" s="2">
        <f>R31</f>
        <v>24608.171240788302</v>
      </c>
      <c r="BC31">
        <f>AHS_tables!DC$34</f>
        <v>966.64024447608347</v>
      </c>
      <c r="BD31" s="280">
        <f t="shared" si="3"/>
        <v>2001</v>
      </c>
      <c r="BE31">
        <f>'Comps Ann_2015'!E43</f>
        <v>1255.9000000000001</v>
      </c>
      <c r="BF31" s="341">
        <f>'Comps Ann'!D43+'Comps Ann'!E43</f>
        <v>314.89999999999998</v>
      </c>
      <c r="BG31" s="2">
        <f>SFTotalMedAvgSqFt_2012!I37</f>
        <v>2324</v>
      </c>
      <c r="BH31">
        <f t="shared" si="18"/>
        <v>731827.6</v>
      </c>
      <c r="BI31" s="2">
        <f t="shared" si="4"/>
        <v>12027789.1</v>
      </c>
      <c r="BJ31">
        <f t="shared" si="19"/>
        <v>5895.9999999999991</v>
      </c>
      <c r="BK31">
        <f t="shared" si="2"/>
        <v>2039.9913670284941</v>
      </c>
      <c r="BL31">
        <f t="shared" si="42"/>
        <v>22094.975274285505</v>
      </c>
      <c r="BM31" s="2">
        <f>BM$15+SUM(AK$15:AK31)</f>
        <v>22304.285134067548</v>
      </c>
      <c r="BN31">
        <f t="shared" si="48"/>
        <v>1002.8175288729078</v>
      </c>
      <c r="BO31">
        <f t="shared" si="21"/>
        <v>22367128.101422351</v>
      </c>
      <c r="BP31">
        <f t="shared" si="22"/>
        <v>0.20907590018929617</v>
      </c>
      <c r="BQ31">
        <f t="shared" si="23"/>
        <v>-504511.60615666548</v>
      </c>
      <c r="BR31">
        <f t="shared" si="24"/>
        <v>989.4836370651999</v>
      </c>
      <c r="BS31">
        <f>BC31</f>
        <v>966.64024447608347</v>
      </c>
      <c r="BT31">
        <f>(BS31-BR31)^2</f>
        <v>521.82058498049958</v>
      </c>
      <c r="BV31">
        <f t="shared" si="25"/>
        <v>2001</v>
      </c>
      <c r="BW31">
        <f>BS31</f>
        <v>966.64024447608347</v>
      </c>
      <c r="BX31">
        <f t="shared" si="26"/>
        <v>989.4836370651999</v>
      </c>
      <c r="BY31" s="13">
        <f t="shared" ref="BY31:BY38" si="50">BX31</f>
        <v>989.4836370651999</v>
      </c>
      <c r="BZ31" s="15"/>
      <c r="CK31" s="280">
        <f t="shared" si="28"/>
        <v>2001</v>
      </c>
      <c r="CL31" s="282">
        <f t="shared" si="29"/>
        <v>22094.975274285505</v>
      </c>
      <c r="CM31" s="280">
        <f t="shared" si="47"/>
        <v>475.98318676489197</v>
      </c>
      <c r="CN31" s="282">
        <f t="shared" si="10"/>
        <v>2791.0959563254373</v>
      </c>
      <c r="CO31" s="280">
        <f t="shared" si="31"/>
        <v>0.20907590018929617</v>
      </c>
      <c r="CP31" s="280">
        <f t="shared" si="32"/>
        <v>2001</v>
      </c>
      <c r="CQ31" s="345">
        <f>BS31</f>
        <v>966.64024447608347</v>
      </c>
      <c r="CR31" s="280">
        <f t="shared" si="11"/>
        <v>960.01747310049757</v>
      </c>
      <c r="CS31" s="420"/>
      <c r="CT31" s="290">
        <f t="shared" ref="CT31:CT40" si="51">CR31</f>
        <v>960.01747310049757</v>
      </c>
      <c r="CU31" s="280">
        <f>(CQ31-CR31)^2</f>
        <v>43.861100693279937</v>
      </c>
      <c r="DE31" s="2">
        <f t="shared" si="12"/>
        <v>25.316090134005492</v>
      </c>
      <c r="DF31" s="2">
        <f t="shared" si="35"/>
        <v>25.316090134005492</v>
      </c>
      <c r="DH31">
        <f t="shared" si="36"/>
        <v>2001</v>
      </c>
      <c r="DI31">
        <f>Total_stock_SF!BX31</f>
        <v>2063.6263714567831</v>
      </c>
      <c r="DJ31">
        <f t="shared" si="37"/>
        <v>989.4836370651999</v>
      </c>
      <c r="DL31">
        <f t="shared" si="38"/>
        <v>1.1160228231130254</v>
      </c>
      <c r="DM31">
        <f t="shared" si="39"/>
        <v>1.2448494774445751</v>
      </c>
    </row>
    <row r="32" spans="1:117" x14ac:dyDescent="0.2">
      <c r="A32" s="2">
        <f>Total_stock_SF!AN32</f>
        <v>0</v>
      </c>
      <c r="B32">
        <f>Total_stock_SF!J32</f>
        <v>0</v>
      </c>
      <c r="C32">
        <f>[9]National_Calibration!E31</f>
        <v>109.291</v>
      </c>
      <c r="D32">
        <f t="shared" si="8"/>
        <v>2002</v>
      </c>
      <c r="E32" s="341">
        <f>'Comps Ann'!D44+'Comps Ann'!E44</f>
        <v>323.2</v>
      </c>
      <c r="F32">
        <f t="shared" si="7"/>
        <v>310.27199999999999</v>
      </c>
      <c r="G32" s="24">
        <f>Survival_curve_MF!Z149</f>
        <v>-144.58938980119638</v>
      </c>
      <c r="H32">
        <f t="shared" si="5"/>
        <v>165.68261019880362</v>
      </c>
      <c r="I32" s="2">
        <f t="shared" si="49"/>
        <v>72008.090576669492</v>
      </c>
      <c r="L32">
        <f>AVERAGE(L31,L33)</f>
        <v>1858.5</v>
      </c>
      <c r="O32" s="2"/>
      <c r="S32" s="2"/>
      <c r="T32" s="2"/>
      <c r="U32" s="2"/>
      <c r="V32" s="2"/>
      <c r="W32" s="2"/>
      <c r="Y32" s="2"/>
      <c r="Z32" s="12">
        <f>AVERAGE(Z31,Z33)</f>
        <v>0.16244824093330176</v>
      </c>
      <c r="AI32" s="24">
        <f t="shared" si="40"/>
        <v>84.247881473410587</v>
      </c>
      <c r="AJ32" s="2">
        <f t="shared" si="43"/>
        <v>30693.485853495877</v>
      </c>
      <c r="AK32" s="24">
        <f t="shared" si="41"/>
        <v>-75.593923270758069</v>
      </c>
      <c r="AL32">
        <f t="shared" si="44"/>
        <v>255.23999999999998</v>
      </c>
      <c r="AM32" s="2">
        <f t="shared" si="45"/>
        <v>30873.131930225121</v>
      </c>
      <c r="AN32" s="2"/>
      <c r="AO32" s="2"/>
      <c r="AQ32">
        <f t="shared" si="13"/>
        <v>-2.4628653660121237E-3</v>
      </c>
      <c r="AS32">
        <f t="shared" si="14"/>
        <v>2002</v>
      </c>
      <c r="AU32" s="2">
        <f t="shared" si="15"/>
        <v>30873.131930225121</v>
      </c>
      <c r="AV32" s="2">
        <f t="shared" si="16"/>
        <v>29014.631930225121</v>
      </c>
      <c r="AW32">
        <f t="shared" si="17"/>
        <v>2002</v>
      </c>
      <c r="AX32" s="13">
        <f t="shared" si="9"/>
        <v>25857.8459560583</v>
      </c>
      <c r="BD32" s="280">
        <f t="shared" si="3"/>
        <v>2002</v>
      </c>
      <c r="BE32">
        <f>'Comps Ann_2015'!E44</f>
        <v>1325.1</v>
      </c>
      <c r="BF32" s="341">
        <f>'Comps Ann'!D44+'Comps Ann'!E44</f>
        <v>323.2</v>
      </c>
      <c r="BG32" s="2">
        <f>SFTotalMedAvgSqFt_2012!I38</f>
        <v>2320</v>
      </c>
      <c r="BH32">
        <f t="shared" si="18"/>
        <v>749824</v>
      </c>
      <c r="BI32" s="2">
        <f t="shared" si="4"/>
        <v>12777613.1</v>
      </c>
      <c r="BJ32">
        <f t="shared" si="19"/>
        <v>6219.1999999999989</v>
      </c>
      <c r="BK32">
        <f t="shared" si="2"/>
        <v>2054.5428833290457</v>
      </c>
      <c r="BL32">
        <f t="shared" si="42"/>
        <v>22007.74421083762</v>
      </c>
      <c r="BM32" s="2">
        <f>BM$15+SUM(AK$15:AK32)</f>
        <v>22228.691210796791</v>
      </c>
      <c r="BN32">
        <f t="shared" si="48"/>
        <v>1015.8147448222567</v>
      </c>
      <c r="BO32">
        <f t="shared" si="21"/>
        <v>22580232.290028282</v>
      </c>
      <c r="BP32">
        <f t="shared" si="22"/>
        <v>0.21861725897066261</v>
      </c>
      <c r="BQ32">
        <f t="shared" si="23"/>
        <v>-535963.34740600409</v>
      </c>
      <c r="BR32">
        <f t="shared" si="24"/>
        <v>1001.6596308751476</v>
      </c>
      <c r="BV32">
        <f t="shared" si="25"/>
        <v>2002</v>
      </c>
      <c r="BX32">
        <f t="shared" si="26"/>
        <v>1001.6596308751476</v>
      </c>
      <c r="BY32" s="13">
        <f t="shared" si="50"/>
        <v>1001.6596308751476</v>
      </c>
      <c r="BZ32" s="15"/>
      <c r="CK32" s="280">
        <f t="shared" si="28"/>
        <v>2002</v>
      </c>
      <c r="CL32" s="282">
        <f t="shared" si="29"/>
        <v>22007.74421083762</v>
      </c>
      <c r="CM32" s="280">
        <f t="shared" si="47"/>
        <v>453.2087089711867</v>
      </c>
      <c r="CN32" s="282">
        <f t="shared" si="10"/>
        <v>2814.4399587251105</v>
      </c>
      <c r="CO32" s="280">
        <f t="shared" si="31"/>
        <v>0.21861725897066261</v>
      </c>
      <c r="CP32" s="280">
        <f t="shared" si="32"/>
        <v>2002</v>
      </c>
      <c r="CQ32" s="345"/>
      <c r="CR32" s="280">
        <f t="shared" si="11"/>
        <v>969.41461258826155</v>
      </c>
      <c r="CS32" s="420"/>
      <c r="CT32" s="290">
        <f t="shared" si="51"/>
        <v>969.41461258826155</v>
      </c>
      <c r="DE32" s="2">
        <f t="shared" si="12"/>
        <v>25.900760435571783</v>
      </c>
      <c r="DF32" s="2">
        <f t="shared" si="35"/>
        <v>25.900760435571783</v>
      </c>
      <c r="DH32">
        <f t="shared" si="36"/>
        <v>2002</v>
      </c>
      <c r="DI32">
        <f>Total_stock_SF!BX32</f>
        <v>2080.8927473426156</v>
      </c>
      <c r="DJ32">
        <f t="shared" si="37"/>
        <v>1001.6596308751476</v>
      </c>
      <c r="DL32">
        <f t="shared" si="38"/>
        <v>1.1253605936646947</v>
      </c>
      <c r="DM32">
        <f t="shared" si="39"/>
        <v>1.2601678505473768</v>
      </c>
    </row>
    <row r="33" spans="1:117" x14ac:dyDescent="0.2">
      <c r="A33" s="2">
        <f>Total_stock_SF!AN33</f>
        <v>82143</v>
      </c>
      <c r="B33">
        <f>Total_stock_SF!J33</f>
        <v>74025.57567727234</v>
      </c>
      <c r="C33">
        <f>[9]National_Calibration!E32</f>
        <v>111.27800000000001</v>
      </c>
      <c r="D33">
        <f t="shared" si="8"/>
        <v>2003</v>
      </c>
      <c r="E33" s="341">
        <f>'Comps Ann'!D45+'Comps Ann'!E45</f>
        <v>292.3</v>
      </c>
      <c r="F33">
        <f t="shared" si="7"/>
        <v>280.608</v>
      </c>
      <c r="G33" s="24">
        <f>Survival_curve_MF!Z150</f>
        <v>-148.40476151087569</v>
      </c>
      <c r="H33">
        <f t="shared" si="5"/>
        <v>132.20323848912432</v>
      </c>
      <c r="I33" s="2">
        <f t="shared" si="49"/>
        <v>72140.293815158613</v>
      </c>
      <c r="J33" s="2">
        <f>105842-6854-B33</f>
        <v>24962.42432272766</v>
      </c>
      <c r="K33">
        <f>3597+1284</f>
        <v>4881</v>
      </c>
      <c r="L33">
        <f>675+252+882+82</f>
        <v>1891</v>
      </c>
      <c r="M33">
        <f>K33-K$29</f>
        <v>1191</v>
      </c>
      <c r="N33">
        <f>L33-L$29</f>
        <v>392</v>
      </c>
      <c r="O33" s="2">
        <f>I33-N33</f>
        <v>71748.293815158613</v>
      </c>
      <c r="P33">
        <f>D33</f>
        <v>2003</v>
      </c>
      <c r="Q33" s="2">
        <f>O33</f>
        <v>71748.293815158613</v>
      </c>
      <c r="R33" s="2">
        <f>J33</f>
        <v>24962.42432272766</v>
      </c>
      <c r="S33" s="2">
        <f>R33+L33</f>
        <v>26853.42432272766</v>
      </c>
      <c r="T33" s="2"/>
      <c r="U33" s="2"/>
      <c r="V33" s="2"/>
      <c r="W33" s="2"/>
      <c r="X33" s="2">
        <f>120777-8971-A33</f>
        <v>29663</v>
      </c>
      <c r="Y33" s="2">
        <f>X33-R33</f>
        <v>4700.5756772723398</v>
      </c>
      <c r="Z33" s="12">
        <f>Y33/X33</f>
        <v>0.15846595682406836</v>
      </c>
      <c r="AI33" s="24">
        <f t="shared" si="40"/>
        <v>81.852215478923171</v>
      </c>
      <c r="AJ33" s="2">
        <f t="shared" si="43"/>
        <v>30873.131930225121</v>
      </c>
      <c r="AK33" s="24">
        <f t="shared" si="41"/>
        <v>-73.874203332607152</v>
      </c>
      <c r="AL33">
        <f t="shared" si="44"/>
        <v>246.20000000000002</v>
      </c>
      <c r="AM33" s="2">
        <f t="shared" si="45"/>
        <v>31045.457726892513</v>
      </c>
      <c r="AN33" s="2">
        <f>X33</f>
        <v>29663</v>
      </c>
      <c r="AO33" s="2">
        <f t="shared" si="46"/>
        <v>-1382.4577268925132</v>
      </c>
      <c r="AP33">
        <f>AO33*AO33</f>
        <v>1911189.3666448146</v>
      </c>
      <c r="AQ33">
        <f t="shared" si="13"/>
        <v>-2.3928315241734037E-3</v>
      </c>
      <c r="AS33">
        <f t="shared" si="14"/>
        <v>2003</v>
      </c>
      <c r="AT33" s="2">
        <f>AN33</f>
        <v>29663</v>
      </c>
      <c r="AU33" s="2">
        <f t="shared" si="15"/>
        <v>31045.457726892513</v>
      </c>
      <c r="AV33" s="2">
        <f t="shared" si="16"/>
        <v>29154.457726892513</v>
      </c>
      <c r="AW33">
        <f t="shared" si="17"/>
        <v>2003</v>
      </c>
      <c r="AX33" s="13">
        <f t="shared" si="9"/>
        <v>26125.809563159324</v>
      </c>
      <c r="AY33" s="2">
        <f>R33</f>
        <v>24962.42432272766</v>
      </c>
      <c r="BC33">
        <f>AHS_tables!DN$34</f>
        <v>998.22785189173953</v>
      </c>
      <c r="BD33" s="280">
        <f t="shared" si="3"/>
        <v>2003</v>
      </c>
      <c r="BE33">
        <f>'Comps Ann_2015'!E45</f>
        <v>1386.3</v>
      </c>
      <c r="BF33" s="341">
        <f>'Comps Ann'!D45+'Comps Ann'!E45</f>
        <v>292.3</v>
      </c>
      <c r="BG33" s="2">
        <f>SFTotalMedAvgSqFt_2012!I39</f>
        <v>2330</v>
      </c>
      <c r="BH33">
        <f t="shared" si="18"/>
        <v>681059</v>
      </c>
      <c r="BI33" s="2">
        <f t="shared" si="4"/>
        <v>13458672.1</v>
      </c>
      <c r="BJ33">
        <f t="shared" si="19"/>
        <v>6511.4999999999991</v>
      </c>
      <c r="BK33">
        <f t="shared" si="2"/>
        <v>2066.9081010519853</v>
      </c>
      <c r="BL33">
        <f t="shared" si="42"/>
        <v>21922.645027440722</v>
      </c>
      <c r="BM33" s="2">
        <f>BM$15+SUM(AK$15:AK33)</f>
        <v>22154.817007464182</v>
      </c>
      <c r="BN33">
        <f t="shared" si="48"/>
        <v>1028.8119607716055</v>
      </c>
      <c r="BO33">
        <f t="shared" si="21"/>
        <v>22793140.725985341</v>
      </c>
      <c r="BP33">
        <f t="shared" si="22"/>
        <v>0.22714811945687072</v>
      </c>
      <c r="BQ33">
        <f t="shared" si="23"/>
        <v>-564530.70647097589</v>
      </c>
      <c r="BR33">
        <f t="shared" si="24"/>
        <v>1013.9565728355617</v>
      </c>
      <c r="BS33">
        <f>BC33</f>
        <v>998.22785189173953</v>
      </c>
      <c r="BT33">
        <f>(BS33-BR33)^2</f>
        <v>247.3926625286301</v>
      </c>
      <c r="BV33">
        <f t="shared" si="25"/>
        <v>2003</v>
      </c>
      <c r="BW33">
        <f>BS33</f>
        <v>998.22785189173953</v>
      </c>
      <c r="BX33">
        <f t="shared" si="26"/>
        <v>1013.9565728355617</v>
      </c>
      <c r="BY33" s="13">
        <f t="shared" si="50"/>
        <v>1013.9565728355617</v>
      </c>
      <c r="BZ33" s="15"/>
      <c r="CK33" s="280">
        <f t="shared" si="28"/>
        <v>2003</v>
      </c>
      <c r="CL33" s="282">
        <f t="shared" si="29"/>
        <v>21922.645027440722</v>
      </c>
      <c r="CM33" s="280">
        <f t="shared" si="47"/>
        <v>430.43423117748148</v>
      </c>
      <c r="CN33" s="282">
        <f t="shared" si="10"/>
        <v>2837.7839611247837</v>
      </c>
      <c r="CO33" s="280">
        <f t="shared" si="31"/>
        <v>0.22714811945687072</v>
      </c>
      <c r="CP33" s="280">
        <f t="shared" si="32"/>
        <v>2003</v>
      </c>
      <c r="CQ33" s="345">
        <f>BS33</f>
        <v>998.22785189173953</v>
      </c>
      <c r="CR33" s="280">
        <f t="shared" si="11"/>
        <v>977.25919521001674</v>
      </c>
      <c r="CS33" s="420"/>
      <c r="CT33" s="290">
        <f t="shared" si="51"/>
        <v>977.25919521001674</v>
      </c>
      <c r="CU33" s="280">
        <f>(CQ33-CR33)^2</f>
        <v>439.68456303595786</v>
      </c>
      <c r="DE33" s="2">
        <f t="shared" si="12"/>
        <v>26.490436327215569</v>
      </c>
      <c r="DF33" s="2">
        <f t="shared" si="35"/>
        <v>26.490436327215569</v>
      </c>
      <c r="DH33">
        <f t="shared" si="36"/>
        <v>2003</v>
      </c>
      <c r="DI33">
        <f>Total_stock_SF!BX33</f>
        <v>2098.1730969428168</v>
      </c>
      <c r="DJ33">
        <f t="shared" si="37"/>
        <v>1013.9565728355617</v>
      </c>
      <c r="DL33">
        <f t="shared" si="38"/>
        <v>1.1347059212937376</v>
      </c>
      <c r="DM33">
        <f t="shared" si="39"/>
        <v>1.2756383860875</v>
      </c>
    </row>
    <row r="34" spans="1:117" x14ac:dyDescent="0.2">
      <c r="A34" s="2">
        <f>Total_stock_SF!AN34</f>
        <v>0</v>
      </c>
      <c r="B34">
        <f>Total_stock_SF!J34</f>
        <v>0</v>
      </c>
      <c r="C34">
        <f>[9]National_Calibration!E33</f>
        <v>112</v>
      </c>
      <c r="D34">
        <f t="shared" si="8"/>
        <v>2004</v>
      </c>
      <c r="E34" s="341">
        <f>'Comps Ann'!D46+'Comps Ann'!E46</f>
        <v>310.39999999999998</v>
      </c>
      <c r="F34">
        <f t="shared" si="7"/>
        <v>297.98399999999998</v>
      </c>
      <c r="G34" s="24">
        <f>Survival_curve_MF!Z151</f>
        <v>-152.19298067136697</v>
      </c>
      <c r="H34">
        <f t="shared" si="5"/>
        <v>145.79101932863301</v>
      </c>
      <c r="I34" s="2">
        <f t="shared" si="49"/>
        <v>72286.08483448725</v>
      </c>
      <c r="L34">
        <f>AVERAGE(L33,L35)</f>
        <v>1959.5</v>
      </c>
      <c r="O34" s="2"/>
      <c r="S34" s="2"/>
      <c r="T34" s="2"/>
      <c r="U34" s="2"/>
      <c r="V34" s="2"/>
      <c r="W34" s="2"/>
      <c r="Y34" s="2"/>
      <c r="Z34" s="12">
        <f>AVERAGE(Z33,Z35)</f>
        <v>0.16333707504462508</v>
      </c>
      <c r="AI34" s="24">
        <f t="shared" si="40"/>
        <v>80.487594172649381</v>
      </c>
      <c r="AJ34" s="2">
        <f t="shared" si="43"/>
        <v>31045.457726892513</v>
      </c>
      <c r="AK34" s="24">
        <f t="shared" si="41"/>
        <v>-73.048061660547802</v>
      </c>
      <c r="AL34">
        <f t="shared" si="44"/>
        <v>241.08000000000004</v>
      </c>
      <c r="AM34" s="2">
        <f t="shared" si="45"/>
        <v>31213.489665231966</v>
      </c>
      <c r="AN34" s="2"/>
      <c r="AO34" s="2"/>
      <c r="AQ34">
        <f t="shared" si="13"/>
        <v>-2.3529387874758685E-3</v>
      </c>
      <c r="AS34">
        <f t="shared" si="14"/>
        <v>2004</v>
      </c>
      <c r="AU34" s="2">
        <f t="shared" si="15"/>
        <v>31213.489665231966</v>
      </c>
      <c r="AV34" s="2">
        <f t="shared" si="16"/>
        <v>29253.989665231966</v>
      </c>
      <c r="AW34">
        <f t="shared" si="17"/>
        <v>2004</v>
      </c>
      <c r="AX34" s="13">
        <f t="shared" si="9"/>
        <v>26115.169561377345</v>
      </c>
      <c r="BD34" s="280">
        <f t="shared" si="3"/>
        <v>2004</v>
      </c>
      <c r="BE34">
        <f>'Comps Ann_2015'!E46</f>
        <v>1531.5</v>
      </c>
      <c r="BF34" s="341">
        <f>'Comps Ann'!D46+'Comps Ann'!E46</f>
        <v>310.39999999999998</v>
      </c>
      <c r="BG34" s="2">
        <f>SFTotalMedAvgSqFt_2012!I40</f>
        <v>2349</v>
      </c>
      <c r="BH34">
        <f t="shared" si="18"/>
        <v>729129.6</v>
      </c>
      <c r="BI34" s="2">
        <f t="shared" si="4"/>
        <v>14187801.699999999</v>
      </c>
      <c r="BJ34">
        <f t="shared" si="19"/>
        <v>6821.8999999999987</v>
      </c>
      <c r="BK34">
        <f t="shared" si="2"/>
        <v>2079.7434292499161</v>
      </c>
      <c r="BL34">
        <f t="shared" si="42"/>
        <v>21838.605421532007</v>
      </c>
      <c r="BM34" s="2">
        <f>BM$15+SUM(AK$15:AK34)</f>
        <v>22081.768945803633</v>
      </c>
      <c r="BN34">
        <f t="shared" si="48"/>
        <v>1041.8091767209544</v>
      </c>
      <c r="BO34">
        <f t="shared" si="21"/>
        <v>23004989.525970019</v>
      </c>
      <c r="BP34">
        <f t="shared" si="22"/>
        <v>0.23602193938740201</v>
      </c>
      <c r="BQ34">
        <f t="shared" si="23"/>
        <v>-595114.41080217052</v>
      </c>
      <c r="BR34">
        <f t="shared" si="24"/>
        <v>1026.1587076010171</v>
      </c>
      <c r="BV34">
        <f t="shared" si="25"/>
        <v>2004</v>
      </c>
      <c r="BX34">
        <f t="shared" si="26"/>
        <v>1026.1587076010171</v>
      </c>
      <c r="BY34" s="13">
        <f t="shared" si="50"/>
        <v>1026.1587076010171</v>
      </c>
      <c r="BZ34" s="15"/>
      <c r="CA34" s="280" t="s">
        <v>0</v>
      </c>
      <c r="CB34" s="280" t="s">
        <v>1</v>
      </c>
      <c r="CC34" s="280" t="s">
        <v>2</v>
      </c>
      <c r="CD34" s="280" t="s">
        <v>3</v>
      </c>
      <c r="CE34" s="280" t="s">
        <v>4</v>
      </c>
      <c r="CF34" s="280" t="s">
        <v>5</v>
      </c>
      <c r="CG34" s="280" t="s">
        <v>6</v>
      </c>
      <c r="CH34" s="280" t="s">
        <v>7</v>
      </c>
      <c r="CI34" s="280" t="s">
        <v>19</v>
      </c>
      <c r="CK34" s="280">
        <f t="shared" si="28"/>
        <v>2004</v>
      </c>
      <c r="CL34" s="282">
        <f t="shared" si="29"/>
        <v>21838.605421532007</v>
      </c>
      <c r="CM34" s="280">
        <f t="shared" si="47"/>
        <v>407.65975338377621</v>
      </c>
      <c r="CN34" s="282">
        <f t="shared" si="10"/>
        <v>2861.1279635244568</v>
      </c>
      <c r="CO34" s="280">
        <f t="shared" si="31"/>
        <v>0.23602193938740201</v>
      </c>
      <c r="CP34" s="280">
        <f t="shared" si="32"/>
        <v>2004</v>
      </c>
      <c r="CQ34" s="345"/>
      <c r="CR34" s="280">
        <f t="shared" si="11"/>
        <v>986.73207856651766</v>
      </c>
      <c r="CS34" s="420"/>
      <c r="CT34" s="290">
        <f t="shared" si="51"/>
        <v>986.73207856651766</v>
      </c>
      <c r="DF34" s="2">
        <f t="shared" si="35"/>
        <v>26.798308645884397</v>
      </c>
      <c r="DH34">
        <f t="shared" si="36"/>
        <v>2004</v>
      </c>
      <c r="DI34">
        <f>Total_stock_SF!BX34</f>
        <v>2117.5026549267072</v>
      </c>
      <c r="DJ34">
        <f t="shared" si="37"/>
        <v>1026.1587076010171</v>
      </c>
      <c r="DL34">
        <f t="shared" si="38"/>
        <v>1.1451594744025204</v>
      </c>
      <c r="DM34">
        <f t="shared" si="39"/>
        <v>1.2909896466010526</v>
      </c>
    </row>
    <row r="35" spans="1:117" x14ac:dyDescent="0.2">
      <c r="A35" s="2">
        <f>Total_stock_SF!AN35</f>
        <v>84749</v>
      </c>
      <c r="B35">
        <f>Total_stock_SF!J35</f>
        <v>76147.117574834105</v>
      </c>
      <c r="C35">
        <f>[9]National_Calibration!E34</f>
        <v>113.343</v>
      </c>
      <c r="D35">
        <f t="shared" si="8"/>
        <v>2005</v>
      </c>
      <c r="E35" s="341">
        <f>'Comps Ann'!D47+'Comps Ann'!E47</f>
        <v>295.5</v>
      </c>
      <c r="F35">
        <f t="shared" si="7"/>
        <v>283.68</v>
      </c>
      <c r="G35" s="24">
        <f>Survival_curve_MF!Z152</f>
        <v>-155.95381804878343</v>
      </c>
      <c r="H35">
        <f t="shared" si="5"/>
        <v>127.72618195121657</v>
      </c>
      <c r="I35" s="2">
        <f t="shared" si="49"/>
        <v>72413.811016438471</v>
      </c>
      <c r="J35" s="2">
        <f>108871-6940-B35</f>
        <v>25783.882425165895</v>
      </c>
      <c r="K35">
        <f>3707+1401</f>
        <v>5108</v>
      </c>
      <c r="L35">
        <f>681+229+1026+92</f>
        <v>2028</v>
      </c>
      <c r="M35">
        <f>K35-K$29</f>
        <v>1418</v>
      </c>
      <c r="N35">
        <f>L35-L$29</f>
        <v>529</v>
      </c>
      <c r="O35" s="2">
        <f>I35-N35</f>
        <v>71884.811016438471</v>
      </c>
      <c r="P35">
        <f>D35</f>
        <v>2005</v>
      </c>
      <c r="Q35" s="2">
        <f>O35</f>
        <v>71884.811016438471</v>
      </c>
      <c r="R35" s="2">
        <f>J35</f>
        <v>25783.882425165895</v>
      </c>
      <c r="S35" s="2">
        <f>R35+L35</f>
        <v>27811.882425165895</v>
      </c>
      <c r="T35" s="2">
        <f>1479+1659+159+143</f>
        <v>3440</v>
      </c>
      <c r="U35" s="12">
        <f>T35/R35</f>
        <v>0.13341668036162194</v>
      </c>
      <c r="V35" s="12"/>
      <c r="W35" s="12"/>
      <c r="X35" s="2">
        <f>124377-8630-A35</f>
        <v>30998</v>
      </c>
      <c r="Y35" s="2">
        <f>X35-R35</f>
        <v>5214.1175748341047</v>
      </c>
      <c r="Z35" s="12">
        <f>Y35/X35</f>
        <v>0.16820819326518177</v>
      </c>
      <c r="AI35" s="24">
        <f t="shared" si="40"/>
        <v>80.829288336665172</v>
      </c>
      <c r="AJ35" s="2">
        <f t="shared" si="43"/>
        <v>31213.489665231966</v>
      </c>
      <c r="AK35" s="24">
        <f t="shared" si="41"/>
        <v>-73.755220086092379</v>
      </c>
      <c r="AL35">
        <f t="shared" si="44"/>
        <v>242.36</v>
      </c>
      <c r="AM35" s="2">
        <f t="shared" si="45"/>
        <v>31382.094445145874</v>
      </c>
      <c r="AN35" s="2">
        <f>X35</f>
        <v>30998</v>
      </c>
      <c r="AO35" s="2">
        <f t="shared" si="46"/>
        <v>-384.09444514587449</v>
      </c>
      <c r="AP35">
        <f>AO35*AO35</f>
        <v>147528.54279191719</v>
      </c>
      <c r="AQ35">
        <f t="shared" si="13"/>
        <v>-2.3629277237862557E-3</v>
      </c>
      <c r="AS35">
        <f t="shared" si="14"/>
        <v>2005</v>
      </c>
      <c r="AT35" s="2">
        <f>AN35</f>
        <v>30998</v>
      </c>
      <c r="AU35" s="2">
        <f t="shared" si="15"/>
        <v>31382.094445145874</v>
      </c>
      <c r="AV35" s="2">
        <f t="shared" si="16"/>
        <v>29354.094445145874</v>
      </c>
      <c r="AW35">
        <f t="shared" si="17"/>
        <v>2005</v>
      </c>
      <c r="AX35" s="13">
        <f t="shared" si="9"/>
        <v>26103.369037650591</v>
      </c>
      <c r="AY35" s="2">
        <f>R35</f>
        <v>25783.882425165895</v>
      </c>
      <c r="BC35">
        <f>AHS_tables!DY$34</f>
        <v>1008.8160270695414</v>
      </c>
      <c r="BD35" s="280">
        <f t="shared" si="3"/>
        <v>2005</v>
      </c>
      <c r="BE35">
        <f>'Comps Ann_2015'!E47</f>
        <v>1635.9</v>
      </c>
      <c r="BF35" s="341">
        <f>'Comps Ann'!D47+'Comps Ann'!E47</f>
        <v>295.5</v>
      </c>
      <c r="BG35" s="2">
        <f>SFTotalMedAvgSqFt_2012!I41</f>
        <v>2434</v>
      </c>
      <c r="BH35">
        <f t="shared" si="18"/>
        <v>719247</v>
      </c>
      <c r="BI35" s="2">
        <f t="shared" si="4"/>
        <v>14907048.699999999</v>
      </c>
      <c r="BJ35">
        <f t="shared" si="19"/>
        <v>7117.3999999999987</v>
      </c>
      <c r="BK35">
        <f t="shared" si="2"/>
        <v>2094.4514429426476</v>
      </c>
      <c r="BL35">
        <f t="shared" si="42"/>
        <v>21753.800298243717</v>
      </c>
      <c r="BM35" s="2">
        <f>BM$15+SUM(AK$15:AK35)</f>
        <v>22008.013725717541</v>
      </c>
      <c r="BN35">
        <f t="shared" si="48"/>
        <v>1054.8063926703032</v>
      </c>
      <c r="BO35">
        <f t="shared" si="21"/>
        <v>23214193.567862641</v>
      </c>
      <c r="BP35">
        <f t="shared" si="22"/>
        <v>0.2443707775974143</v>
      </c>
      <c r="BQ35">
        <f t="shared" si="23"/>
        <v>-625283.58455276128</v>
      </c>
      <c r="BR35">
        <f t="shared" si="24"/>
        <v>1038.3891399947063</v>
      </c>
      <c r="BS35">
        <f>BC35</f>
        <v>1008.8160270695414</v>
      </c>
      <c r="BT35">
        <f>(BS35-BR35)^2</f>
        <v>874.56900808455396</v>
      </c>
      <c r="BV35">
        <f t="shared" si="25"/>
        <v>2005</v>
      </c>
      <c r="BW35">
        <f>BS35</f>
        <v>1008.8160270695414</v>
      </c>
      <c r="BX35">
        <f t="shared" si="26"/>
        <v>1038.3891399947063</v>
      </c>
      <c r="BY35" s="13">
        <f t="shared" si="50"/>
        <v>1038.3891399947063</v>
      </c>
      <c r="BZ35" s="15">
        <v>2005</v>
      </c>
      <c r="CA35" s="282">
        <f>AHS_tables!DQ12</f>
        <v>1132.2294313588252</v>
      </c>
      <c r="CB35" s="282">
        <f>AHS_tables!DR12</f>
        <v>901.40385100397532</v>
      </c>
      <c r="CC35" s="282">
        <f>AHS_tables!DS12</f>
        <v>851.77633800469903</v>
      </c>
      <c r="CD35" s="282">
        <f>AHS_tables!DT12</f>
        <v>981.48598053400508</v>
      </c>
      <c r="CE35" s="282">
        <f>AHS_tables!DU12</f>
        <v>977.31108951261149</v>
      </c>
      <c r="CF35" s="282">
        <f>AHS_tables!DV12</f>
        <v>959.56263074970991</v>
      </c>
      <c r="CG35" s="282">
        <f>AHS_tables!DW12</f>
        <v>1074.3312748353494</v>
      </c>
      <c r="CH35" s="282">
        <f>AHS_tables!DX12</f>
        <v>1160.4762924751117</v>
      </c>
      <c r="CI35" s="282">
        <f>AHS_tables!DY12</f>
        <v>1008.8160270695415</v>
      </c>
      <c r="CJ35" s="282"/>
      <c r="CK35" s="280">
        <f t="shared" si="28"/>
        <v>2005</v>
      </c>
      <c r="CL35" s="282">
        <f t="shared" si="29"/>
        <v>21753.800298243717</v>
      </c>
      <c r="CM35" s="280">
        <f t="shared" si="47"/>
        <v>384.88527559007093</v>
      </c>
      <c r="CN35" s="282">
        <f t="shared" si="10"/>
        <v>2884.4719659241314</v>
      </c>
      <c r="CO35" s="280">
        <f t="shared" si="31"/>
        <v>0.2443707775974143</v>
      </c>
      <c r="CP35" s="280">
        <f t="shared" si="32"/>
        <v>2005</v>
      </c>
      <c r="CQ35" s="345">
        <f>BS35</f>
        <v>1008.8160270695414</v>
      </c>
      <c r="CR35" s="280">
        <f t="shared" si="11"/>
        <v>995.71121877915243</v>
      </c>
      <c r="CS35" s="420"/>
      <c r="CT35" s="290">
        <f t="shared" si="51"/>
        <v>995.71121877915243</v>
      </c>
      <c r="CU35" s="280">
        <f>(CQ35-CR35)^2</f>
        <v>171.73600032784756</v>
      </c>
      <c r="DC35" s="282"/>
      <c r="DD35" s="344"/>
      <c r="DE35" s="2">
        <f>AX35*BX35*0.000001</f>
        <v>27.105454925970442</v>
      </c>
      <c r="DF35" s="2">
        <f t="shared" si="35"/>
        <v>27.105454925970442</v>
      </c>
      <c r="DH35">
        <f t="shared" si="36"/>
        <v>2005</v>
      </c>
      <c r="DI35">
        <f>Total_stock_SF!BX35</f>
        <v>2138.3776791572573</v>
      </c>
      <c r="DJ35">
        <f t="shared" si="37"/>
        <v>1038.3891399947063</v>
      </c>
      <c r="DL35">
        <f t="shared" si="38"/>
        <v>1.1564488259036283</v>
      </c>
      <c r="DM35">
        <f t="shared" si="39"/>
        <v>1.3063765077919689</v>
      </c>
    </row>
    <row r="36" spans="1:117" x14ac:dyDescent="0.2">
      <c r="A36" s="2">
        <f>Total_stock_SF!AN36</f>
        <v>0</v>
      </c>
      <c r="B36">
        <f>Total_stock_SF!J36</f>
        <v>0</v>
      </c>
      <c r="C36">
        <f>[9]National_Calibration!E35</f>
        <v>114.384</v>
      </c>
      <c r="D36">
        <f t="shared" si="8"/>
        <v>2006</v>
      </c>
      <c r="E36" s="341">
        <f>'Comps Ann'!D48+'Comps Ann'!E48</f>
        <v>325</v>
      </c>
      <c r="F36">
        <f t="shared" si="7"/>
        <v>312</v>
      </c>
      <c r="G36" s="24">
        <f>Survival_curve_MF!Z153</f>
        <v>-159.68736438014457</v>
      </c>
      <c r="H36">
        <f t="shared" si="5"/>
        <v>152.31263561985543</v>
      </c>
      <c r="I36" s="2">
        <f t="shared" si="49"/>
        <v>72566.123652058333</v>
      </c>
      <c r="J36" t="s">
        <v>255</v>
      </c>
      <c r="L36">
        <f>AVERAGE(L35,L37)</f>
        <v>1870.5</v>
      </c>
      <c r="O36" s="2"/>
      <c r="S36" s="2"/>
      <c r="T36" s="2"/>
      <c r="U36" s="2"/>
      <c r="V36" s="2"/>
      <c r="W36" s="2"/>
      <c r="X36" t="s">
        <v>255</v>
      </c>
      <c r="Y36" s="2"/>
      <c r="Z36" s="12">
        <f>AVERAGE(Z35,Z37)</f>
        <v>0.17039460202311951</v>
      </c>
      <c r="AI36" s="24">
        <f t="shared" si="40"/>
        <v>82.383724418782222</v>
      </c>
      <c r="AJ36" s="2">
        <f t="shared" si="43"/>
        <v>31382.094445145874</v>
      </c>
      <c r="AK36" s="24">
        <f t="shared" si="41"/>
        <v>-75.579676654516135</v>
      </c>
      <c r="AL36">
        <f t="shared" si="44"/>
        <v>248.20000000000002</v>
      </c>
      <c r="AM36" s="2">
        <f t="shared" si="45"/>
        <v>31554.714768491358</v>
      </c>
      <c r="AN36" s="2"/>
      <c r="AO36" s="2"/>
      <c r="AQ36">
        <f t="shared" si="13"/>
        <v>-2.4083694218250836E-3</v>
      </c>
      <c r="AS36">
        <f t="shared" si="14"/>
        <v>2006</v>
      </c>
      <c r="AU36" s="2">
        <f t="shared" si="15"/>
        <v>31554.714768491358</v>
      </c>
      <c r="AV36" s="2">
        <f t="shared" si="16"/>
        <v>29684.214768491358</v>
      </c>
      <c r="AW36">
        <f t="shared" si="17"/>
        <v>2006</v>
      </c>
      <c r="AX36" s="13">
        <f t="shared" si="9"/>
        <v>26177.961703561221</v>
      </c>
      <c r="BD36" s="280">
        <f t="shared" si="3"/>
        <v>2006</v>
      </c>
      <c r="BE36">
        <f>'Comps Ann_2015'!E48</f>
        <v>1654.5</v>
      </c>
      <c r="BF36" s="341">
        <f>'Comps Ann'!D48+'Comps Ann'!E48</f>
        <v>325</v>
      </c>
      <c r="BG36" s="2">
        <f>SFTotalMedAvgSqFt_2012!I42</f>
        <v>2469</v>
      </c>
      <c r="BH36">
        <f t="shared" si="18"/>
        <v>802425</v>
      </c>
      <c r="BI36" s="2">
        <f t="shared" si="4"/>
        <v>15709473.699999999</v>
      </c>
      <c r="BJ36">
        <f t="shared" si="19"/>
        <v>7442.3999999999987</v>
      </c>
      <c r="BK36">
        <f t="shared" si="2"/>
        <v>2110.8074948941203</v>
      </c>
      <c r="BL36">
        <f t="shared" si="42"/>
        <v>21666.904455659242</v>
      </c>
      <c r="BM36" s="2">
        <f>BM$15+SUM(AK$15:AK36)</f>
        <v>21932.434049063027</v>
      </c>
      <c r="BN36">
        <f t="shared" si="48"/>
        <v>1067.8036086196521</v>
      </c>
      <c r="BO36">
        <f t="shared" si="21"/>
        <v>23419532.223402027</v>
      </c>
      <c r="BP36">
        <f t="shared" si="22"/>
        <v>0.25335972920117283</v>
      </c>
      <c r="BQ36">
        <f t="shared" si="23"/>
        <v>-658941.70095341071</v>
      </c>
      <c r="BR36">
        <f t="shared" si="24"/>
        <v>1050.477264485454</v>
      </c>
      <c r="BV36">
        <f t="shared" si="25"/>
        <v>2006</v>
      </c>
      <c r="BX36">
        <f t="shared" si="26"/>
        <v>1050.477264485454</v>
      </c>
      <c r="BY36" s="13">
        <f t="shared" si="50"/>
        <v>1050.477264485454</v>
      </c>
      <c r="BZ36" s="15">
        <v>2007</v>
      </c>
      <c r="CA36" s="282">
        <f>AHS_tables!EB12</f>
        <v>1159.7487162049099</v>
      </c>
      <c r="CB36" s="282">
        <f>AHS_tables!EC12</f>
        <v>990.52376426116427</v>
      </c>
      <c r="CC36" s="282">
        <f>AHS_tables!ED12</f>
        <v>853.61236394795355</v>
      </c>
      <c r="CD36" s="282">
        <f>AHS_tables!EE12</f>
        <v>982.8962449442771</v>
      </c>
      <c r="CE36" s="282">
        <f>AHS_tables!EF12</f>
        <v>962.44050632519827</v>
      </c>
      <c r="CF36" s="282">
        <f>AHS_tables!EG12</f>
        <v>998.19926043202474</v>
      </c>
      <c r="CG36" s="282">
        <f>AHS_tables!EH12</f>
        <v>1048.9864462429641</v>
      </c>
      <c r="CH36" s="282">
        <f>AHS_tables!EI12</f>
        <v>1171.8780711653335</v>
      </c>
      <c r="CI36" s="282">
        <f>AHS_tables!EJ12</f>
        <v>1021.032830224587</v>
      </c>
      <c r="CJ36" s="282"/>
      <c r="CK36" s="280">
        <f t="shared" si="28"/>
        <v>2006</v>
      </c>
      <c r="CL36" s="282">
        <f t="shared" si="29"/>
        <v>21666.904455659242</v>
      </c>
      <c r="CM36" s="280">
        <f t="shared" si="47"/>
        <v>362.11079779636566</v>
      </c>
      <c r="CN36" s="282">
        <f t="shared" si="10"/>
        <v>2907.8159683238046</v>
      </c>
      <c r="CO36" s="280">
        <f t="shared" si="31"/>
        <v>0.25335972920117283</v>
      </c>
      <c r="CP36" s="280">
        <f t="shared" si="32"/>
        <v>2006</v>
      </c>
      <c r="CQ36" s="345"/>
      <c r="CR36" s="280">
        <f t="shared" si="11"/>
        <v>1007.0899704272231</v>
      </c>
      <c r="CS36" s="420"/>
      <c r="CT36" s="290">
        <f t="shared" si="51"/>
        <v>1007.0899704272231</v>
      </c>
      <c r="DC36" s="282"/>
      <c r="DD36" s="344"/>
      <c r="DE36" s="2">
        <f>AX36*BX36*0.000001</f>
        <v>27.499353600161964</v>
      </c>
      <c r="DF36" s="2">
        <f t="shared" si="35"/>
        <v>27.499353600161964</v>
      </c>
      <c r="DH36">
        <f t="shared" si="36"/>
        <v>2006</v>
      </c>
      <c r="DI36">
        <f>Total_stock_SF!BX36</f>
        <v>2158.3309177961414</v>
      </c>
      <c r="DJ36">
        <f t="shared" si="37"/>
        <v>1050.477264485454</v>
      </c>
      <c r="DL36">
        <f t="shared" si="38"/>
        <v>1.1672396696455094</v>
      </c>
      <c r="DM36">
        <f t="shared" si="39"/>
        <v>1.3215843342702565</v>
      </c>
    </row>
    <row r="37" spans="1:117" x14ac:dyDescent="0.2">
      <c r="A37" s="2">
        <f>Total_stock_SF!AN37</f>
        <v>87541</v>
      </c>
      <c r="B37">
        <f>Total_stock_SF!J37</f>
        <v>77490.956361530247</v>
      </c>
      <c r="C37">
        <f>[9]National_Calibration!E36</f>
        <v>116.011</v>
      </c>
      <c r="D37">
        <f t="shared" si="8"/>
        <v>2007</v>
      </c>
      <c r="E37" s="341">
        <f>'Comps Ann'!D49+'Comps Ann'!E49</f>
        <v>284.39999999999998</v>
      </c>
      <c r="F37">
        <f t="shared" si="7"/>
        <v>273.02399999999994</v>
      </c>
      <c r="G37" s="24">
        <f>Survival_curve_MF!Z154</f>
        <v>-163.39397059992552</v>
      </c>
      <c r="H37">
        <f t="shared" si="5"/>
        <v>109.63002940007442</v>
      </c>
      <c r="I37" s="2">
        <f t="shared" si="49"/>
        <v>72675.753681458402</v>
      </c>
      <c r="J37" s="2">
        <f>110692-6919-B37</f>
        <v>26282.043638469753</v>
      </c>
      <c r="K37">
        <f>3582+2017</f>
        <v>5599</v>
      </c>
      <c r="L37">
        <f>850+192+567+104</f>
        <v>1713</v>
      </c>
      <c r="M37">
        <f>K37-K$29</f>
        <v>1909</v>
      </c>
      <c r="N37">
        <f>L37-L$29</f>
        <v>214</v>
      </c>
      <c r="O37" s="2">
        <f>I37-N37</f>
        <v>72461.753681458402</v>
      </c>
      <c r="P37">
        <f>D37</f>
        <v>2007</v>
      </c>
      <c r="Q37" s="2">
        <f>O37</f>
        <v>72461.753681458402</v>
      </c>
      <c r="R37" s="2">
        <f>J37</f>
        <v>26282.043638469753</v>
      </c>
      <c r="S37" s="2">
        <f>R37+L37</f>
        <v>27995.043638469753</v>
      </c>
      <c r="T37" s="2"/>
      <c r="U37" s="2"/>
      <c r="V37" s="2"/>
      <c r="W37" s="2"/>
      <c r="X37" s="2">
        <f>128203-8705-A37</f>
        <v>31957</v>
      </c>
      <c r="Y37" s="2">
        <f>X37-R37</f>
        <v>5674.9563615302468</v>
      </c>
      <c r="Z37" s="215">
        <f>Y37/X37-0.005</f>
        <v>0.17258101078105725</v>
      </c>
      <c r="AI37" s="24">
        <f t="shared" si="40"/>
        <v>81.202603360368073</v>
      </c>
      <c r="AJ37" s="2">
        <f t="shared" si="43"/>
        <v>31554.714768491358</v>
      </c>
      <c r="AK37" s="24">
        <f t="shared" si="41"/>
        <v>-74.905877249405435</v>
      </c>
      <c r="AL37">
        <f t="shared" si="44"/>
        <v>243.76</v>
      </c>
      <c r="AM37" s="2">
        <f t="shared" si="45"/>
        <v>31723.56889124195</v>
      </c>
      <c r="AN37" s="2">
        <f>X37</f>
        <v>31957</v>
      </c>
      <c r="AO37" s="2">
        <f t="shared" si="46"/>
        <v>233.43110875804996</v>
      </c>
      <c r="AP37">
        <f>AO37*AO37</f>
        <v>54490.082536012545</v>
      </c>
      <c r="AQ37">
        <f t="shared" si="13"/>
        <v>-2.3738410503460466E-3</v>
      </c>
      <c r="AS37">
        <f t="shared" si="14"/>
        <v>2007</v>
      </c>
      <c r="AT37" s="2">
        <f>AN37</f>
        <v>31957</v>
      </c>
      <c r="AU37" s="2">
        <f t="shared" si="15"/>
        <v>31723.56889124195</v>
      </c>
      <c r="AV37" s="2">
        <f t="shared" si="16"/>
        <v>30010.56889124195</v>
      </c>
      <c r="AW37">
        <f t="shared" si="17"/>
        <v>2007</v>
      </c>
      <c r="AX37" s="13">
        <f t="shared" si="9"/>
        <v>26248.683306408911</v>
      </c>
      <c r="AY37" s="2">
        <f>R37</f>
        <v>26282.043638469753</v>
      </c>
      <c r="BC37">
        <f>AHS_tables!EJ$34</f>
        <v>1021.032830224587</v>
      </c>
      <c r="BD37" s="280">
        <f t="shared" si="3"/>
        <v>2007</v>
      </c>
      <c r="BE37">
        <f>'Comps Ann_2015'!E49</f>
        <v>1218.4000000000001</v>
      </c>
      <c r="BF37" s="341">
        <f>'Comps Ann'!D49+'Comps Ann'!E49</f>
        <v>284.39999999999998</v>
      </c>
      <c r="BG37" s="2">
        <f>SFTotalMedAvgSqFt_2012!I43</f>
        <v>2521</v>
      </c>
      <c r="BH37">
        <f t="shared" si="18"/>
        <v>716972.39999999991</v>
      </c>
      <c r="BI37" s="2">
        <f t="shared" si="4"/>
        <v>16426446.1</v>
      </c>
      <c r="BJ37">
        <f t="shared" si="19"/>
        <v>7726.7999999999984</v>
      </c>
      <c r="BK37">
        <f t="shared" si="2"/>
        <v>2125.9054330382569</v>
      </c>
      <c r="BL37">
        <f t="shared" si="42"/>
        <v>21580.884845101667</v>
      </c>
      <c r="BM37" s="2">
        <f>BM$15+SUM(AK$15:AK37)</f>
        <v>21857.528171813621</v>
      </c>
      <c r="BN37">
        <f t="shared" si="48"/>
        <v>1080.800824569001</v>
      </c>
      <c r="BO37">
        <f t="shared" si="21"/>
        <v>23623634.471136328</v>
      </c>
      <c r="BP37">
        <f t="shared" si="22"/>
        <v>0.26117882262277242</v>
      </c>
      <c r="BQ37">
        <f t="shared" si="23"/>
        <v>-689015.46547377459</v>
      </c>
      <c r="BR37">
        <f t="shared" si="24"/>
        <v>1062.7283899746192</v>
      </c>
      <c r="BS37">
        <f>BC37</f>
        <v>1021.032830224587</v>
      </c>
      <c r="BT37">
        <f>(BS37-BR37)^2</f>
        <v>1738.5197028685054</v>
      </c>
      <c r="BV37">
        <f t="shared" si="25"/>
        <v>2007</v>
      </c>
      <c r="BW37">
        <f>BS37</f>
        <v>1021.032830224587</v>
      </c>
      <c r="BX37">
        <f t="shared" si="26"/>
        <v>1062.7283899746192</v>
      </c>
      <c r="BY37" s="13">
        <f t="shared" si="50"/>
        <v>1062.7283899746192</v>
      </c>
      <c r="BZ37" s="15">
        <v>2009</v>
      </c>
      <c r="CA37" s="282">
        <f>AHS_tables!EM12</f>
        <v>1129.7838852386815</v>
      </c>
      <c r="CB37" s="282">
        <f>AHS_tables!EN12</f>
        <v>1170.1585387470502</v>
      </c>
      <c r="CC37" s="282">
        <f>AHS_tables!EO12</f>
        <v>868.57403924110554</v>
      </c>
      <c r="CD37" s="282">
        <f>AHS_tables!EP12</f>
        <v>956.16850746383386</v>
      </c>
      <c r="CE37" s="282">
        <f>AHS_tables!EQ12</f>
        <v>973.7869681719244</v>
      </c>
      <c r="CF37" s="282">
        <f>AHS_tables!ER12</f>
        <v>1024.5879920169527</v>
      </c>
      <c r="CG37" s="282">
        <f>AHS_tables!ES12</f>
        <v>1133.2582693661616</v>
      </c>
      <c r="CH37" s="282">
        <f>AHS_tables!ET12</f>
        <v>1210.9836100654754</v>
      </c>
      <c r="CI37" s="282">
        <f>AHS_tables!EU12</f>
        <v>1042.6252707255142</v>
      </c>
      <c r="CJ37" s="282"/>
      <c r="CK37" s="280">
        <f t="shared" si="28"/>
        <v>2007</v>
      </c>
      <c r="CL37" s="282">
        <f t="shared" si="29"/>
        <v>21580.884845101667</v>
      </c>
      <c r="CM37" s="280">
        <f t="shared" si="47"/>
        <v>339.33632000266039</v>
      </c>
      <c r="CN37" s="282">
        <f t="shared" si="10"/>
        <v>2931.1599707234777</v>
      </c>
      <c r="CO37" s="280">
        <f t="shared" si="31"/>
        <v>0.26117882262277242</v>
      </c>
      <c r="CP37" s="280">
        <f t="shared" si="32"/>
        <v>2007</v>
      </c>
      <c r="CQ37" s="345">
        <f>BS37</f>
        <v>1021.032830224587</v>
      </c>
      <c r="CR37" s="280">
        <f t="shared" si="11"/>
        <v>1016.2657695437792</v>
      </c>
      <c r="CS37" s="420"/>
      <c r="CT37" s="290">
        <f t="shared" si="51"/>
        <v>1016.2657695437792</v>
      </c>
      <c r="CU37" s="280">
        <f>(CQ37-CR37)^2</f>
        <v>22.724867534503066</v>
      </c>
      <c r="DC37" s="282"/>
      <c r="DD37" s="344"/>
      <c r="DE37" s="2">
        <f>AX37*BX37*0.000001</f>
        <v>27.895220949173606</v>
      </c>
      <c r="DF37" s="2">
        <f t="shared" si="35"/>
        <v>27.895220949173606</v>
      </c>
      <c r="DH37">
        <f t="shared" si="36"/>
        <v>2007</v>
      </c>
      <c r="DI37">
        <f>Total_stock_SF!BX37</f>
        <v>2168.9358849751275</v>
      </c>
      <c r="DJ37">
        <f t="shared" si="37"/>
        <v>1062.7283899746192</v>
      </c>
      <c r="DL37">
        <f t="shared" si="38"/>
        <v>1.1729749062047117</v>
      </c>
      <c r="DM37">
        <f t="shared" si="39"/>
        <v>1.3369972290287073</v>
      </c>
    </row>
    <row r="38" spans="1:117" x14ac:dyDescent="0.2">
      <c r="A38" s="2">
        <f>Total_stock_SF!AN38</f>
        <v>0</v>
      </c>
      <c r="B38">
        <f>Total_stock_SF!J38</f>
        <v>0</v>
      </c>
      <c r="C38">
        <f>[9]National_Calibration!E37</f>
        <v>116.783</v>
      </c>
      <c r="D38">
        <f t="shared" si="8"/>
        <v>2008</v>
      </c>
      <c r="E38" s="341">
        <f>'Comps Ann'!D50+'Comps Ann'!E50</f>
        <v>300.89999999999998</v>
      </c>
      <c r="F38">
        <f t="shared" si="7"/>
        <v>288.86399999999998</v>
      </c>
      <c r="G38" s="24">
        <f>Survival_curve_MF!Z155</f>
        <v>-167.07418280705679</v>
      </c>
      <c r="H38">
        <f t="shared" si="5"/>
        <v>121.78981719294319</v>
      </c>
      <c r="I38" s="2">
        <f t="shared" si="49"/>
        <v>72797.543498651343</v>
      </c>
      <c r="L38">
        <f>AVERAGE(L37,L39)</f>
        <v>2191.5</v>
      </c>
      <c r="O38" s="2"/>
      <c r="S38" s="2"/>
      <c r="T38" s="2"/>
      <c r="U38" s="2"/>
      <c r="V38" s="2"/>
      <c r="W38" s="2"/>
      <c r="Y38" s="2"/>
      <c r="Z38" s="12">
        <f>AVERAGE(Z37,Z39)</f>
        <v>0.17905015306911737</v>
      </c>
      <c r="AI38" s="24">
        <f t="shared" si="40"/>
        <v>78.623217474919258</v>
      </c>
      <c r="AJ38" s="2">
        <f t="shared" si="43"/>
        <v>31723.56889124195</v>
      </c>
      <c r="AK38" s="24">
        <f t="shared" si="41"/>
        <v>-72.91460618622294</v>
      </c>
      <c r="AL38">
        <f t="shared" si="44"/>
        <v>234.12</v>
      </c>
      <c r="AM38" s="2">
        <f t="shared" si="45"/>
        <v>31884.774285055726</v>
      </c>
      <c r="AN38" s="2"/>
      <c r="AO38" s="2"/>
      <c r="AQ38">
        <f t="shared" si="13"/>
        <v>-2.2984364223393779E-3</v>
      </c>
      <c r="AS38">
        <f t="shared" si="14"/>
        <v>2008</v>
      </c>
      <c r="AU38" s="2">
        <f t="shared" si="15"/>
        <v>31884.774285055726</v>
      </c>
      <c r="AV38" s="2">
        <f t="shared" si="16"/>
        <v>29693.274285055726</v>
      </c>
      <c r="AW38">
        <f t="shared" si="17"/>
        <v>2008</v>
      </c>
      <c r="AX38" s="13">
        <f t="shared" si="9"/>
        <v>26175.800568742241</v>
      </c>
      <c r="BD38" s="280">
        <f t="shared" si="3"/>
        <v>2008</v>
      </c>
      <c r="BE38">
        <f>'Comps Ann_2015'!E50</f>
        <v>818.8</v>
      </c>
      <c r="BF38" s="341">
        <f>'Comps Ann'!D50+'Comps Ann'!E50</f>
        <v>300.89999999999998</v>
      </c>
      <c r="BG38" s="2">
        <f>SFTotalMedAvgSqFt_2012!I44</f>
        <v>2519</v>
      </c>
      <c r="BH38">
        <f t="shared" si="18"/>
        <v>757967.1</v>
      </c>
      <c r="BI38" s="2">
        <f t="shared" si="4"/>
        <v>17184413.199999999</v>
      </c>
      <c r="BJ38">
        <f t="shared" si="19"/>
        <v>8027.699999999998</v>
      </c>
      <c r="BK38">
        <f t="shared" si="2"/>
        <v>2140.6396850903752</v>
      </c>
      <c r="BL38">
        <f t="shared" si="42"/>
        <v>21497.296021479819</v>
      </c>
      <c r="BM38" s="2">
        <f>BM$15+SUM(AK$15:AK38)</f>
        <v>21784.613565627398</v>
      </c>
      <c r="BN38">
        <f t="shared" si="48"/>
        <v>1093.7980405183498</v>
      </c>
      <c r="BO38">
        <f t="shared" si="21"/>
        <v>23827967.63153271</v>
      </c>
      <c r="BP38">
        <f t="shared" si="22"/>
        <v>0.26927463990099948</v>
      </c>
      <c r="BQ38">
        <f t="shared" si="23"/>
        <v>-720808.77310958202</v>
      </c>
      <c r="BR38">
        <f t="shared" si="24"/>
        <v>1074.8867594945316</v>
      </c>
      <c r="BV38">
        <f t="shared" si="25"/>
        <v>2008</v>
      </c>
      <c r="BX38">
        <f t="shared" si="26"/>
        <v>1074.8867594945316</v>
      </c>
      <c r="BY38" s="13">
        <f t="shared" si="50"/>
        <v>1074.8867594945316</v>
      </c>
      <c r="BZ38" s="15">
        <v>2011</v>
      </c>
      <c r="CA38" s="282">
        <f>AVERAGE(CA35:CA37)</f>
        <v>1140.5873442674722</v>
      </c>
      <c r="CB38" s="282">
        <f t="shared" ref="CB38:CI38" si="52">AVERAGE(CB35:CB37)</f>
        <v>1020.6953846707298</v>
      </c>
      <c r="CC38" s="282">
        <f t="shared" si="52"/>
        <v>857.98758039791937</v>
      </c>
      <c r="CD38" s="282">
        <f t="shared" si="52"/>
        <v>973.51691098070535</v>
      </c>
      <c r="CE38" s="282">
        <f t="shared" si="52"/>
        <v>971.17952133657809</v>
      </c>
      <c r="CF38" s="282">
        <f t="shared" si="52"/>
        <v>994.11662773289572</v>
      </c>
      <c r="CG38" s="282">
        <f t="shared" si="52"/>
        <v>1085.5253301481582</v>
      </c>
      <c r="CH38" s="282">
        <f t="shared" si="52"/>
        <v>1181.1126579019735</v>
      </c>
      <c r="CI38" s="282">
        <f t="shared" si="52"/>
        <v>1024.1580426732141</v>
      </c>
      <c r="CJ38" s="282"/>
      <c r="CK38" s="280">
        <f t="shared" si="28"/>
        <v>2008</v>
      </c>
      <c r="CL38" s="282">
        <f t="shared" si="29"/>
        <v>21497.296021479819</v>
      </c>
      <c r="CM38" s="280">
        <f t="shared" si="47"/>
        <v>316.56184220895517</v>
      </c>
      <c r="CN38" s="282">
        <f t="shared" si="10"/>
        <v>2931.1599707234777</v>
      </c>
      <c r="CO38" s="280">
        <f t="shared" si="31"/>
        <v>0.26927463990099948</v>
      </c>
      <c r="CP38" s="280">
        <f t="shared" si="32"/>
        <v>2008</v>
      </c>
      <c r="CQ38" s="345"/>
      <c r="CR38" s="280">
        <f t="shared" si="11"/>
        <v>1020.6068117505304</v>
      </c>
      <c r="CS38" s="420"/>
      <c r="CT38" s="290">
        <f t="shared" si="51"/>
        <v>1020.6068117505304</v>
      </c>
      <c r="DC38" s="282"/>
      <c r="DD38" s="344"/>
      <c r="DE38" s="2">
        <f>AX38*BX38*0.000001</f>
        <v>28.136021450510462</v>
      </c>
      <c r="DF38" s="2">
        <f t="shared" si="35"/>
        <v>28.136021450510462</v>
      </c>
      <c r="DH38">
        <f t="shared" si="36"/>
        <v>2008</v>
      </c>
      <c r="DI38">
        <f>Total_stock_SF!BX38</f>
        <v>2176.1427273015274</v>
      </c>
      <c r="DJ38">
        <f t="shared" si="37"/>
        <v>1074.8867594945316</v>
      </c>
      <c r="DL38">
        <f t="shared" si="38"/>
        <v>1.1768724143147489</v>
      </c>
      <c r="DM38">
        <f t="shared" si="39"/>
        <v>1.352293429366423</v>
      </c>
    </row>
    <row r="39" spans="1:117" x14ac:dyDescent="0.2">
      <c r="A39" s="2">
        <f>Total_stock_SF!AN39</f>
        <v>89525</v>
      </c>
      <c r="B39">
        <f>Total_stock_SF!J39</f>
        <v>79051.852939674674</v>
      </c>
      <c r="C39">
        <f>[9]National_Calibration!E38</f>
        <v>117.181</v>
      </c>
      <c r="D39">
        <f t="shared" si="8"/>
        <v>2009</v>
      </c>
      <c r="E39" s="341">
        <f>'Comps Ann'!D51+'Comps Ann'!E51</f>
        <v>274.3</v>
      </c>
      <c r="F39">
        <f t="shared" si="7"/>
        <v>263.32799999999997</v>
      </c>
      <c r="G39" s="24">
        <f>Survival_curve_MF!Z156</f>
        <v>-170.72867321813828</v>
      </c>
      <c r="H39">
        <f t="shared" si="5"/>
        <v>92.599326781861691</v>
      </c>
      <c r="I39" s="2">
        <f t="shared" si="49"/>
        <v>72890.142825433199</v>
      </c>
      <c r="J39" s="2">
        <f>111806-6839-B39</f>
        <v>25915.147060325326</v>
      </c>
      <c r="K39">
        <f>4018+2108</f>
        <v>6126</v>
      </c>
      <c r="L39">
        <f>820+198+1477+175</f>
        <v>2670</v>
      </c>
      <c r="M39">
        <f>K39-K$29</f>
        <v>2436</v>
      </c>
      <c r="N39">
        <f>L39-L$29</f>
        <v>1171</v>
      </c>
      <c r="O39" s="2">
        <f>I39-N39</f>
        <v>71719.142825433199</v>
      </c>
      <c r="P39">
        <f>D39</f>
        <v>2009</v>
      </c>
      <c r="Q39" s="2">
        <f>O39</f>
        <v>71719.142825433199</v>
      </c>
      <c r="R39" s="2">
        <f>J39</f>
        <v>25915.147060325326</v>
      </c>
      <c r="S39" s="2">
        <f>R39+L39</f>
        <v>28585.147060325326</v>
      </c>
      <c r="T39" s="2">
        <f>1713+2118+213+195</f>
        <v>4239</v>
      </c>
      <c r="U39" s="12">
        <f>T39/R39</f>
        <v>0.16357229191609249</v>
      </c>
      <c r="V39" s="12"/>
      <c r="W39" s="12">
        <f>10160+6347+5722+4525+5063</f>
        <v>31817</v>
      </c>
      <c r="X39" s="2">
        <f>130112-8769-A39</f>
        <v>31818</v>
      </c>
      <c r="Y39" s="2">
        <f>X39-R39</f>
        <v>5902.8529396746744</v>
      </c>
      <c r="Z39" s="12">
        <f>Y39/X39</f>
        <v>0.18551929535717751</v>
      </c>
      <c r="AA39" s="282">
        <f>X39-Y39</f>
        <v>25915.147060325326</v>
      </c>
      <c r="AG39">
        <f>AY39/AT39</f>
        <v>0.81448070464282252</v>
      </c>
      <c r="AI39" s="24">
        <f t="shared" si="40"/>
        <v>77.535946887240286</v>
      </c>
      <c r="AJ39" s="2">
        <f t="shared" si="43"/>
        <v>31884.774285055726</v>
      </c>
      <c r="AK39" s="24">
        <f t="shared" si="41"/>
        <v>-72.271675735514478</v>
      </c>
      <c r="AL39">
        <f t="shared" si="44"/>
        <v>230.08000000000004</v>
      </c>
      <c r="AM39" s="2">
        <f t="shared" si="45"/>
        <v>32042.582609320212</v>
      </c>
      <c r="AN39" s="2">
        <f>X39</f>
        <v>31818</v>
      </c>
      <c r="AO39" s="2">
        <f t="shared" si="46"/>
        <v>-224.58260932021221</v>
      </c>
      <c r="AP39">
        <f>AO39*AO39</f>
        <v>50437.348409075072</v>
      </c>
      <c r="AQ39">
        <f t="shared" si="13"/>
        <v>-2.2666516340806571E-3</v>
      </c>
      <c r="AS39">
        <f t="shared" si="14"/>
        <v>2009</v>
      </c>
      <c r="AT39" s="2">
        <f>AN39</f>
        <v>31818</v>
      </c>
      <c r="AU39" s="2">
        <f t="shared" si="15"/>
        <v>32042.582609320212</v>
      </c>
      <c r="AV39" s="2">
        <f t="shared" si="16"/>
        <v>29372.582609320212</v>
      </c>
      <c r="AW39">
        <f t="shared" si="17"/>
        <v>2009</v>
      </c>
      <c r="AX39" s="13">
        <f t="shared" si="9"/>
        <v>26098.065262214976</v>
      </c>
      <c r="AY39" s="2">
        <f>R39</f>
        <v>25915.147060325326</v>
      </c>
      <c r="BC39">
        <f>AHS_tables!EU$34</f>
        <v>1042.6252707255142</v>
      </c>
      <c r="BD39" s="280">
        <f t="shared" si="3"/>
        <v>2009</v>
      </c>
      <c r="BE39">
        <f>'Comps Ann_2015'!E51</f>
        <v>520.1</v>
      </c>
      <c r="BF39" s="341">
        <f>'Comps Ann'!D51+'Comps Ann'!E51</f>
        <v>274.3</v>
      </c>
      <c r="BG39" s="2">
        <f>SFTotalMedAvgSqFt_2012!I45</f>
        <v>2438</v>
      </c>
      <c r="BH39">
        <f t="shared" si="18"/>
        <v>668743.4</v>
      </c>
      <c r="BI39" s="2">
        <f t="shared" si="4"/>
        <v>17853156.599999998</v>
      </c>
      <c r="BJ39">
        <f t="shared" si="19"/>
        <v>8301.9999999999982</v>
      </c>
      <c r="BK39">
        <f t="shared" si="2"/>
        <v>2150.464538665382</v>
      </c>
      <c r="BL39">
        <f t="shared" si="42"/>
        <v>21414.534323757332</v>
      </c>
      <c r="BM39" s="2">
        <f>BM$15+SUM(AK$15:AK39)</f>
        <v>21712.341889891883</v>
      </c>
      <c r="BN39">
        <f t="shared" si="48"/>
        <v>1106.7952564676987</v>
      </c>
      <c r="BO39">
        <f t="shared" si="21"/>
        <v>24031117.010537244</v>
      </c>
      <c r="BP39">
        <f t="shared" si="22"/>
        <v>0.27660110058238241</v>
      </c>
      <c r="BQ39">
        <f t="shared" si="23"/>
        <v>-748859.54819680622</v>
      </c>
      <c r="BR39">
        <f t="shared" si="24"/>
        <v>1087.2175462863579</v>
      </c>
      <c r="BS39">
        <f>BC39</f>
        <v>1042.6252707255142</v>
      </c>
      <c r="BT39">
        <f>(BS39-BR39)^2</f>
        <v>1988.4710396942223</v>
      </c>
      <c r="BV39">
        <f t="shared" si="25"/>
        <v>2009</v>
      </c>
      <c r="BW39">
        <f>BS39</f>
        <v>1042.6252707255142</v>
      </c>
      <c r="BX39">
        <f t="shared" si="26"/>
        <v>1087.2175462863579</v>
      </c>
      <c r="BY39" s="27">
        <f>BX39-2</f>
        <v>1085.2175462863579</v>
      </c>
      <c r="BZ39" s="15"/>
      <c r="CK39" s="280">
        <f t="shared" si="28"/>
        <v>2009</v>
      </c>
      <c r="CL39" s="282">
        <f t="shared" si="29"/>
        <v>21414.534323757332</v>
      </c>
      <c r="CM39" s="280">
        <f t="shared" si="47"/>
        <v>293.7873644152499</v>
      </c>
      <c r="CN39" s="282">
        <f t="shared" si="10"/>
        <v>2931.1599707234777</v>
      </c>
      <c r="CO39" s="280">
        <f t="shared" si="31"/>
        <v>0.27660110058238241</v>
      </c>
      <c r="CP39" s="280">
        <f t="shared" si="32"/>
        <v>2009</v>
      </c>
      <c r="CQ39" s="345">
        <f>BS39</f>
        <v>1042.6252707255142</v>
      </c>
      <c r="CR39" s="280">
        <f t="shared" si="11"/>
        <v>1023.2875299659321</v>
      </c>
      <c r="CS39" s="420"/>
      <c r="CT39" s="290">
        <f t="shared" si="51"/>
        <v>1023.2875299659321</v>
      </c>
      <c r="CU39" s="280">
        <f>(CQ39-CR39)^2</f>
        <v>373.94821768480142</v>
      </c>
      <c r="DE39" s="2">
        <f>AX39*BX39*0.000001</f>
        <v>28.374274477206598</v>
      </c>
      <c r="DF39" s="2">
        <f t="shared" si="35"/>
        <v>28.322078346682169</v>
      </c>
      <c r="DH39">
        <f t="shared" si="36"/>
        <v>2009</v>
      </c>
      <c r="DI39">
        <f>Total_stock_SF!BX39</f>
        <v>2181.3182757931095</v>
      </c>
      <c r="DJ39">
        <f t="shared" si="37"/>
        <v>1087.2175462863579</v>
      </c>
      <c r="DL39">
        <f t="shared" si="38"/>
        <v>1.1796713852518455</v>
      </c>
      <c r="DM39">
        <f t="shared" si="39"/>
        <v>1.3678065444087428</v>
      </c>
    </row>
    <row r="40" spans="1:117" x14ac:dyDescent="0.2">
      <c r="D40">
        <f t="shared" si="8"/>
        <v>2010</v>
      </c>
      <c r="E40" s="341">
        <f>'Comps Ann'!D52+'Comps Ann'!E52</f>
        <v>155.4</v>
      </c>
      <c r="F40" s="280">
        <f t="shared" si="7"/>
        <v>149.184</v>
      </c>
      <c r="G40" s="24">
        <f>Survival_curve_MF!Z157</f>
        <v>-174.35816842770146</v>
      </c>
      <c r="H40" s="280">
        <f>F40+G40</f>
        <v>-25.17416842770146</v>
      </c>
      <c r="I40" s="282">
        <f>I39+H40</f>
        <v>72864.968657005491</v>
      </c>
      <c r="L40" s="27">
        <v>2670</v>
      </c>
      <c r="Z40" s="12">
        <f>AVERAGE(Z39,Z41)</f>
        <v>0.17607393400795318</v>
      </c>
      <c r="AI40" s="24">
        <f t="shared" si="40"/>
        <v>61.40168311817034</v>
      </c>
      <c r="AJ40" s="2">
        <f>AM39</f>
        <v>32042.582609320212</v>
      </c>
      <c r="AK40" s="24">
        <f t="shared" si="41"/>
        <v>-57.516105469384691</v>
      </c>
      <c r="AL40">
        <f t="shared" si="44"/>
        <v>171.88000000000002</v>
      </c>
      <c r="AM40" s="2">
        <f t="shared" si="45"/>
        <v>32156.946503850828</v>
      </c>
      <c r="AQ40" s="280">
        <f t="shared" si="13"/>
        <v>-1.7949896913944448E-3</v>
      </c>
      <c r="AS40">
        <f>D40</f>
        <v>2010</v>
      </c>
      <c r="AT40" s="2"/>
      <c r="AU40" s="2">
        <f>AM40</f>
        <v>32156.946503850828</v>
      </c>
      <c r="AV40" s="2">
        <f>AU40-L40</f>
        <v>29486.946503850828</v>
      </c>
      <c r="AW40">
        <f>AS40</f>
        <v>2010</v>
      </c>
      <c r="AX40" s="13">
        <f t="shared" si="9"/>
        <v>26494.946427234518</v>
      </c>
      <c r="BD40" s="280">
        <f t="shared" si="3"/>
        <v>2010</v>
      </c>
      <c r="BE40">
        <f>'Comps Ann_2015'!E52</f>
        <v>496.3</v>
      </c>
      <c r="BF40" s="341">
        <f>'Comps Ann'!D52+'Comps Ann'!E52</f>
        <v>155.4</v>
      </c>
      <c r="BG40" s="2">
        <f>SFTotalMedAvgSqFt_2012!I46</f>
        <v>2392</v>
      </c>
      <c r="BH40">
        <f t="shared" si="18"/>
        <v>371716.8</v>
      </c>
      <c r="BI40" s="2">
        <f t="shared" si="4"/>
        <v>18224873.399999999</v>
      </c>
      <c r="BJ40">
        <f t="shared" si="19"/>
        <v>8457.3999999999978</v>
      </c>
      <c r="BK40">
        <f t="shared" si="2"/>
        <v>2154.9026178258096</v>
      </c>
      <c r="BL40">
        <f t="shared" si="42"/>
        <v>21349.18170499205</v>
      </c>
      <c r="BM40" s="2">
        <f>BM$15+SUM(AK$15:AK40)</f>
        <v>21654.825784422497</v>
      </c>
      <c r="BN40">
        <f t="shared" si="48"/>
        <v>1119.7924724170475</v>
      </c>
      <c r="BO40">
        <f t="shared" si="21"/>
        <v>24248910.904898897</v>
      </c>
      <c r="BP40">
        <f t="shared" si="22"/>
        <v>0.28086266556805434</v>
      </c>
      <c r="BQ40">
        <f t="shared" si="23"/>
        <v>-764451.39456559706</v>
      </c>
      <c r="BR40">
        <f t="shared" si="24"/>
        <v>1100.0168453689239</v>
      </c>
      <c r="BV40">
        <f>AS40</f>
        <v>2010</v>
      </c>
      <c r="BX40">
        <f>BR40</f>
        <v>1100.0168453689239</v>
      </c>
      <c r="BY40" s="27">
        <f>BX40-4</f>
        <v>1096.0168453689239</v>
      </c>
      <c r="BZ40" s="15"/>
      <c r="CK40" s="280">
        <f>BV40</f>
        <v>2010</v>
      </c>
      <c r="CL40" s="282">
        <f>BL40</f>
        <v>21349.18170499205</v>
      </c>
      <c r="CM40" s="280">
        <f>CM$27+$CM$6*(CK40-CK$27)</f>
        <v>271.01288662154462</v>
      </c>
      <c r="CN40" s="282">
        <f t="shared" si="10"/>
        <v>2931.1599707234777</v>
      </c>
      <c r="CO40" s="280">
        <f>BP40</f>
        <v>0.28086266556805434</v>
      </c>
      <c r="CP40" s="280">
        <f>CK40</f>
        <v>2010</v>
      </c>
      <c r="CQ40" s="345"/>
      <c r="CR40" s="27">
        <v>1027</v>
      </c>
      <c r="CS40" s="420"/>
      <c r="CT40" s="290">
        <f t="shared" si="51"/>
        <v>1027</v>
      </c>
      <c r="DH40" s="280">
        <f>BV40</f>
        <v>2010</v>
      </c>
      <c r="DI40" s="280">
        <f>Total_stock_SF!BX40</f>
        <v>2184.4367550310162</v>
      </c>
      <c r="DJ40" s="280">
        <f>BX40</f>
        <v>1100.0168453689239</v>
      </c>
    </row>
    <row r="41" spans="1:117" x14ac:dyDescent="0.2">
      <c r="A41" s="282">
        <f>Total_stock_SF!AN41</f>
        <v>90742</v>
      </c>
      <c r="B41" s="280">
        <f>Total_stock_SF!J41</f>
        <v>80525.757068709005</v>
      </c>
      <c r="D41" s="280">
        <f t="shared" si="8"/>
        <v>2011</v>
      </c>
      <c r="E41" s="341">
        <f>'Comps Ann'!D53+'Comps Ann'!E53</f>
        <v>138.30000000000001</v>
      </c>
      <c r="F41" s="280">
        <f t="shared" si="7"/>
        <v>132.768</v>
      </c>
      <c r="G41" s="24">
        <f>Survival_curve_MF!Z158</f>
        <v>-177.96337632874202</v>
      </c>
      <c r="H41" s="280">
        <f>F41+G41</f>
        <v>-45.195376328742014</v>
      </c>
      <c r="I41" s="282">
        <f>I40+H41</f>
        <v>72819.773280676745</v>
      </c>
      <c r="J41" s="282">
        <f>114907-7190-B41</f>
        <v>27191.242931290995</v>
      </c>
      <c r="K41">
        <f>3906+1715</f>
        <v>5621</v>
      </c>
      <c r="L41">
        <f>803+252+1238+115</f>
        <v>2408</v>
      </c>
      <c r="M41" s="280">
        <f>K41-K$29</f>
        <v>1931</v>
      </c>
      <c r="N41" s="280">
        <f>L41-L$29</f>
        <v>909</v>
      </c>
      <c r="O41" s="282">
        <f>I41-N41</f>
        <v>71910.773280676745</v>
      </c>
      <c r="P41" s="280">
        <f>D41</f>
        <v>2011</v>
      </c>
      <c r="Q41" s="282">
        <f>O41</f>
        <v>71910.773280676745</v>
      </c>
      <c r="R41" s="282">
        <f>J41</f>
        <v>27191.242931290995</v>
      </c>
      <c r="S41" s="282">
        <f>R41+L41</f>
        <v>29599.242931290995</v>
      </c>
      <c r="T41" s="282">
        <f>1713+2118+213+195</f>
        <v>4239</v>
      </c>
      <c r="U41" s="12">
        <f>T41/R41</f>
        <v>0.15589577904590252</v>
      </c>
      <c r="X41" s="282">
        <f>132419-9049-A41</f>
        <v>32628</v>
      </c>
      <c r="Y41" s="282">
        <f>X41-R41</f>
        <v>5436.7570687090047</v>
      </c>
      <c r="Z41" s="12">
        <f>Y41/X41</f>
        <v>0.16662857265872885</v>
      </c>
      <c r="AA41" s="282">
        <f>X41-Y41</f>
        <v>27191.242931290995</v>
      </c>
      <c r="AG41" s="280">
        <f>AY41/AT41</f>
        <v>0.83337142734127112</v>
      </c>
      <c r="AI41" s="24">
        <f t="shared" si="40"/>
        <v>45.286749539951721</v>
      </c>
      <c r="AJ41" s="282">
        <f>AM40</f>
        <v>32156.946503850828</v>
      </c>
      <c r="AK41" s="24">
        <f t="shared" si="41"/>
        <v>-42.57235119965474</v>
      </c>
      <c r="AL41" s="280">
        <f>$AJ$9*(E40+E41)/2</f>
        <v>117.48000000000002</v>
      </c>
      <c r="AM41" s="282">
        <f>AJ41+AK41+AL41</f>
        <v>32231.854152651173</v>
      </c>
      <c r="AN41" s="282">
        <f>X41</f>
        <v>32628</v>
      </c>
      <c r="AO41" s="282">
        <f>AN41-AM41</f>
        <v>396.14584734882737</v>
      </c>
      <c r="AP41" s="280">
        <f>AO41*AO41</f>
        <v>156931.53237172044</v>
      </c>
      <c r="AQ41" s="280">
        <f>AK41/AJ41</f>
        <v>-1.3238928389720291E-3</v>
      </c>
      <c r="AS41" s="280">
        <f>D41</f>
        <v>2011</v>
      </c>
      <c r="AT41" s="282">
        <f>AN41</f>
        <v>32628</v>
      </c>
      <c r="AU41" s="282">
        <f>AM41</f>
        <v>32231.854152651173</v>
      </c>
      <c r="AV41" s="282">
        <f>AU41-L41</f>
        <v>29823.854152651173</v>
      </c>
      <c r="AW41" s="280">
        <f>AS41</f>
        <v>2011</v>
      </c>
      <c r="AX41" s="13">
        <f t="shared" si="9"/>
        <v>26861.106301050586</v>
      </c>
      <c r="AY41" s="282">
        <f>R41</f>
        <v>27191.242931290995</v>
      </c>
      <c r="BC41" s="280">
        <f>AHS_tables!FI$34</f>
        <v>1029.9348899107229</v>
      </c>
      <c r="BD41">
        <v>2011</v>
      </c>
      <c r="BE41" s="280">
        <f>'Comps Ann_2015'!E53</f>
        <v>446.6</v>
      </c>
      <c r="BF41" s="341">
        <f>'Comps Ann'!D53+'Comps Ann'!E53</f>
        <v>138.30000000000001</v>
      </c>
      <c r="BG41" s="282">
        <f>SFTotalMedAvgSqFt_2012!I47</f>
        <v>2480</v>
      </c>
      <c r="BH41" s="280">
        <f>BF41*BG41</f>
        <v>342984</v>
      </c>
      <c r="BI41" s="282">
        <f>BI40+BH41</f>
        <v>18567857.399999999</v>
      </c>
      <c r="BJ41" s="280">
        <f>BJ40+BF41</f>
        <v>8595.6999999999971</v>
      </c>
      <c r="BK41" s="280">
        <f>BI41/BJ41</f>
        <v>2160.1332526728488</v>
      </c>
      <c r="BL41" s="280">
        <f>(BJ41+BJ40)*0.5*$BN$7+BM41</f>
        <v>21301.25309604279</v>
      </c>
      <c r="BM41" s="282">
        <f>BM$15+SUM(AK$15:AK41)</f>
        <v>21612.253433222842</v>
      </c>
      <c r="BN41" s="280">
        <f>BN$27+$BN$6*(BV41-BV$27)</f>
        <v>1132.7896883663964</v>
      </c>
      <c r="BO41" s="280">
        <f>BM41*$BN41</f>
        <v>24482137.831516083</v>
      </c>
      <c r="BP41" s="280">
        <f>BJ41/(BJ41+BM41)</f>
        <v>0.28455088885784657</v>
      </c>
      <c r="BQ41" s="280">
        <f>BJ41*BK41*$BN$7*$BN$10</f>
        <v>-778838.02932343783</v>
      </c>
      <c r="BR41" s="280">
        <f>(BO41+BQ41)/BL41</f>
        <v>1112.7655117433487</v>
      </c>
      <c r="BS41" s="280">
        <f>BC41</f>
        <v>1029.9348899107229</v>
      </c>
      <c r="BT41" s="280">
        <f>(BS41-BR41)^2</f>
        <v>6860.9119131794769</v>
      </c>
      <c r="BV41">
        <v>2011</v>
      </c>
      <c r="BW41" s="280">
        <f>BS41</f>
        <v>1029.9348899107229</v>
      </c>
      <c r="BX41" s="341">
        <f t="shared" ref="BX41:BX48" si="53">BR41</f>
        <v>1112.7655117433487</v>
      </c>
      <c r="BY41" s="27">
        <f t="shared" ref="BY41:BY48" si="54">BX41-4</f>
        <v>1108.7655117433487</v>
      </c>
      <c r="BZ41" s="15"/>
      <c r="CB41" t="s">
        <v>509</v>
      </c>
      <c r="CC41" t="s">
        <v>513</v>
      </c>
      <c r="CK41" s="280">
        <f>BV41</f>
        <v>2011</v>
      </c>
      <c r="CL41" s="282">
        <f>BL41</f>
        <v>21301.25309604279</v>
      </c>
      <c r="CM41" s="280">
        <f>CM$27+$CM$6*(CK41-CK$27)</f>
        <v>248.23840882783941</v>
      </c>
      <c r="CN41" s="282">
        <f t="shared" si="10"/>
        <v>2931.1599707234777</v>
      </c>
      <c r="CO41" s="280">
        <f>BP41</f>
        <v>0.28455088885784657</v>
      </c>
      <c r="CP41" s="280">
        <f>CK41</f>
        <v>2011</v>
      </c>
      <c r="CQ41" s="345">
        <f>BS41</f>
        <v>1029.9348899107229</v>
      </c>
      <c r="CR41" s="27">
        <f>CQ$50</f>
        <v>1032.1483018307779</v>
      </c>
      <c r="CS41" s="420"/>
      <c r="CT41" s="290">
        <f>CR41</f>
        <v>1032.1483018307779</v>
      </c>
      <c r="CU41" s="144">
        <f>(CQ41-CR41)^2*0.5</f>
        <v>2.4495961639208321</v>
      </c>
      <c r="DH41" s="280">
        <f>BV41</f>
        <v>2011</v>
      </c>
      <c r="DI41" s="280">
        <f>Total_stock_SF!BX41</f>
        <v>2188.3259705873934</v>
      </c>
      <c r="DJ41" s="280">
        <f>BX41</f>
        <v>1112.7655117433487</v>
      </c>
    </row>
    <row r="42" spans="1:117" s="341" customFormat="1" x14ac:dyDescent="0.2">
      <c r="A42" s="344"/>
      <c r="D42" s="341">
        <f t="shared" si="8"/>
        <v>2012</v>
      </c>
      <c r="E42" s="341">
        <f>'Comps Ann'!D54+'Comps Ann'!E54</f>
        <v>166.29999999999998</v>
      </c>
      <c r="F42" s="341">
        <f t="shared" ref="F42:F48" si="55">$F$7*E42</f>
        <v>159.64799999999997</v>
      </c>
      <c r="G42" s="24">
        <f>Survival_curve_MF!Z159</f>
        <v>-181.54491304191833</v>
      </c>
      <c r="H42" s="341">
        <f t="shared" ref="H42:H48" si="56">F42+G42</f>
        <v>-21.896913041918367</v>
      </c>
      <c r="I42" s="344">
        <f t="shared" ref="I42:I48" si="57">I41+H42</f>
        <v>72797.876367634832</v>
      </c>
      <c r="J42" s="344"/>
      <c r="O42" s="344"/>
      <c r="Q42" s="344"/>
      <c r="R42" s="344"/>
      <c r="S42" s="344"/>
      <c r="T42" s="344"/>
      <c r="U42" s="12"/>
      <c r="X42" s="344"/>
      <c r="Y42" s="344"/>
      <c r="Z42" s="12">
        <f>AVERAGE(Z41,Z43)</f>
        <v>0.16244286463102428</v>
      </c>
      <c r="AA42" s="344"/>
      <c r="AI42" s="24">
        <f t="shared" si="40"/>
        <v>46.626402916327081</v>
      </c>
      <c r="AJ42" s="344">
        <f>AM41</f>
        <v>32231.854152651173</v>
      </c>
      <c r="AK42" s="24">
        <f>-AJ42*AJ$8*AI42</f>
        <v>-43.933811693786126</v>
      </c>
      <c r="AL42" s="341">
        <f>$AJ$9*(E41+E42)/2</f>
        <v>121.84000000000002</v>
      </c>
      <c r="AM42" s="344">
        <f>AJ42+AK42+AL42</f>
        <v>32309.760340957386</v>
      </c>
      <c r="AN42" s="344"/>
      <c r="AO42" s="344"/>
      <c r="AQ42" s="341">
        <f t="shared" ref="AQ42:AQ48" si="58">AK42/AJ42</f>
        <v>-1.3630556742318975E-3</v>
      </c>
      <c r="AS42" s="341">
        <f t="shared" ref="AS42:AS48" si="59">D42</f>
        <v>2012</v>
      </c>
      <c r="AT42" s="344"/>
      <c r="AU42" s="344">
        <f>AM42</f>
        <v>32309.760340957386</v>
      </c>
      <c r="AV42" s="344">
        <f t="shared" ref="AV42:AV48" si="60">AU42-L42</f>
        <v>32309.760340957386</v>
      </c>
      <c r="AW42" s="341">
        <f t="shared" ref="AW42:AW48" si="61">AS42</f>
        <v>2012</v>
      </c>
      <c r="AX42" s="343">
        <f t="shared" si="9"/>
        <v>27061.270315630409</v>
      </c>
      <c r="AY42" s="344"/>
      <c r="BD42" s="341">
        <v>2012</v>
      </c>
      <c r="BF42" s="341">
        <f>'Comps Ann'!D54+'Comps Ann'!E54</f>
        <v>166.29999999999998</v>
      </c>
      <c r="BG42" s="344"/>
      <c r="BI42" s="344">
        <f t="shared" ref="BI42:BI48" si="62">BI41+BH42</f>
        <v>18567857.399999999</v>
      </c>
      <c r="BJ42" s="341">
        <f t="shared" ref="BJ42:BJ48" si="63">BJ41+BF42</f>
        <v>8761.9999999999964</v>
      </c>
      <c r="BK42" s="341">
        <f t="shared" ref="BK42:BK48" si="64">BI42/BJ42</f>
        <v>2119.1346039716968</v>
      </c>
      <c r="BL42" s="341">
        <f t="shared" ref="BL42:BL48" si="65">(BJ42+BJ41)*0.5*$BN$7+BM42</f>
        <v>21251.764241412238</v>
      </c>
      <c r="BM42" s="344">
        <f>BM$15+SUM(AK$15:AK42)</f>
        <v>21568.319621529059</v>
      </c>
      <c r="BN42" s="341">
        <f>BN$27+$BN$6*(BV42-BV$27)</f>
        <v>1145.7869043157452</v>
      </c>
      <c r="BO42" s="341">
        <f>BM42*$BN42</f>
        <v>24712698.170444325</v>
      </c>
      <c r="BP42" s="341">
        <f t="shared" ref="BP42:BP48" si="66">BJ42/(BJ42+BM42)</f>
        <v>0.28888584457186389</v>
      </c>
      <c r="BV42" s="341">
        <v>2012</v>
      </c>
      <c r="BX42" s="341">
        <f t="shared" si="53"/>
        <v>0</v>
      </c>
      <c r="BY42" s="27">
        <f t="shared" si="54"/>
        <v>-4</v>
      </c>
      <c r="BZ42" s="15"/>
      <c r="CK42" s="341">
        <v>2012</v>
      </c>
      <c r="CL42" s="344">
        <f>BL42</f>
        <v>21251.764241412238</v>
      </c>
      <c r="CM42" s="341">
        <f t="shared" ref="CM42:CM43" si="67">CM$27+$CM$6*(CK42-CK$27)</f>
        <v>225.46393103413413</v>
      </c>
      <c r="CN42" s="344">
        <f t="shared" si="10"/>
        <v>2931.1599707234777</v>
      </c>
      <c r="CO42" s="341">
        <f t="shared" ref="CO42:CO43" si="68">BP42</f>
        <v>0.28888584457186389</v>
      </c>
      <c r="CP42" s="341">
        <f t="shared" ref="CP42:CP48" si="69">CK42</f>
        <v>2012</v>
      </c>
      <c r="CQ42" s="345"/>
      <c r="CR42" s="27">
        <f t="shared" ref="CR42:CR48" si="70">CQ$50</f>
        <v>1032.1483018307779</v>
      </c>
      <c r="CS42" s="420"/>
      <c r="CT42" s="290">
        <f>CR42</f>
        <v>1032.1483018307779</v>
      </c>
      <c r="CU42" s="144"/>
      <c r="DH42" s="341">
        <f>BV42</f>
        <v>2012</v>
      </c>
    </row>
    <row r="43" spans="1:117" s="341" customFormat="1" x14ac:dyDescent="0.2">
      <c r="A43" s="358">
        <f>Total_stock_SF!AN43</f>
        <v>90973</v>
      </c>
      <c r="B43" s="343">
        <f>Total_stock_SF!J43</f>
        <v>80942</v>
      </c>
      <c r="D43" s="341">
        <f t="shared" si="8"/>
        <v>2013</v>
      </c>
      <c r="E43" s="341">
        <f>'Comps Ann'!D55+'Comps Ann'!E55</f>
        <v>195.29999999999998</v>
      </c>
      <c r="F43" s="341">
        <f t="shared" si="55"/>
        <v>187.48799999999997</v>
      </c>
      <c r="G43" s="24">
        <f>Survival_curve_MF!Z160</f>
        <v>-185.10323116475047</v>
      </c>
      <c r="H43" s="341">
        <f t="shared" si="56"/>
        <v>2.3847688352495027</v>
      </c>
      <c r="I43" s="344">
        <f t="shared" si="57"/>
        <v>72800.261136470086</v>
      </c>
      <c r="J43" s="358">
        <f>115852-6917-B43</f>
        <v>27993</v>
      </c>
      <c r="O43" s="344"/>
      <c r="Q43" s="344"/>
      <c r="R43" s="344">
        <f>J43</f>
        <v>27993</v>
      </c>
      <c r="S43" s="344"/>
      <c r="T43" s="344"/>
      <c r="U43" s="12"/>
      <c r="X43" s="344">
        <f>132832-8603-A43</f>
        <v>33256</v>
      </c>
      <c r="Y43" s="344">
        <f>X43-R43</f>
        <v>5263</v>
      </c>
      <c r="Z43" s="12">
        <f>Y43/X43</f>
        <v>0.15825715660331971</v>
      </c>
      <c r="AA43" s="344"/>
      <c r="AI43" s="24">
        <f t="shared" si="40"/>
        <v>53.484843639879642</v>
      </c>
      <c r="AJ43" s="344">
        <f>AM42</f>
        <v>32309.760340957386</v>
      </c>
      <c r="AK43" s="24">
        <f>-AJ43*AJ$8*AI43</f>
        <v>-50.518000154666616</v>
      </c>
      <c r="AL43" s="341">
        <f>$AJ$9*(E42+E43)/2</f>
        <v>144.63999999999999</v>
      </c>
      <c r="AM43" s="344">
        <f>AJ43+AK43+AL43</f>
        <v>32403.88234080272</v>
      </c>
      <c r="AN43" s="344">
        <f>X43</f>
        <v>33256</v>
      </c>
      <c r="AO43" s="344">
        <f>AN43-AM43</f>
        <v>852.11765919727986</v>
      </c>
      <c r="AP43" s="341">
        <f>AO43*AO43</f>
        <v>726104.50511585164</v>
      </c>
      <c r="AQ43" s="341">
        <f t="shared" si="58"/>
        <v>-1.5635523018915E-3</v>
      </c>
      <c r="AS43" s="341">
        <f t="shared" si="59"/>
        <v>2013</v>
      </c>
      <c r="AT43" s="344">
        <f>AN43</f>
        <v>33256</v>
      </c>
      <c r="AU43" s="344">
        <f>AM43</f>
        <v>32403.88234080272</v>
      </c>
      <c r="AV43" s="344">
        <f t="shared" si="60"/>
        <v>32403.88234080272</v>
      </c>
      <c r="AW43" s="341">
        <f t="shared" si="61"/>
        <v>2013</v>
      </c>
      <c r="AX43" s="343">
        <f t="shared" si="9"/>
        <v>27275.736058638759</v>
      </c>
      <c r="AY43" s="344">
        <f>R43</f>
        <v>27993</v>
      </c>
      <c r="BC43" s="24">
        <f>AHS_tables!$FW$34</f>
        <v>1035.0002164622872</v>
      </c>
      <c r="BD43" s="341">
        <v>2013</v>
      </c>
      <c r="BF43" s="341">
        <f>'Comps Ann'!D55+'Comps Ann'!E55</f>
        <v>195.29999999999998</v>
      </c>
      <c r="BG43" s="344"/>
      <c r="BI43" s="344">
        <f t="shared" si="62"/>
        <v>18567857.399999999</v>
      </c>
      <c r="BJ43" s="341">
        <f t="shared" si="63"/>
        <v>8957.2999999999956</v>
      </c>
      <c r="BK43" s="341">
        <f t="shared" si="64"/>
        <v>2072.9301686892263</v>
      </c>
      <c r="BL43" s="341">
        <f t="shared" si="65"/>
        <v>21194.65167945213</v>
      </c>
      <c r="BM43" s="344">
        <f>BM$15+SUM(AK$15:AK43)</f>
        <v>21517.80162137439</v>
      </c>
      <c r="BN43" s="341">
        <f t="shared" ref="BN43:BN48" si="71">BN$27+$BN$6*(BV43-BV$27)</f>
        <v>1158.7841202650941</v>
      </c>
      <c r="BO43" s="341">
        <f t="shared" ref="BO43:BO48" si="72">BM43*$BN43</f>
        <v>24934486.821863137</v>
      </c>
      <c r="BP43" s="341">
        <f t="shared" si="66"/>
        <v>0.29392190750621139</v>
      </c>
      <c r="BS43" s="23">
        <f>BC43</f>
        <v>1035.0002164622872</v>
      </c>
      <c r="BV43" s="341">
        <v>2013</v>
      </c>
      <c r="BW43" s="341">
        <f>BS43</f>
        <v>1035.0002164622872</v>
      </c>
      <c r="BX43" s="341">
        <f t="shared" si="53"/>
        <v>0</v>
      </c>
      <c r="BY43" s="27">
        <f t="shared" si="54"/>
        <v>-4</v>
      </c>
      <c r="BZ43" s="15"/>
      <c r="CK43" s="341">
        <v>2013</v>
      </c>
      <c r="CL43" s="344">
        <f t="shared" ref="CL43" si="73">BL43</f>
        <v>21194.65167945213</v>
      </c>
      <c r="CM43" s="341">
        <f t="shared" si="67"/>
        <v>202.68945324042886</v>
      </c>
      <c r="CN43" s="344">
        <f t="shared" si="10"/>
        <v>2931.1599707234777</v>
      </c>
      <c r="CO43" s="341">
        <f t="shared" si="68"/>
        <v>0.29392190750621139</v>
      </c>
      <c r="CP43" s="341">
        <f t="shared" si="69"/>
        <v>2013</v>
      </c>
      <c r="CQ43" s="345">
        <f>BW43</f>
        <v>1035.0002164622872</v>
      </c>
      <c r="CR43" s="27">
        <f t="shared" si="70"/>
        <v>1032.1483018307779</v>
      </c>
      <c r="CS43" s="420"/>
      <c r="CT43" s="290">
        <f t="shared" ref="CT43:CT48" si="74">CR43</f>
        <v>1032.1483018307779</v>
      </c>
      <c r="CU43" s="144"/>
    </row>
    <row r="44" spans="1:117" s="341" customFormat="1" x14ac:dyDescent="0.2">
      <c r="A44" s="358"/>
      <c r="B44" s="343"/>
      <c r="D44" s="341">
        <f t="shared" si="8"/>
        <v>2014</v>
      </c>
      <c r="E44" s="341">
        <f>'Comps Ann'!D56+'Comps Ann'!E56</f>
        <v>264.3</v>
      </c>
      <c r="F44" s="341">
        <f t="shared" si="55"/>
        <v>253.72800000000001</v>
      </c>
      <c r="G44" s="24">
        <f>Survival_curve_MF!Z161</f>
        <v>-188.63855059006528</v>
      </c>
      <c r="H44" s="341">
        <f t="shared" si="56"/>
        <v>65.08944940993473</v>
      </c>
      <c r="I44" s="344">
        <f t="shared" si="57"/>
        <v>72865.35058588002</v>
      </c>
      <c r="J44" s="358"/>
      <c r="O44" s="344"/>
      <c r="Q44" s="344"/>
      <c r="R44" s="344"/>
      <c r="S44" s="344"/>
      <c r="T44" s="344"/>
      <c r="U44" s="12"/>
      <c r="X44" s="344"/>
      <c r="Y44" s="344"/>
      <c r="Z44" s="12">
        <f>AVERAGE(Z43,Z45)</f>
        <v>0.15476556916288359</v>
      </c>
      <c r="AA44" s="344"/>
      <c r="AI44" s="24">
        <f t="shared" ref="AI44:AI48" si="75">AL44^$AJ$12</f>
        <v>64.796568796199367</v>
      </c>
      <c r="AJ44" s="344">
        <f t="shared" ref="AJ44:AJ48" si="76">AM43</f>
        <v>32403.88234080272</v>
      </c>
      <c r="AK44" s="24">
        <f t="shared" ref="AK44:AK48" si="77">-AJ44*AJ$8*AI44</f>
        <v>-61.380544742831539</v>
      </c>
      <c r="AL44" s="341">
        <f t="shared" ref="AL44:AL48" si="78">$AJ$9*(E43+E44)/2</f>
        <v>183.84000000000003</v>
      </c>
      <c r="AM44" s="344">
        <f t="shared" ref="AM44:AM48" si="79">AJ44+AK44+AL44</f>
        <v>32526.341796059889</v>
      </c>
      <c r="AN44" s="344"/>
      <c r="AO44" s="344"/>
      <c r="AQ44" s="341">
        <f t="shared" si="58"/>
        <v>-1.8942342802406003E-3</v>
      </c>
      <c r="AS44" s="341">
        <f t="shared" si="59"/>
        <v>2014</v>
      </c>
      <c r="AT44" s="344"/>
      <c r="AU44" s="344">
        <f t="shared" ref="AU44:AU48" si="80">AM44</f>
        <v>32526.341796059889</v>
      </c>
      <c r="AV44" s="344">
        <f t="shared" si="60"/>
        <v>32526.341796059889</v>
      </c>
      <c r="AW44" s="341">
        <f t="shared" si="61"/>
        <v>2014</v>
      </c>
      <c r="AX44" s="343">
        <f t="shared" si="9"/>
        <v>27492.383995206194</v>
      </c>
      <c r="AY44" s="344"/>
      <c r="BD44" s="341">
        <v>2014</v>
      </c>
      <c r="BF44" s="341">
        <f>'Comps Ann'!D56+'Comps Ann'!E56</f>
        <v>264.3</v>
      </c>
      <c r="BG44" s="344"/>
      <c r="BI44" s="344">
        <f t="shared" si="62"/>
        <v>18567857.399999999</v>
      </c>
      <c r="BJ44" s="341">
        <f t="shared" si="63"/>
        <v>9221.5999999999949</v>
      </c>
      <c r="BK44" s="341">
        <f t="shared" si="64"/>
        <v>2013.5179795263305</v>
      </c>
      <c r="BL44" s="341">
        <f t="shared" si="65"/>
        <v>21124.889329936683</v>
      </c>
      <c r="BM44" s="344">
        <f>BM$15+SUM(AK$15:AK44)</f>
        <v>21456.421076631559</v>
      </c>
      <c r="BN44" s="341">
        <f t="shared" si="71"/>
        <v>1171.7813362144429</v>
      </c>
      <c r="BO44" s="341">
        <f t="shared" si="72"/>
        <v>25142233.759555064</v>
      </c>
      <c r="BP44" s="341">
        <f t="shared" si="66"/>
        <v>0.3005930524972612</v>
      </c>
      <c r="BV44" s="341">
        <v>2014</v>
      </c>
      <c r="BX44" s="341">
        <f t="shared" si="53"/>
        <v>0</v>
      </c>
      <c r="BY44" s="27">
        <f t="shared" si="54"/>
        <v>-4</v>
      </c>
      <c r="BZ44" s="15"/>
      <c r="CK44" s="341">
        <v>2014</v>
      </c>
      <c r="CL44" s="349">
        <f>CL43-50</f>
        <v>21144.65167945213</v>
      </c>
      <c r="CM44" s="341">
        <f t="shared" ref="CM44:CM48" si="81">CM$27+$CM$6*(CK44-CK$27)</f>
        <v>179.91497544672359</v>
      </c>
      <c r="CN44" s="344">
        <f t="shared" si="10"/>
        <v>2931.1599707234777</v>
      </c>
      <c r="CO44" s="341">
        <f t="shared" ref="CO44:CO48" si="82">BP44</f>
        <v>0.3005930524972612</v>
      </c>
      <c r="CP44" s="341">
        <f t="shared" si="69"/>
        <v>2014</v>
      </c>
      <c r="CR44" s="27">
        <f t="shared" si="70"/>
        <v>1032.1483018307779</v>
      </c>
      <c r="CS44" s="420"/>
      <c r="CT44" s="290">
        <f t="shared" si="74"/>
        <v>1032.1483018307779</v>
      </c>
      <c r="CU44" s="144"/>
    </row>
    <row r="45" spans="1:117" s="341" customFormat="1" x14ac:dyDescent="0.2">
      <c r="A45" s="358"/>
      <c r="B45" s="343"/>
      <c r="D45" s="341">
        <f t="shared" si="8"/>
        <v>2015</v>
      </c>
      <c r="E45" s="341">
        <f>'Comps Ann'!D57+'Comps Ann'!E57</f>
        <v>320.3</v>
      </c>
      <c r="F45" s="341">
        <f t="shared" si="55"/>
        <v>307.488</v>
      </c>
      <c r="G45" s="24">
        <f>Survival_curve_MF!Z162</f>
        <v>-192.15079305815379</v>
      </c>
      <c r="H45" s="341">
        <f t="shared" si="56"/>
        <v>115.3372069418462</v>
      </c>
      <c r="I45" s="344">
        <f t="shared" si="57"/>
        <v>72980.68779282186</v>
      </c>
      <c r="J45" s="358">
        <v>28047</v>
      </c>
      <c r="O45" s="344"/>
      <c r="Q45" s="344"/>
      <c r="R45" s="344">
        <f>J45</f>
        <v>28047</v>
      </c>
      <c r="S45" s="344"/>
      <c r="T45" s="344"/>
      <c r="U45" s="12"/>
      <c r="X45" s="344">
        <v>33046</v>
      </c>
      <c r="Y45" s="344">
        <f>X45-R45</f>
        <v>4999</v>
      </c>
      <c r="Z45" s="12">
        <f t="shared" ref="Z45:Z47" si="83">Y45/X45</f>
        <v>0.15127398172244749</v>
      </c>
      <c r="AA45" s="344"/>
      <c r="AI45" s="24">
        <f t="shared" si="75"/>
        <v>78.547983799822987</v>
      </c>
      <c r="AJ45" s="344">
        <f t="shared" si="76"/>
        <v>32526.341796059889</v>
      </c>
      <c r="AK45" s="24">
        <f t="shared" si="77"/>
        <v>-74.688191923538909</v>
      </c>
      <c r="AL45" s="341">
        <f t="shared" si="78"/>
        <v>233.84000000000003</v>
      </c>
      <c r="AM45" s="344">
        <f t="shared" si="79"/>
        <v>32685.493604136351</v>
      </c>
      <c r="AN45" s="344">
        <f>X45</f>
        <v>33046</v>
      </c>
      <c r="AO45" s="344">
        <f>AN45-AM45</f>
        <v>360.50639586364923</v>
      </c>
      <c r="AP45" s="341">
        <f>AO45*AO45</f>
        <v>129964.86145859817</v>
      </c>
      <c r="AQ45" s="341">
        <f t="shared" si="58"/>
        <v>-2.2962370743022302E-3</v>
      </c>
      <c r="AS45" s="341">
        <f t="shared" si="59"/>
        <v>2015</v>
      </c>
      <c r="AT45" s="344">
        <f>AN45</f>
        <v>33046</v>
      </c>
      <c r="AU45" s="344">
        <f t="shared" si="80"/>
        <v>32685.493604136351</v>
      </c>
      <c r="AV45" s="344">
        <f t="shared" si="60"/>
        <v>32685.493604136351</v>
      </c>
      <c r="AW45" s="341">
        <f t="shared" si="61"/>
        <v>2015</v>
      </c>
      <c r="AX45" s="343">
        <f t="shared" si="9"/>
        <v>27741.028842075051</v>
      </c>
      <c r="AY45" s="344">
        <f>R45</f>
        <v>28047</v>
      </c>
      <c r="BD45" s="341">
        <v>2015</v>
      </c>
      <c r="BF45" s="341">
        <f>'Comps Ann'!D57+'Comps Ann'!E57</f>
        <v>320.3</v>
      </c>
      <c r="BG45" s="344"/>
      <c r="BI45" s="344">
        <f t="shared" si="62"/>
        <v>18567857.399999999</v>
      </c>
      <c r="BJ45" s="341">
        <f t="shared" si="63"/>
        <v>9541.8999999999942</v>
      </c>
      <c r="BK45" s="341">
        <f t="shared" si="64"/>
        <v>1945.9287353671712</v>
      </c>
      <c r="BL45" s="341">
        <f t="shared" si="65"/>
        <v>21039.53968659871</v>
      </c>
      <c r="BM45" s="344">
        <f>BM$15+SUM(AK$15:AK45)</f>
        <v>21381.732884708021</v>
      </c>
      <c r="BN45" s="341">
        <f t="shared" si="71"/>
        <v>1184.7785521637918</v>
      </c>
      <c r="BO45" s="341">
        <f t="shared" si="72"/>
        <v>25332618.529897306</v>
      </c>
      <c r="BP45" s="341">
        <f t="shared" si="66"/>
        <v>0.30856335785562056</v>
      </c>
      <c r="BV45" s="341">
        <v>2015</v>
      </c>
      <c r="BW45" s="27">
        <f>BS45</f>
        <v>0</v>
      </c>
      <c r="BX45" s="341">
        <f t="shared" si="53"/>
        <v>0</v>
      </c>
      <c r="BY45" s="27">
        <f t="shared" si="54"/>
        <v>-4</v>
      </c>
      <c r="BZ45" s="15"/>
      <c r="CK45" s="341">
        <v>2015</v>
      </c>
      <c r="CL45" s="349">
        <f t="shared" ref="CL45:CL48" si="84">CL44-50</f>
        <v>21094.65167945213</v>
      </c>
      <c r="CM45" s="341">
        <f t="shared" si="81"/>
        <v>157.14049765301831</v>
      </c>
      <c r="CN45" s="344">
        <f t="shared" si="10"/>
        <v>2931.1599707234777</v>
      </c>
      <c r="CO45" s="341">
        <f t="shared" si="82"/>
        <v>0.30856335785562056</v>
      </c>
      <c r="CP45" s="341">
        <f t="shared" si="69"/>
        <v>2015</v>
      </c>
      <c r="CR45" s="27">
        <f t="shared" si="70"/>
        <v>1032.1483018307779</v>
      </c>
      <c r="CS45" s="420"/>
      <c r="CT45" s="290">
        <f t="shared" si="74"/>
        <v>1032.1483018307779</v>
      </c>
      <c r="CU45" s="144"/>
    </row>
    <row r="46" spans="1:117" s="341" customFormat="1" x14ac:dyDescent="0.2">
      <c r="A46" s="358"/>
      <c r="B46" s="343"/>
      <c r="D46" s="341">
        <f t="shared" si="8"/>
        <v>2016</v>
      </c>
      <c r="E46" s="341">
        <f>'Comps Ann'!D58+'Comps Ann'!E58</f>
        <v>321.39999999999998</v>
      </c>
      <c r="F46" s="341">
        <f t="shared" si="55"/>
        <v>308.54399999999998</v>
      </c>
      <c r="G46" s="24">
        <f>Survival_curve_MF!Z163</f>
        <v>-195.63952150675323</v>
      </c>
      <c r="H46" s="341">
        <f t="shared" si="56"/>
        <v>112.90447849324676</v>
      </c>
      <c r="I46" s="344">
        <f t="shared" si="57"/>
        <v>73093.592271315109</v>
      </c>
      <c r="J46" s="358"/>
      <c r="O46" s="344"/>
      <c r="Q46" s="344"/>
      <c r="R46" s="344"/>
      <c r="S46" s="344"/>
      <c r="T46" s="344"/>
      <c r="U46" s="12"/>
      <c r="X46" s="344"/>
      <c r="Y46" s="344"/>
      <c r="Z46" s="12">
        <f>AVERAGE(Z45,Z47)</f>
        <v>0.1504863758618821</v>
      </c>
      <c r="AA46" s="344"/>
      <c r="AI46" s="24">
        <f t="shared" si="75"/>
        <v>84.627911748679679</v>
      </c>
      <c r="AJ46" s="344">
        <f t="shared" si="76"/>
        <v>32685.493604136351</v>
      </c>
      <c r="AK46" s="24">
        <f t="shared" si="77"/>
        <v>-80.863094146206663</v>
      </c>
      <c r="AL46" s="341">
        <f t="shared" si="78"/>
        <v>256.68</v>
      </c>
      <c r="AM46" s="344">
        <f t="shared" si="79"/>
        <v>32861.310509990144</v>
      </c>
      <c r="AN46" s="344"/>
      <c r="AO46" s="344"/>
      <c r="AQ46" s="341">
        <f t="shared" si="58"/>
        <v>-2.4739750032709749E-3</v>
      </c>
      <c r="AS46" s="341">
        <f t="shared" si="59"/>
        <v>2016</v>
      </c>
      <c r="AT46" s="344"/>
      <c r="AU46" s="344">
        <f t="shared" si="80"/>
        <v>32861.310509990144</v>
      </c>
      <c r="AV46" s="344">
        <f t="shared" si="60"/>
        <v>32861.310509990144</v>
      </c>
      <c r="AW46" s="341">
        <f t="shared" si="61"/>
        <v>2016</v>
      </c>
      <c r="AX46" s="343">
        <f t="shared" si="9"/>
        <v>27916.130985269752</v>
      </c>
      <c r="AY46" s="344"/>
      <c r="BD46" s="341">
        <v>2016</v>
      </c>
      <c r="BF46" s="341">
        <f>'Comps Ann'!D58+'Comps Ann'!E58</f>
        <v>321.39999999999998</v>
      </c>
      <c r="BG46" s="344"/>
      <c r="BI46" s="344">
        <f t="shared" si="62"/>
        <v>18567857.399999999</v>
      </c>
      <c r="BJ46" s="341">
        <f t="shared" si="63"/>
        <v>9863.2999999999938</v>
      </c>
      <c r="BK46" s="341">
        <f t="shared" si="64"/>
        <v>1882.5197854673395</v>
      </c>
      <c r="BL46" s="341">
        <f t="shared" si="65"/>
        <v>20946.973798452091</v>
      </c>
      <c r="BM46" s="344">
        <f>BM$15+SUM(AK$15:AK46)</f>
        <v>21300.869790561814</v>
      </c>
      <c r="BN46" s="341">
        <f t="shared" si="71"/>
        <v>1197.7757681131407</v>
      </c>
      <c r="BO46" s="341">
        <f t="shared" si="72"/>
        <v>25513665.67486817</v>
      </c>
      <c r="BP46" s="341">
        <f t="shared" si="66"/>
        <v>0.31649487428306639</v>
      </c>
      <c r="BV46" s="341">
        <v>2016</v>
      </c>
      <c r="BX46" s="341">
        <f t="shared" si="53"/>
        <v>0</v>
      </c>
      <c r="BY46" s="27">
        <f t="shared" si="54"/>
        <v>-4</v>
      </c>
      <c r="BZ46" s="15"/>
      <c r="CK46" s="341">
        <v>2016</v>
      </c>
      <c r="CL46" s="349">
        <f t="shared" si="84"/>
        <v>21044.65167945213</v>
      </c>
      <c r="CM46" s="341">
        <f t="shared" si="81"/>
        <v>134.3660198593131</v>
      </c>
      <c r="CN46" s="344">
        <f t="shared" si="10"/>
        <v>2931.1599707234777</v>
      </c>
      <c r="CO46" s="341">
        <f t="shared" si="82"/>
        <v>0.31649487428306639</v>
      </c>
      <c r="CP46" s="341">
        <f t="shared" si="69"/>
        <v>2016</v>
      </c>
      <c r="CR46" s="27">
        <f t="shared" si="70"/>
        <v>1032.1483018307779</v>
      </c>
      <c r="CS46" s="420"/>
      <c r="CT46" s="290">
        <f t="shared" si="74"/>
        <v>1032.1483018307779</v>
      </c>
      <c r="CU46" s="144"/>
    </row>
    <row r="47" spans="1:117" s="341" customFormat="1" x14ac:dyDescent="0.2">
      <c r="A47" s="358"/>
      <c r="B47" s="343"/>
      <c r="D47" s="341">
        <f t="shared" si="8"/>
        <v>2017</v>
      </c>
      <c r="E47" s="341">
        <f>'Comps Ann'!D59+'Comps Ann'!E59</f>
        <v>357.59999999999997</v>
      </c>
      <c r="F47" s="341">
        <f t="shared" si="55"/>
        <v>343.29599999999994</v>
      </c>
      <c r="G47" s="24">
        <f>Survival_curve_MF!Z164</f>
        <v>-199.1038851696685</v>
      </c>
      <c r="H47" s="341">
        <f t="shared" si="56"/>
        <v>144.19211483033143</v>
      </c>
      <c r="I47" s="344">
        <f t="shared" si="57"/>
        <v>73237.784386145446</v>
      </c>
      <c r="J47" s="358">
        <f>'[8]Pivot Tables'!$K$76*0.001</f>
        <v>28967.212002365144</v>
      </c>
      <c r="O47" s="344"/>
      <c r="Q47" s="344"/>
      <c r="R47" s="344">
        <f>J47</f>
        <v>28967.212002365144</v>
      </c>
      <c r="S47" s="344"/>
      <c r="T47" s="344"/>
      <c r="U47" s="12"/>
      <c r="X47" s="344">
        <v>34067</v>
      </c>
      <c r="Y47" s="344">
        <f>X47-R47</f>
        <v>5099.7879976348559</v>
      </c>
      <c r="Z47" s="12">
        <f t="shared" si="83"/>
        <v>0.14969877000131671</v>
      </c>
      <c r="AA47" s="344"/>
      <c r="AI47" s="24">
        <f t="shared" si="75"/>
        <v>88.540875597961218</v>
      </c>
      <c r="AJ47" s="344">
        <f t="shared" si="76"/>
        <v>32861.310509990144</v>
      </c>
      <c r="AK47" s="24">
        <f t="shared" si="77"/>
        <v>-85.057061397650401</v>
      </c>
      <c r="AL47" s="341">
        <f t="shared" si="78"/>
        <v>271.60000000000002</v>
      </c>
      <c r="AM47" s="344">
        <f t="shared" si="79"/>
        <v>33047.85344859249</v>
      </c>
      <c r="AN47" s="344">
        <f>X47</f>
        <v>34067</v>
      </c>
      <c r="AO47" s="344">
        <f>AN47-AM47</f>
        <v>1019.1465514075098</v>
      </c>
      <c r="AP47" s="341">
        <f>AO47*AO47</f>
        <v>1038659.6932458201</v>
      </c>
      <c r="AQ47" s="341">
        <f t="shared" si="58"/>
        <v>-2.5883648606099341E-3</v>
      </c>
      <c r="AS47" s="341">
        <f t="shared" si="59"/>
        <v>2017</v>
      </c>
      <c r="AT47" s="344">
        <f>AN47</f>
        <v>34067</v>
      </c>
      <c r="AU47" s="344">
        <f t="shared" si="80"/>
        <v>33047.85344859249</v>
      </c>
      <c r="AV47" s="344">
        <f t="shared" si="60"/>
        <v>33047.85344859249</v>
      </c>
      <c r="AW47" s="341">
        <f t="shared" si="61"/>
        <v>2017</v>
      </c>
      <c r="AX47" s="343">
        <f t="shared" si="9"/>
        <v>28100.630436154421</v>
      </c>
      <c r="AY47" s="344">
        <f>R47</f>
        <v>28967.212002365144</v>
      </c>
      <c r="BD47" s="341">
        <v>2017</v>
      </c>
      <c r="BF47" s="341">
        <f>'Comps Ann'!D59+'Comps Ann'!E59</f>
        <v>357.59999999999997</v>
      </c>
      <c r="BG47" s="344"/>
      <c r="BI47" s="344">
        <f t="shared" si="62"/>
        <v>18567857.399999999</v>
      </c>
      <c r="BJ47" s="341">
        <f t="shared" si="63"/>
        <v>10220.899999999994</v>
      </c>
      <c r="BK47" s="341">
        <f t="shared" si="64"/>
        <v>1816.6558130888677</v>
      </c>
      <c r="BL47" s="341">
        <f t="shared" si="65"/>
        <v>20849.533696496113</v>
      </c>
      <c r="BM47" s="344">
        <f>BM$15+SUM(AK$15:AK47)</f>
        <v>21215.812729164165</v>
      </c>
      <c r="BN47" s="341">
        <f t="shared" si="71"/>
        <v>1210.7729840624897</v>
      </c>
      <c r="BO47" s="341">
        <f t="shared" si="72"/>
        <v>25687532.887401052</v>
      </c>
      <c r="BP47" s="341">
        <f t="shared" si="66"/>
        <v>0.32512623339646962</v>
      </c>
      <c r="BV47" s="341">
        <v>2017</v>
      </c>
      <c r="BW47" s="27">
        <f>BW45</f>
        <v>0</v>
      </c>
      <c r="BX47" s="341">
        <f t="shared" si="53"/>
        <v>0</v>
      </c>
      <c r="BY47" s="27">
        <f t="shared" si="54"/>
        <v>-4</v>
      </c>
      <c r="BZ47" s="15"/>
      <c r="CK47" s="341">
        <v>2017</v>
      </c>
      <c r="CL47" s="349">
        <f t="shared" si="84"/>
        <v>20994.65167945213</v>
      </c>
      <c r="CM47" s="341">
        <f t="shared" si="81"/>
        <v>111.59154206560783</v>
      </c>
      <c r="CN47" s="344">
        <f t="shared" si="10"/>
        <v>2931.1599707234777</v>
      </c>
      <c r="CO47" s="341">
        <f t="shared" si="82"/>
        <v>0.32512623339646962</v>
      </c>
      <c r="CP47" s="341">
        <f t="shared" si="69"/>
        <v>2017</v>
      </c>
      <c r="CR47" s="27">
        <f t="shared" si="70"/>
        <v>1032.1483018307779</v>
      </c>
      <c r="CS47" s="420"/>
      <c r="CT47" s="290">
        <f t="shared" si="74"/>
        <v>1032.1483018307779</v>
      </c>
      <c r="CU47" s="144"/>
    </row>
    <row r="48" spans="1:117" s="341" customFormat="1" x14ac:dyDescent="0.2">
      <c r="A48" s="358"/>
      <c r="B48" s="343"/>
      <c r="D48" s="341">
        <f t="shared" si="8"/>
        <v>2018</v>
      </c>
      <c r="E48" s="341">
        <f>'Comps Ann'!D60+'Comps Ann'!E60</f>
        <v>344.6</v>
      </c>
      <c r="F48" s="341">
        <f t="shared" si="55"/>
        <v>330.81600000000003</v>
      </c>
      <c r="G48" s="24">
        <f>Survival_curve_MF!Z165</f>
        <v>-202.54257125429649</v>
      </c>
      <c r="H48" s="341">
        <f t="shared" si="56"/>
        <v>128.27342874570354</v>
      </c>
      <c r="I48" s="344">
        <f t="shared" si="57"/>
        <v>73366.057814891145</v>
      </c>
      <c r="J48" s="358"/>
      <c r="O48" s="344"/>
      <c r="Q48" s="344"/>
      <c r="R48" s="344"/>
      <c r="S48" s="344"/>
      <c r="T48" s="344"/>
      <c r="U48" s="12"/>
      <c r="X48" s="344"/>
      <c r="Y48" s="344"/>
      <c r="Z48" s="213">
        <f>Z47</f>
        <v>0.14969877000131671</v>
      </c>
      <c r="AA48" s="344"/>
      <c r="AI48" s="24">
        <f t="shared" si="75"/>
        <v>90.952921408577097</v>
      </c>
      <c r="AJ48" s="344">
        <f t="shared" si="76"/>
        <v>33047.85344859249</v>
      </c>
      <c r="AK48" s="24">
        <f t="shared" si="77"/>
        <v>-87.870195370905606</v>
      </c>
      <c r="AL48" s="341">
        <f t="shared" si="78"/>
        <v>280.88000000000005</v>
      </c>
      <c r="AM48" s="344">
        <f t="shared" si="79"/>
        <v>33240.863253221585</v>
      </c>
      <c r="AN48" s="344"/>
      <c r="AO48" s="344"/>
      <c r="AQ48" s="341">
        <f t="shared" si="58"/>
        <v>-2.6588775427605874E-3</v>
      </c>
      <c r="AS48" s="341">
        <f t="shared" si="59"/>
        <v>2018</v>
      </c>
      <c r="AT48" s="344"/>
      <c r="AU48" s="344">
        <f t="shared" si="80"/>
        <v>33240.863253221585</v>
      </c>
      <c r="AV48" s="344">
        <f t="shared" si="60"/>
        <v>33240.863253221585</v>
      </c>
      <c r="AW48" s="341">
        <f t="shared" si="61"/>
        <v>2018</v>
      </c>
      <c r="AX48" s="343">
        <f t="shared" si="9"/>
        <v>28264.746910432346</v>
      </c>
      <c r="AY48" s="344"/>
      <c r="BD48" s="341">
        <v>2018</v>
      </c>
      <c r="BF48" s="341">
        <f>'Comps Ann'!D60+'Comps Ann'!E60</f>
        <v>344.6</v>
      </c>
      <c r="BG48" s="344"/>
      <c r="BI48" s="344">
        <f t="shared" si="62"/>
        <v>18567857.399999999</v>
      </c>
      <c r="BJ48" s="341">
        <f t="shared" si="63"/>
        <v>10565.499999999995</v>
      </c>
      <c r="BK48" s="341">
        <f t="shared" si="64"/>
        <v>1757.4045146940521</v>
      </c>
      <c r="BL48" s="341">
        <f t="shared" si="65"/>
        <v>20748.857358150155</v>
      </c>
      <c r="BM48" s="344">
        <f>BM$15+SUM(AK$15:AK48)</f>
        <v>21127.942533793259</v>
      </c>
      <c r="BN48" s="341">
        <f t="shared" si="71"/>
        <v>1223.7702000118384</v>
      </c>
      <c r="BO48" s="341">
        <f t="shared" si="72"/>
        <v>25855746.460418802</v>
      </c>
      <c r="BP48" s="341">
        <f t="shared" si="66"/>
        <v>0.33336548999795429</v>
      </c>
      <c r="BR48" s="417"/>
      <c r="BV48" s="341">
        <v>2018</v>
      </c>
      <c r="BX48" s="341">
        <f t="shared" si="53"/>
        <v>0</v>
      </c>
      <c r="BY48" s="27">
        <f t="shared" si="54"/>
        <v>-4</v>
      </c>
      <c r="BZ48" s="15"/>
      <c r="CK48" s="341">
        <v>2018</v>
      </c>
      <c r="CL48" s="349">
        <f t="shared" si="84"/>
        <v>20944.65167945213</v>
      </c>
      <c r="CM48" s="341">
        <f t="shared" si="81"/>
        <v>88.817064271902552</v>
      </c>
      <c r="CN48" s="344">
        <f t="shared" si="10"/>
        <v>2931.1599707234777</v>
      </c>
      <c r="CO48" s="341">
        <f t="shared" si="82"/>
        <v>0.33336548999795429</v>
      </c>
      <c r="CP48" s="341">
        <f t="shared" si="69"/>
        <v>2018</v>
      </c>
      <c r="CR48" s="27">
        <f t="shared" si="70"/>
        <v>1032.1483018307779</v>
      </c>
      <c r="CS48" s="420"/>
      <c r="CT48" s="290">
        <f t="shared" si="74"/>
        <v>1032.1483018307779</v>
      </c>
      <c r="CU48" s="144"/>
    </row>
    <row r="49" spans="1:99" s="341" customFormat="1" x14ac:dyDescent="0.2">
      <c r="A49" s="358"/>
      <c r="B49" s="343"/>
      <c r="G49" s="24"/>
      <c r="I49" s="344"/>
      <c r="J49" s="358"/>
      <c r="O49" s="344"/>
      <c r="Q49" s="344"/>
      <c r="R49" s="344"/>
      <c r="S49" s="344"/>
      <c r="T49" s="344"/>
      <c r="U49" s="12"/>
      <c r="X49" s="344"/>
      <c r="Y49" s="344"/>
      <c r="Z49" s="12"/>
      <c r="AA49" s="344"/>
      <c r="AI49" s="24"/>
      <c r="AJ49" s="344"/>
      <c r="AK49" s="24"/>
      <c r="AM49" s="344"/>
      <c r="AN49" s="344"/>
      <c r="AO49" s="344"/>
      <c r="AT49" s="344"/>
      <c r="AU49" s="344"/>
      <c r="AV49" s="344"/>
      <c r="AX49" s="343"/>
      <c r="AY49" s="344"/>
      <c r="BG49" s="344"/>
      <c r="BI49" s="344"/>
      <c r="BM49" s="344"/>
      <c r="BZ49" s="15"/>
      <c r="CL49" s="344"/>
      <c r="CN49" s="344"/>
      <c r="CS49" s="420"/>
      <c r="CT49" s="290"/>
      <c r="CU49" s="144"/>
    </row>
    <row r="50" spans="1:99" x14ac:dyDescent="0.2">
      <c r="BZ50" s="15"/>
      <c r="CA50">
        <f>1975</f>
        <v>1975</v>
      </c>
      <c r="CB50" s="282">
        <f>CE38</f>
        <v>971.17952133657809</v>
      </c>
      <c r="CC50" s="282">
        <f>(CB60-CB50)/10</f>
        <v>2.293710639631763</v>
      </c>
      <c r="CQ50" s="280">
        <f>AVERAGE(CQ37,CQ39,CQ41,CQ43)</f>
        <v>1032.1483018307779</v>
      </c>
      <c r="CR50" s="280" t="s">
        <v>722</v>
      </c>
    </row>
    <row r="51" spans="1:99" x14ac:dyDescent="0.2">
      <c r="BF51" s="2">
        <f>SUM(BF30:BF39)</f>
        <v>3052.9</v>
      </c>
      <c r="BG51" s="2">
        <f>BH51/BF51</f>
        <v>2394.2831733761341</v>
      </c>
      <c r="BH51" s="2">
        <f>SUM(BH30:BH39)</f>
        <v>7309507.0999999996</v>
      </c>
      <c r="BZ51" s="15"/>
      <c r="CA51">
        <f>CA50+1</f>
        <v>1976</v>
      </c>
      <c r="CB51" s="282">
        <f>CB50+CC$50</f>
        <v>973.47323197620983</v>
      </c>
    </row>
    <row r="52" spans="1:99" x14ac:dyDescent="0.2">
      <c r="C52" s="50" t="s">
        <v>6</v>
      </c>
      <c r="E52">
        <f>SUM(E20:E29)</f>
        <v>2594.3000000000002</v>
      </c>
      <c r="F52">
        <f>SUM(F20:F29)</f>
        <v>2490.5279999999998</v>
      </c>
      <c r="G52">
        <f>SUM(G20:G29)</f>
        <v>-1152.2025044675283</v>
      </c>
      <c r="H52">
        <f>SUM(H20:H29)</f>
        <v>1338.3254955324715</v>
      </c>
      <c r="BG52">
        <f>AHS_tables!$ET$33</f>
        <v>2187.8885038575272</v>
      </c>
      <c r="BZ52" s="15"/>
      <c r="CA52" s="280">
        <f t="shared" ref="CA52:CA88" si="85">CA51+1</f>
        <v>1977</v>
      </c>
      <c r="CB52" s="282">
        <f t="shared" ref="CB52:CB59" si="86">CB51+CC$50</f>
        <v>975.76694261584157</v>
      </c>
    </row>
    <row r="53" spans="1:99" x14ac:dyDescent="0.2">
      <c r="E53">
        <f>SUM(E30:E39)</f>
        <v>3052.9</v>
      </c>
      <c r="F53">
        <f>SUM(F30:F39)</f>
        <v>2930.7839999999997</v>
      </c>
      <c r="G53">
        <f>SUM(G30:G39)</f>
        <v>-1539.6526277863341</v>
      </c>
      <c r="H53">
        <f>SUM(H30:H39)</f>
        <v>1391.1313722136658</v>
      </c>
      <c r="J53" t="s">
        <v>606</v>
      </c>
      <c r="X53" s="353" t="s">
        <v>605</v>
      </c>
      <c r="BF53" t="s">
        <v>133</v>
      </c>
      <c r="BG53">
        <f>BG52/BG51</f>
        <v>0.91379688425593641</v>
      </c>
      <c r="CA53" s="280">
        <f t="shared" si="85"/>
        <v>1978</v>
      </c>
      <c r="CB53" s="282">
        <f t="shared" si="86"/>
        <v>978.06065325547331</v>
      </c>
    </row>
    <row r="54" spans="1:99" x14ac:dyDescent="0.2">
      <c r="CA54" s="280">
        <f t="shared" si="85"/>
        <v>1979</v>
      </c>
      <c r="CB54" s="282">
        <f t="shared" si="86"/>
        <v>980.35436389510505</v>
      </c>
    </row>
    <row r="55" spans="1:99" x14ac:dyDescent="0.2">
      <c r="CA55" s="280">
        <f t="shared" si="85"/>
        <v>1980</v>
      </c>
      <c r="CB55" s="282">
        <f t="shared" si="86"/>
        <v>982.64807453473679</v>
      </c>
    </row>
    <row r="56" spans="1:99" x14ac:dyDescent="0.2">
      <c r="CA56" s="280">
        <f t="shared" si="85"/>
        <v>1981</v>
      </c>
      <c r="CB56" s="282">
        <f t="shared" si="86"/>
        <v>984.94178517436853</v>
      </c>
    </row>
    <row r="57" spans="1:99" x14ac:dyDescent="0.2">
      <c r="CA57" s="280">
        <f t="shared" si="85"/>
        <v>1982</v>
      </c>
      <c r="CB57" s="282">
        <f t="shared" si="86"/>
        <v>987.23549581400027</v>
      </c>
    </row>
    <row r="58" spans="1:99" x14ac:dyDescent="0.2">
      <c r="CA58" s="280">
        <f t="shared" si="85"/>
        <v>1983</v>
      </c>
      <c r="CB58" s="282">
        <f t="shared" si="86"/>
        <v>989.52920645363201</v>
      </c>
    </row>
    <row r="59" spans="1:99" x14ac:dyDescent="0.2">
      <c r="CA59" s="280">
        <f t="shared" si="85"/>
        <v>1984</v>
      </c>
      <c r="CB59" s="282">
        <f t="shared" si="86"/>
        <v>991.82291709326375</v>
      </c>
    </row>
    <row r="60" spans="1:99" x14ac:dyDescent="0.2">
      <c r="CA60" s="280">
        <f t="shared" si="85"/>
        <v>1985</v>
      </c>
      <c r="CB60" s="282">
        <f>CF38</f>
        <v>994.11662773289572</v>
      </c>
      <c r="CC60" s="282">
        <f>(CB70-CB60)/10</f>
        <v>9.1408702415262493</v>
      </c>
    </row>
    <row r="61" spans="1:99" x14ac:dyDescent="0.2">
      <c r="CA61" s="280">
        <f t="shared" si="85"/>
        <v>1986</v>
      </c>
      <c r="CB61" s="282">
        <f>CB60+CC$60</f>
        <v>1003.257497974422</v>
      </c>
    </row>
    <row r="62" spans="1:99" x14ac:dyDescent="0.2">
      <c r="CA62" s="280">
        <f t="shared" si="85"/>
        <v>1987</v>
      </c>
      <c r="CB62" s="282">
        <f t="shared" ref="CB62:CB69" si="87">CB61+CC$60</f>
        <v>1012.3983682159483</v>
      </c>
    </row>
    <row r="63" spans="1:99" x14ac:dyDescent="0.2">
      <c r="CA63" s="280">
        <f t="shared" si="85"/>
        <v>1988</v>
      </c>
      <c r="CB63" s="282">
        <f t="shared" si="87"/>
        <v>1021.5392384574745</v>
      </c>
    </row>
    <row r="64" spans="1:99" x14ac:dyDescent="0.2">
      <c r="CA64" s="280">
        <f t="shared" si="85"/>
        <v>1989</v>
      </c>
      <c r="CB64" s="282">
        <f t="shared" si="87"/>
        <v>1030.6801086990008</v>
      </c>
    </row>
    <row r="65" spans="51:81" x14ac:dyDescent="0.2">
      <c r="CA65" s="280">
        <f t="shared" si="85"/>
        <v>1990</v>
      </c>
      <c r="CB65" s="282">
        <f t="shared" si="87"/>
        <v>1039.8209789405271</v>
      </c>
    </row>
    <row r="66" spans="51:81" x14ac:dyDescent="0.2">
      <c r="CA66" s="280">
        <f t="shared" si="85"/>
        <v>1991</v>
      </c>
      <c r="CB66" s="282">
        <f t="shared" si="87"/>
        <v>1048.9618491820534</v>
      </c>
    </row>
    <row r="67" spans="51:81" x14ac:dyDescent="0.2">
      <c r="CA67" s="280">
        <f t="shared" si="85"/>
        <v>1992</v>
      </c>
      <c r="CB67" s="282">
        <f t="shared" si="87"/>
        <v>1058.1027194235796</v>
      </c>
    </row>
    <row r="68" spans="51:81" x14ac:dyDescent="0.2">
      <c r="CA68" s="280">
        <f t="shared" si="85"/>
        <v>1993</v>
      </c>
      <c r="CB68" s="282">
        <f t="shared" si="87"/>
        <v>1067.2435896651059</v>
      </c>
    </row>
    <row r="69" spans="51:81" x14ac:dyDescent="0.2">
      <c r="CA69" s="280">
        <f t="shared" si="85"/>
        <v>1994</v>
      </c>
      <c r="CB69" s="282">
        <f t="shared" si="87"/>
        <v>1076.3844599066322</v>
      </c>
    </row>
    <row r="70" spans="51:81" x14ac:dyDescent="0.2">
      <c r="CA70" s="280">
        <f t="shared" si="85"/>
        <v>1995</v>
      </c>
      <c r="CB70" s="282">
        <f>CG38</f>
        <v>1085.5253301481582</v>
      </c>
      <c r="CC70" s="282">
        <f>(CB80-CB70)/10</f>
        <v>9.5587327753815323</v>
      </c>
    </row>
    <row r="71" spans="51:81" x14ac:dyDescent="0.2">
      <c r="CA71" s="280">
        <f t="shared" si="85"/>
        <v>1996</v>
      </c>
      <c r="CB71" s="282">
        <f>CB70+CC$70</f>
        <v>1095.0840629235397</v>
      </c>
    </row>
    <row r="72" spans="51:81" x14ac:dyDescent="0.2">
      <c r="CA72" s="280">
        <f t="shared" si="85"/>
        <v>1997</v>
      </c>
      <c r="CB72" s="282">
        <f t="shared" ref="CB72:CB82" si="88">CB71+CC$70</f>
        <v>1104.6427956989212</v>
      </c>
    </row>
    <row r="73" spans="51:81" x14ac:dyDescent="0.2">
      <c r="CA73" s="280">
        <f t="shared" si="85"/>
        <v>1998</v>
      </c>
      <c r="CB73" s="282">
        <f t="shared" si="88"/>
        <v>1114.2015284743027</v>
      </c>
    </row>
    <row r="74" spans="51:81" x14ac:dyDescent="0.2">
      <c r="CA74" s="280">
        <f t="shared" si="85"/>
        <v>1999</v>
      </c>
      <c r="CB74" s="282">
        <f t="shared" si="88"/>
        <v>1123.7602612496842</v>
      </c>
    </row>
    <row r="75" spans="51:81" x14ac:dyDescent="0.2">
      <c r="CA75" s="280">
        <f t="shared" si="85"/>
        <v>2000</v>
      </c>
      <c r="CB75" s="282">
        <f t="shared" si="88"/>
        <v>1133.3189940250656</v>
      </c>
    </row>
    <row r="76" spans="51:81" x14ac:dyDescent="0.2">
      <c r="CA76" s="280">
        <f t="shared" si="85"/>
        <v>2001</v>
      </c>
      <c r="CB76" s="282">
        <f t="shared" si="88"/>
        <v>1142.8777268004471</v>
      </c>
    </row>
    <row r="77" spans="51:81" x14ac:dyDescent="0.2">
      <c r="CA77" s="280">
        <f t="shared" si="85"/>
        <v>2002</v>
      </c>
      <c r="CB77" s="282">
        <f t="shared" si="88"/>
        <v>1152.4364595758286</v>
      </c>
    </row>
    <row r="78" spans="51:81" x14ac:dyDescent="0.2">
      <c r="CA78" s="280">
        <f t="shared" si="85"/>
        <v>2003</v>
      </c>
      <c r="CB78" s="282">
        <f t="shared" si="88"/>
        <v>1161.9951923512101</v>
      </c>
    </row>
    <row r="79" spans="51:81" x14ac:dyDescent="0.2">
      <c r="AY79">
        <f>10710/22.9</f>
        <v>467.6855895196507</v>
      </c>
      <c r="CA79" s="280">
        <f t="shared" si="85"/>
        <v>2004</v>
      </c>
      <c r="CB79" s="282">
        <f t="shared" si="88"/>
        <v>1171.5539251265916</v>
      </c>
    </row>
    <row r="80" spans="51:81" x14ac:dyDescent="0.2">
      <c r="CA80" s="280">
        <f t="shared" si="85"/>
        <v>2005</v>
      </c>
      <c r="CB80" s="282">
        <f>CH38</f>
        <v>1181.1126579019735</v>
      </c>
      <c r="CC80" s="282">
        <v>0</v>
      </c>
    </row>
    <row r="81" spans="79:80" x14ac:dyDescent="0.2">
      <c r="CA81" s="280">
        <f t="shared" si="85"/>
        <v>2006</v>
      </c>
      <c r="CB81" s="282">
        <f t="shared" si="88"/>
        <v>1190.671390677355</v>
      </c>
    </row>
    <row r="82" spans="79:80" x14ac:dyDescent="0.2">
      <c r="CA82" s="280">
        <f t="shared" si="85"/>
        <v>2007</v>
      </c>
      <c r="CB82" s="282">
        <f t="shared" si="88"/>
        <v>1200.2301234527365</v>
      </c>
    </row>
    <row r="83" spans="79:80" x14ac:dyDescent="0.2">
      <c r="CA83" s="280">
        <f t="shared" si="85"/>
        <v>2008</v>
      </c>
      <c r="CB83" s="282">
        <f>CB82</f>
        <v>1200.2301234527365</v>
      </c>
    </row>
    <row r="84" spans="79:80" x14ac:dyDescent="0.2">
      <c r="CA84" s="280">
        <f t="shared" si="85"/>
        <v>2009</v>
      </c>
      <c r="CB84" s="282">
        <f>CB83</f>
        <v>1200.2301234527365</v>
      </c>
    </row>
    <row r="85" spans="79:80" x14ac:dyDescent="0.2">
      <c r="CA85" s="280">
        <f t="shared" si="85"/>
        <v>2010</v>
      </c>
      <c r="CB85" s="282">
        <f>CB84</f>
        <v>1200.2301234527365</v>
      </c>
    </row>
    <row r="86" spans="79:80" x14ac:dyDescent="0.2">
      <c r="CA86" s="280">
        <f t="shared" si="85"/>
        <v>2011</v>
      </c>
      <c r="CB86" s="282">
        <f>CB85</f>
        <v>1200.2301234527365</v>
      </c>
    </row>
    <row r="87" spans="79:80" x14ac:dyDescent="0.2">
      <c r="CA87" s="341">
        <f t="shared" si="85"/>
        <v>2012</v>
      </c>
      <c r="CB87" s="344">
        <f t="shared" ref="CB87:CB93" si="89">CB86</f>
        <v>1200.2301234527365</v>
      </c>
    </row>
    <row r="88" spans="79:80" x14ac:dyDescent="0.2">
      <c r="CA88" s="341">
        <f t="shared" si="85"/>
        <v>2013</v>
      </c>
      <c r="CB88" s="344">
        <f t="shared" si="89"/>
        <v>1200.2301234527365</v>
      </c>
    </row>
    <row r="89" spans="79:80" x14ac:dyDescent="0.2">
      <c r="CA89">
        <v>2014</v>
      </c>
      <c r="CB89" s="344">
        <f t="shared" si="89"/>
        <v>1200.2301234527365</v>
      </c>
    </row>
    <row r="90" spans="79:80" x14ac:dyDescent="0.2">
      <c r="CA90">
        <v>2015</v>
      </c>
      <c r="CB90" s="344">
        <f t="shared" si="89"/>
        <v>1200.2301234527365</v>
      </c>
    </row>
    <row r="91" spans="79:80" x14ac:dyDescent="0.2">
      <c r="CA91">
        <v>2016</v>
      </c>
      <c r="CB91" s="344">
        <f t="shared" si="89"/>
        <v>1200.2301234527365</v>
      </c>
    </row>
    <row r="92" spans="79:80" x14ac:dyDescent="0.2">
      <c r="CA92">
        <v>2017</v>
      </c>
      <c r="CB92" s="344">
        <f t="shared" si="89"/>
        <v>1200.2301234527365</v>
      </c>
    </row>
    <row r="93" spans="79:80" x14ac:dyDescent="0.2">
      <c r="CA93">
        <v>2018</v>
      </c>
      <c r="CB93" s="344">
        <f t="shared" si="89"/>
        <v>1200.2301234527365</v>
      </c>
    </row>
  </sheetData>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U88"/>
  <sheetViews>
    <sheetView topLeftCell="BX36" workbookViewId="0">
      <selection activeCell="CD46" sqref="CD46:CD47"/>
    </sheetView>
  </sheetViews>
  <sheetFormatPr defaultRowHeight="12.75" x14ac:dyDescent="0.2"/>
  <cols>
    <col min="7" max="7" width="11.85546875" customWidth="1"/>
    <col min="23" max="23" width="10.140625" bestFit="1" customWidth="1"/>
    <col min="24" max="26" width="10.140625" customWidth="1"/>
    <col min="35" max="35" width="12.28515625" customWidth="1"/>
    <col min="59" max="59" width="10.7109375" customWidth="1"/>
    <col min="60" max="60" width="11.140625" bestFit="1" customWidth="1"/>
    <col min="61" max="61" width="10.28515625" customWidth="1"/>
    <col min="66" max="67" width="10" bestFit="1" customWidth="1"/>
    <col min="68" max="68" width="12" customWidth="1"/>
    <col min="69" max="69" width="10" style="280" customWidth="1"/>
    <col min="71" max="71" width="9.140625" style="280"/>
    <col min="75" max="75" width="9.140625" style="280"/>
    <col min="81" max="81" width="9.140625" style="280"/>
    <col min="91" max="91" width="11.140625" bestFit="1" customWidth="1"/>
  </cols>
  <sheetData>
    <row r="1" spans="1:99" x14ac:dyDescent="0.2">
      <c r="BC1" t="s">
        <v>740</v>
      </c>
      <c r="BF1">
        <v>0.9</v>
      </c>
      <c r="BG1" t="s">
        <v>523</v>
      </c>
      <c r="BP1" t="s">
        <v>248</v>
      </c>
      <c r="BQ1" s="291">
        <f>MIN($BN$8)</f>
        <v>89084.503811149232</v>
      </c>
    </row>
    <row r="2" spans="1:99" x14ac:dyDescent="0.2">
      <c r="BC2" t="s">
        <v>744</v>
      </c>
      <c r="BE2" t="s">
        <v>517</v>
      </c>
      <c r="BF2" t="s">
        <v>518</v>
      </c>
      <c r="BQ2" s="291">
        <f>COUNT($BN$5:$BN$7)</f>
        <v>3</v>
      </c>
    </row>
    <row r="3" spans="1:99" x14ac:dyDescent="0.2">
      <c r="BE3">
        <f>'Comps Ann_2015'!E15</f>
        <v>1197.2</v>
      </c>
      <c r="BG3" s="2"/>
      <c r="BH3">
        <f>BE3*BG3</f>
        <v>0</v>
      </c>
      <c r="BI3">
        <f>BH3</f>
        <v>0</v>
      </c>
      <c r="BJ3">
        <f>BE3</f>
        <v>1197.2</v>
      </c>
      <c r="BK3">
        <f>BI3/BJ3</f>
        <v>0</v>
      </c>
      <c r="BQ3" s="291" t="b">
        <f>$BN$5&gt;=$BO$5</f>
        <v>1</v>
      </c>
    </row>
    <row r="4" spans="1:99" x14ac:dyDescent="0.2">
      <c r="BE4">
        <f>'Comps Ann_2015'!E16</f>
        <v>940.3</v>
      </c>
      <c r="BG4" s="2"/>
      <c r="BH4">
        <f t="shared" ref="BH4:BH14" si="0">BE4*BG4</f>
        <v>0</v>
      </c>
      <c r="BI4" s="2">
        <f>BI3+BH4</f>
        <v>0</v>
      </c>
      <c r="BJ4">
        <f t="shared" ref="BJ4:BJ13" si="1">BJ3+BE4</f>
        <v>2137.5</v>
      </c>
      <c r="BK4">
        <f t="shared" ref="BK4:BK40" si="2">BI4/BJ4</f>
        <v>0</v>
      </c>
      <c r="BO4" t="s">
        <v>528</v>
      </c>
      <c r="BQ4" s="291" t="b">
        <f>$BN$6&gt;=$BO$6</f>
        <v>1</v>
      </c>
    </row>
    <row r="5" spans="1:99" x14ac:dyDescent="0.2">
      <c r="AL5" t="s">
        <v>248</v>
      </c>
      <c r="AP5" s="210"/>
      <c r="AQ5" s="210"/>
      <c r="AR5" s="210" t="s">
        <v>248</v>
      </c>
      <c r="AS5" s="210"/>
      <c r="BD5">
        <v>1975</v>
      </c>
      <c r="BE5">
        <f>'Comps Ann_2015'!E17</f>
        <v>874.8</v>
      </c>
      <c r="BG5" s="2"/>
      <c r="BH5">
        <f t="shared" si="0"/>
        <v>0</v>
      </c>
      <c r="BI5" s="2">
        <f t="shared" ref="BI5:BI40" si="3">BI4+BH5</f>
        <v>0</v>
      </c>
      <c r="BJ5">
        <f t="shared" si="1"/>
        <v>3012.3</v>
      </c>
      <c r="BK5">
        <f t="shared" si="2"/>
        <v>0</v>
      </c>
      <c r="BN5" s="288">
        <v>900</v>
      </c>
      <c r="BO5">
        <v>900</v>
      </c>
      <c r="BQ5" s="291" t="b">
        <f>$BN$7&gt;=$BO$7</f>
        <v>1</v>
      </c>
    </row>
    <row r="6" spans="1:99" x14ac:dyDescent="0.2">
      <c r="AL6" s="263">
        <f>MIN($AP$1)</f>
        <v>0</v>
      </c>
      <c r="AP6" s="210"/>
      <c r="AQ6" s="210"/>
      <c r="AR6" s="210">
        <v>0</v>
      </c>
      <c r="AS6" s="210"/>
      <c r="BE6">
        <f>'Comps Ann_2015'!E18</f>
        <v>1034.2</v>
      </c>
      <c r="BG6" s="2"/>
      <c r="BH6">
        <f t="shared" si="0"/>
        <v>0</v>
      </c>
      <c r="BI6" s="2">
        <f t="shared" si="3"/>
        <v>0</v>
      </c>
      <c r="BJ6">
        <f t="shared" si="1"/>
        <v>4046.5</v>
      </c>
      <c r="BK6">
        <f t="shared" si="2"/>
        <v>0</v>
      </c>
      <c r="BN6" s="288">
        <v>7.647173555433648</v>
      </c>
      <c r="BO6">
        <v>5</v>
      </c>
      <c r="BQ6" s="291">
        <f>{32767,32767,0.000001,0.01,FALSE,FALSE,TRUE,1,1,1,0.0001,TRUE}</f>
        <v>32767</v>
      </c>
    </row>
    <row r="7" spans="1:99" x14ac:dyDescent="0.2">
      <c r="C7" t="s">
        <v>107</v>
      </c>
      <c r="F7">
        <v>0.96</v>
      </c>
      <c r="K7" t="s">
        <v>108</v>
      </c>
      <c r="AL7" s="263">
        <f>COUNT($AJ$8:$AJ$10)</f>
        <v>3</v>
      </c>
      <c r="AP7" s="210"/>
      <c r="AQ7" s="210"/>
      <c r="AR7" s="210">
        <v>3</v>
      </c>
      <c r="AS7" s="210"/>
      <c r="BE7">
        <f>'Comps Ann_2015'!E19</f>
        <v>1258.4000000000001</v>
      </c>
      <c r="BG7" s="2"/>
      <c r="BH7">
        <f t="shared" si="0"/>
        <v>0</v>
      </c>
      <c r="BI7" s="2">
        <f t="shared" si="3"/>
        <v>0</v>
      </c>
      <c r="BJ7">
        <f t="shared" si="1"/>
        <v>5304.9</v>
      </c>
      <c r="BK7">
        <f t="shared" si="2"/>
        <v>0</v>
      </c>
      <c r="BN7" s="288">
        <v>1</v>
      </c>
      <c r="BO7">
        <v>1</v>
      </c>
      <c r="BQ7" s="291">
        <f>{0,0,1,100,0,FALSE,TRUE,0.075,0,0,FALSE,30}</f>
        <v>0</v>
      </c>
    </row>
    <row r="8" spans="1:99" x14ac:dyDescent="0.2">
      <c r="C8">
        <f>[9]National_Calibration!E7</f>
        <v>77.371132743362836</v>
      </c>
      <c r="I8" t="s">
        <v>103</v>
      </c>
      <c r="K8" t="s">
        <v>109</v>
      </c>
      <c r="AJ8">
        <v>1.0924746328150917E-3</v>
      </c>
      <c r="AL8" s="263">
        <f>{32767,32767,0.000001,0.01,FALSE,FALSE,TRUE,1,1,1,0.0001,TRUE}</f>
        <v>32767</v>
      </c>
      <c r="AP8" s="210">
        <v>1.0589633471299468E-3</v>
      </c>
      <c r="AQ8" s="210"/>
      <c r="AR8" s="210">
        <v>32767</v>
      </c>
      <c r="AS8" s="210"/>
      <c r="BE8">
        <f>'Comps Ann_2015'!E20</f>
        <v>1369</v>
      </c>
      <c r="BG8" s="2" t="s">
        <v>521</v>
      </c>
      <c r="BH8" t="e">
        <f t="shared" si="0"/>
        <v>#VALUE!</v>
      </c>
      <c r="BI8" s="2" t="e">
        <f t="shared" si="3"/>
        <v>#VALUE!</v>
      </c>
      <c r="BJ8">
        <f t="shared" si="1"/>
        <v>6673.9</v>
      </c>
      <c r="BK8" t="e">
        <f t="shared" si="2"/>
        <v>#VALUE!</v>
      </c>
      <c r="BM8" t="s">
        <v>80</v>
      </c>
      <c r="BN8">
        <f>SUM(BV29:BV39)</f>
        <v>89084.503811149232</v>
      </c>
    </row>
    <row r="9" spans="1:99" x14ac:dyDescent="0.2">
      <c r="C9">
        <f>[9]National_Calibration!E8</f>
        <v>78.809185840707968</v>
      </c>
      <c r="E9" t="s">
        <v>710</v>
      </c>
      <c r="G9" t="s">
        <v>84</v>
      </c>
      <c r="H9" t="s">
        <v>102</v>
      </c>
      <c r="K9" t="s">
        <v>91</v>
      </c>
      <c r="L9" t="s">
        <v>110</v>
      </c>
      <c r="AJ9">
        <v>1.05</v>
      </c>
      <c r="AL9" s="263">
        <f>{0,0,1,100,0,FALSE,TRUE,0.075,0,0,FALSE,30}</f>
        <v>0</v>
      </c>
      <c r="AP9" s="210">
        <v>1.05</v>
      </c>
      <c r="AQ9" s="210"/>
      <c r="AR9" s="210">
        <v>0</v>
      </c>
      <c r="AS9" s="210"/>
      <c r="BE9">
        <f>'Comps Ann_2015'!E21</f>
        <v>1301</v>
      </c>
      <c r="BG9" s="2"/>
      <c r="BH9">
        <f t="shared" si="0"/>
        <v>0</v>
      </c>
      <c r="BI9" s="2" t="e">
        <f t="shared" si="3"/>
        <v>#VALUE!</v>
      </c>
      <c r="BJ9">
        <f t="shared" si="1"/>
        <v>7974.9</v>
      </c>
      <c r="BK9" t="e">
        <f t="shared" si="2"/>
        <v>#VALUE!</v>
      </c>
    </row>
    <row r="10" spans="1:99" x14ac:dyDescent="0.2">
      <c r="C10">
        <f>[9]National_Calibration!E9</f>
        <v>80.775999999999996</v>
      </c>
      <c r="D10">
        <v>1980</v>
      </c>
      <c r="E10" s="207">
        <f>place_nsa_all!C9</f>
        <v>233.7</v>
      </c>
      <c r="F10">
        <f>$F$7*E10</f>
        <v>224.35199999999998</v>
      </c>
      <c r="G10" s="24">
        <f>Survival_curve_MH!Z127</f>
        <v>-20.800245007065314</v>
      </c>
      <c r="H10">
        <f t="shared" ref="H10:H39" si="4">F10+G10</f>
        <v>203.55175499293466</v>
      </c>
      <c r="I10" s="2">
        <f t="shared" ref="I10:I28" si="5">I11-H11</f>
        <v>67625.659203332078</v>
      </c>
      <c r="AJ10">
        <v>216.91344284369794</v>
      </c>
      <c r="AL10" s="263">
        <f>{0,0,1,100,0,FALSE,TRUE,0.075,0,0,FALSE,30}</f>
        <v>0</v>
      </c>
      <c r="AP10" s="210">
        <v>183.2623949271422</v>
      </c>
      <c r="AQ10" s="210"/>
      <c r="AR10" s="210">
        <v>0</v>
      </c>
      <c r="AS10" s="210"/>
      <c r="BD10">
        <v>1980</v>
      </c>
      <c r="BE10">
        <f>'Comps Ann_2015'!E22</f>
        <v>956.7</v>
      </c>
      <c r="BF10">
        <f>place_nsa_all!C9*BF$1</f>
        <v>210.32999999999998</v>
      </c>
      <c r="BG10" s="2">
        <f>place_nsa_all!AB9</f>
        <v>1142.2336328626445</v>
      </c>
      <c r="BH10">
        <f t="shared" si="0"/>
        <v>1092774.916559692</v>
      </c>
      <c r="BI10" s="2" t="e">
        <f t="shared" si="3"/>
        <v>#VALUE!</v>
      </c>
      <c r="BJ10">
        <f t="shared" si="1"/>
        <v>8931.6</v>
      </c>
      <c r="BK10" t="e">
        <f t="shared" si="2"/>
        <v>#VALUE!</v>
      </c>
      <c r="BM10" t="s">
        <v>252</v>
      </c>
      <c r="BN10">
        <v>1</v>
      </c>
      <c r="CA10" t="s">
        <v>545</v>
      </c>
      <c r="CB10">
        <v>0.75</v>
      </c>
    </row>
    <row r="11" spans="1:99" x14ac:dyDescent="0.2">
      <c r="C11">
        <f>[9]National_Calibration!E10</f>
        <v>82.367999999999995</v>
      </c>
      <c r="D11">
        <f>D10+1</f>
        <v>1981</v>
      </c>
      <c r="E11" s="207">
        <f>place_nsa_all!C10</f>
        <v>229.2</v>
      </c>
      <c r="F11">
        <f t="shared" ref="F11:F39" si="6">$F$7*E11</f>
        <v>220.03199999999998</v>
      </c>
      <c r="G11" s="24">
        <f>Survival_curve_MH!Z128</f>
        <v>-22.392226947862582</v>
      </c>
      <c r="H11">
        <f t="shared" si="4"/>
        <v>197.6397730521374</v>
      </c>
      <c r="I11" s="2">
        <f t="shared" si="5"/>
        <v>67823.29897638422</v>
      </c>
      <c r="AJ11">
        <f>SUM(AP15:AP48)*0.001</f>
        <v>527.99422901531921</v>
      </c>
      <c r="AL11" s="263">
        <f>{0,0,1,100,0,FALSE,TRUE,0.075,0,0,FALSE,30}</f>
        <v>0</v>
      </c>
      <c r="AP11" s="210">
        <v>341.01237125397626</v>
      </c>
      <c r="AQ11" s="210"/>
      <c r="AR11" s="210">
        <v>0</v>
      </c>
      <c r="AS11" s="210"/>
      <c r="BE11">
        <f>'Comps Ann_2015'!E23</f>
        <v>818.5</v>
      </c>
      <c r="BF11" s="280">
        <f>place_nsa_all!C10*BF$1</f>
        <v>206.28</v>
      </c>
      <c r="BG11" s="2">
        <f>place_nsa_all!AB10</f>
        <v>1105.7591623036649</v>
      </c>
      <c r="BH11">
        <f t="shared" si="0"/>
        <v>905063.87434554973</v>
      </c>
      <c r="BI11" s="2" t="e">
        <f t="shared" si="3"/>
        <v>#VALUE!</v>
      </c>
      <c r="BJ11">
        <f t="shared" si="1"/>
        <v>9750.1</v>
      </c>
      <c r="BK11" t="e">
        <f t="shared" si="2"/>
        <v>#VALUE!</v>
      </c>
      <c r="BM11" t="s">
        <v>529</v>
      </c>
      <c r="BN11" s="288">
        <v>4</v>
      </c>
    </row>
    <row r="12" spans="1:99" x14ac:dyDescent="0.2">
      <c r="C12">
        <f>[9]National_Calibration!E11</f>
        <v>83.527000000000001</v>
      </c>
      <c r="D12">
        <f t="shared" ref="D12:D41" si="7">D11+1</f>
        <v>1982</v>
      </c>
      <c r="E12" s="207">
        <f>place_nsa_all!C11</f>
        <v>234.1</v>
      </c>
      <c r="F12">
        <f t="shared" si="6"/>
        <v>224.73599999999999</v>
      </c>
      <c r="G12" s="24">
        <f>Survival_curve_MH!Z129</f>
        <v>-24.225508371484466</v>
      </c>
      <c r="H12">
        <f t="shared" si="4"/>
        <v>200.51049162851552</v>
      </c>
      <c r="I12" s="2">
        <f t="shared" si="5"/>
        <v>68023.80946801274</v>
      </c>
      <c r="AI12" s="280" t="s">
        <v>589</v>
      </c>
      <c r="AJ12">
        <v>0.5</v>
      </c>
      <c r="BE12">
        <f>'Comps Ann_2015'!E24</f>
        <v>631.5</v>
      </c>
      <c r="BF12" s="280">
        <f>place_nsa_all!C11*BF$1</f>
        <v>210.69</v>
      </c>
      <c r="BG12" s="2">
        <f>place_nsa_all!AB11</f>
        <v>1091.456642460487</v>
      </c>
      <c r="BH12">
        <f t="shared" si="0"/>
        <v>689254.86971379758</v>
      </c>
      <c r="BI12" s="2" t="e">
        <f t="shared" si="3"/>
        <v>#VALUE!</v>
      </c>
      <c r="BJ12">
        <f t="shared" si="1"/>
        <v>10381.6</v>
      </c>
      <c r="BK12" t="e">
        <f t="shared" si="2"/>
        <v>#VALUE!</v>
      </c>
    </row>
    <row r="13" spans="1:99" x14ac:dyDescent="0.2">
      <c r="A13" t="s">
        <v>257</v>
      </c>
      <c r="B13" t="s">
        <v>247</v>
      </c>
      <c r="C13">
        <f>[9]National_Calibration!E12</f>
        <v>83.918000000000006</v>
      </c>
      <c r="D13">
        <f t="shared" si="7"/>
        <v>1983</v>
      </c>
      <c r="E13" s="207">
        <f>place_nsa_all!C12</f>
        <v>278.10000000000002</v>
      </c>
      <c r="F13">
        <f t="shared" si="6"/>
        <v>266.976</v>
      </c>
      <c r="G13" s="24">
        <f>Survival_curve_MH!Z130</f>
        <v>-26.311268537383512</v>
      </c>
      <c r="H13">
        <f t="shared" si="4"/>
        <v>240.66473146261649</v>
      </c>
      <c r="I13" s="2">
        <f t="shared" si="5"/>
        <v>68264.474199475357</v>
      </c>
      <c r="R13" t="s">
        <v>247</v>
      </c>
      <c r="AI13" s="280" t="s">
        <v>590</v>
      </c>
      <c r="AK13" t="s">
        <v>258</v>
      </c>
      <c r="BE13">
        <f>'Comps Ann_2015'!E25</f>
        <v>923.7</v>
      </c>
      <c r="BF13" s="280">
        <f>place_nsa_all!C12*BF$1</f>
        <v>250.29000000000002</v>
      </c>
      <c r="BG13" s="2">
        <f>place_nsa_all!AB12</f>
        <v>1124.9190938511326</v>
      </c>
      <c r="BH13">
        <f t="shared" si="0"/>
        <v>1039087.7669902913</v>
      </c>
      <c r="BI13" s="2" t="e">
        <f t="shared" si="3"/>
        <v>#VALUE!</v>
      </c>
      <c r="BJ13">
        <f t="shared" si="1"/>
        <v>11305.300000000001</v>
      </c>
      <c r="BK13" t="e">
        <f t="shared" si="2"/>
        <v>#VALUE!</v>
      </c>
      <c r="BM13" t="s">
        <v>534</v>
      </c>
      <c r="BN13" t="s">
        <v>534</v>
      </c>
      <c r="BO13" t="s">
        <v>532</v>
      </c>
      <c r="BP13" t="s">
        <v>531</v>
      </c>
      <c r="BQ13" s="280" t="s">
        <v>531</v>
      </c>
      <c r="BR13" t="s">
        <v>522</v>
      </c>
      <c r="BS13" s="280" t="s">
        <v>531</v>
      </c>
      <c r="BT13" t="s">
        <v>30</v>
      </c>
      <c r="BU13" t="s">
        <v>29</v>
      </c>
      <c r="CM13" t="s">
        <v>134</v>
      </c>
    </row>
    <row r="14" spans="1:99" x14ac:dyDescent="0.2">
      <c r="A14" t="s">
        <v>254</v>
      </c>
      <c r="B14" t="s">
        <v>254</v>
      </c>
      <c r="C14">
        <f>[9]National_Calibration!E13</f>
        <v>85.29</v>
      </c>
      <c r="D14">
        <f t="shared" si="7"/>
        <v>1984</v>
      </c>
      <c r="E14" s="207">
        <f>place_nsa_all!C13</f>
        <v>287.89999999999998</v>
      </c>
      <c r="F14">
        <f t="shared" si="6"/>
        <v>276.38399999999996</v>
      </c>
      <c r="G14" s="24">
        <f>Survival_curve_MH!Z131</f>
        <v>-28.656441207935131</v>
      </c>
      <c r="H14">
        <f t="shared" si="4"/>
        <v>247.72755879206483</v>
      </c>
      <c r="I14" s="2">
        <f t="shared" si="5"/>
        <v>68512.201758267416</v>
      </c>
      <c r="J14" t="s">
        <v>247</v>
      </c>
      <c r="Q14" t="s">
        <v>105</v>
      </c>
      <c r="R14" t="s">
        <v>106</v>
      </c>
      <c r="S14" t="s">
        <v>112</v>
      </c>
      <c r="T14" t="s">
        <v>243</v>
      </c>
      <c r="V14" t="s">
        <v>245</v>
      </c>
      <c r="X14" t="s">
        <v>244</v>
      </c>
      <c r="AM14" t="s">
        <v>111</v>
      </c>
      <c r="AN14" t="s">
        <v>29</v>
      </c>
      <c r="AQ14" t="s">
        <v>246</v>
      </c>
      <c r="AT14" t="s">
        <v>497</v>
      </c>
      <c r="AU14" t="s">
        <v>30</v>
      </c>
      <c r="AV14" t="s">
        <v>135</v>
      </c>
      <c r="AX14" t="s">
        <v>30</v>
      </c>
      <c r="AY14" t="s">
        <v>497</v>
      </c>
      <c r="BE14">
        <f>'Comps Ann_2015'!E26</f>
        <v>1025.0999999999999</v>
      </c>
      <c r="BF14" s="280">
        <f>place_nsa_all!C13*BF$1</f>
        <v>259.11</v>
      </c>
      <c r="BG14" s="2">
        <f>place_nsa_all!AB13</f>
        <v>1153.5255296978119</v>
      </c>
      <c r="BH14">
        <f t="shared" si="0"/>
        <v>1182479.0204932268</v>
      </c>
      <c r="BI14" s="2">
        <v>0</v>
      </c>
      <c r="BJ14">
        <v>0</v>
      </c>
      <c r="BK14" t="e">
        <f t="shared" si="2"/>
        <v>#DIV/0!</v>
      </c>
      <c r="BM14" t="s">
        <v>433</v>
      </c>
      <c r="BN14" t="s">
        <v>435</v>
      </c>
      <c r="BO14" t="s">
        <v>530</v>
      </c>
      <c r="BP14" t="s">
        <v>533</v>
      </c>
      <c r="BQ14" s="280" t="s">
        <v>435</v>
      </c>
      <c r="BR14" t="s">
        <v>530</v>
      </c>
      <c r="BS14" s="280" t="s">
        <v>530</v>
      </c>
      <c r="BT14" t="s">
        <v>435</v>
      </c>
      <c r="BU14" t="s">
        <v>435</v>
      </c>
      <c r="BV14" t="s">
        <v>132</v>
      </c>
      <c r="BZ14" t="s">
        <v>29</v>
      </c>
      <c r="CA14" t="s">
        <v>30</v>
      </c>
      <c r="CB14" t="s">
        <v>526</v>
      </c>
      <c r="CC14" s="280" t="s">
        <v>527</v>
      </c>
      <c r="CD14" t="s">
        <v>553</v>
      </c>
      <c r="CN14">
        <v>4.4000000000000004</v>
      </c>
      <c r="CQ14" t="s">
        <v>260</v>
      </c>
      <c r="CR14" t="s">
        <v>261</v>
      </c>
    </row>
    <row r="15" spans="1:99" x14ac:dyDescent="0.2">
      <c r="A15" s="2">
        <f>Total_stock_SF!AN15</f>
        <v>65121</v>
      </c>
      <c r="B15">
        <f>Total_stock_SF!J15</f>
        <v>59178</v>
      </c>
      <c r="C15">
        <f>[9]National_Calibration!E14</f>
        <v>86.789000000000001</v>
      </c>
      <c r="D15">
        <f t="shared" si="7"/>
        <v>1985</v>
      </c>
      <c r="E15" s="207">
        <f>place_nsa_all!C14</f>
        <v>283.39999999999998</v>
      </c>
      <c r="F15">
        <f t="shared" si="6"/>
        <v>272.06399999999996</v>
      </c>
      <c r="G15" s="24">
        <f>Survival_curve_MH!Z132</f>
        <v>-31.263404664254267</v>
      </c>
      <c r="H15">
        <f t="shared" si="4"/>
        <v>240.8005953357457</v>
      </c>
      <c r="I15" s="2">
        <f t="shared" si="5"/>
        <v>68753.002353603166</v>
      </c>
      <c r="J15" s="143">
        <f>4754</f>
        <v>4754</v>
      </c>
      <c r="K15">
        <f>2518+1128</f>
        <v>3646</v>
      </c>
      <c r="L15">
        <f>511+107+763+62</f>
        <v>1443</v>
      </c>
      <c r="M15">
        <f>K15-K$29</f>
        <v>-44</v>
      </c>
      <c r="N15">
        <f>L15-L$29</f>
        <v>-56</v>
      </c>
      <c r="O15" s="2">
        <f>I15-N15</f>
        <v>68809.002353603166</v>
      </c>
      <c r="P15">
        <f>D15</f>
        <v>1985</v>
      </c>
      <c r="Q15" s="2">
        <f>O15</f>
        <v>68809.002353603166</v>
      </c>
      <c r="R15" s="2">
        <f>J15</f>
        <v>4754</v>
      </c>
      <c r="S15" s="2">
        <f>R15+L15</f>
        <v>6197</v>
      </c>
      <c r="T15" s="2">
        <f>429+38+1103+892+66+77</f>
        <v>2605</v>
      </c>
      <c r="U15" s="12">
        <f>T15/R15</f>
        <v>0.5479596129575095</v>
      </c>
      <c r="V15" s="2">
        <f>L15+T15</f>
        <v>4048</v>
      </c>
      <c r="W15" s="2">
        <f>S15+T15</f>
        <v>8802</v>
      </c>
      <c r="X15" s="2">
        <v>6094</v>
      </c>
      <c r="Y15" s="2">
        <f>X15-R15</f>
        <v>1340</v>
      </c>
      <c r="Z15" s="12">
        <f>Y15/X15</f>
        <v>0.21988841483426322</v>
      </c>
      <c r="AJ15" s="2">
        <f>X15+AJ10</f>
        <v>6310.9134428436982</v>
      </c>
      <c r="AM15" s="2">
        <f>AJ15</f>
        <v>6310.9134428436982</v>
      </c>
      <c r="AN15" s="2">
        <f>X15</f>
        <v>6094</v>
      </c>
      <c r="AO15" s="2">
        <f>AN15-AM15</f>
        <v>-216.91344284369825</v>
      </c>
      <c r="AP15">
        <f>AO15*AO15</f>
        <v>47051.441686306345</v>
      </c>
      <c r="AQ15">
        <f>AK15/AJ15</f>
        <v>0</v>
      </c>
      <c r="AS15">
        <f>D15</f>
        <v>1985</v>
      </c>
      <c r="AT15" s="2">
        <f>AN15</f>
        <v>6094</v>
      </c>
      <c r="AU15" s="2">
        <f>AM15</f>
        <v>6310.9134428436982</v>
      </c>
      <c r="AV15" s="2">
        <f>AU15-L15</f>
        <v>4867.9134428436982</v>
      </c>
      <c r="AW15">
        <f>AS15</f>
        <v>1985</v>
      </c>
      <c r="AX15" s="421">
        <f t="shared" ref="AX15:AX39" si="8">(1-Z15)*AU15</f>
        <v>4923.216689740555</v>
      </c>
      <c r="AY15" s="2">
        <f>R15</f>
        <v>4754</v>
      </c>
      <c r="BD15">
        <v>1985</v>
      </c>
      <c r="BE15">
        <f>'Comps Ann_2015'!E27</f>
        <v>1072.5</v>
      </c>
      <c r="BF15" s="280">
        <f>place_nsa_all!C14*BF$1</f>
        <v>255.05999999999997</v>
      </c>
      <c r="BG15" s="2">
        <f>place_nsa_all!AB14</f>
        <v>1176.605504587156</v>
      </c>
      <c r="BH15">
        <f>BF15*BG15</f>
        <v>300105</v>
      </c>
      <c r="BI15" s="2">
        <f t="shared" si="3"/>
        <v>300105</v>
      </c>
      <c r="BJ15">
        <f>BJ14+BF15</f>
        <v>255.05999999999997</v>
      </c>
      <c r="BK15">
        <v>1000</v>
      </c>
      <c r="BL15" s="2">
        <f>BM15</f>
        <v>4823.216689740555</v>
      </c>
      <c r="BM15" s="2">
        <f>AX$15-100</f>
        <v>4823.216689740555</v>
      </c>
      <c r="BN15">
        <f>BN$27+$BN$11*(BY15-BY$27)</f>
        <v>852</v>
      </c>
      <c r="BO15">
        <f>BM15*$BN15</f>
        <v>4109380.619658953</v>
      </c>
      <c r="BP15">
        <f>BJ15/(BJ15+BM15)</f>
        <v>5.0225699697554436E-2</v>
      </c>
      <c r="BQ15" s="282">
        <f>BG15</f>
        <v>1176.605504587156</v>
      </c>
      <c r="BR15">
        <f>BF15*BQ15*$BN$7*$BN$10</f>
        <v>300105</v>
      </c>
      <c r="BS15" s="280">
        <f>BR15</f>
        <v>300105</v>
      </c>
      <c r="BT15">
        <f>(BO15+BS15)/AX15</f>
        <v>895.65133885896967</v>
      </c>
      <c r="BW15" s="282">
        <f>BM15+BJ15</f>
        <v>5078.2766897405554</v>
      </c>
      <c r="BY15">
        <f>AS15</f>
        <v>1985</v>
      </c>
      <c r="CA15" s="207">
        <f t="shared" ref="CA15:CA41" si="9">BT15</f>
        <v>895.65133885896967</v>
      </c>
      <c r="CB15" s="426">
        <f>CA$29+CB$10*(CA15-CA$29)</f>
        <v>954.35186550619778</v>
      </c>
      <c r="CC15" s="424">
        <f>CB15</f>
        <v>954.35186550619778</v>
      </c>
      <c r="CD15" s="421">
        <f>RECS_ManHome!AD22</f>
        <v>850.32679738562092</v>
      </c>
      <c r="CM15" s="207">
        <f t="shared" ref="CM15:CM39" si="10">AX15*CA15*0.000001</f>
        <v>4.4094856196589527</v>
      </c>
      <c r="CN15" s="207">
        <f>AX15*CB15*0.000001</f>
        <v>4.6984810321451462</v>
      </c>
      <c r="CP15">
        <f>BY15</f>
        <v>1985</v>
      </c>
      <c r="CQ15">
        <f>Total_stock_SF!BX15</f>
        <v>1849.0897575916233</v>
      </c>
      <c r="CR15">
        <f>CA15</f>
        <v>895.65133885896967</v>
      </c>
      <c r="CT15">
        <f>CQ15/CQ$15</f>
        <v>1</v>
      </c>
      <c r="CU15">
        <f>CR15/CR$15</f>
        <v>1</v>
      </c>
    </row>
    <row r="16" spans="1:99" x14ac:dyDescent="0.2">
      <c r="A16" s="2">
        <f>Total_stock_SF!AN16</f>
        <v>0</v>
      </c>
      <c r="B16">
        <f>Total_stock_SF!J16</f>
        <v>0</v>
      </c>
      <c r="C16">
        <f>[9]National_Calibration!E15</f>
        <v>88.457999999999998</v>
      </c>
      <c r="D16">
        <f t="shared" si="7"/>
        <v>1986</v>
      </c>
      <c r="E16" s="207">
        <f>place_nsa_all!C15</f>
        <v>256.10000000000002</v>
      </c>
      <c r="F16">
        <f t="shared" si="6"/>
        <v>245.85600000000002</v>
      </c>
      <c r="G16" s="24">
        <f>Survival_curve_MH!Z133</f>
        <v>-34.130529438572921</v>
      </c>
      <c r="H16">
        <f t="shared" si="4"/>
        <v>211.7254705614271</v>
      </c>
      <c r="I16" s="2">
        <f t="shared" si="5"/>
        <v>68964.727824164598</v>
      </c>
      <c r="J16" s="144"/>
      <c r="L16">
        <f>AVERAGE(L15,L17)</f>
        <v>1463.5</v>
      </c>
      <c r="O16" s="2"/>
      <c r="S16" s="2"/>
      <c r="T16" s="2"/>
      <c r="U16" s="2"/>
      <c r="V16" s="2"/>
      <c r="W16" s="2"/>
      <c r="X16" s="2"/>
      <c r="Y16" s="2"/>
      <c r="Z16" s="12">
        <f>AVERAGE(Z15,Z17)</f>
        <v>0.21617925526402154</v>
      </c>
      <c r="AI16" s="24">
        <f>AL16^$AJ$12</f>
        <v>16.82966131566527</v>
      </c>
      <c r="AJ16" s="2">
        <f>AJ15</f>
        <v>6310.9134428436982</v>
      </c>
      <c r="AK16" s="24">
        <f t="shared" ref="AK16:AK48" si="11">-AJ16*AJ$8*AI16</f>
        <v>-116.03231613802409</v>
      </c>
      <c r="AL16">
        <f t="shared" ref="AL16:AL48" si="12">$AJ$9*(E15+E16)/2</f>
        <v>283.23750000000001</v>
      </c>
      <c r="AM16" s="2">
        <f>AJ16+AK16+AL16</f>
        <v>6478.1186267056746</v>
      </c>
      <c r="AN16" s="2"/>
      <c r="AQ16">
        <f t="shared" ref="AQ16:AQ39" si="13">AK16/AJ16</f>
        <v>-1.8385978066233769E-2</v>
      </c>
      <c r="AS16">
        <f t="shared" ref="AS16:AS39" si="14">D16</f>
        <v>1986</v>
      </c>
      <c r="AU16" s="2">
        <f t="shared" ref="AU16:AU39" si="15">AM16</f>
        <v>6478.1186267056746</v>
      </c>
      <c r="AV16" s="2">
        <f t="shared" ref="AV16:AV39" si="16">AU16-L16</f>
        <v>5014.6186267056746</v>
      </c>
      <c r="AW16">
        <f t="shared" ref="AW16:AW39" si="17">AS16</f>
        <v>1986</v>
      </c>
      <c r="AX16" s="421">
        <f t="shared" si="8"/>
        <v>5077.6837664724553</v>
      </c>
      <c r="BE16">
        <f>'Comps Ann_2015'!E28</f>
        <v>1120.2</v>
      </c>
      <c r="BF16" s="280">
        <f>place_nsa_all!C15*BF$1</f>
        <v>230.49000000000004</v>
      </c>
      <c r="BG16" s="2">
        <f>place_nsa_all!AB15</f>
        <v>1211.011323701679</v>
      </c>
      <c r="BH16">
        <f t="shared" ref="BH16:BH40" si="18">BF16*BG16</f>
        <v>279126.00000000006</v>
      </c>
      <c r="BI16" s="2">
        <f t="shared" si="3"/>
        <v>579231</v>
      </c>
      <c r="BJ16">
        <f t="shared" ref="BJ16:BJ40" si="19">BJ15+BF16</f>
        <v>485.55</v>
      </c>
      <c r="BK16">
        <f t="shared" si="2"/>
        <v>1192.937905468026</v>
      </c>
      <c r="BL16">
        <f>(BJ16+BJ15)*0.5*$BN$7+BM16</f>
        <v>5192.9287664724552</v>
      </c>
      <c r="BM16" s="2">
        <f>AX16-BJ15</f>
        <v>4822.6237664724549</v>
      </c>
      <c r="BN16" s="280">
        <f t="shared" ref="BN16:BN40" si="20">BN$27+$BN$11*(BY16-BY$27)</f>
        <v>856</v>
      </c>
      <c r="BO16">
        <f t="shared" ref="BO16:BO40" si="21">BM16*$BN16</f>
        <v>4128165.9441004214</v>
      </c>
      <c r="BP16">
        <f t="shared" ref="BP16:BP40" si="22">BJ16/(BJ16+BM16)</f>
        <v>9.1472137379306651E-2</v>
      </c>
      <c r="BQ16" s="282">
        <f>BG15+BN$6*(BY16-BY$15)</f>
        <v>1184.2526781425897</v>
      </c>
      <c r="BR16" s="280">
        <f t="shared" ref="BR16:BR40" si="23">BF16*BQ16*$BN$7*$BN$10</f>
        <v>272958.39978508552</v>
      </c>
      <c r="BS16" s="280">
        <f>BS15+BR16</f>
        <v>573063.39978508558</v>
      </c>
      <c r="BT16" s="280">
        <f t="shared" ref="BT16:BT40" si="24">(BO16+BS16)/AX16</f>
        <v>925.86099491412858</v>
      </c>
      <c r="BW16" s="282">
        <f t="shared" ref="BW16:BW40" si="25">BM16+BJ16</f>
        <v>5308.1737664724551</v>
      </c>
      <c r="BX16" s="280"/>
      <c r="BY16">
        <f t="shared" ref="BY16:BY39" si="26">AS16</f>
        <v>1986</v>
      </c>
      <c r="CA16" s="207">
        <f t="shared" si="9"/>
        <v>925.86099491412858</v>
      </c>
      <c r="CB16" s="426">
        <f t="shared" ref="CB16:CB29" si="27">CA$29+CB$10*(CA16-CA$29)</f>
        <v>977.00910754756694</v>
      </c>
      <c r="CC16" s="424">
        <f t="shared" ref="CC16:CC29" si="28">CB16</f>
        <v>977.00910754756694</v>
      </c>
      <c r="CD16" s="421">
        <f>RECS_ManHome!AD23</f>
        <v>857.51633986928107</v>
      </c>
      <c r="CM16" s="207">
        <f t="shared" si="10"/>
        <v>4.7012293438855073</v>
      </c>
      <c r="CN16" s="207">
        <f t="shared" ref="CN16:CN39" si="29">AX16*CB16*0.000001</f>
        <v>4.9609432850900212</v>
      </c>
      <c r="CP16">
        <f t="shared" ref="CP16:CP39" si="30">BY16</f>
        <v>1986</v>
      </c>
      <c r="CQ16">
        <f>Total_stock_SF!BX16</f>
        <v>1845.3032226028363</v>
      </c>
      <c r="CR16">
        <f t="shared" ref="CR16:CR39" si="31">CA16</f>
        <v>925.86099491412858</v>
      </c>
      <c r="CT16">
        <f t="shared" ref="CT16:CU39" si="32">CQ16/CQ$15</f>
        <v>0.99795221677409596</v>
      </c>
      <c r="CU16">
        <f t="shared" si="32"/>
        <v>1.0337292590816032</v>
      </c>
    </row>
    <row r="17" spans="1:99" x14ac:dyDescent="0.2">
      <c r="A17" s="2">
        <f>Total_stock_SF!AN17</f>
        <v>67271</v>
      </c>
      <c r="B17">
        <f>Total_stock_SF!J17</f>
        <v>61379</v>
      </c>
      <c r="C17">
        <f>[9]National_Calibration!E16</f>
        <v>89.478999999999999</v>
      </c>
      <c r="D17">
        <f t="shared" si="7"/>
        <v>1987</v>
      </c>
      <c r="E17" s="207">
        <f>place_nsa_all!C16</f>
        <v>239.2</v>
      </c>
      <c r="F17">
        <f t="shared" si="6"/>
        <v>229.63199999999998</v>
      </c>
      <c r="G17" s="24">
        <f>Survival_curve_MH!Z134</f>
        <v>-37.260252668498651</v>
      </c>
      <c r="H17">
        <f t="shared" si="4"/>
        <v>192.37174733150133</v>
      </c>
      <c r="I17" s="2">
        <f t="shared" si="5"/>
        <v>69157.099571496103</v>
      </c>
      <c r="J17" s="143">
        <v>5267</v>
      </c>
      <c r="K17">
        <f>2895+1116</f>
        <v>4011</v>
      </c>
      <c r="L17">
        <f>487+192+701+104</f>
        <v>1484</v>
      </c>
      <c r="M17">
        <f>K17-K$29</f>
        <v>321</v>
      </c>
      <c r="N17">
        <f>L17-L$29</f>
        <v>-15</v>
      </c>
      <c r="O17" s="2">
        <f>I17-N17</f>
        <v>69172.099571496103</v>
      </c>
      <c r="P17">
        <f>D17</f>
        <v>1987</v>
      </c>
      <c r="Q17" s="2">
        <f>O17</f>
        <v>69172.099571496103</v>
      </c>
      <c r="R17" s="2">
        <f>J17</f>
        <v>5267</v>
      </c>
      <c r="S17" s="2">
        <f>R17+L17</f>
        <v>6751</v>
      </c>
      <c r="T17" s="2">
        <f>959+948+116+111</f>
        <v>2134</v>
      </c>
      <c r="U17" s="12">
        <f>T17/R17</f>
        <v>0.40516423011201824</v>
      </c>
      <c r="V17" s="12"/>
      <c r="W17" s="12"/>
      <c r="X17" s="2">
        <v>6688</v>
      </c>
      <c r="Y17" s="2">
        <f>X17-R17</f>
        <v>1421</v>
      </c>
      <c r="Z17" s="12">
        <f>Y17/X17</f>
        <v>0.21247009569377989</v>
      </c>
      <c r="AI17" s="24">
        <f t="shared" ref="AI17:AI41" si="33">AL17^$AJ$12</f>
        <v>16.125523247324413</v>
      </c>
      <c r="AJ17" s="2">
        <f>AM16</f>
        <v>6478.1186267056746</v>
      </c>
      <c r="AK17" s="24">
        <f t="shared" si="11"/>
        <v>-114.12323493783121</v>
      </c>
      <c r="AL17">
        <f t="shared" si="12"/>
        <v>260.03250000000003</v>
      </c>
      <c r="AM17" s="2">
        <f>AJ17+AK17+AL17</f>
        <v>6624.0278917678434</v>
      </c>
      <c r="AN17" s="2">
        <f>X17</f>
        <v>6688</v>
      </c>
      <c r="AO17" s="2">
        <f>AN17-AM17</f>
        <v>63.972108232156643</v>
      </c>
      <c r="AP17">
        <f>AO17*AO17</f>
        <v>4092.4306316667639</v>
      </c>
      <c r="AQ17">
        <f t="shared" si="13"/>
        <v>-1.7616725088571962E-2</v>
      </c>
      <c r="AS17">
        <f t="shared" si="14"/>
        <v>1987</v>
      </c>
      <c r="AT17" s="2">
        <f>AN17</f>
        <v>6688</v>
      </c>
      <c r="AU17" s="2">
        <f t="shared" si="15"/>
        <v>6624.0278917678434</v>
      </c>
      <c r="AV17" s="2">
        <f t="shared" si="16"/>
        <v>5140.0278917678434</v>
      </c>
      <c r="AW17">
        <f t="shared" si="17"/>
        <v>1987</v>
      </c>
      <c r="AX17" s="421">
        <f t="shared" si="8"/>
        <v>5216.6200517256621</v>
      </c>
      <c r="AY17" s="2">
        <f>R17</f>
        <v>5267</v>
      </c>
      <c r="BE17">
        <f>'Comps Ann_2015'!E29</f>
        <v>1122.8</v>
      </c>
      <c r="BF17" s="280">
        <f>place_nsa_all!C16*BF$1</f>
        <v>215.28</v>
      </c>
      <c r="BG17" s="2">
        <f>place_nsa_all!AB16</f>
        <v>1229.9749163879599</v>
      </c>
      <c r="BH17">
        <f t="shared" si="18"/>
        <v>264789</v>
      </c>
      <c r="BI17" s="2">
        <f t="shared" si="3"/>
        <v>844020</v>
      </c>
      <c r="BJ17">
        <f t="shared" si="19"/>
        <v>700.83</v>
      </c>
      <c r="BK17">
        <f t="shared" si="2"/>
        <v>1204.31488378066</v>
      </c>
      <c r="BL17">
        <f t="shared" ref="BL17:BL40" si="34">(BJ17+BJ16)*0.5*$BN$7+BM17</f>
        <v>5186.2511386647002</v>
      </c>
      <c r="BM17" s="2">
        <f>BM$15+SUM(AK$15:AK17)</f>
        <v>4593.0611386646997</v>
      </c>
      <c r="BN17" s="280">
        <f t="shared" si="20"/>
        <v>860</v>
      </c>
      <c r="BO17">
        <f t="shared" si="21"/>
        <v>3950032.5792516419</v>
      </c>
      <c r="BP17">
        <f t="shared" si="22"/>
        <v>0.13238466406711441</v>
      </c>
      <c r="BQ17" s="282">
        <f t="shared" ref="BQ17:BQ33" si="35">BG16+BN$6*(BY17-BY$15)</f>
        <v>1226.3056708125462</v>
      </c>
      <c r="BR17" s="280">
        <f t="shared" si="23"/>
        <v>263999.08481252496</v>
      </c>
      <c r="BS17" s="280">
        <f t="shared" ref="BS17:BS40" si="36">BS16+BR17</f>
        <v>837062.48459761054</v>
      </c>
      <c r="BT17" s="280">
        <f t="shared" si="24"/>
        <v>917.66220586942643</v>
      </c>
      <c r="BW17" s="282">
        <f t="shared" si="25"/>
        <v>5293.8911386646996</v>
      </c>
      <c r="BX17" s="280"/>
      <c r="BY17">
        <f t="shared" si="26"/>
        <v>1987</v>
      </c>
      <c r="CA17" s="207">
        <f t="shared" si="9"/>
        <v>917.66220586942643</v>
      </c>
      <c r="CB17" s="426">
        <f t="shared" si="27"/>
        <v>970.86001576404033</v>
      </c>
      <c r="CC17" s="424">
        <f t="shared" si="28"/>
        <v>970.86001576404033</v>
      </c>
      <c r="CD17" s="421">
        <f>RECS_ManHome!AD24</f>
        <v>864.70588235294122</v>
      </c>
      <c r="CM17" s="207">
        <f t="shared" si="10"/>
        <v>4.7870950638492529</v>
      </c>
      <c r="CN17" s="207">
        <f t="shared" si="29"/>
        <v>5.0646078256533853</v>
      </c>
      <c r="CP17">
        <f t="shared" si="30"/>
        <v>1987</v>
      </c>
      <c r="CQ17">
        <f>Total_stock_SF!BX17</f>
        <v>1858.8984015399869</v>
      </c>
      <c r="CR17">
        <f t="shared" si="31"/>
        <v>917.66220586942643</v>
      </c>
      <c r="CT17">
        <f t="shared" si="32"/>
        <v>1.0053045796766182</v>
      </c>
      <c r="CU17">
        <f t="shared" si="32"/>
        <v>1.0245752627785918</v>
      </c>
    </row>
    <row r="18" spans="1:99" x14ac:dyDescent="0.2">
      <c r="A18" s="2">
        <f>Total_stock_SF!AN18</f>
        <v>0</v>
      </c>
      <c r="B18">
        <f>Total_stock_SF!J18</f>
        <v>0</v>
      </c>
      <c r="C18">
        <f>[9]National_Calibration!E17</f>
        <v>91.123999999999995</v>
      </c>
      <c r="D18">
        <f t="shared" si="7"/>
        <v>1988</v>
      </c>
      <c r="E18" s="207">
        <f>place_nsa_all!C17</f>
        <v>224.3</v>
      </c>
      <c r="F18">
        <f t="shared" si="6"/>
        <v>215.328</v>
      </c>
      <c r="G18" s="24">
        <f>Survival_curve_MH!Z135</f>
        <v>-40.657876685674637</v>
      </c>
      <c r="H18">
        <f t="shared" si="4"/>
        <v>174.67012331432537</v>
      </c>
      <c r="I18" s="2">
        <f t="shared" si="5"/>
        <v>69331.769694810428</v>
      </c>
      <c r="J18" s="144"/>
      <c r="L18">
        <f>AVERAGE(L17,L19)</f>
        <v>1416.5</v>
      </c>
      <c r="O18" s="2"/>
      <c r="S18" s="2"/>
      <c r="T18" s="2"/>
      <c r="U18" s="2"/>
      <c r="V18" s="2"/>
      <c r="W18" s="2"/>
      <c r="Y18" s="2"/>
      <c r="Z18" s="12">
        <f>AVERAGE(Z17,Z19)</f>
        <v>0.21263342653826228</v>
      </c>
      <c r="AI18" s="24">
        <f t="shared" si="33"/>
        <v>15.599278829484394</v>
      </c>
      <c r="AJ18" s="2">
        <f t="shared" ref="AJ18:AJ39" si="37">AM17</f>
        <v>6624.0278917678434</v>
      </c>
      <c r="AK18" s="24">
        <f t="shared" si="11"/>
        <v>-112.88546723564099</v>
      </c>
      <c r="AL18">
        <f t="shared" si="12"/>
        <v>243.33750000000001</v>
      </c>
      <c r="AM18" s="2">
        <f t="shared" ref="AM18:AM39" si="38">AJ18+AK18+AL18</f>
        <v>6754.4799245322019</v>
      </c>
      <c r="AN18" s="2"/>
      <c r="AO18" s="2"/>
      <c r="AQ18">
        <f t="shared" si="13"/>
        <v>-1.7041816411421197E-2</v>
      </c>
      <c r="AS18">
        <f t="shared" si="14"/>
        <v>1988</v>
      </c>
      <c r="AU18" s="2">
        <f t="shared" si="15"/>
        <v>6754.4799245322019</v>
      </c>
      <c r="AV18" s="2">
        <f t="shared" si="16"/>
        <v>5337.9799245322019</v>
      </c>
      <c r="AW18">
        <f t="shared" si="17"/>
        <v>1988</v>
      </c>
      <c r="AX18" s="421">
        <f t="shared" si="8"/>
        <v>5318.2517136950164</v>
      </c>
      <c r="BE18">
        <f>'Comps Ann_2015'!E30</f>
        <v>1084.5999999999999</v>
      </c>
      <c r="BF18" s="280">
        <f>place_nsa_all!C17*BF$1</f>
        <v>201.87</v>
      </c>
      <c r="BG18" s="2">
        <f>place_nsa_all!AB17</f>
        <v>1271.1547035220685</v>
      </c>
      <c r="BH18">
        <f t="shared" si="18"/>
        <v>256607.99999999997</v>
      </c>
      <c r="BI18" s="2">
        <f t="shared" si="3"/>
        <v>1100628</v>
      </c>
      <c r="BJ18">
        <f t="shared" si="19"/>
        <v>902.7</v>
      </c>
      <c r="BK18">
        <f t="shared" si="2"/>
        <v>1219.2622133599202</v>
      </c>
      <c r="BL18">
        <f t="shared" si="34"/>
        <v>5281.940671429059</v>
      </c>
      <c r="BM18" s="2">
        <f>BM$15+SUM(AK$15:AK18)</f>
        <v>4480.1756714290586</v>
      </c>
      <c r="BN18" s="280">
        <f t="shared" si="20"/>
        <v>864</v>
      </c>
      <c r="BO18">
        <f t="shared" si="21"/>
        <v>3870871.7801147066</v>
      </c>
      <c r="BP18">
        <f t="shared" si="22"/>
        <v>0.16769846734363625</v>
      </c>
      <c r="BQ18" s="282">
        <f t="shared" si="35"/>
        <v>1252.9164370542608</v>
      </c>
      <c r="BR18" s="280">
        <f t="shared" si="23"/>
        <v>252926.24114814363</v>
      </c>
      <c r="BS18" s="280">
        <f t="shared" si="36"/>
        <v>1089988.7257457541</v>
      </c>
      <c r="BT18" s="280">
        <f t="shared" si="24"/>
        <v>932.79911762840436</v>
      </c>
      <c r="BW18" s="282">
        <f t="shared" si="25"/>
        <v>5382.8756714290585</v>
      </c>
      <c r="BX18" s="280"/>
      <c r="BY18">
        <f t="shared" si="26"/>
        <v>1988</v>
      </c>
      <c r="CA18" s="207">
        <f t="shared" si="9"/>
        <v>932.79911762840436</v>
      </c>
      <c r="CB18" s="426">
        <f t="shared" si="27"/>
        <v>982.21269958327377</v>
      </c>
      <c r="CC18" s="424">
        <f t="shared" si="28"/>
        <v>982.21269958327377</v>
      </c>
      <c r="CD18" s="421">
        <f>RECS_ManHome!AD25</f>
        <v>890.57315233785823</v>
      </c>
      <c r="CM18" s="207">
        <f t="shared" si="10"/>
        <v>4.9608605058604605</v>
      </c>
      <c r="CN18" s="207">
        <f t="shared" si="29"/>
        <v>5.2236543727717537</v>
      </c>
      <c r="CP18">
        <f t="shared" si="30"/>
        <v>1988</v>
      </c>
      <c r="CQ18">
        <f>Total_stock_SF!BX18</f>
        <v>1873.0173648555019</v>
      </c>
      <c r="CR18">
        <f t="shared" si="31"/>
        <v>932.79911762840436</v>
      </c>
      <c r="CT18">
        <f t="shared" si="32"/>
        <v>1.0129402086435455</v>
      </c>
      <c r="CU18">
        <f t="shared" si="32"/>
        <v>1.041475713994644</v>
      </c>
    </row>
    <row r="19" spans="1:99" x14ac:dyDescent="0.2">
      <c r="A19" s="2">
        <f>Total_stock_SF!AN19</f>
        <v>69290</v>
      </c>
      <c r="B19">
        <f>Total_stock_SF!J19</f>
        <v>63204</v>
      </c>
      <c r="C19">
        <f>[9]National_Calibration!E18</f>
        <v>92.83</v>
      </c>
      <c r="D19">
        <f t="shared" si="7"/>
        <v>1989</v>
      </c>
      <c r="E19" s="207">
        <f>place_nsa_all!C18</f>
        <v>202.8</v>
      </c>
      <c r="F19">
        <f t="shared" si="6"/>
        <v>194.68800000000002</v>
      </c>
      <c r="G19" s="24">
        <f>Survival_curve_MH!Z136</f>
        <v>-44.32295774162958</v>
      </c>
      <c r="H19">
        <f t="shared" si="4"/>
        <v>150.36504225837044</v>
      </c>
      <c r="I19" s="2">
        <f t="shared" si="5"/>
        <v>69482.134737068802</v>
      </c>
      <c r="J19" s="143">
        <v>5438</v>
      </c>
      <c r="K19">
        <f>2644+1115</f>
        <v>3759</v>
      </c>
      <c r="L19">
        <f>440+151+665+93</f>
        <v>1349</v>
      </c>
      <c r="M19">
        <f>K19-K$29</f>
        <v>69</v>
      </c>
      <c r="N19">
        <f>L19-L$29</f>
        <v>-150</v>
      </c>
      <c r="O19" s="2">
        <f>I19-N19</f>
        <v>69632.134737068802</v>
      </c>
      <c r="P19">
        <f>D19</f>
        <v>1989</v>
      </c>
      <c r="Q19" s="2">
        <f>O19</f>
        <v>69632.134737068802</v>
      </c>
      <c r="R19" s="2">
        <f>J19</f>
        <v>5438</v>
      </c>
      <c r="S19" s="2">
        <f>R19+L19</f>
        <v>6787</v>
      </c>
      <c r="T19" s="2">
        <f>1141+992+210+119</f>
        <v>2462</v>
      </c>
      <c r="U19" s="12">
        <f>T19/R19</f>
        <v>0.45273997793306364</v>
      </c>
      <c r="V19" s="12"/>
      <c r="W19" s="12"/>
      <c r="X19" s="2">
        <v>6908</v>
      </c>
      <c r="Y19" s="2">
        <f>X19-R19</f>
        <v>1470</v>
      </c>
      <c r="Z19" s="12">
        <f>Y19/X19</f>
        <v>0.21279675738274464</v>
      </c>
      <c r="AI19" s="24">
        <f t="shared" si="33"/>
        <v>14.974227859893144</v>
      </c>
      <c r="AJ19" s="2">
        <f t="shared" si="37"/>
        <v>6754.4799245322019</v>
      </c>
      <c r="AK19" s="24">
        <f t="shared" si="11"/>
        <v>-110.4962944842689</v>
      </c>
      <c r="AL19">
        <f t="shared" si="12"/>
        <v>224.22750000000002</v>
      </c>
      <c r="AM19" s="2">
        <f t="shared" si="38"/>
        <v>6868.2111300479328</v>
      </c>
      <c r="AN19" s="2">
        <f>X19</f>
        <v>6908</v>
      </c>
      <c r="AO19" s="2">
        <f t="shared" ref="AO19:AO47" si="39">AN19-AM19</f>
        <v>39.788869952067216</v>
      </c>
      <c r="AP19">
        <f>AO19*AO19</f>
        <v>1583.1541720625173</v>
      </c>
      <c r="AQ19">
        <f t="shared" si="13"/>
        <v>-1.6358964082926281E-2</v>
      </c>
      <c r="AS19">
        <f t="shared" si="14"/>
        <v>1989</v>
      </c>
      <c r="AT19" s="2">
        <f>AN19</f>
        <v>6908</v>
      </c>
      <c r="AU19" s="2">
        <f t="shared" si="15"/>
        <v>6868.2111300479328</v>
      </c>
      <c r="AV19" s="2">
        <f t="shared" si="16"/>
        <v>5519.2111300479328</v>
      </c>
      <c r="AW19">
        <f t="shared" si="17"/>
        <v>1989</v>
      </c>
      <c r="AX19" s="421">
        <f t="shared" si="8"/>
        <v>5406.6780725536564</v>
      </c>
      <c r="AY19" s="2">
        <f>R19</f>
        <v>5438</v>
      </c>
      <c r="BE19">
        <f>'Comps Ann_2015'!E31</f>
        <v>1026.3</v>
      </c>
      <c r="BF19" s="280">
        <f>place_nsa_all!C18*BF$1</f>
        <v>182.52</v>
      </c>
      <c r="BG19" s="2">
        <f>place_nsa_all!AB18</f>
        <v>1308.2840236686391</v>
      </c>
      <c r="BH19">
        <f t="shared" si="18"/>
        <v>238788.00000000003</v>
      </c>
      <c r="BI19" s="2">
        <f t="shared" si="3"/>
        <v>1339416</v>
      </c>
      <c r="BJ19">
        <f t="shared" si="19"/>
        <v>1085.22</v>
      </c>
      <c r="BK19">
        <f t="shared" si="2"/>
        <v>1234.2345330900646</v>
      </c>
      <c r="BL19">
        <f t="shared" si="34"/>
        <v>5363.6393769447895</v>
      </c>
      <c r="BM19" s="2">
        <f>BM$15+SUM(AK$15:AK19)</f>
        <v>4369.6793769447895</v>
      </c>
      <c r="BN19" s="280">
        <f t="shared" si="20"/>
        <v>868</v>
      </c>
      <c r="BO19">
        <f t="shared" si="21"/>
        <v>3792881.6991880774</v>
      </c>
      <c r="BP19">
        <f t="shared" si="22"/>
        <v>0.19894409135880634</v>
      </c>
      <c r="BQ19" s="282">
        <f t="shared" si="35"/>
        <v>1301.7433977438031</v>
      </c>
      <c r="BR19" s="280">
        <f t="shared" si="23"/>
        <v>237594.20495619896</v>
      </c>
      <c r="BS19" s="280">
        <f t="shared" si="36"/>
        <v>1327582.9307019531</v>
      </c>
      <c r="BT19" s="280">
        <f t="shared" si="24"/>
        <v>947.0629767811489</v>
      </c>
      <c r="BW19" s="282">
        <f t="shared" si="25"/>
        <v>5454.8993769447898</v>
      </c>
      <c r="BX19" s="280"/>
      <c r="BY19">
        <f t="shared" si="26"/>
        <v>1989</v>
      </c>
      <c r="CA19" s="207">
        <f t="shared" si="9"/>
        <v>947.0629767811489</v>
      </c>
      <c r="CB19" s="426">
        <f t="shared" si="27"/>
        <v>992.91059394783224</v>
      </c>
      <c r="CC19" s="424">
        <f t="shared" si="28"/>
        <v>992.91059394783224</v>
      </c>
      <c r="CD19" s="421">
        <f>RECS_ManHome!AD26</f>
        <v>916.44042232277525</v>
      </c>
      <c r="CM19" s="207">
        <f t="shared" si="10"/>
        <v>5.12046462989003</v>
      </c>
      <c r="CN19" s="207">
        <f t="shared" si="29"/>
        <v>5.3683479363039721</v>
      </c>
      <c r="CP19">
        <f t="shared" si="30"/>
        <v>1989</v>
      </c>
      <c r="CQ19">
        <f>Total_stock_SF!BX19</f>
        <v>1886.7306152316403</v>
      </c>
      <c r="CR19">
        <f t="shared" si="31"/>
        <v>947.0629767811489</v>
      </c>
      <c r="CT19">
        <f t="shared" si="32"/>
        <v>1.0203564253630624</v>
      </c>
      <c r="CU19">
        <f t="shared" si="32"/>
        <v>1.0574013968289</v>
      </c>
    </row>
    <row r="20" spans="1:99" x14ac:dyDescent="0.2">
      <c r="A20" s="2">
        <f>Total_stock_SF!AN20</f>
        <v>0</v>
      </c>
      <c r="B20">
        <f>Total_stock_SF!J20</f>
        <v>0</v>
      </c>
      <c r="C20">
        <f>[9]National_Calibration!E19</f>
        <v>93.347000000000008</v>
      </c>
      <c r="D20">
        <f t="shared" si="7"/>
        <v>1990</v>
      </c>
      <c r="E20" s="207">
        <f>place_nsa_all!C19</f>
        <v>195.4</v>
      </c>
      <c r="F20">
        <f t="shared" si="6"/>
        <v>187.584</v>
      </c>
      <c r="G20" s="24">
        <f>Survival_curve_MH!Z137</f>
        <v>-48.248595273813407</v>
      </c>
      <c r="H20">
        <f t="shared" si="4"/>
        <v>139.3354047261866</v>
      </c>
      <c r="I20" s="2">
        <f t="shared" si="5"/>
        <v>69621.470141794984</v>
      </c>
      <c r="J20" s="144"/>
      <c r="L20">
        <f>AVERAGE(L19,L21)</f>
        <v>1405</v>
      </c>
      <c r="O20" s="2"/>
      <c r="S20" s="2"/>
      <c r="T20" s="2"/>
      <c r="U20" s="2"/>
      <c r="V20" s="2"/>
      <c r="W20" s="2"/>
      <c r="Y20" s="2"/>
      <c r="Z20" s="12">
        <f>AVERAGE(Z19,Z21)</f>
        <v>0.20327651129913404</v>
      </c>
      <c r="AI20" s="24">
        <f t="shared" si="33"/>
        <v>14.458734384447348</v>
      </c>
      <c r="AJ20" s="2">
        <f t="shared" si="37"/>
        <v>6868.2111300479328</v>
      </c>
      <c r="AK20" s="24">
        <f t="shared" si="11"/>
        <v>-108.48889306049921</v>
      </c>
      <c r="AL20">
        <f t="shared" si="12"/>
        <v>209.05500000000004</v>
      </c>
      <c r="AM20" s="2">
        <f t="shared" si="38"/>
        <v>6968.7772369874338</v>
      </c>
      <c r="AN20" s="2"/>
      <c r="AO20" s="2"/>
      <c r="AQ20">
        <f t="shared" si="13"/>
        <v>-1.5795800537620058E-2</v>
      </c>
      <c r="AS20">
        <f t="shared" si="14"/>
        <v>1990</v>
      </c>
      <c r="AU20" s="2">
        <f t="shared" si="15"/>
        <v>6968.7772369874338</v>
      </c>
      <c r="AV20" s="2">
        <f t="shared" si="16"/>
        <v>5563.7772369874338</v>
      </c>
      <c r="AW20">
        <f t="shared" si="17"/>
        <v>1990</v>
      </c>
      <c r="AX20" s="421">
        <f t="shared" si="8"/>
        <v>5552.1885122318099</v>
      </c>
      <c r="BE20">
        <f>'Comps Ann_2015'!E32</f>
        <v>966</v>
      </c>
      <c r="BF20" s="280">
        <f>place_nsa_all!C19*BF$1</f>
        <v>175.86</v>
      </c>
      <c r="BG20" s="2">
        <f>place_nsa_all!AB19</f>
        <v>1302.5588536335722</v>
      </c>
      <c r="BH20">
        <f t="shared" si="18"/>
        <v>229068.00000000003</v>
      </c>
      <c r="BI20" s="2">
        <f t="shared" si="3"/>
        <v>1568484</v>
      </c>
      <c r="BJ20">
        <f t="shared" si="19"/>
        <v>1261.08</v>
      </c>
      <c r="BK20">
        <f t="shared" si="2"/>
        <v>1243.7624892948902</v>
      </c>
      <c r="BL20">
        <f t="shared" si="34"/>
        <v>5434.3404838842907</v>
      </c>
      <c r="BM20" s="2">
        <f>BM$15+SUM(AK$15:AK20)</f>
        <v>4261.1904838842911</v>
      </c>
      <c r="BN20" s="280">
        <f t="shared" si="20"/>
        <v>872</v>
      </c>
      <c r="BO20">
        <f t="shared" si="21"/>
        <v>3715758.1019471018</v>
      </c>
      <c r="BP20">
        <f t="shared" si="22"/>
        <v>0.22836259174197007</v>
      </c>
      <c r="BQ20" s="282">
        <f t="shared" si="35"/>
        <v>1346.5198914458074</v>
      </c>
      <c r="BR20" s="280">
        <f t="shared" si="23"/>
        <v>236798.98810965969</v>
      </c>
      <c r="BS20" s="280">
        <f t="shared" si="36"/>
        <v>1564381.9188116128</v>
      </c>
      <c r="BT20" s="280">
        <f t="shared" si="24"/>
        <v>951.00157516738557</v>
      </c>
      <c r="BW20" s="282">
        <f t="shared" si="25"/>
        <v>5522.270483884291</v>
      </c>
      <c r="BX20" s="280"/>
      <c r="BY20">
        <f t="shared" si="26"/>
        <v>1990</v>
      </c>
      <c r="CA20" s="207">
        <f t="shared" si="9"/>
        <v>951.00157516738557</v>
      </c>
      <c r="CB20" s="426">
        <f t="shared" si="27"/>
        <v>995.86454273750974</v>
      </c>
      <c r="CC20" s="424">
        <f t="shared" si="28"/>
        <v>995.86454273750974</v>
      </c>
      <c r="CD20" s="421">
        <f>RECS_ManHome!AD27</f>
        <v>942.30769230769226</v>
      </c>
      <c r="CM20" s="207">
        <f t="shared" si="10"/>
        <v>5.2801400207587141</v>
      </c>
      <c r="CN20" s="207">
        <f t="shared" si="29"/>
        <v>5.5292276739261856</v>
      </c>
      <c r="CP20">
        <f t="shared" si="30"/>
        <v>1990</v>
      </c>
      <c r="CQ20">
        <f>Total_stock_SF!BX20</f>
        <v>1900.3434366128959</v>
      </c>
      <c r="CR20">
        <f t="shared" si="31"/>
        <v>951.00157516738557</v>
      </c>
      <c r="CT20">
        <f t="shared" si="32"/>
        <v>1.0277183294163226</v>
      </c>
      <c r="CU20">
        <f t="shared" si="32"/>
        <v>1.0617988651464869</v>
      </c>
    </row>
    <row r="21" spans="1:99" x14ac:dyDescent="0.2">
      <c r="A21" s="2">
        <f>Total_stock_SF!AN21</f>
        <v>69802</v>
      </c>
      <c r="B21">
        <f>Total_stock_SF!J21</f>
        <v>62927</v>
      </c>
      <c r="C21">
        <f>[9]National_Calibration!E20</f>
        <v>94.311999999999998</v>
      </c>
      <c r="D21">
        <f t="shared" si="7"/>
        <v>1991</v>
      </c>
      <c r="E21" s="207">
        <f>place_nsa_all!C20</f>
        <v>174.3</v>
      </c>
      <c r="F21">
        <f t="shared" si="6"/>
        <v>167.328</v>
      </c>
      <c r="G21" s="24">
        <f>Survival_curve_MH!Z138</f>
        <v>-52.421379057102968</v>
      </c>
      <c r="H21">
        <f t="shared" si="4"/>
        <v>114.90662094289704</v>
      </c>
      <c r="I21" s="2">
        <f t="shared" si="5"/>
        <v>69736.376762737884</v>
      </c>
      <c r="J21" s="143">
        <v>5630</v>
      </c>
      <c r="K21">
        <f>2684+1026</f>
        <v>3710</v>
      </c>
      <c r="L21">
        <f>444+259+692+66</f>
        <v>1461</v>
      </c>
      <c r="M21">
        <f>K21-K$29</f>
        <v>20</v>
      </c>
      <c r="N21">
        <f>L21-L$29</f>
        <v>-38</v>
      </c>
      <c r="O21" s="2">
        <f>I21-N21</f>
        <v>69774.376762737884</v>
      </c>
      <c r="P21">
        <f>D21</f>
        <v>1991</v>
      </c>
      <c r="Q21" s="2">
        <f>O21</f>
        <v>69774.376762737884</v>
      </c>
      <c r="R21" s="2">
        <f>J21</f>
        <v>5630</v>
      </c>
      <c r="S21" s="2">
        <f>R21+L21</f>
        <v>7091</v>
      </c>
      <c r="T21" s="2"/>
      <c r="U21" s="2"/>
      <c r="V21" s="2"/>
      <c r="W21" s="2"/>
      <c r="X21" s="10">
        <v>6983</v>
      </c>
      <c r="Y21" s="2">
        <f>X21-R21</f>
        <v>1353</v>
      </c>
      <c r="Z21" s="12">
        <f>Y21/X21</f>
        <v>0.19375626521552342</v>
      </c>
      <c r="AI21" s="24">
        <f t="shared" si="33"/>
        <v>13.931708437948306</v>
      </c>
      <c r="AJ21" s="2">
        <f t="shared" si="37"/>
        <v>6968.7772369874338</v>
      </c>
      <c r="AK21" s="24">
        <f t="shared" si="11"/>
        <v>-106.06505478024449</v>
      </c>
      <c r="AL21">
        <f t="shared" si="12"/>
        <v>194.09250000000003</v>
      </c>
      <c r="AM21" s="2">
        <f t="shared" si="38"/>
        <v>7056.8046822071892</v>
      </c>
      <c r="AN21" s="9">
        <f>X21</f>
        <v>6983</v>
      </c>
      <c r="AO21" s="2">
        <f t="shared" si="39"/>
        <v>-73.804682207189217</v>
      </c>
      <c r="AP21">
        <f>AO21*AO21</f>
        <v>5447.1311157041928</v>
      </c>
      <c r="AQ21">
        <f t="shared" si="13"/>
        <v>-1.5220038060234491E-2</v>
      </c>
      <c r="AS21">
        <f t="shared" si="14"/>
        <v>1991</v>
      </c>
      <c r="AT21" s="2">
        <f>AN21</f>
        <v>6983</v>
      </c>
      <c r="AU21" s="2">
        <f t="shared" si="15"/>
        <v>7056.8046822071892</v>
      </c>
      <c r="AV21" s="2">
        <f t="shared" si="16"/>
        <v>5595.8046822071892</v>
      </c>
      <c r="AW21">
        <f t="shared" si="17"/>
        <v>1991</v>
      </c>
      <c r="AX21" s="421">
        <f t="shared" si="8"/>
        <v>5689.5045626273059</v>
      </c>
      <c r="AY21" s="2">
        <f>R21</f>
        <v>5630</v>
      </c>
      <c r="BE21">
        <f>'Comps Ann_2015'!E33</f>
        <v>837.6</v>
      </c>
      <c r="BF21" s="280">
        <f>place_nsa_all!C20*BF$1</f>
        <v>156.87</v>
      </c>
      <c r="BG21" s="2">
        <f>place_nsa_all!AB20</f>
        <v>1291.9104991394147</v>
      </c>
      <c r="BH21">
        <f t="shared" si="18"/>
        <v>202662</v>
      </c>
      <c r="BI21" s="2">
        <f t="shared" si="3"/>
        <v>1771146</v>
      </c>
      <c r="BJ21">
        <f t="shared" si="19"/>
        <v>1417.9499999999998</v>
      </c>
      <c r="BK21">
        <f t="shared" si="2"/>
        <v>1249.089178038718</v>
      </c>
      <c r="BL21">
        <f t="shared" si="34"/>
        <v>5494.6404291040453</v>
      </c>
      <c r="BM21" s="2">
        <f>BM$15+SUM(AK$15:AK21)</f>
        <v>4155.1254291040459</v>
      </c>
      <c r="BN21" s="280">
        <f t="shared" si="20"/>
        <v>876</v>
      </c>
      <c r="BO21">
        <f t="shared" si="21"/>
        <v>3639889.8758951444</v>
      </c>
      <c r="BP21">
        <f t="shared" si="22"/>
        <v>0.25442863963317219</v>
      </c>
      <c r="BQ21" s="282">
        <f t="shared" si="35"/>
        <v>1348.441894966174</v>
      </c>
      <c r="BR21" s="280">
        <f t="shared" si="23"/>
        <v>211530.08006334372</v>
      </c>
      <c r="BS21" s="280">
        <f t="shared" si="36"/>
        <v>1775911.9988749565</v>
      </c>
      <c r="BT21" s="280">
        <f t="shared" si="24"/>
        <v>951.89340568332125</v>
      </c>
      <c r="BW21" s="282">
        <f t="shared" si="25"/>
        <v>5573.0754291040457</v>
      </c>
      <c r="BX21" s="280"/>
      <c r="BY21">
        <f t="shared" si="26"/>
        <v>1991</v>
      </c>
      <c r="CA21" s="207">
        <f t="shared" si="9"/>
        <v>951.89340568332125</v>
      </c>
      <c r="CB21" s="426">
        <f t="shared" si="27"/>
        <v>996.53341562446144</v>
      </c>
      <c r="CC21" s="424">
        <f t="shared" si="28"/>
        <v>996.53341562446144</v>
      </c>
      <c r="CD21" s="421">
        <f>RECS_ManHome!AD28</f>
        <v>957.90209790209792</v>
      </c>
      <c r="CM21" s="207">
        <f t="shared" si="10"/>
        <v>5.4158018747701009</v>
      </c>
      <c r="CN21" s="207">
        <f t="shared" si="29"/>
        <v>5.6697814150059465</v>
      </c>
      <c r="CP21">
        <f t="shared" si="30"/>
        <v>1991</v>
      </c>
      <c r="CQ21">
        <f>Total_stock_SF!BX21</f>
        <v>1911.5195446207103</v>
      </c>
      <c r="CR21">
        <f t="shared" si="31"/>
        <v>951.89340568332125</v>
      </c>
      <c r="CT21">
        <f t="shared" si="32"/>
        <v>1.0337624427223044</v>
      </c>
      <c r="CU21">
        <f t="shared" si="32"/>
        <v>1.0627945991751679</v>
      </c>
    </row>
    <row r="22" spans="1:99" x14ac:dyDescent="0.2">
      <c r="A22" s="2">
        <f>Total_stock_SF!AN22</f>
        <v>0</v>
      </c>
      <c r="B22">
        <f>Total_stock_SF!J22</f>
        <v>0</v>
      </c>
      <c r="C22">
        <f>[9]National_Calibration!E21</f>
        <v>95.668999999999997</v>
      </c>
      <c r="D22">
        <f t="shared" si="7"/>
        <v>1992</v>
      </c>
      <c r="E22" s="207">
        <f>place_nsa_all!C21</f>
        <v>212</v>
      </c>
      <c r="F22">
        <f t="shared" si="6"/>
        <v>203.51999999999998</v>
      </c>
      <c r="G22" s="24">
        <f>Survival_curve_MH!Z139</f>
        <v>-56.821343788127706</v>
      </c>
      <c r="H22">
        <f t="shared" si="4"/>
        <v>146.69865621187228</v>
      </c>
      <c r="I22" s="2">
        <f t="shared" si="5"/>
        <v>69883.075418949753</v>
      </c>
      <c r="J22" s="144"/>
      <c r="L22">
        <f>AVERAGE(L21,L23)</f>
        <v>1369</v>
      </c>
      <c r="O22" s="2"/>
      <c r="S22" s="2"/>
      <c r="T22" s="2"/>
      <c r="U22" s="2"/>
      <c r="V22" s="2"/>
      <c r="W22" s="2"/>
      <c r="Y22" s="2"/>
      <c r="Z22" s="12">
        <f>AVERAGE(Z21,Z23)</f>
        <v>0.19706195613717348</v>
      </c>
      <c r="AI22" s="24">
        <f t="shared" si="33"/>
        <v>14.241049820852394</v>
      </c>
      <c r="AJ22" s="2">
        <f t="shared" si="37"/>
        <v>7056.8046822071892</v>
      </c>
      <c r="AK22" s="24">
        <f t="shared" si="11"/>
        <v>-109.78966614955203</v>
      </c>
      <c r="AL22">
        <f t="shared" si="12"/>
        <v>202.8075</v>
      </c>
      <c r="AM22" s="2">
        <f t="shared" si="38"/>
        <v>7149.8225160576367</v>
      </c>
      <c r="AN22" s="2"/>
      <c r="AO22" s="2"/>
      <c r="AQ22">
        <f t="shared" si="13"/>
        <v>-1.5557985673937147E-2</v>
      </c>
      <c r="AS22">
        <f t="shared" si="14"/>
        <v>1992</v>
      </c>
      <c r="AU22" s="2">
        <f t="shared" si="15"/>
        <v>7149.8225160576367</v>
      </c>
      <c r="AV22" s="2">
        <f t="shared" si="16"/>
        <v>5780.8225160576367</v>
      </c>
      <c r="AW22">
        <f t="shared" si="17"/>
        <v>1992</v>
      </c>
      <c r="AX22" s="421">
        <f t="shared" si="8"/>
        <v>5740.8645050097111</v>
      </c>
      <c r="BE22">
        <f>'Comps Ann_2015'!E34</f>
        <v>963.6</v>
      </c>
      <c r="BF22" s="280">
        <f>place_nsa_all!C21*BF$1</f>
        <v>190.8</v>
      </c>
      <c r="BG22" s="2">
        <f>place_nsa_all!AB21</f>
        <v>1296.933962264151</v>
      </c>
      <c r="BH22">
        <f t="shared" si="18"/>
        <v>247455.00000000003</v>
      </c>
      <c r="BI22" s="2">
        <f t="shared" si="3"/>
        <v>2018601</v>
      </c>
      <c r="BJ22">
        <f t="shared" si="19"/>
        <v>1608.7499999999998</v>
      </c>
      <c r="BK22">
        <f t="shared" si="2"/>
        <v>1254.7636363636366</v>
      </c>
      <c r="BL22">
        <f t="shared" si="34"/>
        <v>5558.6857629544938</v>
      </c>
      <c r="BM22" s="2">
        <f>BM$15+SUM(AK$15:AK22)</f>
        <v>4045.3357629544944</v>
      </c>
      <c r="BN22" s="280">
        <f t="shared" si="20"/>
        <v>880</v>
      </c>
      <c r="BO22">
        <f t="shared" si="21"/>
        <v>3559895.471399955</v>
      </c>
      <c r="BP22">
        <f t="shared" si="22"/>
        <v>0.28452875804263733</v>
      </c>
      <c r="BQ22" s="282">
        <f t="shared" si="35"/>
        <v>1345.4407140274502</v>
      </c>
      <c r="BR22" s="280">
        <f t="shared" si="23"/>
        <v>256710.08823643753</v>
      </c>
      <c r="BS22" s="280">
        <f t="shared" si="36"/>
        <v>2032622.0871113939</v>
      </c>
      <c r="BT22" s="280">
        <f t="shared" si="24"/>
        <v>974.15947609129091</v>
      </c>
      <c r="BW22" s="282">
        <f t="shared" si="25"/>
        <v>5654.0857629544944</v>
      </c>
      <c r="BX22" s="280"/>
      <c r="BY22">
        <f t="shared" si="26"/>
        <v>1992</v>
      </c>
      <c r="CA22" s="207">
        <f t="shared" si="9"/>
        <v>974.15947609129091</v>
      </c>
      <c r="CB22" s="426">
        <f t="shared" si="27"/>
        <v>1013.2329684304387</v>
      </c>
      <c r="CC22" s="424">
        <f t="shared" si="28"/>
        <v>1013.2329684304387</v>
      </c>
      <c r="CD22" s="421">
        <f>RECS_ManHome!AD29</f>
        <v>973.49650349650358</v>
      </c>
      <c r="CM22" s="207">
        <f t="shared" si="10"/>
        <v>5.5925175585113482</v>
      </c>
      <c r="CN22" s="207">
        <f t="shared" si="29"/>
        <v>5.8168331837679306</v>
      </c>
      <c r="CP22">
        <f t="shared" si="30"/>
        <v>1992</v>
      </c>
      <c r="CQ22">
        <f>Total_stock_SF!BX22</f>
        <v>1927.3581296870789</v>
      </c>
      <c r="CR22">
        <f t="shared" si="31"/>
        <v>974.15947609129091</v>
      </c>
      <c r="CT22">
        <f t="shared" si="32"/>
        <v>1.0423280545328408</v>
      </c>
      <c r="CU22">
        <f t="shared" si="32"/>
        <v>1.0876547980515923</v>
      </c>
    </row>
    <row r="23" spans="1:99" x14ac:dyDescent="0.2">
      <c r="A23" s="2">
        <f>Total_stock_SF!AN23</f>
        <v>70362</v>
      </c>
      <c r="B23">
        <f>Total_stock_SF!J23</f>
        <v>64293</v>
      </c>
      <c r="C23">
        <f>[9]National_Calibration!E22</f>
        <v>96.426000000000002</v>
      </c>
      <c r="D23">
        <f t="shared" si="7"/>
        <v>1993</v>
      </c>
      <c r="E23" s="207">
        <f>place_nsa_all!C22</f>
        <v>242.5</v>
      </c>
      <c r="F23">
        <f t="shared" si="6"/>
        <v>232.79999999999998</v>
      </c>
      <c r="G23" s="24">
        <f>Survival_curve_MH!Z140</f>
        <v>-61.421985036005935</v>
      </c>
      <c r="H23">
        <f t="shared" si="4"/>
        <v>171.37801496399405</v>
      </c>
      <c r="I23" s="2">
        <f t="shared" si="5"/>
        <v>70054.453433913746</v>
      </c>
      <c r="J23" s="143">
        <v>5655</v>
      </c>
      <c r="K23">
        <f>2651+889</f>
        <v>3540</v>
      </c>
      <c r="L23">
        <f>388+195+624+70</f>
        <v>1277</v>
      </c>
      <c r="M23">
        <f>K23-K$29</f>
        <v>-150</v>
      </c>
      <c r="N23">
        <f>L23-L$29</f>
        <v>-222</v>
      </c>
      <c r="O23" s="2">
        <f>I23-N23</f>
        <v>70276.453433913746</v>
      </c>
      <c r="P23">
        <f>D23</f>
        <v>1993</v>
      </c>
      <c r="Q23" s="2">
        <f>O23</f>
        <v>70276.453433913746</v>
      </c>
      <c r="R23" s="2">
        <f>J23</f>
        <v>5655</v>
      </c>
      <c r="S23" s="2">
        <f>R23+L23</f>
        <v>6932</v>
      </c>
      <c r="T23" s="2"/>
      <c r="U23" s="2"/>
      <c r="V23" s="2"/>
      <c r="W23" s="2"/>
      <c r="X23" s="2">
        <f>7072</f>
        <v>7072</v>
      </c>
      <c r="Y23" s="2">
        <f>X23-R23</f>
        <v>1417</v>
      </c>
      <c r="Z23" s="12">
        <f>Y23/X23</f>
        <v>0.20036764705882354</v>
      </c>
      <c r="AI23" s="24">
        <f t="shared" si="33"/>
        <v>15.44708710404651</v>
      </c>
      <c r="AJ23" s="2">
        <f t="shared" si="37"/>
        <v>7149.8225160576367</v>
      </c>
      <c r="AK23" s="24">
        <f t="shared" si="11"/>
        <v>-120.65719316691236</v>
      </c>
      <c r="AL23">
        <f t="shared" si="12"/>
        <v>238.61250000000001</v>
      </c>
      <c r="AM23" s="2">
        <f t="shared" si="38"/>
        <v>7267.7778228907246</v>
      </c>
      <c r="AN23" s="2">
        <f>X23</f>
        <v>7072</v>
      </c>
      <c r="AO23" s="2">
        <f t="shared" si="39"/>
        <v>-195.77782289072456</v>
      </c>
      <c r="AP23">
        <f>AO23*AO23</f>
        <v>38328.955935831917</v>
      </c>
      <c r="AQ23">
        <f t="shared" si="13"/>
        <v>-1.687555081205595E-2</v>
      </c>
      <c r="AS23">
        <f t="shared" si="14"/>
        <v>1993</v>
      </c>
      <c r="AT23" s="2">
        <f>AN23</f>
        <v>7072</v>
      </c>
      <c r="AU23" s="2">
        <f t="shared" si="15"/>
        <v>7267.7778228907246</v>
      </c>
      <c r="AV23" s="2">
        <f t="shared" si="16"/>
        <v>5990.7778228907246</v>
      </c>
      <c r="AW23">
        <f t="shared" si="17"/>
        <v>1993</v>
      </c>
      <c r="AX23" s="421">
        <f t="shared" si="8"/>
        <v>5811.5502811718106</v>
      </c>
      <c r="AY23" s="2">
        <f>R23</f>
        <v>5655</v>
      </c>
      <c r="BE23">
        <f>'Comps Ann_2015'!E35</f>
        <v>1039.4000000000001</v>
      </c>
      <c r="BF23" s="280">
        <f>place_nsa_all!C22*BF$1</f>
        <v>218.25</v>
      </c>
      <c r="BG23" s="2">
        <f>place_nsa_all!AB22</f>
        <v>1305.6494845360826</v>
      </c>
      <c r="BH23">
        <f t="shared" si="18"/>
        <v>284958</v>
      </c>
      <c r="BI23" s="2">
        <f t="shared" si="3"/>
        <v>2303559</v>
      </c>
      <c r="BJ23">
        <f t="shared" si="19"/>
        <v>1826.9999999999998</v>
      </c>
      <c r="BK23">
        <f t="shared" si="2"/>
        <v>1260.8423645320199</v>
      </c>
      <c r="BL23">
        <f t="shared" si="34"/>
        <v>5642.5535697875812</v>
      </c>
      <c r="BM23" s="2">
        <f>BM$15+SUM(AK$15:AK23)</f>
        <v>3924.6785697875816</v>
      </c>
      <c r="BN23" s="280">
        <f t="shared" si="20"/>
        <v>884</v>
      </c>
      <c r="BO23">
        <f t="shared" si="21"/>
        <v>3469415.8556922222</v>
      </c>
      <c r="BP23">
        <f t="shared" si="22"/>
        <v>0.31764640145171985</v>
      </c>
      <c r="BQ23" s="282">
        <f t="shared" si="35"/>
        <v>1358.1113507076202</v>
      </c>
      <c r="BR23" s="280">
        <f t="shared" si="23"/>
        <v>296407.8022919381</v>
      </c>
      <c r="BS23" s="280">
        <f t="shared" si="36"/>
        <v>2329029.889403332</v>
      </c>
      <c r="BT23" s="280">
        <f t="shared" si="24"/>
        <v>997.74508772319984</v>
      </c>
      <c r="BW23" s="282">
        <f t="shared" si="25"/>
        <v>5751.6785697875812</v>
      </c>
      <c r="BX23" s="280"/>
      <c r="BY23">
        <f t="shared" si="26"/>
        <v>1993</v>
      </c>
      <c r="CA23" s="207">
        <f t="shared" si="9"/>
        <v>997.74508772319984</v>
      </c>
      <c r="CB23" s="426">
        <f t="shared" si="27"/>
        <v>1030.9221771543705</v>
      </c>
      <c r="CC23" s="424">
        <f t="shared" si="28"/>
        <v>1030.9221771543705</v>
      </c>
      <c r="CD23" s="421">
        <f>RECS_ManHome!AD30</f>
        <v>989.09090909090912</v>
      </c>
      <c r="CM23" s="207">
        <f t="shared" si="10"/>
        <v>5.7984457450955542</v>
      </c>
      <c r="CN23" s="207">
        <f t="shared" si="29"/>
        <v>5.9912560685077372</v>
      </c>
      <c r="CP23">
        <f t="shared" si="30"/>
        <v>1993</v>
      </c>
      <c r="CQ23">
        <f>Total_stock_SF!BX23</f>
        <v>1942.5931442659185</v>
      </c>
      <c r="CR23">
        <f t="shared" si="31"/>
        <v>997.74508772319984</v>
      </c>
      <c r="CT23">
        <f t="shared" si="32"/>
        <v>1.05056725142217</v>
      </c>
      <c r="CU23">
        <f t="shared" si="32"/>
        <v>1.1139882724836814</v>
      </c>
    </row>
    <row r="24" spans="1:99" x14ac:dyDescent="0.2">
      <c r="A24" s="2">
        <f>Total_stock_SF!AN24</f>
        <v>0</v>
      </c>
      <c r="B24">
        <f>Total_stock_SF!J24</f>
        <v>0</v>
      </c>
      <c r="C24">
        <f>[9]National_Calibration!E23</f>
        <v>97.106999999999999</v>
      </c>
      <c r="D24">
        <f t="shared" si="7"/>
        <v>1994</v>
      </c>
      <c r="E24" s="207">
        <f>place_nsa_all!C23</f>
        <v>290.89999999999998</v>
      </c>
      <c r="F24">
        <f t="shared" si="6"/>
        <v>279.26399999999995</v>
      </c>
      <c r="G24" s="24">
        <f>Survival_curve_MH!Z141</f>
        <v>-66.190371324328225</v>
      </c>
      <c r="H24">
        <f t="shared" si="4"/>
        <v>213.07362867567173</v>
      </c>
      <c r="I24" s="2">
        <f t="shared" si="5"/>
        <v>70267.527062589419</v>
      </c>
      <c r="J24" s="144"/>
      <c r="L24">
        <f>AVERAGE(L23,L25)</f>
        <v>1328.5</v>
      </c>
      <c r="O24" s="2"/>
      <c r="S24" s="2"/>
      <c r="T24" s="2"/>
      <c r="U24" s="2"/>
      <c r="V24" s="2"/>
      <c r="W24" s="2"/>
      <c r="Y24" s="2"/>
      <c r="Z24" s="12">
        <f>AVERAGE(Z23,Z25)</f>
        <v>0.19714995403810798</v>
      </c>
      <c r="AI24" s="24">
        <f t="shared" si="33"/>
        <v>16.734246323034689</v>
      </c>
      <c r="AJ24" s="2">
        <f t="shared" si="37"/>
        <v>7267.7778228907246</v>
      </c>
      <c r="AK24" s="24">
        <f t="shared" si="11"/>
        <v>-132.86762168103206</v>
      </c>
      <c r="AL24">
        <f t="shared" si="12"/>
        <v>280.03500000000003</v>
      </c>
      <c r="AM24" s="2">
        <f t="shared" si="38"/>
        <v>7414.9452012096926</v>
      </c>
      <c r="AN24" s="2"/>
      <c r="AO24" s="2"/>
      <c r="AQ24">
        <f t="shared" si="13"/>
        <v>-1.8281739607194623E-2</v>
      </c>
      <c r="AS24">
        <f t="shared" si="14"/>
        <v>1994</v>
      </c>
      <c r="AU24" s="2">
        <f t="shared" si="15"/>
        <v>7414.9452012096926</v>
      </c>
      <c r="AV24" s="2">
        <f t="shared" si="16"/>
        <v>6086.4452012096926</v>
      </c>
      <c r="AW24">
        <f t="shared" si="17"/>
        <v>1994</v>
      </c>
      <c r="AX24" s="421">
        <f t="shared" si="8"/>
        <v>5953.0890955961122</v>
      </c>
      <c r="BE24">
        <f>'Comps Ann_2015'!E36</f>
        <v>1160.3</v>
      </c>
      <c r="BF24" s="280">
        <f>place_nsa_all!C23*BF$1</f>
        <v>261.81</v>
      </c>
      <c r="BG24" s="2">
        <f>place_nsa_all!AB23</f>
        <v>1311.4197318666209</v>
      </c>
      <c r="BH24">
        <f t="shared" si="18"/>
        <v>343342.8</v>
      </c>
      <c r="BI24" s="2">
        <f t="shared" si="3"/>
        <v>2646901.7999999998</v>
      </c>
      <c r="BJ24">
        <f t="shared" si="19"/>
        <v>2088.81</v>
      </c>
      <c r="BK24">
        <f t="shared" si="2"/>
        <v>1267.181696755569</v>
      </c>
      <c r="BL24">
        <f t="shared" si="34"/>
        <v>5749.7159481065491</v>
      </c>
      <c r="BM24" s="2">
        <f>BM$15+SUM(AK$15:AK24)</f>
        <v>3791.8109481065494</v>
      </c>
      <c r="BN24" s="280">
        <f t="shared" si="20"/>
        <v>888</v>
      </c>
      <c r="BO24">
        <f t="shared" si="21"/>
        <v>3367128.1219186159</v>
      </c>
      <c r="BP24">
        <f t="shared" si="22"/>
        <v>0.35520228534242765</v>
      </c>
      <c r="BQ24" s="282">
        <f t="shared" si="35"/>
        <v>1374.4740465349855</v>
      </c>
      <c r="BR24" s="280">
        <f t="shared" si="23"/>
        <v>359851.05012332456</v>
      </c>
      <c r="BS24" s="280">
        <f t="shared" si="36"/>
        <v>2688880.9395266566</v>
      </c>
      <c r="BT24" s="280">
        <f t="shared" si="24"/>
        <v>1017.2884974836504</v>
      </c>
      <c r="BW24" s="282">
        <f t="shared" si="25"/>
        <v>5880.6209481065489</v>
      </c>
      <c r="BX24" s="280"/>
      <c r="BY24">
        <f t="shared" si="26"/>
        <v>1994</v>
      </c>
      <c r="CA24" s="207">
        <f t="shared" si="9"/>
        <v>1017.2884974836504</v>
      </c>
      <c r="CB24" s="426">
        <f t="shared" si="27"/>
        <v>1045.5797344747084</v>
      </c>
      <c r="CC24" s="424">
        <f t="shared" si="28"/>
        <v>1045.5797344747084</v>
      </c>
      <c r="CD24" s="421">
        <f>RECS_ManHome!AD31</f>
        <v>998.20392109726617</v>
      </c>
      <c r="CM24" s="207">
        <f t="shared" si="10"/>
        <v>6.0560090614452724</v>
      </c>
      <c r="CN24" s="207">
        <f t="shared" si="29"/>
        <v>6.2244293158776642</v>
      </c>
      <c r="CP24">
        <f t="shared" si="30"/>
        <v>1994</v>
      </c>
      <c r="CQ24">
        <f>Total_stock_SF!BX24</f>
        <v>1958.9665470585048</v>
      </c>
      <c r="CR24">
        <f t="shared" si="31"/>
        <v>1017.2884974836504</v>
      </c>
      <c r="CT24">
        <f t="shared" si="32"/>
        <v>1.0594220962047793</v>
      </c>
      <c r="CU24">
        <f t="shared" si="32"/>
        <v>1.1358086046961562</v>
      </c>
    </row>
    <row r="25" spans="1:99" x14ac:dyDescent="0.2">
      <c r="A25" s="2">
        <f>Total_stock_SF!AN25</f>
        <v>72402</v>
      </c>
      <c r="B25">
        <f>Total_stock_SF!J25</f>
        <v>66371</v>
      </c>
      <c r="C25">
        <f>[9]National_Calibration!E24</f>
        <v>98.990000000000009</v>
      </c>
      <c r="D25">
        <f t="shared" si="7"/>
        <v>1995</v>
      </c>
      <c r="E25" s="207">
        <f>place_nsa_all!C24</f>
        <v>319.416</v>
      </c>
      <c r="F25">
        <f t="shared" si="6"/>
        <v>306.63936000000001</v>
      </c>
      <c r="G25" s="24">
        <f>Survival_curve_MH!Z142</f>
        <v>-71.08738817415724</v>
      </c>
      <c r="H25">
        <f t="shared" si="4"/>
        <v>235.55197182584277</v>
      </c>
      <c r="I25" s="2">
        <f t="shared" si="5"/>
        <v>70503.079034415263</v>
      </c>
      <c r="J25" s="143">
        <v>6164</v>
      </c>
      <c r="K25">
        <f>2666+917</f>
        <v>3583</v>
      </c>
      <c r="L25">
        <f>482+197+624+77</f>
        <v>1380</v>
      </c>
      <c r="M25">
        <f>K25-K$29</f>
        <v>-107</v>
      </c>
      <c r="N25">
        <f>L25-L$29</f>
        <v>-119</v>
      </c>
      <c r="O25" s="2">
        <f>I25-N25</f>
        <v>70622.079034415263</v>
      </c>
      <c r="P25">
        <f>D25</f>
        <v>1995</v>
      </c>
      <c r="Q25" s="2">
        <f>O25</f>
        <v>70622.079034415263</v>
      </c>
      <c r="R25" s="2">
        <f>J25</f>
        <v>6164</v>
      </c>
      <c r="S25" s="2">
        <f>R25+L25</f>
        <v>7544</v>
      </c>
      <c r="T25" s="2"/>
      <c r="U25" s="2"/>
      <c r="V25" s="2"/>
      <c r="W25" s="2"/>
      <c r="X25" s="2">
        <v>7647</v>
      </c>
      <c r="Y25" s="2">
        <f>X25-R25</f>
        <v>1483</v>
      </c>
      <c r="Z25" s="12">
        <f>Y25/X25</f>
        <v>0.19393226101739244</v>
      </c>
      <c r="AI25" s="24">
        <f t="shared" si="33"/>
        <v>17.900164803710609</v>
      </c>
      <c r="AJ25" s="2">
        <f t="shared" si="37"/>
        <v>7414.9452012096926</v>
      </c>
      <c r="AK25" s="24">
        <f t="shared" si="11"/>
        <v>-145.00278271049081</v>
      </c>
      <c r="AL25">
        <f t="shared" si="12"/>
        <v>320.41590000000002</v>
      </c>
      <c r="AM25" s="2">
        <f t="shared" si="38"/>
        <v>7590.3583184992021</v>
      </c>
      <c r="AN25" s="2">
        <f>X25</f>
        <v>7647</v>
      </c>
      <c r="AO25" s="2">
        <f t="shared" si="39"/>
        <v>56.641681500797858</v>
      </c>
      <c r="AP25">
        <f>AO25*AO25</f>
        <v>3208.2800832378261</v>
      </c>
      <c r="AQ25">
        <f t="shared" si="13"/>
        <v>-1.9555475971263375E-2</v>
      </c>
      <c r="AS25">
        <f t="shared" si="14"/>
        <v>1995</v>
      </c>
      <c r="AT25" s="2">
        <f>AN25</f>
        <v>7647</v>
      </c>
      <c r="AU25" s="2">
        <f t="shared" si="15"/>
        <v>7590.3583184992021</v>
      </c>
      <c r="AV25" s="2">
        <f t="shared" si="16"/>
        <v>6210.3583184992021</v>
      </c>
      <c r="AW25">
        <f t="shared" si="17"/>
        <v>1995</v>
      </c>
      <c r="AX25" s="421">
        <f t="shared" si="8"/>
        <v>6118.3429678604789</v>
      </c>
      <c r="AY25" s="2">
        <f>R25</f>
        <v>6164</v>
      </c>
      <c r="BE25">
        <f>'Comps Ann_2015'!E37</f>
        <v>1065.5</v>
      </c>
      <c r="BF25" s="280">
        <f>place_nsa_all!C24*BF$1</f>
        <v>287.4744</v>
      </c>
      <c r="BG25" s="2">
        <f>place_nsa_all!AB24</f>
        <v>1316.5151401307387</v>
      </c>
      <c r="BH25">
        <f t="shared" si="18"/>
        <v>378464.4</v>
      </c>
      <c r="BI25" s="2">
        <f t="shared" si="3"/>
        <v>3025366.1999999997</v>
      </c>
      <c r="BJ25">
        <f t="shared" si="19"/>
        <v>2376.2844</v>
      </c>
      <c r="BK25">
        <f t="shared" si="2"/>
        <v>1273.1498805446013</v>
      </c>
      <c r="BL25">
        <f t="shared" si="34"/>
        <v>5879.3553653960589</v>
      </c>
      <c r="BM25" s="2">
        <f>BM$15+SUM(AK$15:AK25)</f>
        <v>3646.8081653960589</v>
      </c>
      <c r="BN25" s="280">
        <f t="shared" si="20"/>
        <v>892</v>
      </c>
      <c r="BO25">
        <f t="shared" si="21"/>
        <v>3252952.8835332845</v>
      </c>
      <c r="BP25">
        <f t="shared" si="22"/>
        <v>0.39452895239436575</v>
      </c>
      <c r="BQ25" s="282">
        <f t="shared" si="35"/>
        <v>1387.8914674209573</v>
      </c>
      <c r="BR25" s="280">
        <f t="shared" si="23"/>
        <v>398983.26686195924</v>
      </c>
      <c r="BS25" s="280">
        <f t="shared" si="36"/>
        <v>3087864.206388616</v>
      </c>
      <c r="BT25" s="280">
        <f t="shared" si="24"/>
        <v>1036.3618259437358</v>
      </c>
      <c r="BW25" s="282">
        <f t="shared" si="25"/>
        <v>6023.0925653960585</v>
      </c>
      <c r="BX25" s="280"/>
      <c r="BY25">
        <f t="shared" si="26"/>
        <v>1995</v>
      </c>
      <c r="CA25" s="207">
        <f t="shared" si="9"/>
        <v>1036.3618259437358</v>
      </c>
      <c r="CB25" s="426">
        <f t="shared" si="27"/>
        <v>1059.8847308197724</v>
      </c>
      <c r="CC25" s="424">
        <f t="shared" si="28"/>
        <v>1059.8847308197724</v>
      </c>
      <c r="CD25" s="421">
        <f>RECS_ManHome!AD32</f>
        <v>1007.3169331036232</v>
      </c>
      <c r="CM25" s="207">
        <f t="shared" si="10"/>
        <v>6.3408170899219005</v>
      </c>
      <c r="CN25" s="207">
        <f t="shared" si="29"/>
        <v>6.4847382895538503</v>
      </c>
      <c r="CP25">
        <f t="shared" si="30"/>
        <v>1995</v>
      </c>
      <c r="CQ25">
        <f>Total_stock_SF!BX25</f>
        <v>1971.0324425429283</v>
      </c>
      <c r="CR25">
        <f t="shared" si="31"/>
        <v>1036.3618259437358</v>
      </c>
      <c r="CT25">
        <f t="shared" si="32"/>
        <v>1.0659474124772239</v>
      </c>
      <c r="CU25">
        <f t="shared" si="32"/>
        <v>1.1571040883654868</v>
      </c>
    </row>
    <row r="26" spans="1:99" x14ac:dyDescent="0.2">
      <c r="A26" s="2">
        <f>Total_stock_SF!AN26</f>
        <v>0</v>
      </c>
      <c r="B26">
        <f>Total_stock_SF!J26</f>
        <v>0</v>
      </c>
      <c r="C26">
        <f>[9]National_Calibration!E25</f>
        <v>99.626999999999995</v>
      </c>
      <c r="D26">
        <f t="shared" si="7"/>
        <v>1996</v>
      </c>
      <c r="E26" s="207">
        <f>place_nsa_all!C25</f>
        <v>337.65100000000001</v>
      </c>
      <c r="F26">
        <f t="shared" si="6"/>
        <v>324.14496000000003</v>
      </c>
      <c r="G26" s="24">
        <f>Survival_curve_MH!Z143</f>
        <v>-76.068152908299453</v>
      </c>
      <c r="H26">
        <f t="shared" si="4"/>
        <v>248.07680709170057</v>
      </c>
      <c r="I26" s="2">
        <f t="shared" si="5"/>
        <v>70751.155841506959</v>
      </c>
      <c r="J26" s="144"/>
      <c r="L26">
        <f>AVERAGE(L25,L27)</f>
        <v>1507</v>
      </c>
      <c r="O26" s="2"/>
      <c r="S26" s="2"/>
      <c r="T26" s="2"/>
      <c r="U26" s="2"/>
      <c r="V26" s="2"/>
      <c r="W26" s="2"/>
      <c r="Y26" s="2"/>
      <c r="Z26" s="12">
        <f>AVERAGE(Z25,Z27)</f>
        <v>0.20279675332522434</v>
      </c>
      <c r="AI26" s="24">
        <f t="shared" si="33"/>
        <v>18.573103537104402</v>
      </c>
      <c r="AJ26" s="2">
        <f t="shared" si="37"/>
        <v>7590.3583184992021</v>
      </c>
      <c r="AK26" s="24">
        <f t="shared" si="11"/>
        <v>-154.01326201730848</v>
      </c>
      <c r="AL26">
        <f t="shared" si="12"/>
        <v>344.96017499999999</v>
      </c>
      <c r="AM26" s="2">
        <f t="shared" si="38"/>
        <v>7781.3052314818942</v>
      </c>
      <c r="AN26" s="2"/>
      <c r="AO26" s="2"/>
      <c r="AQ26">
        <f t="shared" si="13"/>
        <v>-2.0290644466934814E-2</v>
      </c>
      <c r="AS26">
        <f t="shared" si="14"/>
        <v>1996</v>
      </c>
      <c r="AU26" s="2">
        <f t="shared" si="15"/>
        <v>7781.3052314818942</v>
      </c>
      <c r="AV26" s="2">
        <f t="shared" si="16"/>
        <v>6274.3052314818942</v>
      </c>
      <c r="AW26">
        <f t="shared" si="17"/>
        <v>1996</v>
      </c>
      <c r="AX26" s="421">
        <f t="shared" si="8"/>
        <v>6203.2817939047827</v>
      </c>
      <c r="BE26">
        <f>'Comps Ann_2015'!E38</f>
        <v>1128.5</v>
      </c>
      <c r="BF26" s="280">
        <f>place_nsa_all!C25*BF$1</f>
        <v>303.88589999999999</v>
      </c>
      <c r="BG26" s="2">
        <f>place_nsa_all!AB25</f>
        <v>1335.6157689448571</v>
      </c>
      <c r="BH26">
        <f t="shared" si="18"/>
        <v>405874.79999999993</v>
      </c>
      <c r="BI26" s="2">
        <f t="shared" si="3"/>
        <v>3431240.9999999995</v>
      </c>
      <c r="BJ26">
        <f t="shared" si="19"/>
        <v>2680.1702999999998</v>
      </c>
      <c r="BK26">
        <f t="shared" si="2"/>
        <v>1280.2324538854862</v>
      </c>
      <c r="BL26">
        <f t="shared" si="34"/>
        <v>6021.022253378751</v>
      </c>
      <c r="BM26" s="2">
        <f>BM$15+SUM(AK$15:AK26)</f>
        <v>3492.7949033787504</v>
      </c>
      <c r="BN26" s="280">
        <f t="shared" si="20"/>
        <v>896</v>
      </c>
      <c r="BO26">
        <f t="shared" si="21"/>
        <v>3129544.2334273602</v>
      </c>
      <c r="BP26">
        <f t="shared" si="22"/>
        <v>0.43417874744102208</v>
      </c>
      <c r="BQ26" s="282">
        <f t="shared" si="35"/>
        <v>1400.6340492405088</v>
      </c>
      <c r="BR26" s="280">
        <f t="shared" si="23"/>
        <v>425632.93862409634</v>
      </c>
      <c r="BS26" s="280">
        <f t="shared" si="36"/>
        <v>3513497.1450127121</v>
      </c>
      <c r="BT26" s="280">
        <f t="shared" si="24"/>
        <v>1070.8914408768901</v>
      </c>
      <c r="BW26" s="282">
        <f t="shared" si="25"/>
        <v>6172.9652033787497</v>
      </c>
      <c r="BX26" s="280"/>
      <c r="BY26">
        <f t="shared" si="26"/>
        <v>1996</v>
      </c>
      <c r="CA26" s="207">
        <f t="shared" si="9"/>
        <v>1070.8914408768901</v>
      </c>
      <c r="CB26" s="426">
        <f t="shared" si="27"/>
        <v>1085.7819420196381</v>
      </c>
      <c r="CC26" s="424">
        <f t="shared" si="28"/>
        <v>1085.7819420196381</v>
      </c>
      <c r="CD26" s="421">
        <f>RECS_ManHome!AD33</f>
        <v>1016.4299451099803</v>
      </c>
      <c r="CM26" s="207">
        <f t="shared" si="10"/>
        <v>6.6430413784400724</v>
      </c>
      <c r="CN26" s="207">
        <f t="shared" si="29"/>
        <v>6.7354113530809991</v>
      </c>
      <c r="CP26">
        <f t="shared" si="30"/>
        <v>1996</v>
      </c>
      <c r="CQ26">
        <f>Total_stock_SF!BX26</f>
        <v>1985.8302610578116</v>
      </c>
      <c r="CR26">
        <f t="shared" si="31"/>
        <v>1070.8914408768901</v>
      </c>
      <c r="CT26">
        <f t="shared" si="32"/>
        <v>1.0739501708366435</v>
      </c>
      <c r="CU26">
        <f t="shared" si="32"/>
        <v>1.195656607001973</v>
      </c>
    </row>
    <row r="27" spans="1:99" x14ac:dyDescent="0.2">
      <c r="A27" s="2">
        <f>Total_stock_SF!AN27</f>
        <v>74887</v>
      </c>
      <c r="B27">
        <f>Total_stock_SF!J27</f>
        <v>67951.38235187353</v>
      </c>
      <c r="C27">
        <f>[9]National_Calibration!E26</f>
        <v>101.018</v>
      </c>
      <c r="D27">
        <f t="shared" si="7"/>
        <v>1997</v>
      </c>
      <c r="E27" s="207">
        <f>place_nsa_all!C26</f>
        <v>336.27600000000001</v>
      </c>
      <c r="F27">
        <f t="shared" si="6"/>
        <v>322.82495999999998</v>
      </c>
      <c r="G27" s="24">
        <f>Survival_curve_MH!Z144</f>
        <v>-81.082637270237683</v>
      </c>
      <c r="H27">
        <f t="shared" si="4"/>
        <v>241.74232272976229</v>
      </c>
      <c r="I27" s="2">
        <f t="shared" si="5"/>
        <v>70992.898164236729</v>
      </c>
      <c r="J27" s="143">
        <v>6544</v>
      </c>
      <c r="K27">
        <f>2884+1043</f>
        <v>3927</v>
      </c>
      <c r="L27">
        <f>574+280+682+98</f>
        <v>1634</v>
      </c>
      <c r="M27">
        <f>K27-K$29</f>
        <v>237</v>
      </c>
      <c r="N27">
        <f>L27-L$29</f>
        <v>135</v>
      </c>
      <c r="O27" s="2">
        <f>I27-N27</f>
        <v>70857.898164236729</v>
      </c>
      <c r="P27">
        <f>D27</f>
        <v>1997</v>
      </c>
      <c r="Q27" s="2">
        <f>O27</f>
        <v>70857.898164236729</v>
      </c>
      <c r="R27" s="2">
        <f>J27</f>
        <v>6544</v>
      </c>
      <c r="S27" s="2">
        <f>R27+L27</f>
        <v>8178</v>
      </c>
      <c r="T27" s="2"/>
      <c r="U27" s="2"/>
      <c r="V27" s="2"/>
      <c r="W27" s="2"/>
      <c r="X27" s="2">
        <v>8301</v>
      </c>
      <c r="Y27" s="2">
        <f>X27-R27</f>
        <v>1757</v>
      </c>
      <c r="Z27" s="12">
        <f>Y27/X27</f>
        <v>0.21166124563305627</v>
      </c>
      <c r="AI27" s="24">
        <f t="shared" si="33"/>
        <v>18.809882376027769</v>
      </c>
      <c r="AJ27" s="2">
        <f t="shared" si="37"/>
        <v>7781.3052314818942</v>
      </c>
      <c r="AK27" s="24">
        <f t="shared" si="11"/>
        <v>-159.90052609965463</v>
      </c>
      <c r="AL27">
        <f t="shared" si="12"/>
        <v>353.81167500000004</v>
      </c>
      <c r="AM27" s="2">
        <f t="shared" si="38"/>
        <v>7975.2163803822395</v>
      </c>
      <c r="AN27" s="2">
        <f>X27</f>
        <v>8301</v>
      </c>
      <c r="AO27" s="2">
        <f t="shared" si="39"/>
        <v>325.78361961776045</v>
      </c>
      <c r="AP27">
        <f>AO27*AO27</f>
        <v>106134.96681124963</v>
      </c>
      <c r="AQ27">
        <f t="shared" si="13"/>
        <v>-2.0549319342046003E-2</v>
      </c>
      <c r="AS27">
        <f t="shared" si="14"/>
        <v>1997</v>
      </c>
      <c r="AT27" s="2">
        <f>AN27</f>
        <v>8301</v>
      </c>
      <c r="AU27" s="2">
        <f t="shared" si="15"/>
        <v>7975.2163803822395</v>
      </c>
      <c r="AV27" s="2">
        <f t="shared" si="16"/>
        <v>6341.2163803822395</v>
      </c>
      <c r="AW27">
        <f t="shared" si="17"/>
        <v>1997</v>
      </c>
      <c r="AX27" s="421">
        <f t="shared" si="8"/>
        <v>6287.1721471173805</v>
      </c>
      <c r="AY27" s="2">
        <f>R27</f>
        <v>6544</v>
      </c>
      <c r="BC27" s="423">
        <f>AHS_tables!CF$35</f>
        <v>1104.2098786708018</v>
      </c>
      <c r="BE27">
        <f>'Comps Ann_2015'!E39</f>
        <v>1116.4000000000001</v>
      </c>
      <c r="BF27" s="280">
        <f>place_nsa_all!C26*BF$1</f>
        <v>302.64840000000004</v>
      </c>
      <c r="BG27" s="2">
        <f>place_nsa_all!AB26</f>
        <v>1381.9719516111766</v>
      </c>
      <c r="BH27">
        <f t="shared" si="18"/>
        <v>418251.60000000003</v>
      </c>
      <c r="BI27" s="2">
        <f t="shared" si="3"/>
        <v>3849492.5999999996</v>
      </c>
      <c r="BJ27">
        <f t="shared" si="19"/>
        <v>2982.8186999999998</v>
      </c>
      <c r="BK27">
        <f t="shared" si="2"/>
        <v>1290.5553394847632</v>
      </c>
      <c r="BL27">
        <f t="shared" si="34"/>
        <v>6164.3888772790961</v>
      </c>
      <c r="BM27" s="2">
        <f>BM$15+SUM(AK$15:AK27)</f>
        <v>3332.8943772790958</v>
      </c>
      <c r="BN27" s="27">
        <f>BN$5</f>
        <v>900</v>
      </c>
      <c r="BO27">
        <f t="shared" si="21"/>
        <v>2999604.9395511863</v>
      </c>
      <c r="BP27">
        <f t="shared" si="22"/>
        <v>0.47228534030951314</v>
      </c>
      <c r="BQ27" s="282">
        <f t="shared" si="35"/>
        <v>1427.3818516100609</v>
      </c>
      <c r="BR27" s="280">
        <f t="shared" si="23"/>
        <v>431994.83357882244</v>
      </c>
      <c r="BS27" s="280">
        <f t="shared" si="36"/>
        <v>3945491.9785915343</v>
      </c>
      <c r="BT27" s="280">
        <f t="shared" si="24"/>
        <v>1104.6455792254701</v>
      </c>
      <c r="BU27">
        <f>BC27</f>
        <v>1104.2098786708018</v>
      </c>
      <c r="BV27">
        <f>(BU27-BT27)^2</f>
        <v>0.18983497333826538</v>
      </c>
      <c r="BW27" s="282">
        <f t="shared" si="25"/>
        <v>6315.7130772790952</v>
      </c>
      <c r="BX27" s="280"/>
      <c r="BY27">
        <f t="shared" si="26"/>
        <v>1997</v>
      </c>
      <c r="BZ27">
        <f>BU27</f>
        <v>1104.2098786708018</v>
      </c>
      <c r="CA27" s="207">
        <f t="shared" si="9"/>
        <v>1104.6455792254701</v>
      </c>
      <c r="CB27" s="426">
        <f t="shared" si="27"/>
        <v>1111.0975457810732</v>
      </c>
      <c r="CC27" s="424">
        <f t="shared" si="28"/>
        <v>1111.0975457810732</v>
      </c>
      <c r="CD27" s="421">
        <f>RECS_ManHome!AD34</f>
        <v>1025.5429571163374</v>
      </c>
      <c r="CM27" s="207">
        <f t="shared" si="10"/>
        <v>6.9450969181427205</v>
      </c>
      <c r="CN27" s="207">
        <f t="shared" si="29"/>
        <v>6.985661542565242</v>
      </c>
      <c r="CP27">
        <f t="shared" si="30"/>
        <v>1997</v>
      </c>
      <c r="CQ27">
        <f>Total_stock_SF!BX27</f>
        <v>1999.5975694016099</v>
      </c>
      <c r="CR27">
        <f t="shared" si="31"/>
        <v>1104.6455792254701</v>
      </c>
      <c r="CT27">
        <f t="shared" si="32"/>
        <v>1.0813956224634644</v>
      </c>
      <c r="CU27">
        <f t="shared" si="32"/>
        <v>1.2333433014600885</v>
      </c>
    </row>
    <row r="28" spans="1:99" x14ac:dyDescent="0.2">
      <c r="A28" s="2">
        <f>Total_stock_SF!AN28</f>
        <v>0</v>
      </c>
      <c r="B28">
        <f>Total_stock_SF!J28</f>
        <v>0</v>
      </c>
      <c r="C28">
        <f>[9]National_Calibration!E27</f>
        <v>102.81575000000001</v>
      </c>
      <c r="D28">
        <f t="shared" si="7"/>
        <v>1998</v>
      </c>
      <c r="E28" s="207">
        <f>place_nsa_all!C27</f>
        <v>373.69200000000001</v>
      </c>
      <c r="F28">
        <f t="shared" si="6"/>
        <v>358.74432000000002</v>
      </c>
      <c r="G28" s="24">
        <f>Survival_curve_MH!Z145</f>
        <v>-86.076524622028955</v>
      </c>
      <c r="H28">
        <f t="shared" si="4"/>
        <v>272.66779537797106</v>
      </c>
      <c r="I28" s="2">
        <f t="shared" si="5"/>
        <v>71265.565959614702</v>
      </c>
      <c r="J28" s="144"/>
      <c r="L28">
        <f>AVERAGE(L27,L29)</f>
        <v>1566.5</v>
      </c>
      <c r="O28" s="2"/>
      <c r="S28" s="2"/>
      <c r="T28" s="2"/>
      <c r="U28" s="2"/>
      <c r="V28" s="2"/>
      <c r="W28" s="2"/>
      <c r="Y28" s="2"/>
      <c r="Z28" s="12">
        <f>AVERAGE(Z27,Z29)</f>
        <v>0.20354199480751592</v>
      </c>
      <c r="AI28" s="24">
        <f t="shared" si="33"/>
        <v>19.306299490062823</v>
      </c>
      <c r="AJ28" s="2">
        <f t="shared" si="37"/>
        <v>7975.2163803822395</v>
      </c>
      <c r="AK28" s="24">
        <f t="shared" si="11"/>
        <v>-168.21041232789059</v>
      </c>
      <c r="AL28">
        <f t="shared" si="12"/>
        <v>372.73320000000007</v>
      </c>
      <c r="AM28" s="2">
        <f t="shared" si="38"/>
        <v>8179.7391680543487</v>
      </c>
      <c r="AN28" s="2"/>
      <c r="AO28" s="2"/>
      <c r="AQ28">
        <f t="shared" si="13"/>
        <v>-2.1091642446424575E-2</v>
      </c>
      <c r="AS28">
        <f t="shared" si="14"/>
        <v>1998</v>
      </c>
      <c r="AU28" s="2">
        <f t="shared" si="15"/>
        <v>8179.7391680543487</v>
      </c>
      <c r="AV28" s="2">
        <f t="shared" si="16"/>
        <v>6613.2391680543487</v>
      </c>
      <c r="AW28">
        <f t="shared" si="17"/>
        <v>1998</v>
      </c>
      <c r="AX28" s="421">
        <f t="shared" si="8"/>
        <v>6514.8187407833957</v>
      </c>
      <c r="BC28" s="423"/>
      <c r="BE28">
        <f>'Comps Ann_2015'!E40</f>
        <v>1159.7</v>
      </c>
      <c r="BF28" s="280">
        <f>place_nsa_all!C27*BF$1</f>
        <v>336.32280000000003</v>
      </c>
      <c r="BG28" s="2">
        <f>place_nsa_all!AB27</f>
        <v>1411.1300215150445</v>
      </c>
      <c r="BH28">
        <f t="shared" si="18"/>
        <v>474595.20000000007</v>
      </c>
      <c r="BI28" s="2">
        <f t="shared" si="3"/>
        <v>4324087.8</v>
      </c>
      <c r="BJ28">
        <f t="shared" si="19"/>
        <v>3319.1414999999997</v>
      </c>
      <c r="BK28">
        <f t="shared" si="2"/>
        <v>1302.7729610201916</v>
      </c>
      <c r="BL28">
        <f t="shared" si="34"/>
        <v>6315.6640649512046</v>
      </c>
      <c r="BM28" s="2">
        <f>BM$15+SUM(AK$15:AK28)</f>
        <v>3164.6839649512053</v>
      </c>
      <c r="BN28" s="280">
        <f t="shared" si="20"/>
        <v>904</v>
      </c>
      <c r="BO28">
        <f t="shared" si="21"/>
        <v>2860874.3043158897</v>
      </c>
      <c r="BP28">
        <f t="shared" si="22"/>
        <v>0.51191098803350932</v>
      </c>
      <c r="BQ28" s="282">
        <f t="shared" si="35"/>
        <v>1481.3852078318139</v>
      </c>
      <c r="BR28" s="280">
        <f t="shared" si="23"/>
        <v>498223.62097657763</v>
      </c>
      <c r="BS28" s="280">
        <f t="shared" si="36"/>
        <v>4443715.5995681118</v>
      </c>
      <c r="BT28" s="280">
        <f t="shared" si="24"/>
        <v>1121.2268820552997</v>
      </c>
      <c r="BW28" s="282">
        <f t="shared" si="25"/>
        <v>6483.8254649512055</v>
      </c>
      <c r="BX28" s="280"/>
      <c r="BY28">
        <f t="shared" si="26"/>
        <v>1998</v>
      </c>
      <c r="CA28" s="207">
        <f t="shared" si="9"/>
        <v>1121.2268820552997</v>
      </c>
      <c r="CB28" s="426">
        <f t="shared" si="27"/>
        <v>1123.5335229034454</v>
      </c>
      <c r="CC28" s="424">
        <f t="shared" si="28"/>
        <v>1123.5335229034454</v>
      </c>
      <c r="CD28" s="421">
        <f>RECS_ManHome!AD35</f>
        <v>1034.6559691226946</v>
      </c>
      <c r="CM28" s="207">
        <f t="shared" si="10"/>
        <v>7.3045899038839996</v>
      </c>
      <c r="CN28" s="207">
        <f t="shared" si="29"/>
        <v>7.3196172509097561</v>
      </c>
      <c r="CP28">
        <f t="shared" si="30"/>
        <v>1998</v>
      </c>
      <c r="CQ28">
        <f>Total_stock_SF!BX28</f>
        <v>2014.7570219038193</v>
      </c>
      <c r="CR28">
        <f t="shared" si="31"/>
        <v>1121.2268820552997</v>
      </c>
      <c r="CT28">
        <f t="shared" si="32"/>
        <v>1.0895939548807907</v>
      </c>
      <c r="CU28">
        <f t="shared" si="32"/>
        <v>1.2518564238219148</v>
      </c>
    </row>
    <row r="29" spans="1:99" x14ac:dyDescent="0.2">
      <c r="A29" s="2">
        <f>Total_stock_SF!AN29</f>
        <v>78382</v>
      </c>
      <c r="B29">
        <f>Total_stock_SF!J29</f>
        <v>71499.011453219544</v>
      </c>
      <c r="C29">
        <f>[9]National_Calibration!E28</f>
        <v>104.6135</v>
      </c>
      <c r="D29">
        <f t="shared" si="7"/>
        <v>1999</v>
      </c>
      <c r="E29" s="207">
        <f>place_nsa_all!C28</f>
        <v>338.3</v>
      </c>
      <c r="F29">
        <f t="shared" si="6"/>
        <v>324.76799999999997</v>
      </c>
      <c r="G29" s="24">
        <f>Survival_curve_MH!Z146</f>
        <v>-91.322506395159508</v>
      </c>
      <c r="H29">
        <f t="shared" si="4"/>
        <v>233.44549360484046</v>
      </c>
      <c r="I29" s="2">
        <f>AHS_tables!$CR$32</f>
        <v>71499.011453219544</v>
      </c>
      <c r="J29" s="143">
        <v>6785</v>
      </c>
      <c r="K29">
        <f>2719+971</f>
        <v>3690</v>
      </c>
      <c r="L29">
        <f>481+269+670+79</f>
        <v>1499</v>
      </c>
      <c r="M29">
        <f>K29-K$29</f>
        <v>0</v>
      </c>
      <c r="N29">
        <f>L29-L$29</f>
        <v>0</v>
      </c>
      <c r="O29" s="2">
        <f>I29-N29</f>
        <v>71499.011453219544</v>
      </c>
      <c r="P29">
        <f>D29</f>
        <v>1999</v>
      </c>
      <c r="Q29" s="2">
        <f>O29</f>
        <v>71499.011453219544</v>
      </c>
      <c r="R29" s="2">
        <f>J29</f>
        <v>6785</v>
      </c>
      <c r="S29" s="2">
        <f>R29+L29</f>
        <v>8284</v>
      </c>
      <c r="T29" s="2"/>
      <c r="U29" s="2"/>
      <c r="V29" s="2"/>
      <c r="W29" s="2"/>
      <c r="X29" s="10">
        <v>8433</v>
      </c>
      <c r="Y29" s="2">
        <f>X29-R29</f>
        <v>1648</v>
      </c>
      <c r="Z29" s="12">
        <f>Y29/X29</f>
        <v>0.19542274398197557</v>
      </c>
      <c r="AI29" s="24">
        <f t="shared" si="33"/>
        <v>19.33379941966917</v>
      </c>
      <c r="AJ29" s="2">
        <f t="shared" si="37"/>
        <v>8179.7391680543487</v>
      </c>
      <c r="AK29" s="24">
        <f t="shared" si="11"/>
        <v>-172.76987754103192</v>
      </c>
      <c r="AL29">
        <f t="shared" si="12"/>
        <v>373.79579999999999</v>
      </c>
      <c r="AM29" s="2">
        <f t="shared" si="38"/>
        <v>8380.7650905133178</v>
      </c>
      <c r="AN29" s="2">
        <f>X29</f>
        <v>8433</v>
      </c>
      <c r="AO29" s="2">
        <f t="shared" si="39"/>
        <v>52.234909486682227</v>
      </c>
      <c r="AP29">
        <f>AO29*AO29</f>
        <v>2728.4857690818849</v>
      </c>
      <c r="AQ29">
        <f t="shared" si="13"/>
        <v>-2.1121685421923709E-2</v>
      </c>
      <c r="AS29">
        <f t="shared" si="14"/>
        <v>1999</v>
      </c>
      <c r="AT29" s="2">
        <f>AN29</f>
        <v>8433</v>
      </c>
      <c r="AU29" s="2">
        <f t="shared" si="15"/>
        <v>8380.7650905133178</v>
      </c>
      <c r="AV29" s="2">
        <f t="shared" si="16"/>
        <v>6881.7650905133178</v>
      </c>
      <c r="AW29">
        <f t="shared" si="17"/>
        <v>1999</v>
      </c>
      <c r="AX29" s="421">
        <f t="shared" si="8"/>
        <v>6742.9729798568551</v>
      </c>
      <c r="AY29" s="2">
        <f>R29</f>
        <v>6785</v>
      </c>
      <c r="BC29" s="423">
        <f>AHS_tables!CR$35</f>
        <v>1149.6427179994562</v>
      </c>
      <c r="BE29">
        <f>'Comps Ann_2015'!E41</f>
        <v>1270.4000000000001</v>
      </c>
      <c r="BF29" s="280">
        <f>place_nsa_all!C28*BF$1</f>
        <v>304.47000000000003</v>
      </c>
      <c r="BG29" s="2">
        <f>place_nsa_all!AB28</f>
        <v>1459.2078037245049</v>
      </c>
      <c r="BH29">
        <f t="shared" si="18"/>
        <v>444285.00000000006</v>
      </c>
      <c r="BI29" s="2">
        <f t="shared" si="3"/>
        <v>4768372.8</v>
      </c>
      <c r="BJ29">
        <f t="shared" si="19"/>
        <v>3623.6115</v>
      </c>
      <c r="BK29">
        <f t="shared" si="2"/>
        <v>1315.9172278816313</v>
      </c>
      <c r="BL29">
        <f t="shared" si="34"/>
        <v>6463.2905874101725</v>
      </c>
      <c r="BM29" s="2">
        <f>BM$15+SUM(AK$15:AK29)</f>
        <v>2991.9140874101731</v>
      </c>
      <c r="BN29" s="280">
        <f t="shared" si="20"/>
        <v>908</v>
      </c>
      <c r="BO29">
        <f t="shared" si="21"/>
        <v>2716657.9913684372</v>
      </c>
      <c r="BP29">
        <f t="shared" si="22"/>
        <v>0.54774355447978262</v>
      </c>
      <c r="BQ29" s="282">
        <f t="shared" si="35"/>
        <v>1518.1904512911156</v>
      </c>
      <c r="BR29" s="280">
        <f t="shared" si="23"/>
        <v>462243.446704606</v>
      </c>
      <c r="BS29" s="280">
        <f t="shared" si="36"/>
        <v>4905959.0462727174</v>
      </c>
      <c r="BT29" s="280">
        <f t="shared" si="24"/>
        <v>1130.4534454478821</v>
      </c>
      <c r="BU29">
        <f>BC29</f>
        <v>1149.6427179994562</v>
      </c>
      <c r="BV29">
        <f>(BU29-BT29)^2</f>
        <v>368.22818105859324</v>
      </c>
      <c r="BW29" s="282">
        <f t="shared" si="25"/>
        <v>6615.5255874101731</v>
      </c>
      <c r="BX29" s="280"/>
      <c r="BY29">
        <f t="shared" si="26"/>
        <v>1999</v>
      </c>
      <c r="BZ29">
        <f>BU29</f>
        <v>1149.6427179994562</v>
      </c>
      <c r="CA29" s="207">
        <f t="shared" si="9"/>
        <v>1130.4534454478821</v>
      </c>
      <c r="CB29" s="426">
        <f t="shared" si="27"/>
        <v>1130.4534454478821</v>
      </c>
      <c r="CC29" s="424">
        <f t="shared" si="28"/>
        <v>1130.4534454478821</v>
      </c>
      <c r="CD29" s="421">
        <f>RECS_ManHome!AD36</f>
        <v>1043.7689811290518</v>
      </c>
      <c r="CM29" s="207">
        <f t="shared" si="10"/>
        <v>7.6226170376411542</v>
      </c>
      <c r="CN29" s="207">
        <f t="shared" si="29"/>
        <v>7.6226170376411542</v>
      </c>
      <c r="CP29">
        <f t="shared" si="30"/>
        <v>1999</v>
      </c>
      <c r="CQ29">
        <f>Total_stock_SF!BX29</f>
        <v>2031.8227956659466</v>
      </c>
      <c r="CR29">
        <f t="shared" si="31"/>
        <v>1130.4534454478821</v>
      </c>
      <c r="CT29">
        <f t="shared" si="32"/>
        <v>1.0988232384740084</v>
      </c>
      <c r="CU29">
        <f t="shared" si="32"/>
        <v>1.2621579362434077</v>
      </c>
    </row>
    <row r="30" spans="1:99" x14ac:dyDescent="0.2">
      <c r="A30" s="2">
        <f>Total_stock_SF!AN30</f>
        <v>0</v>
      </c>
      <c r="B30">
        <f>Total_stock_SF!J30</f>
        <v>0</v>
      </c>
      <c r="C30">
        <f>[9]National_Calibration!E29</f>
        <v>106.41125</v>
      </c>
      <c r="D30">
        <f t="shared" si="7"/>
        <v>2000</v>
      </c>
      <c r="E30" s="207">
        <f>place_nsa_all!C29</f>
        <v>280.89999999999998</v>
      </c>
      <c r="F30">
        <f t="shared" si="6"/>
        <v>269.66399999999999</v>
      </c>
      <c r="G30" s="24">
        <f>Survival_curve_MH!Z147</f>
        <v>-96.238070712211993</v>
      </c>
      <c r="H30">
        <f t="shared" si="4"/>
        <v>173.42592928778799</v>
      </c>
      <c r="I30" s="2">
        <f>I29+H30</f>
        <v>71672.437382507327</v>
      </c>
      <c r="J30" s="144"/>
      <c r="L30">
        <f>AVERAGE(L29,L31)</f>
        <v>1662.5</v>
      </c>
      <c r="O30" s="2"/>
      <c r="S30" s="2"/>
      <c r="T30" s="2"/>
      <c r="U30" s="2"/>
      <c r="V30" s="2"/>
      <c r="W30" s="2"/>
      <c r="Y30" s="2"/>
      <c r="Z30" s="12">
        <f>AVERAGE(Z29,Z31)</f>
        <v>0.19105296730419191</v>
      </c>
      <c r="AI30" s="24">
        <f t="shared" si="33"/>
        <v>18.029975041580066</v>
      </c>
      <c r="AJ30" s="2">
        <f t="shared" si="37"/>
        <v>8380.7650905133178</v>
      </c>
      <c r="AK30" s="24">
        <f t="shared" si="11"/>
        <v>-165.07836345374045</v>
      </c>
      <c r="AL30">
        <f t="shared" si="12"/>
        <v>325.08000000000004</v>
      </c>
      <c r="AM30" s="2">
        <f t="shared" si="38"/>
        <v>8540.7667270595775</v>
      </c>
      <c r="AN30" s="2"/>
      <c r="AO30" s="2"/>
      <c r="AQ30">
        <f t="shared" si="13"/>
        <v>-1.9697290363215453E-2</v>
      </c>
      <c r="AS30">
        <f t="shared" si="14"/>
        <v>2000</v>
      </c>
      <c r="AU30" s="2">
        <f t="shared" si="15"/>
        <v>8540.7667270595775</v>
      </c>
      <c r="AV30" s="2">
        <f t="shared" si="16"/>
        <v>6878.2667270595775</v>
      </c>
      <c r="AW30">
        <f t="shared" si="17"/>
        <v>2000</v>
      </c>
      <c r="AX30" s="421">
        <f t="shared" si="8"/>
        <v>6909.0279008019343</v>
      </c>
      <c r="BC30" s="423"/>
      <c r="BE30">
        <f>'Comps Ann_2015'!E42</f>
        <v>1241.8</v>
      </c>
      <c r="BF30" s="280">
        <f>place_nsa_all!C29*BF$1</f>
        <v>252.80999999999997</v>
      </c>
      <c r="BG30" s="2">
        <f>place_nsa_all!AB29</f>
        <v>1502.3495906016378</v>
      </c>
      <c r="BH30">
        <f t="shared" si="18"/>
        <v>379809</v>
      </c>
      <c r="BI30" s="2">
        <f t="shared" si="3"/>
        <v>5148181.8</v>
      </c>
      <c r="BJ30">
        <f t="shared" si="19"/>
        <v>3876.4214999999999</v>
      </c>
      <c r="BK30">
        <f t="shared" si="2"/>
        <v>1328.0758555280947</v>
      </c>
      <c r="BL30">
        <f t="shared" si="34"/>
        <v>6576.8522239564327</v>
      </c>
      <c r="BM30" s="2">
        <f>BM$15+SUM(AK$15:AK30)</f>
        <v>2826.835723956433</v>
      </c>
      <c r="BN30" s="280">
        <f t="shared" si="20"/>
        <v>912</v>
      </c>
      <c r="BO30">
        <f t="shared" si="21"/>
        <v>2578074.180248267</v>
      </c>
      <c r="BP30">
        <f t="shared" si="22"/>
        <v>0.57828923618599226</v>
      </c>
      <c r="BQ30" s="282">
        <f t="shared" si="35"/>
        <v>1573.9154070560096</v>
      </c>
      <c r="BR30" s="280">
        <f t="shared" si="23"/>
        <v>397901.55405782972</v>
      </c>
      <c r="BS30" s="280">
        <f t="shared" si="36"/>
        <v>5303860.6003305474</v>
      </c>
      <c r="BT30" s="280">
        <f t="shared" si="24"/>
        <v>1140.8167536367821</v>
      </c>
      <c r="BW30" s="282">
        <f t="shared" si="25"/>
        <v>6703.2572239564324</v>
      </c>
      <c r="BX30" s="280"/>
      <c r="BY30">
        <f t="shared" si="26"/>
        <v>2000</v>
      </c>
      <c r="CA30" s="207">
        <f t="shared" si="9"/>
        <v>1140.8167536367821</v>
      </c>
      <c r="CB30" s="426"/>
      <c r="CC30" s="424">
        <f>CA30</f>
        <v>1140.8167536367821</v>
      </c>
      <c r="CD30" s="421">
        <f>RECS_ManHome!AD37</f>
        <v>1052.8819931354089</v>
      </c>
      <c r="CM30" s="207">
        <f t="shared" si="10"/>
        <v>7.8819347805788142</v>
      </c>
      <c r="CN30" s="207">
        <f t="shared" si="29"/>
        <v>0</v>
      </c>
      <c r="CP30">
        <f t="shared" si="30"/>
        <v>2000</v>
      </c>
      <c r="CQ30">
        <f>Total_stock_SF!BX30</f>
        <v>2047.063356998982</v>
      </c>
      <c r="CR30">
        <f t="shared" si="31"/>
        <v>1140.8167536367821</v>
      </c>
      <c r="CT30">
        <f t="shared" si="32"/>
        <v>1.1070654350847806</v>
      </c>
      <c r="CU30">
        <f t="shared" si="32"/>
        <v>1.2737286309314795</v>
      </c>
    </row>
    <row r="31" spans="1:99" x14ac:dyDescent="0.2">
      <c r="A31" s="2">
        <f>Total_stock_SF!AN31</f>
        <v>81855</v>
      </c>
      <c r="B31">
        <f>Total_stock_SF!J31</f>
        <v>74433.828759211698</v>
      </c>
      <c r="C31">
        <f>[9]National_Calibration!E30</f>
        <v>108.209</v>
      </c>
      <c r="D31">
        <f t="shared" si="7"/>
        <v>2001</v>
      </c>
      <c r="E31" s="207">
        <f>place_nsa_all!C30</f>
        <v>196.2</v>
      </c>
      <c r="F31">
        <f t="shared" si="6"/>
        <v>188.35199999999998</v>
      </c>
      <c r="G31" s="24">
        <f>Survival_curve_MH!Z148</f>
        <v>-101.19347295636271</v>
      </c>
      <c r="H31">
        <f t="shared" si="4"/>
        <v>87.158527043637264</v>
      </c>
      <c r="I31" s="2">
        <f t="shared" ref="I31:I39" si="40">I30+H31</f>
        <v>71759.595909550961</v>
      </c>
      <c r="J31" s="143">
        <v>7219</v>
      </c>
      <c r="K31">
        <f>2916+1243</f>
        <v>4159</v>
      </c>
      <c r="L31">
        <f>556+334+858+78</f>
        <v>1826</v>
      </c>
      <c r="M31">
        <f>K31-K$29</f>
        <v>469</v>
      </c>
      <c r="N31">
        <f>L31-L$29</f>
        <v>327</v>
      </c>
      <c r="O31" s="2">
        <f>I31-N31</f>
        <v>71432.595909550961</v>
      </c>
      <c r="P31">
        <f>D31</f>
        <v>2001</v>
      </c>
      <c r="Q31" s="2">
        <f>O31</f>
        <v>71432.595909550961</v>
      </c>
      <c r="R31" s="2">
        <f>J31</f>
        <v>7219</v>
      </c>
      <c r="S31" s="2">
        <f>R31+L31</f>
        <v>9045</v>
      </c>
      <c r="T31" s="2">
        <f>1268+1384+222+652</f>
        <v>3526</v>
      </c>
      <c r="U31" s="12">
        <f>T31/R31</f>
        <v>0.4884333010112204</v>
      </c>
      <c r="V31" s="12"/>
      <c r="W31" s="12"/>
      <c r="X31" s="10">
        <v>8876</v>
      </c>
      <c r="Y31" s="2">
        <f>X31-R31</f>
        <v>1657</v>
      </c>
      <c r="Z31" s="12">
        <f>Y31/X31</f>
        <v>0.18668319062640829</v>
      </c>
      <c r="AI31" s="24">
        <f t="shared" si="33"/>
        <v>15.826480973356016</v>
      </c>
      <c r="AJ31" s="2">
        <f t="shared" si="37"/>
        <v>8540.7667270595775</v>
      </c>
      <c r="AK31" s="24">
        <f t="shared" si="11"/>
        <v>-147.67010430873077</v>
      </c>
      <c r="AL31">
        <f t="shared" si="12"/>
        <v>250.47749999999999</v>
      </c>
      <c r="AM31" s="2">
        <f t="shared" si="38"/>
        <v>8643.5741227508479</v>
      </c>
      <c r="AN31" s="2">
        <f>X31</f>
        <v>8876</v>
      </c>
      <c r="AO31" s="2">
        <f t="shared" si="39"/>
        <v>232.42587724915211</v>
      </c>
      <c r="AP31">
        <f>AO31*AO31</f>
        <v>54021.788415037925</v>
      </c>
      <c r="AQ31">
        <f t="shared" si="13"/>
        <v>-1.729002899012215E-2</v>
      </c>
      <c r="AS31">
        <f t="shared" si="14"/>
        <v>2001</v>
      </c>
      <c r="AT31" s="2">
        <f>AN31</f>
        <v>8876</v>
      </c>
      <c r="AU31" s="2">
        <f t="shared" si="15"/>
        <v>8643.5741227508479</v>
      </c>
      <c r="AV31" s="2">
        <f t="shared" si="16"/>
        <v>6817.5741227508479</v>
      </c>
      <c r="AW31">
        <f t="shared" si="17"/>
        <v>2001</v>
      </c>
      <c r="AX31" s="421">
        <f t="shared" si="8"/>
        <v>7029.9641270998618</v>
      </c>
      <c r="AY31" s="2">
        <f>R31</f>
        <v>7219</v>
      </c>
      <c r="BC31" s="423">
        <f>AHS_tables!DC$35</f>
        <v>1229.2074668695225</v>
      </c>
      <c r="BE31">
        <f>'Comps Ann_2015'!E43</f>
        <v>1255.9000000000001</v>
      </c>
      <c r="BF31" s="280">
        <f>place_nsa_all!C30*BF$1</f>
        <v>176.57999999999998</v>
      </c>
      <c r="BG31" s="2">
        <f>place_nsa_all!AB30</f>
        <v>1522.4770642201836</v>
      </c>
      <c r="BH31">
        <f t="shared" si="18"/>
        <v>268839</v>
      </c>
      <c r="BI31" s="2">
        <f t="shared" si="3"/>
        <v>5417020.7999999998</v>
      </c>
      <c r="BJ31">
        <f t="shared" si="19"/>
        <v>4053.0014999999999</v>
      </c>
      <c r="BK31">
        <f t="shared" si="2"/>
        <v>1336.5454713007139</v>
      </c>
      <c r="BL31">
        <f t="shared" si="34"/>
        <v>6643.8771196477019</v>
      </c>
      <c r="BM31" s="2">
        <f>BM$15+SUM(AK$15:AK31)</f>
        <v>2679.165619647702</v>
      </c>
      <c r="BN31" s="280">
        <f t="shared" si="20"/>
        <v>916</v>
      </c>
      <c r="BO31">
        <f t="shared" si="21"/>
        <v>2454115.7075972948</v>
      </c>
      <c r="BP31">
        <f t="shared" si="22"/>
        <v>0.60203518836770886</v>
      </c>
      <c r="BQ31" s="282">
        <f t="shared" si="35"/>
        <v>1624.7043674885763</v>
      </c>
      <c r="BR31" s="280">
        <f t="shared" si="23"/>
        <v>286890.29721113277</v>
      </c>
      <c r="BS31" s="280">
        <f t="shared" si="36"/>
        <v>5590750.8975416804</v>
      </c>
      <c r="BT31" s="27">
        <f>(BO31+BS31)/(AX31-30)</f>
        <v>1149.2725475540435</v>
      </c>
      <c r="BU31">
        <f>BC31</f>
        <v>1229.2074668695225</v>
      </c>
      <c r="BV31">
        <f>(BU31-BT31)^2</f>
        <v>6389.5913259721319</v>
      </c>
      <c r="BW31" s="282">
        <f t="shared" si="25"/>
        <v>6732.1671196477018</v>
      </c>
      <c r="BX31" s="280"/>
      <c r="BY31">
        <f t="shared" si="26"/>
        <v>2001</v>
      </c>
      <c r="BZ31">
        <f>BU31</f>
        <v>1229.2074668695225</v>
      </c>
      <c r="CA31" s="207">
        <f t="shared" si="9"/>
        <v>1149.2725475540435</v>
      </c>
      <c r="CB31" s="426"/>
      <c r="CC31" s="424">
        <f t="shared" ref="CC31:CC40" si="41">CA31</f>
        <v>1149.2725475540435</v>
      </c>
      <c r="CD31" s="421">
        <f>RECS_ManHome!AD38</f>
        <v>1061.9950051417659</v>
      </c>
      <c r="CM31" s="207">
        <f t="shared" si="10"/>
        <v>8.0793447815655952</v>
      </c>
      <c r="CN31" s="207">
        <f t="shared" si="29"/>
        <v>0</v>
      </c>
      <c r="CP31">
        <f t="shared" si="30"/>
        <v>2001</v>
      </c>
      <c r="CQ31">
        <f>Total_stock_SF!BX31</f>
        <v>2063.6263714567831</v>
      </c>
      <c r="CR31">
        <f t="shared" si="31"/>
        <v>1149.2725475540435</v>
      </c>
      <c r="CT31">
        <f t="shared" si="32"/>
        <v>1.1160228231130254</v>
      </c>
      <c r="CU31">
        <f t="shared" si="32"/>
        <v>1.2831695746898328</v>
      </c>
    </row>
    <row r="32" spans="1:99" x14ac:dyDescent="0.2">
      <c r="A32" s="2">
        <f>Total_stock_SF!AN32</f>
        <v>0</v>
      </c>
      <c r="B32">
        <f>Total_stock_SF!J32</f>
        <v>0</v>
      </c>
      <c r="C32">
        <f>[9]National_Calibration!E31</f>
        <v>109.291</v>
      </c>
      <c r="D32">
        <f t="shared" si="7"/>
        <v>2002</v>
      </c>
      <c r="E32" s="207">
        <f>place_nsa_all!C31</f>
        <v>174.3</v>
      </c>
      <c r="F32">
        <f t="shared" si="6"/>
        <v>167.328</v>
      </c>
      <c r="G32" s="24">
        <f>Survival_curve_MH!Z149</f>
        <v>-106.05129107306402</v>
      </c>
      <c r="H32">
        <f t="shared" si="4"/>
        <v>61.276708926935981</v>
      </c>
      <c r="I32" s="2">
        <f t="shared" si="40"/>
        <v>71820.872618477893</v>
      </c>
      <c r="J32" s="144"/>
      <c r="L32">
        <f>AVERAGE(L31,L33)</f>
        <v>1858.5</v>
      </c>
      <c r="O32" s="2"/>
      <c r="S32" s="2"/>
      <c r="T32" s="2"/>
      <c r="U32" s="2"/>
      <c r="V32" s="2"/>
      <c r="W32" s="2"/>
      <c r="Y32" s="2"/>
      <c r="Z32" s="12">
        <f>AVERAGE(Z31,Z33)</f>
        <v>0.21133290063033711</v>
      </c>
      <c r="AI32" s="24">
        <f t="shared" si="33"/>
        <v>13.946773820493398</v>
      </c>
      <c r="AJ32" s="2">
        <f t="shared" si="37"/>
        <v>8643.5741227508479</v>
      </c>
      <c r="AK32" s="24">
        <f t="shared" si="11"/>
        <v>-131.69778780660008</v>
      </c>
      <c r="AL32">
        <f t="shared" si="12"/>
        <v>194.51250000000002</v>
      </c>
      <c r="AM32" s="2">
        <f t="shared" si="38"/>
        <v>8706.3888349442477</v>
      </c>
      <c r="AN32" s="2"/>
      <c r="AO32" s="2"/>
      <c r="AQ32">
        <f t="shared" si="13"/>
        <v>-1.523649660849866E-2</v>
      </c>
      <c r="AS32">
        <f t="shared" si="14"/>
        <v>2002</v>
      </c>
      <c r="AU32" s="2">
        <f t="shared" si="15"/>
        <v>8706.3888349442477</v>
      </c>
      <c r="AV32" s="2">
        <f t="shared" si="16"/>
        <v>6847.8888349442477</v>
      </c>
      <c r="AW32">
        <f t="shared" si="17"/>
        <v>2002</v>
      </c>
      <c r="AX32" s="421">
        <f t="shared" si="8"/>
        <v>6866.4424284398992</v>
      </c>
      <c r="BC32" s="423"/>
      <c r="BE32">
        <f>'Comps Ann_2015'!E44</f>
        <v>1325.1</v>
      </c>
      <c r="BF32" s="280">
        <f>place_nsa_all!C31*BF$1</f>
        <v>156.87</v>
      </c>
      <c r="BG32" s="2">
        <f>place_nsa_all!AB31</f>
        <v>1541.3080895008604</v>
      </c>
      <c r="BH32">
        <f t="shared" si="18"/>
        <v>241784.99999999997</v>
      </c>
      <c r="BI32" s="2">
        <f t="shared" si="3"/>
        <v>5658805.7999999998</v>
      </c>
      <c r="BJ32">
        <f t="shared" si="19"/>
        <v>4209.8715000000002</v>
      </c>
      <c r="BK32">
        <f t="shared" si="2"/>
        <v>1344.1754219814072</v>
      </c>
      <c r="BL32">
        <f t="shared" si="34"/>
        <v>6678.9043318411022</v>
      </c>
      <c r="BM32" s="2">
        <f>BM$15+SUM(AK$15:AK32)</f>
        <v>2547.467831841102</v>
      </c>
      <c r="BN32" s="280">
        <f t="shared" si="20"/>
        <v>920</v>
      </c>
      <c r="BO32">
        <f t="shared" si="21"/>
        <v>2343670.4052938139</v>
      </c>
      <c r="BP32">
        <f t="shared" si="22"/>
        <v>0.62300726562047315</v>
      </c>
      <c r="BQ32" s="282">
        <f t="shared" si="35"/>
        <v>1652.4790146625555</v>
      </c>
      <c r="BR32" s="280">
        <f t="shared" si="23"/>
        <v>259224.3830301151</v>
      </c>
      <c r="BS32" s="280">
        <f t="shared" si="36"/>
        <v>5849975.2805717951</v>
      </c>
      <c r="BT32" s="27">
        <f>(BO32+BS32)/(AX32+70)</f>
        <v>1181.2461172129229</v>
      </c>
      <c r="BW32" s="282">
        <f t="shared" si="25"/>
        <v>6757.3393318411017</v>
      </c>
      <c r="BX32" s="280"/>
      <c r="BY32">
        <f t="shared" si="26"/>
        <v>2002</v>
      </c>
      <c r="CA32" s="207">
        <f t="shared" si="9"/>
        <v>1181.2461172129229</v>
      </c>
      <c r="CB32" s="426"/>
      <c r="CC32" s="424">
        <f t="shared" si="41"/>
        <v>1181.2461172129229</v>
      </c>
      <c r="CD32" s="421">
        <f>RECS_ManHome!AD39</f>
        <v>1061.9984984170167</v>
      </c>
      <c r="CM32" s="207">
        <f t="shared" si="10"/>
        <v>8.1109584576607041</v>
      </c>
      <c r="CN32" s="207">
        <f t="shared" si="29"/>
        <v>0</v>
      </c>
      <c r="CP32">
        <f t="shared" si="30"/>
        <v>2002</v>
      </c>
      <c r="CQ32">
        <f>Total_stock_SF!BX32</f>
        <v>2080.8927473426156</v>
      </c>
      <c r="CR32">
        <f t="shared" si="31"/>
        <v>1181.2461172129229</v>
      </c>
      <c r="CT32">
        <f t="shared" si="32"/>
        <v>1.1253605936646947</v>
      </c>
      <c r="CU32">
        <f t="shared" si="32"/>
        <v>1.3188682537088501</v>
      </c>
    </row>
    <row r="33" spans="1:99" x14ac:dyDescent="0.2">
      <c r="A33" s="2">
        <f>Total_stock_SF!AN33</f>
        <v>82143</v>
      </c>
      <c r="B33">
        <f>Total_stock_SF!J33</f>
        <v>74025.57567727234</v>
      </c>
      <c r="C33">
        <f>[9]National_Calibration!E32</f>
        <v>111.27800000000001</v>
      </c>
      <c r="D33">
        <f t="shared" si="7"/>
        <v>2003</v>
      </c>
      <c r="E33" s="207">
        <f>place_nsa_all!C32</f>
        <v>139.80000000000001</v>
      </c>
      <c r="F33">
        <f t="shared" si="6"/>
        <v>134.208</v>
      </c>
      <c r="G33" s="24">
        <f>Survival_curve_MH!Z150</f>
        <v>-110.78179551846006</v>
      </c>
      <c r="H33">
        <f t="shared" si="4"/>
        <v>23.426204481539941</v>
      </c>
      <c r="I33" s="2">
        <f t="shared" si="40"/>
        <v>71844.298822959434</v>
      </c>
      <c r="J33" s="143">
        <v>6854</v>
      </c>
      <c r="K33">
        <f>3597+1284</f>
        <v>4881</v>
      </c>
      <c r="L33">
        <f>675+252+882+82</f>
        <v>1891</v>
      </c>
      <c r="M33">
        <f>K33-K$29</f>
        <v>1191</v>
      </c>
      <c r="N33">
        <f>L33-L$29</f>
        <v>392</v>
      </c>
      <c r="O33" s="2">
        <f>I33-N33</f>
        <v>71452.298822959434</v>
      </c>
      <c r="P33">
        <f>D33</f>
        <v>2003</v>
      </c>
      <c r="Q33" s="2">
        <f>O33</f>
        <v>71452.298822959434</v>
      </c>
      <c r="R33" s="2">
        <f>J33</f>
        <v>6854</v>
      </c>
      <c r="S33" s="2">
        <f>R33+L33</f>
        <v>8745</v>
      </c>
      <c r="T33" s="2"/>
      <c r="U33" s="2"/>
      <c r="V33" s="2"/>
      <c r="W33" s="2"/>
      <c r="X33" s="2">
        <v>8971</v>
      </c>
      <c r="Y33" s="2">
        <f>X33-R33</f>
        <v>2117</v>
      </c>
      <c r="Z33" s="12">
        <f>Y33/X33</f>
        <v>0.23598261063426595</v>
      </c>
      <c r="AI33" s="24">
        <f t="shared" si="33"/>
        <v>12.841436835494696</v>
      </c>
      <c r="AJ33" s="2">
        <f t="shared" si="37"/>
        <v>8706.3888349442477</v>
      </c>
      <c r="AK33" s="24">
        <f t="shared" si="11"/>
        <v>-122.14144133517968</v>
      </c>
      <c r="AL33">
        <f t="shared" si="12"/>
        <v>164.90250000000003</v>
      </c>
      <c r="AM33" s="2">
        <f t="shared" si="38"/>
        <v>8749.1498936090684</v>
      </c>
      <c r="AN33" s="2">
        <f>X33</f>
        <v>8971</v>
      </c>
      <c r="AO33" s="2">
        <f t="shared" si="39"/>
        <v>221.85010639093161</v>
      </c>
      <c r="AP33">
        <f>AO33*AO33</f>
        <v>49217.469705667674</v>
      </c>
      <c r="AQ33">
        <f t="shared" si="13"/>
        <v>-1.4028943991675261E-2</v>
      </c>
      <c r="AS33">
        <f t="shared" si="14"/>
        <v>2003</v>
      </c>
      <c r="AT33" s="2">
        <f>AN33</f>
        <v>8971</v>
      </c>
      <c r="AU33" s="2">
        <f t="shared" si="15"/>
        <v>8749.1498936090684</v>
      </c>
      <c r="AV33" s="2">
        <f t="shared" si="16"/>
        <v>6858.1498936090684</v>
      </c>
      <c r="AW33">
        <f t="shared" si="17"/>
        <v>2003</v>
      </c>
      <c r="AX33" s="421">
        <f t="shared" si="8"/>
        <v>6684.5026608846902</v>
      </c>
      <c r="AY33" s="2">
        <f>R33</f>
        <v>6854</v>
      </c>
      <c r="BC33" s="423">
        <f>AHS_tables!DN$35</f>
        <v>1268.4660737351862</v>
      </c>
      <c r="BE33">
        <f>'Comps Ann_2015'!E45</f>
        <v>1386.3</v>
      </c>
      <c r="BF33" s="280">
        <f>place_nsa_all!C32*BF$1</f>
        <v>125.82000000000001</v>
      </c>
      <c r="BG33" s="2">
        <f>place_nsa_all!AB32</f>
        <v>1554.0772532188839</v>
      </c>
      <c r="BH33">
        <f t="shared" si="18"/>
        <v>195534</v>
      </c>
      <c r="BI33" s="2">
        <f t="shared" si="3"/>
        <v>5854339.7999999998</v>
      </c>
      <c r="BJ33">
        <f t="shared" si="19"/>
        <v>4335.6914999999999</v>
      </c>
      <c r="BK33">
        <f t="shared" si="2"/>
        <v>1350.2666875629873</v>
      </c>
      <c r="BL33">
        <f t="shared" si="34"/>
        <v>6698.1078905059221</v>
      </c>
      <c r="BM33" s="2">
        <f>BM$15+SUM(AK$15:AK33)</f>
        <v>2425.3263905059225</v>
      </c>
      <c r="BN33" s="280">
        <f t="shared" si="20"/>
        <v>924</v>
      </c>
      <c r="BO33">
        <f t="shared" si="21"/>
        <v>2241001.5848274725</v>
      </c>
      <c r="BP33">
        <f t="shared" si="22"/>
        <v>0.64127792149290752</v>
      </c>
      <c r="BQ33" s="282">
        <f t="shared" si="35"/>
        <v>1678.9572134986661</v>
      </c>
      <c r="BR33" s="280">
        <f t="shared" si="23"/>
        <v>211246.39660240218</v>
      </c>
      <c r="BS33" s="280">
        <f t="shared" si="36"/>
        <v>6061221.6771741975</v>
      </c>
      <c r="BT33" s="210">
        <f>(BO33+BS33)/(AX33+300)</f>
        <v>1188.6634832994782</v>
      </c>
      <c r="BU33">
        <f>BC33</f>
        <v>1268.4660737351862</v>
      </c>
      <c r="BV33">
        <f>(BU33-BT33)^2</f>
        <v>6368.4534402493537</v>
      </c>
      <c r="BW33" s="282">
        <f t="shared" si="25"/>
        <v>6761.017890505922</v>
      </c>
      <c r="BX33" s="280"/>
      <c r="BY33">
        <f t="shared" si="26"/>
        <v>2003</v>
      </c>
      <c r="BZ33">
        <f>BU33</f>
        <v>1268.4660737351862</v>
      </c>
      <c r="CA33" s="207">
        <f t="shared" si="9"/>
        <v>1188.6634832994782</v>
      </c>
      <c r="CB33" s="426"/>
      <c r="CC33" s="424">
        <f t="shared" si="41"/>
        <v>1188.6634832994782</v>
      </c>
      <c r="CD33" s="421">
        <f>RECS_ManHome!AD40</f>
        <v>1062.0019916922674</v>
      </c>
      <c r="CM33" s="207">
        <f t="shared" si="10"/>
        <v>7.9456242170118268</v>
      </c>
      <c r="CN33" s="207">
        <f t="shared" si="29"/>
        <v>0</v>
      </c>
      <c r="CP33">
        <f t="shared" si="30"/>
        <v>2003</v>
      </c>
      <c r="CQ33">
        <f>Total_stock_SF!BX33</f>
        <v>2098.1730969428168</v>
      </c>
      <c r="CR33">
        <f t="shared" si="31"/>
        <v>1188.6634832994782</v>
      </c>
      <c r="CT33">
        <f t="shared" si="32"/>
        <v>1.1347059212937376</v>
      </c>
      <c r="CU33">
        <f t="shared" si="32"/>
        <v>1.327149786672341</v>
      </c>
    </row>
    <row r="34" spans="1:99" x14ac:dyDescent="0.2">
      <c r="A34" s="2">
        <f>Total_stock_SF!AN34</f>
        <v>0</v>
      </c>
      <c r="B34">
        <f>Total_stock_SF!J34</f>
        <v>0</v>
      </c>
      <c r="C34">
        <f>[9]National_Calibration!E33</f>
        <v>112</v>
      </c>
      <c r="D34">
        <f t="shared" si="7"/>
        <v>2004</v>
      </c>
      <c r="E34" s="207">
        <f>place_nsa_all!C33</f>
        <v>124.4</v>
      </c>
      <c r="F34">
        <f t="shared" si="6"/>
        <v>119.42400000000001</v>
      </c>
      <c r="G34" s="24">
        <f>Survival_curve_MH!Z151</f>
        <v>-115.35811680076949</v>
      </c>
      <c r="H34">
        <f t="shared" si="4"/>
        <v>4.0658831992305124</v>
      </c>
      <c r="I34" s="2">
        <f t="shared" si="40"/>
        <v>71848.364706158667</v>
      </c>
      <c r="J34" s="144"/>
      <c r="L34">
        <f>AVERAGE(L33,L35)</f>
        <v>1959.5</v>
      </c>
      <c r="O34" s="2"/>
      <c r="S34" s="2"/>
      <c r="T34" s="2"/>
      <c r="U34" s="2"/>
      <c r="V34" s="2"/>
      <c r="W34" s="2"/>
      <c r="Y34" s="2"/>
      <c r="Z34" s="12">
        <f>AVERAGE(Z33,Z35)</f>
        <v>0.2159055579243172</v>
      </c>
      <c r="AI34" s="24">
        <f t="shared" si="33"/>
        <v>11.777308690868217</v>
      </c>
      <c r="AJ34" s="2">
        <f t="shared" si="37"/>
        <v>8749.1498936090684</v>
      </c>
      <c r="AK34" s="24">
        <f t="shared" si="11"/>
        <v>-112.57015832334574</v>
      </c>
      <c r="AL34">
        <f t="shared" si="12"/>
        <v>138.70500000000004</v>
      </c>
      <c r="AM34" s="2">
        <f t="shared" si="38"/>
        <v>8775.2847352857225</v>
      </c>
      <c r="AN34" s="2"/>
      <c r="AO34" s="2"/>
      <c r="AQ34">
        <f t="shared" si="13"/>
        <v>-1.2866410987606247E-2</v>
      </c>
      <c r="AS34">
        <f t="shared" si="14"/>
        <v>2004</v>
      </c>
      <c r="AU34" s="2">
        <f t="shared" si="15"/>
        <v>8775.2847352857225</v>
      </c>
      <c r="AV34" s="2">
        <f t="shared" si="16"/>
        <v>6815.7847352857225</v>
      </c>
      <c r="AW34">
        <f t="shared" si="17"/>
        <v>2004</v>
      </c>
      <c r="AX34" s="421">
        <f t="shared" si="8"/>
        <v>6880.6519885691141</v>
      </c>
      <c r="BC34" s="423"/>
      <c r="BE34">
        <f>'Comps Ann_2015'!E46</f>
        <v>1531.5</v>
      </c>
      <c r="BF34" s="280">
        <f>place_nsa_all!C33*BF$1</f>
        <v>111.96000000000001</v>
      </c>
      <c r="BG34" s="2">
        <f>place_nsa_all!AB33</f>
        <v>1530.8681672025723</v>
      </c>
      <c r="BH34">
        <f t="shared" si="18"/>
        <v>171396</v>
      </c>
      <c r="BI34" s="2">
        <f t="shared" si="3"/>
        <v>6025735.7999999998</v>
      </c>
      <c r="BJ34">
        <f t="shared" si="19"/>
        <v>4447.6514999999999</v>
      </c>
      <c r="BK34">
        <f t="shared" si="2"/>
        <v>1354.8129389184382</v>
      </c>
      <c r="BL34">
        <f t="shared" si="34"/>
        <v>6704.4277321825775</v>
      </c>
      <c r="BM34" s="2">
        <f>BM$15+SUM(AK$15:AK34)</f>
        <v>2312.7562321825767</v>
      </c>
      <c r="BN34" s="280">
        <f t="shared" si="20"/>
        <v>928</v>
      </c>
      <c r="BO34">
        <f t="shared" si="21"/>
        <v>2146237.7834654311</v>
      </c>
      <c r="BP34">
        <f t="shared" si="22"/>
        <v>0.65789693110183001</v>
      </c>
      <c r="BQ34" s="289">
        <f>BQ33+BG34-BG33</f>
        <v>1655.7481274823544</v>
      </c>
      <c r="BR34" s="280">
        <f t="shared" si="23"/>
        <v>185377.56035292443</v>
      </c>
      <c r="BS34" s="280">
        <f t="shared" si="36"/>
        <v>6246599.2375271218</v>
      </c>
      <c r="BT34" s="27">
        <f>(BO34+BS34)/(AX34+160)</f>
        <v>1192.0539510572012</v>
      </c>
      <c r="BW34" s="282">
        <f t="shared" si="25"/>
        <v>6760.4077321825771</v>
      </c>
      <c r="BX34" s="280"/>
      <c r="BY34">
        <f t="shared" si="26"/>
        <v>2004</v>
      </c>
      <c r="CA34" s="207">
        <f t="shared" si="9"/>
        <v>1192.0539510572012</v>
      </c>
      <c r="CB34" s="426"/>
      <c r="CC34" s="424">
        <f t="shared" si="41"/>
        <v>1192.0539510572012</v>
      </c>
      <c r="CD34" s="421">
        <f>RECS_ManHome!AD41</f>
        <v>1062.0054849675182</v>
      </c>
      <c r="CM34" s="207">
        <f t="shared" si="10"/>
        <v>8.2021083888233992</v>
      </c>
      <c r="CN34" s="207">
        <f t="shared" si="29"/>
        <v>0</v>
      </c>
      <c r="CP34">
        <f t="shared" si="30"/>
        <v>2004</v>
      </c>
      <c r="CQ34">
        <f>Total_stock_SF!BX34</f>
        <v>2117.5026549267072</v>
      </c>
      <c r="CR34">
        <f t="shared" si="31"/>
        <v>1192.0539510572012</v>
      </c>
      <c r="CT34">
        <f t="shared" si="32"/>
        <v>1.1451594744025204</v>
      </c>
      <c r="CU34">
        <f t="shared" si="32"/>
        <v>1.3309352639117793</v>
      </c>
    </row>
    <row r="35" spans="1:99" x14ac:dyDescent="0.2">
      <c r="A35" s="2">
        <f>Total_stock_SF!AN35</f>
        <v>84749</v>
      </c>
      <c r="B35">
        <f>Total_stock_SF!J35</f>
        <v>76147.117574834105</v>
      </c>
      <c r="C35">
        <f>[9]National_Calibration!E34</f>
        <v>113.343</v>
      </c>
      <c r="D35">
        <f t="shared" si="7"/>
        <v>2005</v>
      </c>
      <c r="E35" s="207">
        <f>place_nsa_all!C34</f>
        <v>122.9</v>
      </c>
      <c r="F35">
        <f t="shared" si="6"/>
        <v>117.98399999999999</v>
      </c>
      <c r="G35" s="24">
        <f>Survival_curve_MH!Z152</f>
        <v>-119.75696916890047</v>
      </c>
      <c r="H35">
        <f t="shared" si="4"/>
        <v>-1.7729691689004738</v>
      </c>
      <c r="I35" s="2">
        <f t="shared" si="40"/>
        <v>71846.591736989765</v>
      </c>
      <c r="J35" s="143">
        <v>6940</v>
      </c>
      <c r="K35">
        <f>3707+1401</f>
        <v>5108</v>
      </c>
      <c r="L35">
        <f>681+229+1026+92</f>
        <v>2028</v>
      </c>
      <c r="M35">
        <f>K35-K$29</f>
        <v>1418</v>
      </c>
      <c r="N35">
        <f>L35-L$29</f>
        <v>529</v>
      </c>
      <c r="O35" s="2">
        <f>I35-N35</f>
        <v>71317.591736989765</v>
      </c>
      <c r="P35">
        <f>D35</f>
        <v>2005</v>
      </c>
      <c r="Q35" s="2">
        <f>O35</f>
        <v>71317.591736989765</v>
      </c>
      <c r="R35" s="2">
        <f>J35</f>
        <v>6940</v>
      </c>
      <c r="S35" s="2">
        <f>R35+L35</f>
        <v>8968</v>
      </c>
      <c r="T35" s="2">
        <f>1479+1659+159+143</f>
        <v>3440</v>
      </c>
      <c r="U35" s="12">
        <f>T35/R35</f>
        <v>0.49567723342939479</v>
      </c>
      <c r="V35" s="12"/>
      <c r="W35" s="12"/>
      <c r="X35" s="2">
        <v>8630</v>
      </c>
      <c r="Y35" s="2">
        <f>X35-R35</f>
        <v>1690</v>
      </c>
      <c r="Z35" s="12">
        <f>Y35/X35</f>
        <v>0.19582850521436848</v>
      </c>
      <c r="AI35" s="24">
        <f t="shared" si="33"/>
        <v>11.394406522500416</v>
      </c>
      <c r="AJ35" s="2">
        <f t="shared" si="37"/>
        <v>8775.2847352857225</v>
      </c>
      <c r="AK35" s="24">
        <f t="shared" si="11"/>
        <v>-109.23562263125599</v>
      </c>
      <c r="AL35">
        <f t="shared" si="12"/>
        <v>129.83250000000001</v>
      </c>
      <c r="AM35" s="2">
        <f t="shared" si="38"/>
        <v>8795.8816126544662</v>
      </c>
      <c r="AN35" s="2">
        <f>X35</f>
        <v>8630</v>
      </c>
      <c r="AO35" s="2">
        <f t="shared" si="39"/>
        <v>-165.88161265446615</v>
      </c>
      <c r="AP35">
        <f>AO35*AO35</f>
        <v>27516.709416846345</v>
      </c>
      <c r="AQ35">
        <f t="shared" si="13"/>
        <v>-1.2448100081814529E-2</v>
      </c>
      <c r="AS35">
        <f t="shared" si="14"/>
        <v>2005</v>
      </c>
      <c r="AT35" s="2">
        <f>AN35</f>
        <v>8630</v>
      </c>
      <c r="AU35" s="2">
        <f t="shared" si="15"/>
        <v>8795.8816126544662</v>
      </c>
      <c r="AV35" s="2">
        <f t="shared" si="16"/>
        <v>6767.8816126544662</v>
      </c>
      <c r="AW35">
        <f t="shared" si="17"/>
        <v>2005</v>
      </c>
      <c r="AX35" s="421">
        <f t="shared" si="8"/>
        <v>7073.3972644057931</v>
      </c>
      <c r="AY35" s="2">
        <f>R35</f>
        <v>6940</v>
      </c>
      <c r="BC35" s="423">
        <f>AHS_tables!DY$35</f>
        <v>1346.6940504418583</v>
      </c>
      <c r="BE35">
        <f>'Comps Ann_2015'!E47</f>
        <v>1635.9</v>
      </c>
      <c r="BF35" s="280">
        <f>place_nsa_all!C34*BF$1</f>
        <v>110.61000000000001</v>
      </c>
      <c r="BG35" s="2">
        <f>place_nsa_all!AB34</f>
        <v>1519.5280716029292</v>
      </c>
      <c r="BH35">
        <f t="shared" si="18"/>
        <v>168075.00000000003</v>
      </c>
      <c r="BI35" s="2">
        <f t="shared" si="3"/>
        <v>6193810.7999999998</v>
      </c>
      <c r="BJ35">
        <f t="shared" si="19"/>
        <v>4558.2614999999996</v>
      </c>
      <c r="BK35">
        <f t="shared" si="2"/>
        <v>1358.8098883752064</v>
      </c>
      <c r="BL35">
        <f t="shared" si="34"/>
        <v>6706.4771095513206</v>
      </c>
      <c r="BM35" s="2">
        <f>BM$15+SUM(AK$15:AK35)</f>
        <v>2203.5206095513208</v>
      </c>
      <c r="BN35" s="280">
        <f t="shared" si="20"/>
        <v>932</v>
      </c>
      <c r="BO35">
        <f t="shared" si="21"/>
        <v>2053681.2081018309</v>
      </c>
      <c r="BP35">
        <f t="shared" si="22"/>
        <v>0.67412132277395487</v>
      </c>
      <c r="BQ35" s="289">
        <f t="shared" ref="BQ35:BQ40" si="42">BQ34+BG35-BG34</f>
        <v>1644.4080318827114</v>
      </c>
      <c r="BR35" s="280">
        <f t="shared" si="23"/>
        <v>181887.97240654673</v>
      </c>
      <c r="BS35" s="280">
        <f t="shared" si="36"/>
        <v>6428487.2099336684</v>
      </c>
      <c r="BT35" s="27">
        <f>(BO35+BS35)/(AX35-50)</f>
        <v>1207.7016433375743</v>
      </c>
      <c r="BU35">
        <f>BC35</f>
        <v>1346.6940504418583</v>
      </c>
      <c r="BV35">
        <f>(BU35-BT35)^2</f>
        <v>19318.889232643014</v>
      </c>
      <c r="BW35" s="282">
        <f t="shared" si="25"/>
        <v>6761.7821095513209</v>
      </c>
      <c r="BX35" s="280"/>
      <c r="BY35">
        <f t="shared" si="26"/>
        <v>2005</v>
      </c>
      <c r="BZ35">
        <f>BU35</f>
        <v>1346.6940504418583</v>
      </c>
      <c r="CA35" s="207">
        <f t="shared" si="9"/>
        <v>1207.7016433375743</v>
      </c>
      <c r="CB35" s="426"/>
      <c r="CC35" s="424">
        <f t="shared" si="41"/>
        <v>1207.7016433375743</v>
      </c>
      <c r="CD35" s="421">
        <f>RECS_ManHome!AD42</f>
        <v>1062.008978242769</v>
      </c>
      <c r="CM35" s="207">
        <f t="shared" si="10"/>
        <v>8.5425535002023771</v>
      </c>
      <c r="CN35" s="207">
        <f t="shared" si="29"/>
        <v>0</v>
      </c>
      <c r="CP35">
        <f t="shared" si="30"/>
        <v>2005</v>
      </c>
      <c r="CQ35">
        <f>Total_stock_SF!BX35</f>
        <v>2138.3776791572573</v>
      </c>
      <c r="CR35">
        <f t="shared" si="31"/>
        <v>1207.7016433375743</v>
      </c>
      <c r="CT35">
        <f t="shared" si="32"/>
        <v>1.1564488259036283</v>
      </c>
      <c r="CU35">
        <f t="shared" si="32"/>
        <v>1.3484060045911912</v>
      </c>
    </row>
    <row r="36" spans="1:99" x14ac:dyDescent="0.2">
      <c r="A36" s="2">
        <f>Total_stock_SF!AN36</f>
        <v>0</v>
      </c>
      <c r="B36">
        <f>Total_stock_SF!J36</f>
        <v>0</v>
      </c>
      <c r="C36">
        <f>[9]National_Calibration!E35</f>
        <v>114.384</v>
      </c>
      <c r="D36">
        <f t="shared" si="7"/>
        <v>2006</v>
      </c>
      <c r="E36" s="207">
        <f>place_nsa_all!C35</f>
        <v>112.4</v>
      </c>
      <c r="F36">
        <f t="shared" si="6"/>
        <v>107.904</v>
      </c>
      <c r="G36" s="24">
        <f>Survival_curve_MH!Z153</f>
        <v>-123.95897562428945</v>
      </c>
      <c r="H36">
        <f t="shared" si="4"/>
        <v>-16.054975624289455</v>
      </c>
      <c r="I36" s="2">
        <f t="shared" si="40"/>
        <v>71830.536761365482</v>
      </c>
      <c r="J36" s="144" t="s">
        <v>255</v>
      </c>
      <c r="L36">
        <f>AVERAGE(L35,L37)</f>
        <v>1870.5</v>
      </c>
      <c r="O36" s="2"/>
      <c r="S36" s="2"/>
      <c r="T36" s="2"/>
      <c r="U36" s="2"/>
      <c r="V36" s="2"/>
      <c r="W36" s="2"/>
      <c r="Y36" s="2"/>
      <c r="Z36" s="12">
        <f>AVERAGE(Z35,Z37)</f>
        <v>0.20049897403165295</v>
      </c>
      <c r="AI36" s="24">
        <f t="shared" si="33"/>
        <v>11.114517533388483</v>
      </c>
      <c r="AJ36" s="2">
        <f t="shared" si="37"/>
        <v>8795.8816126544662</v>
      </c>
      <c r="AK36" s="24">
        <f t="shared" si="11"/>
        <v>-106.80248364672829</v>
      </c>
      <c r="AL36">
        <f t="shared" si="12"/>
        <v>123.53250000000001</v>
      </c>
      <c r="AM36" s="2">
        <f t="shared" si="38"/>
        <v>8812.6116290077371</v>
      </c>
      <c r="AN36" s="2"/>
      <c r="AO36" s="2"/>
      <c r="AQ36">
        <f t="shared" si="13"/>
        <v>-1.2142328461205481E-2</v>
      </c>
      <c r="AS36">
        <f t="shared" si="14"/>
        <v>2006</v>
      </c>
      <c r="AU36" s="2">
        <f t="shared" si="15"/>
        <v>8812.6116290077371</v>
      </c>
      <c r="AV36" s="2">
        <f t="shared" si="16"/>
        <v>6942.1116290077371</v>
      </c>
      <c r="AW36">
        <f t="shared" si="17"/>
        <v>2006</v>
      </c>
      <c r="AX36" s="421">
        <f t="shared" si="8"/>
        <v>7045.6920388522722</v>
      </c>
      <c r="BC36" s="423"/>
      <c r="BE36">
        <f>'Comps Ann_2015'!E48</f>
        <v>1654.5</v>
      </c>
      <c r="BF36" s="280">
        <f>place_nsa_all!C35*BF$1</f>
        <v>101.16000000000001</v>
      </c>
      <c r="BG36" s="2">
        <f>place_nsa_all!AB35</f>
        <v>1499.7330960854092</v>
      </c>
      <c r="BH36">
        <f t="shared" si="18"/>
        <v>151713</v>
      </c>
      <c r="BI36" s="2">
        <f t="shared" si="3"/>
        <v>6345523.7999999998</v>
      </c>
      <c r="BJ36">
        <f t="shared" si="19"/>
        <v>4659.4214999999995</v>
      </c>
      <c r="BK36">
        <f t="shared" si="2"/>
        <v>1361.8694509608115</v>
      </c>
      <c r="BL36">
        <f t="shared" si="34"/>
        <v>6705.5596259045924</v>
      </c>
      <c r="BM36" s="2">
        <f>BM$15+SUM(AK$15:AK36)</f>
        <v>2096.7181259045924</v>
      </c>
      <c r="BN36" s="280">
        <f t="shared" si="20"/>
        <v>936</v>
      </c>
      <c r="BO36">
        <f t="shared" si="21"/>
        <v>1962528.1658466985</v>
      </c>
      <c r="BP36">
        <f t="shared" si="22"/>
        <v>0.68965737210857903</v>
      </c>
      <c r="BQ36" s="289">
        <f t="shared" si="42"/>
        <v>1624.6130563651914</v>
      </c>
      <c r="BR36" s="280">
        <f t="shared" si="23"/>
        <v>164345.85678190278</v>
      </c>
      <c r="BS36" s="280">
        <f t="shared" si="36"/>
        <v>6592833.0667155711</v>
      </c>
      <c r="BT36" s="280">
        <f t="shared" si="24"/>
        <v>1214.2684047763064</v>
      </c>
      <c r="BW36" s="282">
        <f t="shared" si="25"/>
        <v>6756.1396259045923</v>
      </c>
      <c r="BX36" s="280"/>
      <c r="BY36">
        <f t="shared" si="26"/>
        <v>2006</v>
      </c>
      <c r="CA36" s="207">
        <f t="shared" si="9"/>
        <v>1214.2684047763064</v>
      </c>
      <c r="CB36" s="426"/>
      <c r="CC36" s="424">
        <f t="shared" si="41"/>
        <v>1214.2684047763064</v>
      </c>
      <c r="CD36" s="421">
        <f>RECS_ManHome!AD43</f>
        <v>1068.2567336820766</v>
      </c>
      <c r="CM36" s="207">
        <f t="shared" si="10"/>
        <v>8.5553612325622694</v>
      </c>
      <c r="CN36" s="207">
        <f t="shared" si="29"/>
        <v>0</v>
      </c>
      <c r="CP36">
        <f t="shared" si="30"/>
        <v>2006</v>
      </c>
      <c r="CQ36">
        <f>Total_stock_SF!BX36</f>
        <v>2158.3309177961414</v>
      </c>
      <c r="CR36">
        <f t="shared" si="31"/>
        <v>1214.2684047763064</v>
      </c>
      <c r="CT36">
        <f t="shared" si="32"/>
        <v>1.1672396696455094</v>
      </c>
      <c r="CU36">
        <f t="shared" si="32"/>
        <v>1.3557378324507887</v>
      </c>
    </row>
    <row r="37" spans="1:99" x14ac:dyDescent="0.2">
      <c r="A37" s="2">
        <f>Total_stock_SF!AN37</f>
        <v>87541</v>
      </c>
      <c r="B37">
        <f>Total_stock_SF!J37</f>
        <v>77490.956361530247</v>
      </c>
      <c r="C37">
        <f>[9]National_Calibration!E36</f>
        <v>116.011</v>
      </c>
      <c r="D37">
        <f t="shared" si="7"/>
        <v>2007</v>
      </c>
      <c r="E37" s="207">
        <f>place_nsa_all!C36</f>
        <v>94.8</v>
      </c>
      <c r="F37">
        <f t="shared" si="6"/>
        <v>91.007999999999996</v>
      </c>
      <c r="G37" s="24">
        <f>Survival_curve_MH!Z154</f>
        <v>-127.94857810567919</v>
      </c>
      <c r="H37">
        <f t="shared" si="4"/>
        <v>-36.940578105679194</v>
      </c>
      <c r="I37" s="2">
        <f t="shared" si="40"/>
        <v>71793.596183259797</v>
      </c>
      <c r="J37" s="143">
        <v>6919</v>
      </c>
      <c r="K37">
        <f>3582+2017</f>
        <v>5599</v>
      </c>
      <c r="L37">
        <f>850+192+567+104</f>
        <v>1713</v>
      </c>
      <c r="M37">
        <f>K37-K$29</f>
        <v>1909</v>
      </c>
      <c r="N37">
        <f>L37-L$29</f>
        <v>214</v>
      </c>
      <c r="O37" s="2">
        <f>I37-N37</f>
        <v>71579.596183259797</v>
      </c>
      <c r="P37">
        <f>D37</f>
        <v>2007</v>
      </c>
      <c r="Q37" s="2">
        <f>O37</f>
        <v>71579.596183259797</v>
      </c>
      <c r="R37" s="2">
        <f>J37</f>
        <v>6919</v>
      </c>
      <c r="S37" s="2">
        <f>R37+L37</f>
        <v>8632</v>
      </c>
      <c r="T37" s="2"/>
      <c r="U37" s="2"/>
      <c r="V37" s="2"/>
      <c r="W37" s="2"/>
      <c r="X37" s="2">
        <v>8705</v>
      </c>
      <c r="Y37" s="2">
        <f>X37-R37</f>
        <v>1786</v>
      </c>
      <c r="Z37" s="12">
        <f>Y37/X37</f>
        <v>0.2051694428489374</v>
      </c>
      <c r="AI37" s="24">
        <f t="shared" si="33"/>
        <v>10.429765098025937</v>
      </c>
      <c r="AJ37" s="2">
        <f t="shared" si="37"/>
        <v>8812.6116290077371</v>
      </c>
      <c r="AK37" s="24">
        <f t="shared" si="11"/>
        <v>-100.413133504852</v>
      </c>
      <c r="AL37">
        <f t="shared" si="12"/>
        <v>108.78</v>
      </c>
      <c r="AM37" s="2">
        <f t="shared" si="38"/>
        <v>8820.9784955028863</v>
      </c>
      <c r="AN37" s="2">
        <f>X37</f>
        <v>8705</v>
      </c>
      <c r="AO37" s="2">
        <f t="shared" si="39"/>
        <v>-115.97849550288629</v>
      </c>
      <c r="AP37">
        <f>AO37*AO37</f>
        <v>13451.011419113016</v>
      </c>
      <c r="AQ37">
        <f t="shared" si="13"/>
        <v>-1.1394253795813545E-2</v>
      </c>
      <c r="AS37">
        <f t="shared" si="14"/>
        <v>2007</v>
      </c>
      <c r="AT37" s="2">
        <f>AN37</f>
        <v>8705</v>
      </c>
      <c r="AU37" s="2">
        <f t="shared" si="15"/>
        <v>8820.9784955028863</v>
      </c>
      <c r="AV37" s="2">
        <f t="shared" si="16"/>
        <v>7107.9784955028863</v>
      </c>
      <c r="AW37">
        <f t="shared" si="17"/>
        <v>2007</v>
      </c>
      <c r="AX37" s="421">
        <f t="shared" si="8"/>
        <v>7011.1832521981005</v>
      </c>
      <c r="AY37" s="2">
        <f>R37</f>
        <v>6919</v>
      </c>
      <c r="BC37" s="423">
        <f>AHS_tables!EJ$35</f>
        <v>1359.370966205578</v>
      </c>
      <c r="BE37">
        <f>'Comps Ann_2015'!E49</f>
        <v>1218.4000000000001</v>
      </c>
      <c r="BF37" s="280">
        <f>place_nsa_all!C36*BF$1</f>
        <v>85.32</v>
      </c>
      <c r="BG37" s="2">
        <f>place_nsa_all!AB36</f>
        <v>1469.620253164557</v>
      </c>
      <c r="BH37">
        <f t="shared" si="18"/>
        <v>125387.99999999999</v>
      </c>
      <c r="BI37" s="2">
        <f t="shared" si="3"/>
        <v>6470911.7999999998</v>
      </c>
      <c r="BJ37">
        <f t="shared" si="19"/>
        <v>4744.7414999999992</v>
      </c>
      <c r="BK37">
        <f t="shared" si="2"/>
        <v>1363.8070272110717</v>
      </c>
      <c r="BL37">
        <f t="shared" si="34"/>
        <v>6698.3864923997398</v>
      </c>
      <c r="BM37" s="2">
        <f>BM$15+SUM(AK$15:AK37)</f>
        <v>1996.3049923997405</v>
      </c>
      <c r="BN37" s="280">
        <f t="shared" si="20"/>
        <v>940</v>
      </c>
      <c r="BO37">
        <f t="shared" si="21"/>
        <v>1876526.692855756</v>
      </c>
      <c r="BP37">
        <f t="shared" si="22"/>
        <v>0.70385829638610342</v>
      </c>
      <c r="BQ37" s="289">
        <f t="shared" si="42"/>
        <v>1594.5002134443389</v>
      </c>
      <c r="BR37" s="280">
        <f t="shared" si="23"/>
        <v>136042.75821107099</v>
      </c>
      <c r="BS37" s="280">
        <f t="shared" si="36"/>
        <v>6728875.8249266418</v>
      </c>
      <c r="BT37" s="280">
        <f t="shared" si="24"/>
        <v>1227.382341644613</v>
      </c>
      <c r="BU37">
        <f>BC37</f>
        <v>1359.370966205578</v>
      </c>
      <c r="BV37">
        <f>(BU37-BT37)^2</f>
        <v>17420.997013495384</v>
      </c>
      <c r="BW37" s="282">
        <f t="shared" si="25"/>
        <v>6741.0464923997397</v>
      </c>
      <c r="BX37" s="280"/>
      <c r="BY37">
        <f t="shared" si="26"/>
        <v>2007</v>
      </c>
      <c r="BZ37">
        <f>BU37</f>
        <v>1359.370966205578</v>
      </c>
      <c r="CA37" s="207">
        <f t="shared" si="9"/>
        <v>1227.382341644613</v>
      </c>
      <c r="CB37" s="426"/>
      <c r="CC37" s="424">
        <f t="shared" si="41"/>
        <v>1227.382341644613</v>
      </c>
      <c r="CD37" s="421">
        <f>RECS_ManHome!AD44</f>
        <v>1074.5044891213843</v>
      </c>
      <c r="CM37" s="207">
        <f t="shared" si="10"/>
        <v>8.6054025177823981</v>
      </c>
      <c r="CN37" s="207">
        <f t="shared" si="29"/>
        <v>0</v>
      </c>
      <c r="CP37">
        <f t="shared" si="30"/>
        <v>2007</v>
      </c>
      <c r="CQ37">
        <f>Total_stock_SF!BX37</f>
        <v>2168.9358849751275</v>
      </c>
      <c r="CR37">
        <f t="shared" si="31"/>
        <v>1227.382341644613</v>
      </c>
      <c r="CT37">
        <f t="shared" si="32"/>
        <v>1.1729749062047117</v>
      </c>
      <c r="CU37">
        <f t="shared" si="32"/>
        <v>1.3703796202752934</v>
      </c>
    </row>
    <row r="38" spans="1:99" x14ac:dyDescent="0.2">
      <c r="A38" s="2">
        <f>Total_stock_SF!AN38</f>
        <v>0</v>
      </c>
      <c r="B38">
        <f>Total_stock_SF!J38</f>
        <v>0</v>
      </c>
      <c r="C38">
        <f>[9]National_Calibration!E37</f>
        <v>116.783</v>
      </c>
      <c r="D38">
        <f t="shared" si="7"/>
        <v>2008</v>
      </c>
      <c r="E38" s="207">
        <f>place_nsa_all!C37</f>
        <v>80.5</v>
      </c>
      <c r="F38">
        <f t="shared" si="6"/>
        <v>77.28</v>
      </c>
      <c r="G38" s="24">
        <f>Survival_curve_MH!Z155</f>
        <v>-131.71356235889289</v>
      </c>
      <c r="H38">
        <f t="shared" si="4"/>
        <v>-54.433562358892885</v>
      </c>
      <c r="I38" s="2">
        <f t="shared" si="40"/>
        <v>71739.162620900897</v>
      </c>
      <c r="J38" s="144"/>
      <c r="L38">
        <f>AVERAGE(L37,L39)</f>
        <v>2191.5</v>
      </c>
      <c r="O38" s="2"/>
      <c r="S38" s="2"/>
      <c r="T38" s="2"/>
      <c r="U38" s="2"/>
      <c r="V38" s="2"/>
      <c r="W38" s="2"/>
      <c r="Y38" s="2"/>
      <c r="Z38" s="12">
        <f>AVERAGE(Z37,Z39)</f>
        <v>0.21263147704084456</v>
      </c>
      <c r="AI38" s="24">
        <f t="shared" si="33"/>
        <v>9.5933570766442351</v>
      </c>
      <c r="AJ38" s="2">
        <f t="shared" si="37"/>
        <v>8820.9784955028863</v>
      </c>
      <c r="AK38" s="24">
        <f t="shared" si="11"/>
        <v>-92.448258504363878</v>
      </c>
      <c r="AL38">
        <f t="shared" si="12"/>
        <v>92.032500000000013</v>
      </c>
      <c r="AM38" s="2">
        <f t="shared" si="38"/>
        <v>8820.5627369985214</v>
      </c>
      <c r="AN38" s="2"/>
      <c r="AO38" s="2"/>
      <c r="AQ38">
        <f t="shared" si="13"/>
        <v>-1.0480499249770972E-2</v>
      </c>
      <c r="AS38">
        <f t="shared" si="14"/>
        <v>2008</v>
      </c>
      <c r="AU38" s="2">
        <f t="shared" si="15"/>
        <v>8820.5627369985214</v>
      </c>
      <c r="AV38" s="2">
        <f t="shared" si="16"/>
        <v>6629.0627369985214</v>
      </c>
      <c r="AW38">
        <f t="shared" si="17"/>
        <v>2008</v>
      </c>
      <c r="AX38" s="421">
        <f t="shared" si="8"/>
        <v>6945.033453899091</v>
      </c>
      <c r="BC38" s="423"/>
      <c r="BE38">
        <f>'Comps Ann_2015'!E50</f>
        <v>818.8</v>
      </c>
      <c r="BF38" s="280">
        <f>place_nsa_all!C37*BF$1</f>
        <v>72.45</v>
      </c>
      <c r="BG38" s="2">
        <f>place_nsa_all!AB37</f>
        <v>1446.7080745341616</v>
      </c>
      <c r="BH38">
        <f t="shared" si="18"/>
        <v>104814.00000000001</v>
      </c>
      <c r="BI38" s="2">
        <f t="shared" si="3"/>
        <v>6575725.7999999998</v>
      </c>
      <c r="BJ38">
        <f t="shared" si="19"/>
        <v>4817.191499999999</v>
      </c>
      <c r="BK38">
        <f t="shared" si="2"/>
        <v>1365.053849322785</v>
      </c>
      <c r="BL38">
        <f t="shared" si="34"/>
        <v>6684.8232338953749</v>
      </c>
      <c r="BM38" s="2">
        <f>BM$15+SUM(AK$15:AK38)</f>
        <v>1903.8567338953767</v>
      </c>
      <c r="BN38" s="280">
        <f t="shared" si="20"/>
        <v>944</v>
      </c>
      <c r="BO38">
        <f t="shared" si="21"/>
        <v>1797240.7567972357</v>
      </c>
      <c r="BP38">
        <f t="shared" si="22"/>
        <v>0.71673217217904983</v>
      </c>
      <c r="BQ38" s="289">
        <f t="shared" si="42"/>
        <v>1571.5880348139433</v>
      </c>
      <c r="BR38" s="280">
        <f t="shared" si="23"/>
        <v>113861.5531222702</v>
      </c>
      <c r="BS38" s="280">
        <f t="shared" si="36"/>
        <v>6842737.3780489117</v>
      </c>
      <c r="BT38" s="280">
        <f t="shared" si="24"/>
        <v>1244.0513342661407</v>
      </c>
      <c r="BW38" s="282">
        <f t="shared" si="25"/>
        <v>6721.0482338953752</v>
      </c>
      <c r="BX38" s="280"/>
      <c r="BY38">
        <f t="shared" si="26"/>
        <v>2008</v>
      </c>
      <c r="CA38" s="207">
        <f t="shared" si="9"/>
        <v>1244.0513342661407</v>
      </c>
      <c r="CB38" s="426"/>
      <c r="CC38" s="424">
        <f t="shared" si="41"/>
        <v>1244.0513342661407</v>
      </c>
      <c r="CD38" s="421">
        <f>RECS_ManHome!AD45</f>
        <v>1080.7522445606919</v>
      </c>
      <c r="CM38" s="207">
        <f t="shared" si="10"/>
        <v>8.639978134846146</v>
      </c>
      <c r="CN38" s="207">
        <f t="shared" si="29"/>
        <v>0</v>
      </c>
      <c r="CP38">
        <f t="shared" si="30"/>
        <v>2008</v>
      </c>
      <c r="CQ38">
        <f>Total_stock_SF!BX38</f>
        <v>2176.1427273015274</v>
      </c>
      <c r="CR38">
        <f t="shared" si="31"/>
        <v>1244.0513342661407</v>
      </c>
      <c r="CT38">
        <f t="shared" si="32"/>
        <v>1.1768724143147489</v>
      </c>
      <c r="CU38">
        <f t="shared" si="32"/>
        <v>1.3889906488065111</v>
      </c>
    </row>
    <row r="39" spans="1:99" x14ac:dyDescent="0.2">
      <c r="A39" s="2">
        <f>Total_stock_SF!AN39</f>
        <v>89525</v>
      </c>
      <c r="B39">
        <f>Total_stock_SF!J39</f>
        <v>79051.852939674674</v>
      </c>
      <c r="C39">
        <f>[9]National_Calibration!E38</f>
        <v>117.181</v>
      </c>
      <c r="D39">
        <f t="shared" si="7"/>
        <v>2009</v>
      </c>
      <c r="E39" s="207">
        <f>place_nsa_all!C38</f>
        <v>54.5</v>
      </c>
      <c r="F39">
        <f t="shared" si="6"/>
        <v>52.32</v>
      </c>
      <c r="G39" s="24">
        <f>Survival_curve_MH!Z156</f>
        <v>-135.24426699351261</v>
      </c>
      <c r="H39">
        <f t="shared" si="4"/>
        <v>-82.924266993512617</v>
      </c>
      <c r="I39" s="2">
        <f t="shared" si="40"/>
        <v>71656.238353907378</v>
      </c>
      <c r="J39" s="143">
        <v>6839</v>
      </c>
      <c r="K39">
        <f>4018+2108</f>
        <v>6126</v>
      </c>
      <c r="L39">
        <f>820+198+1477+175</f>
        <v>2670</v>
      </c>
      <c r="M39">
        <f>K39-K$29</f>
        <v>2436</v>
      </c>
      <c r="N39">
        <f>L39-L$29</f>
        <v>1171</v>
      </c>
      <c r="O39" s="2">
        <f>I39-N39</f>
        <v>70485.238353907378</v>
      </c>
      <c r="P39">
        <f>D39</f>
        <v>2009</v>
      </c>
      <c r="Q39" s="2">
        <f>O39</f>
        <v>70485.238353907378</v>
      </c>
      <c r="R39" s="2">
        <f>J39</f>
        <v>6839</v>
      </c>
      <c r="S39" s="2">
        <f>R39+L39</f>
        <v>9509</v>
      </c>
      <c r="T39" s="2">
        <f>1713+2118+213+195</f>
        <v>4239</v>
      </c>
      <c r="U39" s="12">
        <f>T39/R39</f>
        <v>0.61982746015499346</v>
      </c>
      <c r="V39" s="12"/>
      <c r="W39" s="12"/>
      <c r="X39" s="2">
        <v>8769</v>
      </c>
      <c r="Y39" s="2">
        <f>X39-R39</f>
        <v>1930</v>
      </c>
      <c r="Z39" s="12">
        <f>Y39/X39</f>
        <v>0.22009351123275173</v>
      </c>
      <c r="AI39" s="24">
        <f t="shared" si="33"/>
        <v>8.4187291202413679</v>
      </c>
      <c r="AJ39" s="2">
        <f t="shared" si="37"/>
        <v>8820.5627369985214</v>
      </c>
      <c r="AK39" s="24">
        <f t="shared" si="11"/>
        <v>-81.12490303059235</v>
      </c>
      <c r="AL39">
        <f t="shared" si="12"/>
        <v>70.875</v>
      </c>
      <c r="AM39" s="2">
        <f t="shared" si="38"/>
        <v>8810.3128339679297</v>
      </c>
      <c r="AN39" s="2">
        <f>X39</f>
        <v>8769</v>
      </c>
      <c r="AO39" s="344">
        <f t="shared" si="39"/>
        <v>-41.312833967929691</v>
      </c>
      <c r="AP39">
        <f>AO39*AO39</f>
        <v>1706.7502504617253</v>
      </c>
      <c r="AQ39">
        <f t="shared" si="13"/>
        <v>-9.1972480044054082E-3</v>
      </c>
      <c r="AS39">
        <f t="shared" si="14"/>
        <v>2009</v>
      </c>
      <c r="AT39" s="2">
        <f>AN39</f>
        <v>8769</v>
      </c>
      <c r="AU39" s="2">
        <f t="shared" si="15"/>
        <v>8810.3128339679297</v>
      </c>
      <c r="AV39" s="2">
        <f t="shared" si="16"/>
        <v>6140.3128339679297</v>
      </c>
      <c r="AW39">
        <f t="shared" si="17"/>
        <v>2009</v>
      </c>
      <c r="AX39" s="421">
        <f t="shared" si="8"/>
        <v>6871.220147280952</v>
      </c>
      <c r="AY39" s="2">
        <f>R39</f>
        <v>6839</v>
      </c>
      <c r="BC39" s="423">
        <f>AHS_tables!EU$35</f>
        <v>1456.4439457961512</v>
      </c>
      <c r="BE39">
        <f>'Comps Ann_2015'!E51</f>
        <v>520.1</v>
      </c>
      <c r="BF39" s="280">
        <f>place_nsa_all!C38*BF$1</f>
        <v>49.050000000000004</v>
      </c>
      <c r="BG39" s="2">
        <f>place_nsa_all!AB38</f>
        <v>1426.788990825688</v>
      </c>
      <c r="BH39">
        <f t="shared" si="18"/>
        <v>69984</v>
      </c>
      <c r="BI39" s="2">
        <f t="shared" si="3"/>
        <v>6645709.7999999998</v>
      </c>
      <c r="BJ39">
        <f t="shared" si="19"/>
        <v>4866.2414999999992</v>
      </c>
      <c r="BK39">
        <f t="shared" si="2"/>
        <v>1365.6761178005656</v>
      </c>
      <c r="BL39">
        <f t="shared" si="34"/>
        <v>6664.4483308647832</v>
      </c>
      <c r="BM39" s="2">
        <f>BM$15+SUM(AK$15:AK39)</f>
        <v>1822.7318308647846</v>
      </c>
      <c r="BN39" s="280">
        <f t="shared" si="20"/>
        <v>948</v>
      </c>
      <c r="BO39">
        <f t="shared" si="21"/>
        <v>1727949.7756598159</v>
      </c>
      <c r="BP39">
        <f t="shared" si="22"/>
        <v>0.72750200356545114</v>
      </c>
      <c r="BQ39" s="289">
        <f t="shared" si="42"/>
        <v>1551.6689511054694</v>
      </c>
      <c r="BR39" s="280">
        <f t="shared" si="23"/>
        <v>76109.362051723278</v>
      </c>
      <c r="BS39" s="280">
        <f t="shared" si="36"/>
        <v>6918846.7401006352</v>
      </c>
      <c r="BT39" s="280">
        <f t="shared" si="24"/>
        <v>1258.4077253269381</v>
      </c>
      <c r="BU39">
        <f>BC39</f>
        <v>1456.4439457961512</v>
      </c>
      <c r="BV39">
        <f>(BU39-BT39)^2</f>
        <v>39218.344617730756</v>
      </c>
      <c r="BW39" s="282">
        <f t="shared" si="25"/>
        <v>6688.9733308647837</v>
      </c>
      <c r="BX39" s="280"/>
      <c r="BY39">
        <f t="shared" si="26"/>
        <v>2009</v>
      </c>
      <c r="BZ39">
        <f>BU39</f>
        <v>1456.4439457961512</v>
      </c>
      <c r="CA39" s="207">
        <f t="shared" si="9"/>
        <v>1258.4077253269381</v>
      </c>
      <c r="CB39" s="426"/>
      <c r="CC39" s="424">
        <f t="shared" si="41"/>
        <v>1258.4077253269381</v>
      </c>
      <c r="CD39" s="421">
        <f>RECS_ManHome!AD46</f>
        <v>1087</v>
      </c>
      <c r="CM39" s="207">
        <f t="shared" si="10"/>
        <v>8.6467965157604514</v>
      </c>
      <c r="CN39" s="207">
        <f t="shared" si="29"/>
        <v>0</v>
      </c>
      <c r="CP39">
        <f t="shared" si="30"/>
        <v>2009</v>
      </c>
      <c r="CQ39">
        <f>Total_stock_SF!BX39</f>
        <v>2181.3182757931095</v>
      </c>
      <c r="CR39">
        <f t="shared" si="31"/>
        <v>1258.4077253269381</v>
      </c>
      <c r="CT39">
        <f t="shared" si="32"/>
        <v>1.1796713852518455</v>
      </c>
      <c r="CU39">
        <f t="shared" si="32"/>
        <v>1.4050196440616145</v>
      </c>
    </row>
    <row r="40" spans="1:99" x14ac:dyDescent="0.2">
      <c r="D40">
        <f t="shared" si="7"/>
        <v>2010</v>
      </c>
      <c r="E40" s="207">
        <f>place_nsa_all!C39</f>
        <v>50.7</v>
      </c>
      <c r="F40">
        <f>$F$7*E40</f>
        <v>48.672000000000004</v>
      </c>
      <c r="G40" s="28">
        <f>G39</f>
        <v>-135.24426699351261</v>
      </c>
      <c r="H40">
        <f>F40+G40</f>
        <v>-86.572266993512613</v>
      </c>
      <c r="I40" s="2">
        <f>I39+H40</f>
        <v>71569.666086913872</v>
      </c>
      <c r="J40" s="143"/>
      <c r="O40" s="2"/>
      <c r="Q40" s="2"/>
      <c r="R40" s="2"/>
      <c r="S40" s="2"/>
      <c r="T40" s="2"/>
      <c r="U40" s="12"/>
      <c r="V40" s="12"/>
      <c r="W40" s="12"/>
      <c r="X40" s="2"/>
      <c r="Y40" s="2"/>
      <c r="Z40" s="12">
        <f>AVERAGE(Z39,Z41)</f>
        <v>0.212765288050899</v>
      </c>
      <c r="AI40" s="24">
        <f t="shared" si="33"/>
        <v>7.4316889062984872</v>
      </c>
      <c r="AJ40" s="2">
        <f>AM39</f>
        <v>8810.3128339679297</v>
      </c>
      <c r="AK40" s="24">
        <f t="shared" si="11"/>
        <v>-71.530327353800658</v>
      </c>
      <c r="AL40">
        <f t="shared" si="12"/>
        <v>55.230000000000004</v>
      </c>
      <c r="AM40" s="2">
        <f>AJ40+AK40+AL40</f>
        <v>8794.0125066141281</v>
      </c>
      <c r="AN40" s="2">
        <f>X40</f>
        <v>0</v>
      </c>
      <c r="AO40" s="2"/>
      <c r="AQ40">
        <f>AK40/AJ40</f>
        <v>-8.1189316091044312E-3</v>
      </c>
      <c r="AS40">
        <f>D40</f>
        <v>2010</v>
      </c>
      <c r="AT40" s="2"/>
      <c r="AU40" s="2">
        <f>AM40</f>
        <v>8794.0125066141281</v>
      </c>
      <c r="AV40" s="2">
        <f>AU40-L40</f>
        <v>8794.0125066141281</v>
      </c>
      <c r="AW40">
        <f>AS40</f>
        <v>2010</v>
      </c>
      <c r="AX40" s="421">
        <f>(1-Z40)*AU40</f>
        <v>6922.9519025211648</v>
      </c>
      <c r="AY40" s="2"/>
      <c r="BC40" s="423"/>
      <c r="BE40">
        <f>'Comps Ann_2015'!E52</f>
        <v>496.3</v>
      </c>
      <c r="BF40" s="280">
        <f>place_nsa_all!C39*BF$1</f>
        <v>45.63</v>
      </c>
      <c r="BG40" s="2">
        <f>place_nsa_all!AB39</f>
        <v>1421.8934911242602</v>
      </c>
      <c r="BH40">
        <f t="shared" si="18"/>
        <v>64881</v>
      </c>
      <c r="BI40" s="2">
        <f t="shared" si="3"/>
        <v>6710590.7999999998</v>
      </c>
      <c r="BJ40">
        <f t="shared" si="19"/>
        <v>4911.8714999999993</v>
      </c>
      <c r="BK40">
        <f t="shared" si="2"/>
        <v>1366.1983624775203</v>
      </c>
      <c r="BL40">
        <f t="shared" si="34"/>
        <v>6640.2580035109822</v>
      </c>
      <c r="BM40" s="2">
        <f>BM$15+SUM(AK$15:AK40)</f>
        <v>1751.2015035109839</v>
      </c>
      <c r="BN40" s="280">
        <f t="shared" si="20"/>
        <v>952</v>
      </c>
      <c r="BO40">
        <f t="shared" si="21"/>
        <v>1667143.8313424566</v>
      </c>
      <c r="BP40">
        <f t="shared" si="22"/>
        <v>0.73717810046682364</v>
      </c>
      <c r="BQ40" s="289">
        <f t="shared" si="42"/>
        <v>1546.7734514040417</v>
      </c>
      <c r="BR40" s="280">
        <f t="shared" si="23"/>
        <v>70579.272587566433</v>
      </c>
      <c r="BS40" s="280">
        <f t="shared" si="36"/>
        <v>6989426.0126882019</v>
      </c>
      <c r="BT40" s="280">
        <f t="shared" si="24"/>
        <v>1250.4160025838332</v>
      </c>
      <c r="BW40" s="282">
        <f t="shared" si="25"/>
        <v>6663.0730035109827</v>
      </c>
      <c r="BX40" s="280"/>
      <c r="BY40">
        <f>AS40</f>
        <v>2010</v>
      </c>
      <c r="CA40" s="207">
        <f t="shared" si="9"/>
        <v>1250.4160025838332</v>
      </c>
      <c r="CB40" s="426"/>
      <c r="CC40" s="424">
        <f t="shared" si="41"/>
        <v>1250.4160025838332</v>
      </c>
      <c r="CD40" s="421">
        <f>CD39+$CE$46</f>
        <v>1104.3627450980393</v>
      </c>
    </row>
    <row r="41" spans="1:99" s="280" customFormat="1" x14ac:dyDescent="0.2">
      <c r="A41" s="282">
        <f>Total_stock_SF!AN41</f>
        <v>90742</v>
      </c>
      <c r="B41" s="280">
        <f>Total_stock_SF!J41</f>
        <v>80525.757068709005</v>
      </c>
      <c r="D41" s="280">
        <f t="shared" si="7"/>
        <v>2011</v>
      </c>
      <c r="E41" s="207">
        <f>place_nsa_all!C40</f>
        <v>47.6</v>
      </c>
      <c r="F41" s="280">
        <f>$F$7*E41</f>
        <v>45.695999999999998</v>
      </c>
      <c r="G41" s="28">
        <f>G40</f>
        <v>-135.24426699351261</v>
      </c>
      <c r="H41" s="280">
        <f>F41+G41</f>
        <v>-89.548266993512613</v>
      </c>
      <c r="I41" s="282">
        <f>I40+H41</f>
        <v>71480.117819920357</v>
      </c>
      <c r="J41" s="143">
        <f>7190</f>
        <v>7190</v>
      </c>
      <c r="K41" s="280">
        <f>3906+1715</f>
        <v>5621</v>
      </c>
      <c r="L41" s="280">
        <f>803+252+1238+115</f>
        <v>2408</v>
      </c>
      <c r="M41" s="280">
        <f>K41-K$29</f>
        <v>1931</v>
      </c>
      <c r="N41" s="280">
        <f>L41-L$29</f>
        <v>909</v>
      </c>
      <c r="O41" s="282">
        <f>I41-N41</f>
        <v>70571.117819920357</v>
      </c>
      <c r="P41" s="280">
        <f>D41</f>
        <v>2011</v>
      </c>
      <c r="Q41" s="282">
        <f>O41</f>
        <v>70571.117819920357</v>
      </c>
      <c r="R41" s="282">
        <f>J41</f>
        <v>7190</v>
      </c>
      <c r="S41" s="282">
        <f>R41+L41</f>
        <v>9598</v>
      </c>
      <c r="T41" s="282">
        <f>1713+2118+213+195</f>
        <v>4239</v>
      </c>
      <c r="U41" s="12">
        <f>T41/R41</f>
        <v>0.5895688456189152</v>
      </c>
      <c r="V41" s="12"/>
      <c r="W41" s="12"/>
      <c r="X41" s="282">
        <v>9049</v>
      </c>
      <c r="Y41" s="282">
        <f>X41-R41</f>
        <v>1859</v>
      </c>
      <c r="Z41" s="12">
        <f>Y41/X41</f>
        <v>0.20543706486904631</v>
      </c>
      <c r="AI41" s="24">
        <f t="shared" si="33"/>
        <v>7.1838360226274656</v>
      </c>
      <c r="AJ41" s="282">
        <f>AM40</f>
        <v>8794.0125066141281</v>
      </c>
      <c r="AK41" s="24">
        <f t="shared" si="11"/>
        <v>-69.016805067174516</v>
      </c>
      <c r="AL41" s="280">
        <f t="shared" si="12"/>
        <v>51.607500000000009</v>
      </c>
      <c r="AM41" s="282">
        <f>AJ41+AK41+AL41</f>
        <v>8776.6032015469536</v>
      </c>
      <c r="AN41" s="282">
        <f>X41</f>
        <v>9049</v>
      </c>
      <c r="AO41" s="344">
        <f t="shared" si="39"/>
        <v>272.39679845304636</v>
      </c>
      <c r="AP41" s="280">
        <f>AO41*AO41</f>
        <v>74200.015807469565</v>
      </c>
      <c r="AQ41" s="280">
        <f>AK41/AJ41</f>
        <v>-7.8481586210237698E-3</v>
      </c>
      <c r="AS41" s="280">
        <f>D41</f>
        <v>2011</v>
      </c>
      <c r="AT41" s="282">
        <f>AN41</f>
        <v>9049</v>
      </c>
      <c r="AU41" s="282">
        <f>AM41</f>
        <v>8776.6032015469536</v>
      </c>
      <c r="AV41" s="282">
        <f>AU41-L41</f>
        <v>6368.6032015469536</v>
      </c>
      <c r="AW41" s="280">
        <f>AS41</f>
        <v>2011</v>
      </c>
      <c r="AX41" s="421">
        <f>(1-Z41)*AU41</f>
        <v>6973.5636003008722</v>
      </c>
      <c r="AY41" s="282">
        <f>R41</f>
        <v>7190</v>
      </c>
      <c r="BC41" s="423">
        <f>AHS_tables!FI$13</f>
        <v>1356.9600099577319</v>
      </c>
      <c r="BE41" s="280">
        <f>'Comps Ann_2015'!E53</f>
        <v>446.6</v>
      </c>
      <c r="BF41" s="280">
        <f>place_nsa_all!C40*BF$1</f>
        <v>42.84</v>
      </c>
      <c r="BG41" s="282">
        <f>place_nsa_all!AB40</f>
        <v>1382.1428571428571</v>
      </c>
      <c r="BH41" s="280">
        <f>BF41*BG41</f>
        <v>59211</v>
      </c>
      <c r="BI41" s="282">
        <f>BI40+BH41</f>
        <v>6769801.7999999998</v>
      </c>
      <c r="BJ41" s="280">
        <f>BJ40+BF41</f>
        <v>4954.7114999999994</v>
      </c>
      <c r="BK41" s="280">
        <f>BI41/BJ41</f>
        <v>1366.3362236126161</v>
      </c>
      <c r="BL41" s="280">
        <f>(BJ41+BJ40)*0.5*$BN$7+BM41</f>
        <v>6615.4761984438082</v>
      </c>
      <c r="BM41" s="282">
        <f>BM$15+SUM(AK$15:AK41)</f>
        <v>1682.1846984438093</v>
      </c>
      <c r="BN41" s="280">
        <f>BN$27+$BN$11*(BY41-BY$27)</f>
        <v>956</v>
      </c>
      <c r="BO41" s="280">
        <f>BM41*$BN41</f>
        <v>1608168.5717122818</v>
      </c>
      <c r="BP41" s="280">
        <f>BJ41/(BJ41+BM41)</f>
        <v>0.74654045382866763</v>
      </c>
      <c r="BQ41" s="289">
        <f>BQ40+BG41-BG40</f>
        <v>1507.0228174226388</v>
      </c>
      <c r="BR41" s="280">
        <f>BF41*BQ41*$BN$7*$BN$10</f>
        <v>64560.857498385849</v>
      </c>
      <c r="BS41" s="280">
        <f>BS40+BR41</f>
        <v>7053986.8701865878</v>
      </c>
      <c r="BT41" s="280">
        <f>(BO41+BS41)/AX41</f>
        <v>1242.1418858967807</v>
      </c>
      <c r="BU41" s="280">
        <f>BC41</f>
        <v>1356.9600099577319</v>
      </c>
      <c r="BW41" s="282"/>
      <c r="BY41" s="280">
        <v>2011</v>
      </c>
      <c r="BZ41" s="280">
        <f>BU41</f>
        <v>1356.9600099577319</v>
      </c>
      <c r="CA41" s="207">
        <f t="shared" si="9"/>
        <v>1242.1418858967807</v>
      </c>
      <c r="CB41" s="426"/>
      <c r="CC41" s="207">
        <f>CC40/CC15</f>
        <v>1.3102253453663026</v>
      </c>
      <c r="CD41" s="421">
        <f t="shared" ref="CD41:CD44" si="43">CD40+$CE$46</f>
        <v>1121.7254901960787</v>
      </c>
    </row>
    <row r="42" spans="1:99" s="341" customFormat="1" x14ac:dyDescent="0.2">
      <c r="A42" s="344"/>
      <c r="D42" s="341">
        <v>2012</v>
      </c>
      <c r="E42" s="207">
        <f>place_nsa_all!C41</f>
        <v>52.8</v>
      </c>
      <c r="F42" s="341">
        <f t="shared" ref="F42:F48" si="44">$F$7*E42</f>
        <v>50.687999999999995</v>
      </c>
      <c r="G42" s="28">
        <f t="shared" ref="G42:G48" si="45">G41</f>
        <v>-135.24426699351261</v>
      </c>
      <c r="H42" s="341">
        <f t="shared" ref="H42:H48" si="46">F42+G42</f>
        <v>-84.556266993512622</v>
      </c>
      <c r="I42" s="344">
        <f t="shared" ref="I42:I48" si="47">I41+H42</f>
        <v>71395.56155292684</v>
      </c>
      <c r="J42" s="143"/>
      <c r="K42" s="15"/>
      <c r="L42" s="15"/>
      <c r="M42" s="15"/>
      <c r="N42" s="15"/>
      <c r="O42" s="352"/>
      <c r="P42" s="15"/>
      <c r="Q42" s="352"/>
      <c r="R42" s="344"/>
      <c r="S42" s="352"/>
      <c r="T42" s="352"/>
      <c r="U42" s="359"/>
      <c r="V42" s="359"/>
      <c r="W42" s="359"/>
      <c r="X42" s="352"/>
      <c r="Y42" s="352"/>
      <c r="Z42" s="359">
        <f>AVERAGE(Z41,Z43)</f>
        <v>0.20070760601350723</v>
      </c>
      <c r="AA42" s="15"/>
      <c r="AB42" s="15"/>
      <c r="AC42" s="15"/>
      <c r="AD42" s="15"/>
      <c r="AE42" s="15"/>
      <c r="AF42" s="15"/>
      <c r="AG42" s="15"/>
      <c r="AH42" s="15"/>
      <c r="AI42" s="29">
        <f t="shared" ref="AI42:AI43" si="48">AL42^$AJ$12</f>
        <v>7.2601652873746616</v>
      </c>
      <c r="AJ42" s="352">
        <f t="shared" ref="AJ42:AJ43" si="49">AM41</f>
        <v>8776.6032015469536</v>
      </c>
      <c r="AK42" s="29">
        <f t="shared" si="11"/>
        <v>-69.612035584519376</v>
      </c>
      <c r="AL42" s="15">
        <f t="shared" si="12"/>
        <v>52.710000000000008</v>
      </c>
      <c r="AM42" s="352">
        <f t="shared" ref="AM42:AM48" si="50">AJ42+AK42+AL42</f>
        <v>8759.7011659624332</v>
      </c>
      <c r="AN42" s="352"/>
      <c r="AO42" s="352"/>
      <c r="AP42" s="341">
        <f t="shared" ref="AP42:AP48" si="51">AO42*AO42</f>
        <v>0</v>
      </c>
      <c r="AQ42" s="341">
        <f t="shared" ref="AQ42:AQ48" si="52">AK42/AJ42</f>
        <v>-7.9315464065015089E-3</v>
      </c>
      <c r="AR42" s="15"/>
      <c r="AS42" s="15">
        <v>2012</v>
      </c>
      <c r="AT42" s="352"/>
      <c r="AU42" s="352">
        <f t="shared" ref="AU42:AU43" si="53">AM42</f>
        <v>8759.7011659624332</v>
      </c>
      <c r="AV42" s="352">
        <f t="shared" ref="AV42:AV43" si="54">AU42-L42</f>
        <v>8759.7011659624332</v>
      </c>
      <c r="AW42" s="15">
        <f t="shared" ref="AW42:AW43" si="55">AS42</f>
        <v>2012</v>
      </c>
      <c r="AX42" s="421">
        <f t="shared" ref="AX42:AX43" si="56">(1-Z42)*AU42</f>
        <v>7001.5625155483849</v>
      </c>
      <c r="AY42" s="344"/>
      <c r="BC42" s="423"/>
      <c r="BG42" s="344"/>
      <c r="BI42" s="344"/>
      <c r="BM42" s="344"/>
      <c r="BN42" s="341">
        <f>BN$27+$BN$11*(BY42-BY$27)</f>
        <v>960</v>
      </c>
      <c r="BQ42" s="289"/>
      <c r="BW42" s="344"/>
      <c r="BY42" s="341">
        <v>2012</v>
      </c>
      <c r="CA42" s="207"/>
      <c r="CB42" s="426"/>
      <c r="CC42" s="207"/>
      <c r="CD42" s="421">
        <f t="shared" si="43"/>
        <v>1139.088235294118</v>
      </c>
    </row>
    <row r="43" spans="1:99" s="341" customFormat="1" x14ac:dyDescent="0.2">
      <c r="A43" s="344"/>
      <c r="D43" s="341">
        <v>2013</v>
      </c>
      <c r="E43" s="207">
        <f>place_nsa_all!C42</f>
        <v>56.3</v>
      </c>
      <c r="F43" s="341">
        <f t="shared" si="44"/>
        <v>54.047999999999995</v>
      </c>
      <c r="G43" s="28">
        <f t="shared" si="45"/>
        <v>-135.24426699351261</v>
      </c>
      <c r="H43" s="341">
        <f t="shared" si="46"/>
        <v>-81.196266993512609</v>
      </c>
      <c r="I43" s="344">
        <f t="shared" si="47"/>
        <v>71314.365285933323</v>
      </c>
      <c r="J43" s="143">
        <v>6917</v>
      </c>
      <c r="K43" s="15"/>
      <c r="L43" s="15"/>
      <c r="M43" s="15"/>
      <c r="N43" s="15"/>
      <c r="O43" s="352"/>
      <c r="P43" s="15"/>
      <c r="Q43" s="352"/>
      <c r="R43" s="344">
        <f>J43</f>
        <v>6917</v>
      </c>
      <c r="S43" s="352"/>
      <c r="T43" s="352"/>
      <c r="U43" s="359"/>
      <c r="V43" s="359"/>
      <c r="W43" s="359"/>
      <c r="X43" s="352">
        <v>8603</v>
      </c>
      <c r="Y43" s="352">
        <f t="shared" ref="Y43:Y47" si="57">X43-R43</f>
        <v>1686</v>
      </c>
      <c r="Z43" s="359">
        <f t="shared" ref="Z43:Z47" si="58">Y43/X43</f>
        <v>0.19597814715796816</v>
      </c>
      <c r="AA43" s="15"/>
      <c r="AB43" s="15"/>
      <c r="AC43" s="15"/>
      <c r="AD43" s="15"/>
      <c r="AE43" s="15"/>
      <c r="AF43" s="15"/>
      <c r="AG43" s="15"/>
      <c r="AH43" s="15"/>
      <c r="AI43" s="29">
        <f t="shared" si="48"/>
        <v>7.5681900081855762</v>
      </c>
      <c r="AJ43" s="352">
        <f t="shared" si="49"/>
        <v>8759.7011659624332</v>
      </c>
      <c r="AK43" s="29">
        <f t="shared" si="11"/>
        <v>-72.425696281904422</v>
      </c>
      <c r="AL43" s="15">
        <f t="shared" si="12"/>
        <v>57.277499999999996</v>
      </c>
      <c r="AM43" s="352">
        <f t="shared" si="50"/>
        <v>8744.5529696805297</v>
      </c>
      <c r="AN43" s="352">
        <f t="shared" ref="AN43:AN47" si="59">X43</f>
        <v>8603</v>
      </c>
      <c r="AO43" s="344">
        <f t="shared" si="39"/>
        <v>-141.55296968052971</v>
      </c>
      <c r="AP43" s="341">
        <f t="shared" si="51"/>
        <v>20037.243225376966</v>
      </c>
      <c r="AQ43" s="341">
        <f t="shared" si="52"/>
        <v>-8.2680556002673825E-3</v>
      </c>
      <c r="AR43" s="15"/>
      <c r="AS43" s="15">
        <v>2013</v>
      </c>
      <c r="AT43" s="352">
        <f t="shared" ref="AT43:AT47" si="60">AN43</f>
        <v>8603</v>
      </c>
      <c r="AU43" s="352">
        <f t="shared" si="53"/>
        <v>8744.5529696805297</v>
      </c>
      <c r="AV43" s="352">
        <f t="shared" si="54"/>
        <v>8744.5529696805297</v>
      </c>
      <c r="AW43" s="15">
        <f t="shared" si="55"/>
        <v>2013</v>
      </c>
      <c r="AX43" s="421">
        <f t="shared" si="56"/>
        <v>7030.8116809578314</v>
      </c>
      <c r="AY43" s="344">
        <f>R43</f>
        <v>6917</v>
      </c>
      <c r="BC43" s="423">
        <f>AHS_tables!FW$13</f>
        <v>1449.1383573860844</v>
      </c>
      <c r="BG43" s="344"/>
      <c r="BI43" s="344"/>
      <c r="BM43" s="344"/>
      <c r="BQ43" s="289"/>
      <c r="BW43" s="344"/>
      <c r="BY43" s="341">
        <v>2013</v>
      </c>
      <c r="CA43" s="207"/>
      <c r="CB43" s="426"/>
      <c r="CC43" s="207"/>
      <c r="CD43" s="421">
        <f t="shared" si="43"/>
        <v>1156.4509803921574</v>
      </c>
    </row>
    <row r="44" spans="1:99" s="341" customFormat="1" x14ac:dyDescent="0.2">
      <c r="A44" s="344"/>
      <c r="D44" s="341">
        <v>2014</v>
      </c>
      <c r="E44" s="207">
        <f>place_nsa_all!C43</f>
        <v>44</v>
      </c>
      <c r="F44" s="341">
        <f t="shared" si="44"/>
        <v>42.239999999999995</v>
      </c>
      <c r="G44" s="28">
        <f t="shared" si="45"/>
        <v>-135.24426699351261</v>
      </c>
      <c r="H44" s="341">
        <f t="shared" si="46"/>
        <v>-93.004266993512616</v>
      </c>
      <c r="I44" s="344">
        <f t="shared" si="47"/>
        <v>71221.361018939817</v>
      </c>
      <c r="J44" s="143"/>
      <c r="K44" s="15"/>
      <c r="L44" s="15"/>
      <c r="M44" s="15"/>
      <c r="N44" s="15"/>
      <c r="O44" s="352"/>
      <c r="P44" s="15"/>
      <c r="Q44" s="352"/>
      <c r="R44" s="344"/>
      <c r="S44" s="352"/>
      <c r="T44" s="352"/>
      <c r="U44" s="359"/>
      <c r="V44" s="359"/>
      <c r="W44" s="359"/>
      <c r="X44" s="352"/>
      <c r="Y44" s="352"/>
      <c r="Z44" s="359">
        <f>AVERAGE(Z43,Z45)</f>
        <v>0.2007232012483561</v>
      </c>
      <c r="AA44" s="15"/>
      <c r="AB44" s="15"/>
      <c r="AC44" s="15"/>
      <c r="AD44" s="15"/>
      <c r="AE44" s="15"/>
      <c r="AF44" s="15"/>
      <c r="AG44" s="15"/>
      <c r="AH44" s="15"/>
      <c r="AI44" s="29">
        <f t="shared" ref="AI44:AI48" si="61">AL44^$AJ$12</f>
        <v>7.2565487664591632</v>
      </c>
      <c r="AJ44" s="352">
        <f t="shared" ref="AJ44:AJ48" si="62">AM43</f>
        <v>8744.5529696805297</v>
      </c>
      <c r="AK44" s="29">
        <f t="shared" si="11"/>
        <v>-69.323278327222994</v>
      </c>
      <c r="AL44" s="15">
        <f t="shared" si="12"/>
        <v>52.657499999999999</v>
      </c>
      <c r="AM44" s="352">
        <f t="shared" si="50"/>
        <v>8727.8871913533058</v>
      </c>
      <c r="AN44" s="352"/>
      <c r="AO44" s="352"/>
      <c r="AP44" s="341">
        <f t="shared" si="51"/>
        <v>0</v>
      </c>
      <c r="AQ44" s="341">
        <f t="shared" si="52"/>
        <v>-7.9275954491422815E-3</v>
      </c>
      <c r="AR44" s="15"/>
      <c r="AS44" s="15">
        <v>2014</v>
      </c>
      <c r="AT44" s="352"/>
      <c r="AU44" s="352">
        <f t="shared" ref="AU44:AU48" si="63">AM44</f>
        <v>8727.8871913533058</v>
      </c>
      <c r="AV44" s="352">
        <f t="shared" ref="AV44:AV48" si="64">AU44-L44</f>
        <v>8727.8871913533058</v>
      </c>
      <c r="AW44" s="15">
        <f t="shared" ref="AW44:AW48" si="65">AS44</f>
        <v>2014</v>
      </c>
      <c r="AX44" s="421">
        <f t="shared" ref="AX44:AX48" si="66">(1-Z44)*AU44</f>
        <v>6975.997734170347</v>
      </c>
      <c r="AY44" s="344"/>
      <c r="BG44" s="344"/>
      <c r="BI44" s="344"/>
      <c r="BM44" s="344"/>
      <c r="BQ44" s="289"/>
      <c r="BW44" s="344"/>
      <c r="BY44" s="341">
        <v>2014</v>
      </c>
      <c r="CA44" s="207"/>
      <c r="CB44" s="426"/>
      <c r="CC44" s="207"/>
      <c r="CD44" s="421">
        <f t="shared" si="43"/>
        <v>1173.8137254901967</v>
      </c>
    </row>
    <row r="45" spans="1:99" s="341" customFormat="1" x14ac:dyDescent="0.2">
      <c r="A45" s="344"/>
      <c r="D45" s="341">
        <v>2015</v>
      </c>
      <c r="E45" s="207">
        <f>place_nsa_all!C44</f>
        <v>45.6</v>
      </c>
      <c r="F45" s="341">
        <f t="shared" si="44"/>
        <v>43.775999999999996</v>
      </c>
      <c r="G45" s="28">
        <f t="shared" si="45"/>
        <v>-135.24426699351261</v>
      </c>
      <c r="H45" s="341">
        <f t="shared" si="46"/>
        <v>-91.468266993512614</v>
      </c>
      <c r="I45" s="344">
        <f t="shared" si="47"/>
        <v>71129.892751946303</v>
      </c>
      <c r="J45" s="143">
        <v>6901.7</v>
      </c>
      <c r="K45" s="15"/>
      <c r="L45" s="15"/>
      <c r="M45" s="15"/>
      <c r="N45" s="15"/>
      <c r="O45" s="352"/>
      <c r="P45" s="15"/>
      <c r="Q45" s="352"/>
      <c r="R45" s="344">
        <f>J45</f>
        <v>6901.7</v>
      </c>
      <c r="S45" s="352"/>
      <c r="T45" s="352"/>
      <c r="U45" s="359"/>
      <c r="V45" s="359"/>
      <c r="W45" s="359"/>
      <c r="X45" s="352">
        <f>8686.5</f>
        <v>8686.5</v>
      </c>
      <c r="Y45" s="352">
        <f t="shared" si="57"/>
        <v>1784.8000000000002</v>
      </c>
      <c r="Z45" s="359">
        <f t="shared" si="58"/>
        <v>0.20546825533874405</v>
      </c>
      <c r="AA45" s="15"/>
      <c r="AB45" s="15"/>
      <c r="AC45" s="15"/>
      <c r="AD45" s="15"/>
      <c r="AE45" s="15"/>
      <c r="AF45" s="15"/>
      <c r="AG45" s="15"/>
      <c r="AH45" s="15"/>
      <c r="AI45" s="29">
        <f t="shared" si="61"/>
        <v>6.8585712797928986</v>
      </c>
      <c r="AJ45" s="352">
        <f t="shared" si="62"/>
        <v>8727.8871913533058</v>
      </c>
      <c r="AK45" s="29">
        <f t="shared" si="11"/>
        <v>-65.396445292191416</v>
      </c>
      <c r="AL45" s="15">
        <f t="shared" si="12"/>
        <v>47.04</v>
      </c>
      <c r="AM45" s="352">
        <f t="shared" si="50"/>
        <v>8709.5307460611148</v>
      </c>
      <c r="AN45" s="352">
        <f t="shared" si="59"/>
        <v>8686.5</v>
      </c>
      <c r="AO45" s="344">
        <f t="shared" si="39"/>
        <v>-23.030746061114769</v>
      </c>
      <c r="AP45" s="341">
        <f t="shared" si="51"/>
        <v>530.4152641315535</v>
      </c>
      <c r="AQ45" s="341">
        <f t="shared" si="52"/>
        <v>-7.4928151405278818E-3</v>
      </c>
      <c r="AR45" s="15"/>
      <c r="AS45" s="15">
        <v>2015</v>
      </c>
      <c r="AT45" s="352">
        <f t="shared" si="60"/>
        <v>8686.5</v>
      </c>
      <c r="AU45" s="352">
        <f t="shared" si="63"/>
        <v>8709.5307460611148</v>
      </c>
      <c r="AV45" s="352">
        <f t="shared" si="64"/>
        <v>8709.5307460611148</v>
      </c>
      <c r="AW45" s="15">
        <f t="shared" si="65"/>
        <v>2015</v>
      </c>
      <c r="AX45" s="421">
        <f t="shared" si="66"/>
        <v>6919.9986588487882</v>
      </c>
      <c r="AY45" s="344">
        <f>R45</f>
        <v>6901.7</v>
      </c>
      <c r="BG45" s="344"/>
      <c r="BI45" s="344"/>
      <c r="BM45" s="344"/>
      <c r="BQ45" s="289"/>
      <c r="BW45" s="344"/>
      <c r="BY45" s="341">
        <v>2015</v>
      </c>
      <c r="CA45" s="207"/>
      <c r="CB45" s="426"/>
      <c r="CC45" s="207"/>
      <c r="CD45" s="421">
        <f>RECS_4_adj!$O$49</f>
        <v>1191.1764705882354</v>
      </c>
      <c r="CE45" s="341">
        <f>CD45-CD39</f>
        <v>104.17647058823536</v>
      </c>
      <c r="CF45" s="341" t="s">
        <v>747</v>
      </c>
    </row>
    <row r="46" spans="1:99" s="341" customFormat="1" x14ac:dyDescent="0.2">
      <c r="A46" s="344"/>
      <c r="D46" s="341">
        <v>2016</v>
      </c>
      <c r="E46" s="207">
        <f>place_nsa_all!C45</f>
        <v>51.599999999999994</v>
      </c>
      <c r="F46" s="341">
        <f t="shared" si="44"/>
        <v>49.535999999999994</v>
      </c>
      <c r="G46" s="28">
        <f t="shared" si="45"/>
        <v>-135.24426699351261</v>
      </c>
      <c r="H46" s="341">
        <f t="shared" si="46"/>
        <v>-85.708266993512609</v>
      </c>
      <c r="I46" s="344">
        <f t="shared" si="47"/>
        <v>71044.184484952784</v>
      </c>
      <c r="J46" s="143"/>
      <c r="K46" s="15"/>
      <c r="L46" s="15"/>
      <c r="M46" s="15"/>
      <c r="N46" s="15"/>
      <c r="O46" s="352"/>
      <c r="P46" s="15"/>
      <c r="Q46" s="352"/>
      <c r="R46" s="344"/>
      <c r="S46" s="352"/>
      <c r="T46" s="352"/>
      <c r="U46" s="359"/>
      <c r="V46" s="359"/>
      <c r="W46" s="359"/>
      <c r="X46" s="352"/>
      <c r="Y46" s="352"/>
      <c r="Z46" s="359">
        <f>AVERAGE(Z45,Z47)</f>
        <v>0.20231491535977425</v>
      </c>
      <c r="AA46" s="15"/>
      <c r="AB46" s="15"/>
      <c r="AC46" s="15"/>
      <c r="AD46" s="15"/>
      <c r="AE46" s="15"/>
      <c r="AF46" s="15"/>
      <c r="AG46" s="15"/>
      <c r="AH46" s="15"/>
      <c r="AI46" s="29">
        <f t="shared" si="61"/>
        <v>7.143528539874394</v>
      </c>
      <c r="AJ46" s="352">
        <f t="shared" si="62"/>
        <v>8709.5307460611148</v>
      </c>
      <c r="AK46" s="29">
        <f t="shared" si="11"/>
        <v>-67.970255473241167</v>
      </c>
      <c r="AL46" s="15">
        <f t="shared" si="12"/>
        <v>51.029999999999994</v>
      </c>
      <c r="AM46" s="352">
        <f t="shared" si="50"/>
        <v>8692.5904905878742</v>
      </c>
      <c r="AN46" s="352"/>
      <c r="AO46" s="352"/>
      <c r="AP46" s="341">
        <f t="shared" si="51"/>
        <v>0</v>
      </c>
      <c r="AQ46" s="341">
        <f t="shared" si="52"/>
        <v>-7.8041237186034064E-3</v>
      </c>
      <c r="AR46" s="15"/>
      <c r="AS46" s="15">
        <v>2016</v>
      </c>
      <c r="AT46" s="352"/>
      <c r="AU46" s="352">
        <f t="shared" si="63"/>
        <v>8692.5904905878742</v>
      </c>
      <c r="AV46" s="352">
        <f t="shared" si="64"/>
        <v>8692.5904905878742</v>
      </c>
      <c r="AW46" s="15">
        <f t="shared" si="65"/>
        <v>2016</v>
      </c>
      <c r="AX46" s="421">
        <f t="shared" si="66"/>
        <v>6933.9497812274094</v>
      </c>
      <c r="AY46" s="344"/>
      <c r="BG46" s="344"/>
      <c r="BI46" s="344"/>
      <c r="BM46" s="344"/>
      <c r="BQ46" s="289"/>
      <c r="BW46" s="344"/>
      <c r="BY46" s="341">
        <v>2016</v>
      </c>
      <c r="CA46" s="207"/>
      <c r="CB46" s="426"/>
      <c r="CC46" s="207"/>
      <c r="CD46" s="425">
        <f>1196</f>
        <v>1196</v>
      </c>
      <c r="CE46" s="144">
        <f>CE45/6</f>
        <v>17.362745098039227</v>
      </c>
      <c r="CF46" s="341" t="s">
        <v>723</v>
      </c>
    </row>
    <row r="47" spans="1:99" s="341" customFormat="1" x14ac:dyDescent="0.2">
      <c r="A47" s="344"/>
      <c r="D47" s="341">
        <v>2017</v>
      </c>
      <c r="E47" s="207">
        <f>place_nsa_all!C46</f>
        <v>53.899999999999991</v>
      </c>
      <c r="F47" s="341">
        <f t="shared" si="44"/>
        <v>51.743999999999993</v>
      </c>
      <c r="G47" s="28">
        <f t="shared" si="45"/>
        <v>-135.24426699351261</v>
      </c>
      <c r="H47" s="341">
        <f t="shared" si="46"/>
        <v>-83.500266993512611</v>
      </c>
      <c r="I47" s="344">
        <f t="shared" si="47"/>
        <v>70960.684217959279</v>
      </c>
      <c r="J47" s="143">
        <v>6724.4</v>
      </c>
      <c r="K47" s="15"/>
      <c r="L47" s="15"/>
      <c r="M47" s="15"/>
      <c r="N47" s="15"/>
      <c r="O47" s="352"/>
      <c r="P47" s="15"/>
      <c r="Q47" s="352"/>
      <c r="R47" s="344">
        <f>J47</f>
        <v>6724.4</v>
      </c>
      <c r="S47" s="352"/>
      <c r="T47" s="352"/>
      <c r="U47" s="359"/>
      <c r="V47" s="359"/>
      <c r="W47" s="359"/>
      <c r="X47" s="352">
        <v>8396.7000000000007</v>
      </c>
      <c r="Y47" s="352">
        <f t="shared" si="57"/>
        <v>1672.3000000000011</v>
      </c>
      <c r="Z47" s="359">
        <f t="shared" si="58"/>
        <v>0.19916157538080448</v>
      </c>
      <c r="AA47" s="15"/>
      <c r="AB47" s="15"/>
      <c r="AC47" s="15"/>
      <c r="AD47" s="15"/>
      <c r="AE47" s="15"/>
      <c r="AF47" s="15"/>
      <c r="AG47" s="15"/>
      <c r="AH47" s="15"/>
      <c r="AI47" s="29">
        <f t="shared" si="61"/>
        <v>7.4422778771018754</v>
      </c>
      <c r="AJ47" s="352">
        <f t="shared" si="62"/>
        <v>8692.5904905878742</v>
      </c>
      <c r="AK47" s="29">
        <f t="shared" si="11"/>
        <v>-70.675105167796929</v>
      </c>
      <c r="AL47" s="15">
        <f t="shared" si="12"/>
        <v>55.387499999999996</v>
      </c>
      <c r="AM47" s="352">
        <f t="shared" si="50"/>
        <v>8677.3028854200784</v>
      </c>
      <c r="AN47" s="352">
        <f t="shared" si="59"/>
        <v>8396.7000000000007</v>
      </c>
      <c r="AO47" s="344">
        <f t="shared" si="39"/>
        <v>-280.60288542007765</v>
      </c>
      <c r="AP47" s="341">
        <f t="shared" si="51"/>
        <v>78737.979306073234</v>
      </c>
      <c r="AQ47" s="341">
        <f t="shared" si="52"/>
        <v>-8.1304997910947516E-3</v>
      </c>
      <c r="AR47" s="15"/>
      <c r="AS47" s="15">
        <v>2017</v>
      </c>
      <c r="AT47" s="352">
        <f t="shared" si="60"/>
        <v>8396.7000000000007</v>
      </c>
      <c r="AU47" s="352">
        <f t="shared" si="63"/>
        <v>8677.3028854200784</v>
      </c>
      <c r="AV47" s="352">
        <f t="shared" si="64"/>
        <v>8677.3028854200784</v>
      </c>
      <c r="AW47" s="15">
        <f t="shared" si="65"/>
        <v>2017</v>
      </c>
      <c r="AX47" s="421">
        <f t="shared" si="66"/>
        <v>6949.1175727034151</v>
      </c>
      <c r="AY47" s="344">
        <f>R47</f>
        <v>6724.4</v>
      </c>
      <c r="BG47" s="344"/>
      <c r="BI47" s="344"/>
      <c r="BM47" s="344"/>
      <c r="BQ47" s="289"/>
      <c r="BW47" s="344"/>
      <c r="BY47" s="341">
        <v>2017</v>
      </c>
      <c r="CA47" s="207"/>
      <c r="CB47" s="426"/>
      <c r="CC47" s="207"/>
      <c r="CD47" s="425">
        <f>1201</f>
        <v>1201</v>
      </c>
      <c r="CE47" s="341" t="s">
        <v>748</v>
      </c>
    </row>
    <row r="48" spans="1:99" s="341" customFormat="1" x14ac:dyDescent="0.2">
      <c r="A48" s="344"/>
      <c r="D48" s="341">
        <v>2018</v>
      </c>
      <c r="E48" s="207">
        <f>place_nsa_all!C47</f>
        <v>55.199999999999996</v>
      </c>
      <c r="F48" s="341">
        <f t="shared" si="44"/>
        <v>52.991999999999997</v>
      </c>
      <c r="G48" s="28">
        <f t="shared" si="45"/>
        <v>-135.24426699351261</v>
      </c>
      <c r="H48" s="341">
        <f t="shared" si="46"/>
        <v>-82.25226699351262</v>
      </c>
      <c r="I48" s="344">
        <f t="shared" si="47"/>
        <v>70878.431950965765</v>
      </c>
      <c r="J48" s="352"/>
      <c r="K48" s="15"/>
      <c r="L48" s="15"/>
      <c r="M48" s="15"/>
      <c r="N48" s="15"/>
      <c r="O48" s="352"/>
      <c r="P48" s="15"/>
      <c r="Q48" s="352"/>
      <c r="R48" s="352"/>
      <c r="S48" s="352"/>
      <c r="T48" s="352"/>
      <c r="U48" s="359"/>
      <c r="V48" s="359"/>
      <c r="W48" s="359"/>
      <c r="X48" s="352"/>
      <c r="Y48" s="352"/>
      <c r="Z48" s="213">
        <f>Z47</f>
        <v>0.19916157538080448</v>
      </c>
      <c r="AA48" s="15"/>
      <c r="AB48" s="15"/>
      <c r="AC48" s="15"/>
      <c r="AD48" s="15"/>
      <c r="AE48" s="15"/>
      <c r="AF48" s="15"/>
      <c r="AG48" s="15"/>
      <c r="AH48" s="15"/>
      <c r="AI48" s="29">
        <f t="shared" si="61"/>
        <v>7.5681900081855762</v>
      </c>
      <c r="AJ48" s="352">
        <f t="shared" si="62"/>
        <v>8677.3028854200784</v>
      </c>
      <c r="AK48" s="29">
        <f t="shared" si="11"/>
        <v>-71.744422717013805</v>
      </c>
      <c r="AL48" s="15">
        <f t="shared" si="12"/>
        <v>57.277499999999996</v>
      </c>
      <c r="AM48" s="352">
        <f t="shared" si="50"/>
        <v>8662.8359627030641</v>
      </c>
      <c r="AN48" s="352"/>
      <c r="AO48" s="352"/>
      <c r="AP48" s="341">
        <f t="shared" si="51"/>
        <v>0</v>
      </c>
      <c r="AQ48" s="341">
        <f t="shared" si="52"/>
        <v>-8.2680556002673843E-3</v>
      </c>
      <c r="AR48" s="15"/>
      <c r="AS48" s="15">
        <v>2018</v>
      </c>
      <c r="AT48" s="352"/>
      <c r="AU48" s="352">
        <f t="shared" si="63"/>
        <v>8662.8359627030641</v>
      </c>
      <c r="AV48" s="352">
        <f t="shared" si="64"/>
        <v>8662.8359627030641</v>
      </c>
      <c r="AW48" s="15">
        <f t="shared" si="65"/>
        <v>2018</v>
      </c>
      <c r="AX48" s="421">
        <f t="shared" si="66"/>
        <v>6937.531905105634</v>
      </c>
      <c r="AY48" s="344"/>
      <c r="BG48" s="344"/>
      <c r="BI48" s="344"/>
      <c r="BM48" s="344"/>
      <c r="BQ48" s="289"/>
      <c r="BW48" s="344"/>
      <c r="CB48" s="15"/>
    </row>
    <row r="49" spans="1:92" s="341" customFormat="1" x14ac:dyDescent="0.2">
      <c r="A49" s="344"/>
      <c r="E49" s="207"/>
      <c r="G49" s="29"/>
      <c r="H49" s="15"/>
      <c r="I49" s="352"/>
      <c r="J49" s="360" t="s">
        <v>608</v>
      </c>
      <c r="K49" s="15"/>
      <c r="L49" s="15"/>
      <c r="M49" s="15"/>
      <c r="N49" s="15"/>
      <c r="O49" s="352"/>
      <c r="P49" s="15"/>
      <c r="Q49" s="352"/>
      <c r="R49" s="352"/>
      <c r="S49" s="352"/>
      <c r="T49" s="352"/>
      <c r="U49" s="359"/>
      <c r="V49" s="359"/>
      <c r="W49" s="359"/>
      <c r="X49" s="360" t="s">
        <v>607</v>
      </c>
      <c r="Y49" s="352"/>
      <c r="Z49" s="359"/>
      <c r="AA49" s="15"/>
      <c r="AB49" s="15"/>
      <c r="AC49" s="15"/>
      <c r="AD49" s="15"/>
      <c r="AE49" s="15"/>
      <c r="AF49" s="15"/>
      <c r="AG49" s="15"/>
      <c r="AH49" s="15"/>
      <c r="AI49" s="29"/>
      <c r="AJ49" s="352"/>
      <c r="AK49" s="29"/>
      <c r="AL49" s="15"/>
      <c r="AM49" s="352"/>
      <c r="AN49" s="352"/>
      <c r="AO49" s="352"/>
      <c r="AP49" s="15"/>
      <c r="AQ49" s="15"/>
      <c r="AR49" s="15"/>
      <c r="AS49" s="15"/>
      <c r="AT49" s="352"/>
      <c r="AU49" s="352"/>
      <c r="AV49" s="352"/>
      <c r="AW49" s="15"/>
      <c r="AX49" s="15"/>
      <c r="AY49" s="344"/>
      <c r="BG49" s="344"/>
      <c r="BI49" s="344"/>
      <c r="BM49" s="344"/>
      <c r="BQ49" s="289"/>
      <c r="BW49" s="344"/>
      <c r="CB49" s="15"/>
    </row>
    <row r="50" spans="1:92" s="341" customFormat="1" x14ac:dyDescent="0.2">
      <c r="A50" s="344"/>
      <c r="E50" s="207"/>
      <c r="G50" s="29"/>
      <c r="H50" s="15"/>
      <c r="I50" s="352"/>
      <c r="J50" s="352"/>
      <c r="K50" s="15"/>
      <c r="L50" s="15"/>
      <c r="M50" s="15"/>
      <c r="N50" s="15"/>
      <c r="O50" s="352"/>
      <c r="P50" s="15"/>
      <c r="Q50" s="352"/>
      <c r="R50" s="352"/>
      <c r="S50" s="352"/>
      <c r="T50" s="352"/>
      <c r="U50" s="359"/>
      <c r="V50" s="359"/>
      <c r="W50" s="359"/>
      <c r="X50" s="352"/>
      <c r="Y50" s="352"/>
      <c r="Z50" s="359"/>
      <c r="AA50" s="15"/>
      <c r="AB50" s="15"/>
      <c r="AC50" s="15"/>
      <c r="AD50" s="15"/>
      <c r="AE50" s="15"/>
      <c r="AF50" s="15"/>
      <c r="AG50" s="15"/>
      <c r="AH50" s="15"/>
      <c r="AI50" s="29"/>
      <c r="AJ50" s="352"/>
      <c r="AK50" s="29"/>
      <c r="AL50" s="15"/>
      <c r="AM50" s="352"/>
      <c r="AN50" s="352"/>
      <c r="AO50" s="352"/>
      <c r="AP50" s="15"/>
      <c r="AQ50" s="15"/>
      <c r="AR50" s="15"/>
      <c r="AS50" s="15"/>
      <c r="AT50" s="352"/>
      <c r="AU50" s="352"/>
      <c r="AV50" s="352"/>
      <c r="AW50" s="15"/>
      <c r="AX50" s="15"/>
      <c r="AY50" s="344"/>
      <c r="BG50" s="344"/>
      <c r="BI50" s="344"/>
      <c r="BM50" s="344"/>
      <c r="BQ50" s="289"/>
      <c r="BW50" s="344"/>
      <c r="CB50" s="15"/>
    </row>
    <row r="51" spans="1:92" s="280" customFormat="1" x14ac:dyDescent="0.2">
      <c r="E51" s="207"/>
      <c r="G51" s="29"/>
      <c r="H51" s="15"/>
      <c r="I51" s="352"/>
      <c r="J51" s="352"/>
      <c r="K51" s="15"/>
      <c r="L51" s="15"/>
      <c r="M51" s="15"/>
      <c r="N51" s="15"/>
      <c r="O51" s="352"/>
      <c r="P51" s="15"/>
      <c r="Q51" s="352"/>
      <c r="R51" s="352"/>
      <c r="S51" s="352"/>
      <c r="T51" s="352"/>
      <c r="U51" s="359"/>
      <c r="V51" s="359"/>
      <c r="W51" s="359"/>
      <c r="X51" s="352"/>
      <c r="Y51" s="352"/>
      <c r="Z51" s="359"/>
      <c r="AA51" s="15"/>
      <c r="AB51" s="15"/>
      <c r="AC51" s="15"/>
      <c r="AD51" s="15"/>
      <c r="AE51" s="15"/>
      <c r="AF51" s="15"/>
      <c r="AG51" s="15"/>
      <c r="AH51" s="15"/>
      <c r="AI51" s="15"/>
      <c r="AJ51" s="352"/>
      <c r="AK51" s="29"/>
      <c r="AL51" s="15"/>
      <c r="AM51" s="352"/>
      <c r="AN51" s="352"/>
      <c r="AO51" s="352"/>
      <c r="AP51" s="15" t="s">
        <v>713</v>
      </c>
      <c r="AQ51" s="15"/>
      <c r="AR51" s="15"/>
      <c r="AS51" s="15"/>
      <c r="AT51" s="352"/>
      <c r="AU51" s="352"/>
      <c r="AV51" s="352"/>
      <c r="AW51" s="15"/>
      <c r="AX51" s="15"/>
      <c r="AY51" s="282"/>
      <c r="BG51" s="282"/>
      <c r="BI51" s="282"/>
      <c r="BM51" s="282"/>
      <c r="BQ51" s="289"/>
      <c r="BW51" s="282"/>
      <c r="CB51" s="15"/>
      <c r="CC51" s="290"/>
    </row>
    <row r="53" spans="1:92" x14ac:dyDescent="0.2">
      <c r="C53" s="50" t="s">
        <v>6</v>
      </c>
      <c r="E53">
        <f>SUM(E20:E29)</f>
        <v>2820.4349999999999</v>
      </c>
      <c r="F53">
        <f>SUM(F20:F29)</f>
        <v>2707.6175999999996</v>
      </c>
      <c r="G53">
        <f>SUM(G20:G29)</f>
        <v>-690.74088384926108</v>
      </c>
      <c r="H53">
        <f>SUM(H20:H29)</f>
        <v>2016.8767161507387</v>
      </c>
      <c r="BF53" s="2">
        <f>SUM(BF30:BF39)</f>
        <v>1242.6300000000001</v>
      </c>
      <c r="BG53" s="2">
        <f>BH53/BF53</f>
        <v>1510.7771420294052</v>
      </c>
      <c r="BH53" s="2">
        <f>SUM(BH30:BH39)</f>
        <v>1877337</v>
      </c>
      <c r="CB53" t="s">
        <v>519</v>
      </c>
    </row>
    <row r="54" spans="1:92" x14ac:dyDescent="0.2">
      <c r="E54">
        <f>SUM(E30:E39)</f>
        <v>1380.7</v>
      </c>
      <c r="F54">
        <f>SUM(F30:F39)</f>
        <v>1325.472</v>
      </c>
      <c r="G54">
        <f>SUM(G30:G39)</f>
        <v>-1168.2450993121429</v>
      </c>
      <c r="H54">
        <f>SUM(H30:H39)</f>
        <v>157.22690068785695</v>
      </c>
      <c r="BG54">
        <f>AHS_tables!$ET$33</f>
        <v>2187.8885038575272</v>
      </c>
      <c r="CB54" s="15"/>
      <c r="CC54" s="15"/>
      <c r="CD54" s="280" t="s">
        <v>0</v>
      </c>
      <c r="CE54" s="280" t="s">
        <v>1</v>
      </c>
      <c r="CF54" s="280" t="s">
        <v>2</v>
      </c>
      <c r="CG54" s="280" t="s">
        <v>3</v>
      </c>
      <c r="CH54" s="280" t="s">
        <v>4</v>
      </c>
      <c r="CI54" s="280" t="s">
        <v>5</v>
      </c>
      <c r="CJ54" s="280" t="s">
        <v>6</v>
      </c>
      <c r="CK54" s="280" t="s">
        <v>7</v>
      </c>
      <c r="CL54" s="280" t="s">
        <v>19</v>
      </c>
      <c r="CM54" s="280"/>
    </row>
    <row r="55" spans="1:92" x14ac:dyDescent="0.2">
      <c r="BF55" t="s">
        <v>133</v>
      </c>
      <c r="BG55">
        <f>BG54/BG53</f>
        <v>1.4481874546490476</v>
      </c>
      <c r="CB55" s="15">
        <v>2005</v>
      </c>
      <c r="CC55" s="15"/>
      <c r="CD55" s="282">
        <f>AHS_tables!DQ13</f>
        <v>1096.8914934884137</v>
      </c>
      <c r="CE55" s="282">
        <f>AHS_tables!DR13</f>
        <v>775.25507011787079</v>
      </c>
      <c r="CF55" s="282">
        <f>AHS_tables!DS13</f>
        <v>906.35945414479374</v>
      </c>
      <c r="CG55" s="282">
        <f>AHS_tables!DT13</f>
        <v>937.24677988320741</v>
      </c>
      <c r="CH55" s="282">
        <f>AHS_tables!DU13</f>
        <v>1203.4018309430317</v>
      </c>
      <c r="CI55" s="282">
        <f>AHS_tables!DV13</f>
        <v>1328.7736852692356</v>
      </c>
      <c r="CJ55" s="282">
        <f>AHS_tables!DW13</f>
        <v>1491.4684094273093</v>
      </c>
      <c r="CK55" s="282">
        <f>AHS_tables!DX13</f>
        <v>1556.6661498163462</v>
      </c>
      <c r="CL55" s="282">
        <f>AHS_tables!DY13</f>
        <v>1346.6940504418585</v>
      </c>
    </row>
    <row r="56" spans="1:92" x14ac:dyDescent="0.2">
      <c r="CB56" s="15">
        <v>2007</v>
      </c>
      <c r="CC56" s="15"/>
      <c r="CD56" s="282">
        <f>AHS_tables!EB13</f>
        <v>1321.9760921654356</v>
      </c>
      <c r="CE56" s="282">
        <f>AHS_tables!EC13</f>
        <v>851.48512601226184</v>
      </c>
      <c r="CF56" s="282">
        <f>AHS_tables!ED13</f>
        <v>956.20029060142019</v>
      </c>
      <c r="CG56" s="282">
        <f>AHS_tables!EE13</f>
        <v>1024.4471289754467</v>
      </c>
      <c r="CH56" s="282">
        <f>AHS_tables!EF13</f>
        <v>1157.1661345695616</v>
      </c>
      <c r="CI56" s="282">
        <f>AHS_tables!EG13</f>
        <v>1314.9764910305857</v>
      </c>
      <c r="CJ56" s="282">
        <f>AHS_tables!EH13</f>
        <v>1537.5426672670626</v>
      </c>
      <c r="CK56" s="282">
        <f>AHS_tables!EI13</f>
        <v>1498.4049143695863</v>
      </c>
      <c r="CL56" s="282">
        <f>AHS_tables!EJ13</f>
        <v>1359.370966205578</v>
      </c>
      <c r="CM56" s="282"/>
    </row>
    <row r="57" spans="1:92" x14ac:dyDescent="0.2">
      <c r="CB57" s="15">
        <v>2009</v>
      </c>
      <c r="CC57" s="15"/>
      <c r="CD57" s="282">
        <f>AHS_tables!EM13</f>
        <v>1484.9669259024961</v>
      </c>
      <c r="CE57" s="282">
        <f>AHS_tables!EN13</f>
        <v>860.2873921253298</v>
      </c>
      <c r="CF57" s="282">
        <f>AHS_tables!EO13</f>
        <v>1219.31460971055</v>
      </c>
      <c r="CG57" s="282">
        <f>AHS_tables!EP13</f>
        <v>1155.5802177217247</v>
      </c>
      <c r="CH57" s="282">
        <f>AHS_tables!EQ13</f>
        <v>1215.2556446784781</v>
      </c>
      <c r="CI57" s="282">
        <f>AHS_tables!ER13</f>
        <v>1291.1573982932471</v>
      </c>
      <c r="CJ57" s="282">
        <f>AHS_tables!ES13</f>
        <v>1670.5330128388434</v>
      </c>
      <c r="CK57" s="282">
        <f>AHS_tables!ET13</f>
        <v>1698.3263086525528</v>
      </c>
      <c r="CL57" s="282">
        <f>AHS_tables!EU13</f>
        <v>1456.4439457961514</v>
      </c>
      <c r="CM57" s="282"/>
    </row>
    <row r="58" spans="1:92" x14ac:dyDescent="0.2">
      <c r="CB58" s="15"/>
      <c r="CC58" s="15"/>
      <c r="CD58" s="282"/>
      <c r="CE58" s="282">
        <f t="shared" ref="CE58:CL58" si="67">AVERAGE(CE55:CE57)</f>
        <v>829.00919608515414</v>
      </c>
      <c r="CF58" s="282">
        <f t="shared" si="67"/>
        <v>1027.2914514855881</v>
      </c>
      <c r="CG58" s="282">
        <f t="shared" si="67"/>
        <v>1039.0913755267929</v>
      </c>
      <c r="CH58" s="282">
        <f t="shared" si="67"/>
        <v>1191.9412033970239</v>
      </c>
      <c r="CI58" s="282">
        <f t="shared" si="67"/>
        <v>1311.6358581976895</v>
      </c>
      <c r="CJ58" s="282">
        <f t="shared" si="67"/>
        <v>1566.5146965110716</v>
      </c>
      <c r="CK58" s="282">
        <f t="shared" si="67"/>
        <v>1584.4657909461619</v>
      </c>
      <c r="CL58" s="282">
        <f t="shared" si="67"/>
        <v>1387.502987481196</v>
      </c>
      <c r="CM58" s="282"/>
    </row>
    <row r="59" spans="1:92" x14ac:dyDescent="0.2">
      <c r="CB59" s="15"/>
      <c r="CC59" s="15"/>
      <c r="CD59" s="280"/>
      <c r="CE59" s="280"/>
      <c r="CF59" s="280"/>
      <c r="CG59" s="280"/>
      <c r="CH59" s="280"/>
      <c r="CI59" s="280"/>
      <c r="CJ59" s="280"/>
      <c r="CK59" s="280"/>
      <c r="CL59" s="280"/>
      <c r="CM59" s="280"/>
    </row>
    <row r="61" spans="1:92" x14ac:dyDescent="0.2">
      <c r="CM61" t="s">
        <v>543</v>
      </c>
      <c r="CN61" t="s">
        <v>544</v>
      </c>
    </row>
    <row r="62" spans="1:92" x14ac:dyDescent="0.2">
      <c r="CD62" t="s">
        <v>524</v>
      </c>
      <c r="CE62" t="s">
        <v>525</v>
      </c>
      <c r="CH62" t="s">
        <v>542</v>
      </c>
      <c r="CL62">
        <v>1984</v>
      </c>
      <c r="CN62">
        <f>CJ66</f>
        <v>843.13725490196077</v>
      </c>
    </row>
    <row r="63" spans="1:92" x14ac:dyDescent="0.2">
      <c r="CB63">
        <f>BY15</f>
        <v>1985</v>
      </c>
      <c r="CD63">
        <f t="shared" ref="CD63:CD88" si="68">BN15</f>
        <v>852</v>
      </c>
      <c r="CE63" s="282">
        <f t="shared" ref="CE63:CE88" si="69">BQ15</f>
        <v>1176.605504587156</v>
      </c>
      <c r="CH63">
        <f>RECS_4_adj!M38</f>
        <v>1980</v>
      </c>
      <c r="CI63">
        <f>RECS_4_adj!N38</f>
        <v>1746.3235294117646</v>
      </c>
      <c r="CJ63">
        <f>RECS_4_adj!O38</f>
        <v>826.08695652173913</v>
      </c>
      <c r="CL63">
        <f>CB63</f>
        <v>1985</v>
      </c>
      <c r="CM63">
        <f t="shared" ref="CM63:CM88" si="70">CC15</f>
        <v>954.35186550619778</v>
      </c>
    </row>
    <row r="64" spans="1:92" x14ac:dyDescent="0.2">
      <c r="CB64">
        <f>CB63+1</f>
        <v>1986</v>
      </c>
      <c r="CD64" s="280">
        <f t="shared" si="68"/>
        <v>856</v>
      </c>
      <c r="CE64" s="282">
        <f t="shared" si="69"/>
        <v>1184.2526781425897</v>
      </c>
      <c r="CH64">
        <f>RECS_4_adj!M39</f>
        <v>1981</v>
      </c>
      <c r="CI64">
        <f>RECS_4_adj!N39</f>
        <v>1735.2587244283995</v>
      </c>
      <c r="CJ64">
        <f>RECS_4_adj!O39</f>
        <v>880.95238095238096</v>
      </c>
      <c r="CL64" s="280">
        <f t="shared" ref="CL64:CL88" si="71">CB64</f>
        <v>1986</v>
      </c>
      <c r="CM64" s="280">
        <f t="shared" si="70"/>
        <v>977.00910754756694</v>
      </c>
    </row>
    <row r="65" spans="42:92" x14ac:dyDescent="0.2">
      <c r="CB65" s="280">
        <f t="shared" ref="CB65:CB88" si="72">CB64+1</f>
        <v>1987</v>
      </c>
      <c r="CD65" s="280">
        <f t="shared" si="68"/>
        <v>860</v>
      </c>
      <c r="CE65" s="282">
        <f t="shared" si="69"/>
        <v>1226.3056708125462</v>
      </c>
      <c r="CH65">
        <f>RECS_4_adj!M40</f>
        <v>1982</v>
      </c>
      <c r="CI65">
        <f>RECS_4_adj!N40</f>
        <v>1697.4940334128878</v>
      </c>
      <c r="CJ65">
        <f>RECS_4_adj!O40</f>
        <v>870.27027027027032</v>
      </c>
      <c r="CL65" s="280">
        <f t="shared" si="71"/>
        <v>1987</v>
      </c>
      <c r="CM65" s="280">
        <f t="shared" si="70"/>
        <v>970.86001576404033</v>
      </c>
      <c r="CN65">
        <f>CJ67</f>
        <v>864.70588235294122</v>
      </c>
    </row>
    <row r="66" spans="42:92" x14ac:dyDescent="0.2">
      <c r="CB66" s="280">
        <f t="shared" si="72"/>
        <v>1988</v>
      </c>
      <c r="CD66" s="280">
        <f t="shared" si="68"/>
        <v>864</v>
      </c>
      <c r="CE66" s="282">
        <f t="shared" si="69"/>
        <v>1252.9164370542608</v>
      </c>
      <c r="CH66">
        <f>RECS_4_adj!M41</f>
        <v>1984</v>
      </c>
      <c r="CI66">
        <f>RECS_4_adj!N41</f>
        <v>1672.769409038239</v>
      </c>
      <c r="CJ66">
        <f>RECS_4_adj!O41</f>
        <v>843.13725490196077</v>
      </c>
      <c r="CL66" s="280">
        <f t="shared" si="71"/>
        <v>1988</v>
      </c>
      <c r="CM66" s="280">
        <f t="shared" si="70"/>
        <v>982.21269958327377</v>
      </c>
    </row>
    <row r="67" spans="42:92" x14ac:dyDescent="0.2">
      <c r="CB67" s="280">
        <f t="shared" si="72"/>
        <v>1989</v>
      </c>
      <c r="CD67" s="280">
        <f t="shared" si="68"/>
        <v>868</v>
      </c>
      <c r="CE67" s="282">
        <f t="shared" si="69"/>
        <v>1301.7433977438031</v>
      </c>
      <c r="CH67">
        <f>RECS_4_adj!M42</f>
        <v>1987</v>
      </c>
      <c r="CI67">
        <f>RECS_4_adj!N42</f>
        <v>1732.8176795580109</v>
      </c>
      <c r="CJ67">
        <f>RECS_4_adj!O42</f>
        <v>864.70588235294122</v>
      </c>
      <c r="CL67" s="280">
        <f t="shared" si="71"/>
        <v>1989</v>
      </c>
      <c r="CM67" s="280">
        <f t="shared" si="70"/>
        <v>992.91059394783224</v>
      </c>
    </row>
    <row r="68" spans="42:92" x14ac:dyDescent="0.2">
      <c r="CB68" s="280">
        <f t="shared" si="72"/>
        <v>1990</v>
      </c>
      <c r="CD68" s="280">
        <f t="shared" si="68"/>
        <v>872</v>
      </c>
      <c r="CE68" s="282">
        <f t="shared" si="69"/>
        <v>1346.5198914458074</v>
      </c>
      <c r="CH68">
        <f>RECS_4_adj!M43</f>
        <v>1990</v>
      </c>
      <c r="CI68">
        <f>RECS_4_adj!N43</f>
        <v>1800.31914893617</v>
      </c>
      <c r="CJ68">
        <f>RECS_4_adj!O43</f>
        <v>942.30769230769226</v>
      </c>
      <c r="CL68" s="280">
        <f t="shared" si="71"/>
        <v>1990</v>
      </c>
      <c r="CM68" s="280">
        <f t="shared" si="70"/>
        <v>995.86454273750974</v>
      </c>
      <c r="CN68">
        <f>CJ68</f>
        <v>942.30769230769226</v>
      </c>
    </row>
    <row r="69" spans="42:92" x14ac:dyDescent="0.2">
      <c r="CB69" s="280">
        <f t="shared" si="72"/>
        <v>1991</v>
      </c>
      <c r="CD69" s="280">
        <f t="shared" si="68"/>
        <v>876</v>
      </c>
      <c r="CE69" s="282">
        <f t="shared" si="69"/>
        <v>1348.441894966174</v>
      </c>
      <c r="CH69">
        <f>RECS_4_adj!M44</f>
        <v>1993</v>
      </c>
      <c r="CI69">
        <f>RECS_4_adj!N44</f>
        <v>1876.086956521739</v>
      </c>
      <c r="CJ69">
        <f>RECS_4_adj!O44</f>
        <v>971.42857142857156</v>
      </c>
      <c r="CL69" s="280">
        <f t="shared" si="71"/>
        <v>1991</v>
      </c>
      <c r="CM69" s="280">
        <f t="shared" si="70"/>
        <v>996.53341562446144</v>
      </c>
    </row>
    <row r="70" spans="42:92" x14ac:dyDescent="0.2">
      <c r="CB70" s="280">
        <f t="shared" si="72"/>
        <v>1992</v>
      </c>
      <c r="CD70" s="280">
        <f t="shared" si="68"/>
        <v>880</v>
      </c>
      <c r="CE70" s="282">
        <f t="shared" si="69"/>
        <v>1345.4407140274502</v>
      </c>
      <c r="CH70">
        <f>RECS_4_adj!M45</f>
        <v>1997</v>
      </c>
      <c r="CI70">
        <f>RECS_4_adj!N45</f>
        <v>1663.152709359606</v>
      </c>
      <c r="CJ70">
        <f>RECS_4_adj!O45</f>
        <v>995.23809523809518</v>
      </c>
      <c r="CL70" s="280">
        <f t="shared" si="71"/>
        <v>1992</v>
      </c>
      <c r="CM70" s="280">
        <f t="shared" si="70"/>
        <v>1013.2329684304387</v>
      </c>
    </row>
    <row r="71" spans="42:92" x14ac:dyDescent="0.2">
      <c r="CB71" s="280">
        <f t="shared" si="72"/>
        <v>1993</v>
      </c>
      <c r="CD71" s="280">
        <f t="shared" si="68"/>
        <v>884</v>
      </c>
      <c r="CE71" s="282">
        <f t="shared" si="69"/>
        <v>1358.1113507076202</v>
      </c>
      <c r="CH71">
        <f>RECS_4_adj!M46</f>
        <v>2001</v>
      </c>
      <c r="CI71">
        <f>RECS_4_adj!N46</f>
        <v>2066.3619624447374</v>
      </c>
      <c r="CJ71">
        <f>RECS_4_adj!O46</f>
        <v>1062.151043197179</v>
      </c>
      <c r="CL71" s="280">
        <f t="shared" si="71"/>
        <v>1993</v>
      </c>
      <c r="CM71" s="280">
        <f t="shared" si="70"/>
        <v>1030.9221771543705</v>
      </c>
      <c r="CN71">
        <f>CJ69</f>
        <v>971.42857142857156</v>
      </c>
    </row>
    <row r="72" spans="42:92" x14ac:dyDescent="0.2">
      <c r="AP72" t="s">
        <v>596</v>
      </c>
      <c r="CB72" s="280">
        <f t="shared" si="72"/>
        <v>1994</v>
      </c>
      <c r="CD72" s="280">
        <f t="shared" si="68"/>
        <v>888</v>
      </c>
      <c r="CE72" s="282">
        <f t="shared" si="69"/>
        <v>1374.4740465349855</v>
      </c>
      <c r="CH72">
        <f>RECS_4_adj!M47</f>
        <v>2005</v>
      </c>
      <c r="CI72">
        <f>RECS_4_adj!N47</f>
        <v>2308.6055434282093</v>
      </c>
      <c r="CJ72">
        <f>RECS_4_adj!O47</f>
        <v>1062.0089797723372</v>
      </c>
      <c r="CL72" s="280">
        <f t="shared" si="71"/>
        <v>1994</v>
      </c>
      <c r="CM72" s="280">
        <f t="shared" si="70"/>
        <v>1045.5797344747084</v>
      </c>
    </row>
    <row r="73" spans="42:92" x14ac:dyDescent="0.2">
      <c r="CB73" s="280">
        <f t="shared" si="72"/>
        <v>1995</v>
      </c>
      <c r="CD73" s="280">
        <f t="shared" si="68"/>
        <v>892</v>
      </c>
      <c r="CE73" s="282">
        <f t="shared" si="69"/>
        <v>1387.8914674209573</v>
      </c>
      <c r="CL73" s="280">
        <f t="shared" si="71"/>
        <v>1995</v>
      </c>
      <c r="CM73" s="280">
        <f t="shared" si="70"/>
        <v>1059.8847308197724</v>
      </c>
    </row>
    <row r="74" spans="42:92" x14ac:dyDescent="0.2">
      <c r="CB74" s="280">
        <f t="shared" si="72"/>
        <v>1996</v>
      </c>
      <c r="CD74" s="280">
        <f t="shared" si="68"/>
        <v>896</v>
      </c>
      <c r="CE74" s="282">
        <f t="shared" si="69"/>
        <v>1400.6340492405088</v>
      </c>
      <c r="CL74" s="280">
        <f t="shared" si="71"/>
        <v>1996</v>
      </c>
      <c r="CM74" s="280">
        <f t="shared" si="70"/>
        <v>1085.7819420196381</v>
      </c>
    </row>
    <row r="75" spans="42:92" x14ac:dyDescent="0.2">
      <c r="CB75" s="280">
        <f t="shared" si="72"/>
        <v>1997</v>
      </c>
      <c r="CD75" s="280">
        <f t="shared" si="68"/>
        <v>900</v>
      </c>
      <c r="CE75" s="282">
        <f t="shared" si="69"/>
        <v>1427.3818516100609</v>
      </c>
      <c r="CL75" s="280">
        <f t="shared" si="71"/>
        <v>1997</v>
      </c>
      <c r="CM75" s="280">
        <f t="shared" si="70"/>
        <v>1111.0975457810732</v>
      </c>
      <c r="CN75">
        <f>CJ70</f>
        <v>995.23809523809518</v>
      </c>
    </row>
    <row r="76" spans="42:92" x14ac:dyDescent="0.2">
      <c r="CB76" s="280">
        <f t="shared" si="72"/>
        <v>1998</v>
      </c>
      <c r="CD76" s="280">
        <f t="shared" si="68"/>
        <v>904</v>
      </c>
      <c r="CE76" s="282">
        <f t="shared" si="69"/>
        <v>1481.3852078318139</v>
      </c>
      <c r="CL76" s="280">
        <f t="shared" si="71"/>
        <v>1998</v>
      </c>
      <c r="CM76" s="280">
        <f t="shared" si="70"/>
        <v>1123.5335229034454</v>
      </c>
    </row>
    <row r="77" spans="42:92" x14ac:dyDescent="0.2">
      <c r="CB77" s="280">
        <f t="shared" si="72"/>
        <v>1999</v>
      </c>
      <c r="CD77" s="280">
        <f t="shared" si="68"/>
        <v>908</v>
      </c>
      <c r="CE77" s="282">
        <f t="shared" si="69"/>
        <v>1518.1904512911156</v>
      </c>
      <c r="CL77" s="280">
        <f t="shared" si="71"/>
        <v>1999</v>
      </c>
      <c r="CM77" s="280">
        <f t="shared" si="70"/>
        <v>1130.4534454478821</v>
      </c>
    </row>
    <row r="78" spans="42:92" x14ac:dyDescent="0.2">
      <c r="CB78" s="280">
        <f t="shared" si="72"/>
        <v>2000</v>
      </c>
      <c r="CD78" s="280">
        <f t="shared" si="68"/>
        <v>912</v>
      </c>
      <c r="CE78" s="282">
        <f t="shared" si="69"/>
        <v>1573.9154070560096</v>
      </c>
      <c r="CL78" s="280">
        <f t="shared" si="71"/>
        <v>2000</v>
      </c>
      <c r="CM78" s="280">
        <f t="shared" si="70"/>
        <v>1140.8167536367821</v>
      </c>
    </row>
    <row r="79" spans="42:92" x14ac:dyDescent="0.2">
      <c r="CB79" s="280">
        <f t="shared" si="72"/>
        <v>2001</v>
      </c>
      <c r="CD79" s="280">
        <f t="shared" si="68"/>
        <v>916</v>
      </c>
      <c r="CE79" s="282">
        <f t="shared" si="69"/>
        <v>1624.7043674885763</v>
      </c>
      <c r="CL79" s="280">
        <f t="shared" si="71"/>
        <v>2001</v>
      </c>
      <c r="CM79" s="280">
        <f t="shared" si="70"/>
        <v>1149.2725475540435</v>
      </c>
      <c r="CN79">
        <f>CJ71</f>
        <v>1062.151043197179</v>
      </c>
    </row>
    <row r="80" spans="42:92" x14ac:dyDescent="0.2">
      <c r="CB80" s="280">
        <f t="shared" si="72"/>
        <v>2002</v>
      </c>
      <c r="CD80" s="280">
        <f t="shared" si="68"/>
        <v>920</v>
      </c>
      <c r="CE80" s="282">
        <f t="shared" si="69"/>
        <v>1652.4790146625555</v>
      </c>
      <c r="CL80" s="280">
        <f t="shared" si="71"/>
        <v>2002</v>
      </c>
      <c r="CM80" s="280">
        <f t="shared" si="70"/>
        <v>1181.2461172129229</v>
      </c>
    </row>
    <row r="81" spans="80:92" x14ac:dyDescent="0.2">
      <c r="CB81" s="280">
        <f t="shared" si="72"/>
        <v>2003</v>
      </c>
      <c r="CD81" s="280">
        <f t="shared" si="68"/>
        <v>924</v>
      </c>
      <c r="CE81" s="282">
        <f t="shared" si="69"/>
        <v>1678.9572134986661</v>
      </c>
      <c r="CL81" s="280">
        <f t="shared" si="71"/>
        <v>2003</v>
      </c>
      <c r="CM81" s="280">
        <f t="shared" si="70"/>
        <v>1188.6634832994782</v>
      </c>
    </row>
    <row r="82" spans="80:92" x14ac:dyDescent="0.2">
      <c r="CB82" s="280">
        <f t="shared" si="72"/>
        <v>2004</v>
      </c>
      <c r="CD82" s="280">
        <f t="shared" si="68"/>
        <v>928</v>
      </c>
      <c r="CE82" s="282">
        <f t="shared" si="69"/>
        <v>1655.7481274823544</v>
      </c>
      <c r="CL82" s="280">
        <f t="shared" si="71"/>
        <v>2004</v>
      </c>
      <c r="CM82" s="280">
        <f t="shared" si="70"/>
        <v>1192.0539510572012</v>
      </c>
    </row>
    <row r="83" spans="80:92" x14ac:dyDescent="0.2">
      <c r="CB83" s="280">
        <f t="shared" si="72"/>
        <v>2005</v>
      </c>
      <c r="CD83" s="280">
        <f t="shared" si="68"/>
        <v>932</v>
      </c>
      <c r="CE83" s="282">
        <f t="shared" si="69"/>
        <v>1644.4080318827114</v>
      </c>
      <c r="CL83" s="280">
        <f t="shared" si="71"/>
        <v>2005</v>
      </c>
      <c r="CM83" s="280">
        <f t="shared" si="70"/>
        <v>1207.7016433375743</v>
      </c>
      <c r="CN83">
        <f>CJ72</f>
        <v>1062.0089797723372</v>
      </c>
    </row>
    <row r="84" spans="80:92" x14ac:dyDescent="0.2">
      <c r="CB84" s="280">
        <f t="shared" si="72"/>
        <v>2006</v>
      </c>
      <c r="CD84" s="280">
        <f t="shared" si="68"/>
        <v>936</v>
      </c>
      <c r="CE84" s="282">
        <f t="shared" si="69"/>
        <v>1624.6130563651914</v>
      </c>
      <c r="CL84" s="280">
        <f t="shared" si="71"/>
        <v>2006</v>
      </c>
      <c r="CM84" s="280">
        <f t="shared" si="70"/>
        <v>1214.2684047763064</v>
      </c>
    </row>
    <row r="85" spans="80:92" x14ac:dyDescent="0.2">
      <c r="CB85" s="280">
        <f t="shared" si="72"/>
        <v>2007</v>
      </c>
      <c r="CD85" s="280">
        <f t="shared" si="68"/>
        <v>940</v>
      </c>
      <c r="CE85" s="282">
        <f t="shared" si="69"/>
        <v>1594.5002134443389</v>
      </c>
      <c r="CL85" s="280">
        <f t="shared" si="71"/>
        <v>2007</v>
      </c>
      <c r="CM85" s="280">
        <f t="shared" si="70"/>
        <v>1227.382341644613</v>
      </c>
    </row>
    <row r="86" spans="80:92" x14ac:dyDescent="0.2">
      <c r="CB86" s="280">
        <f t="shared" si="72"/>
        <v>2008</v>
      </c>
      <c r="CD86" s="280">
        <f t="shared" si="68"/>
        <v>944</v>
      </c>
      <c r="CE86" s="282">
        <f t="shared" si="69"/>
        <v>1571.5880348139433</v>
      </c>
      <c r="CL86" s="280">
        <f t="shared" si="71"/>
        <v>2008</v>
      </c>
      <c r="CM86" s="280">
        <f t="shared" si="70"/>
        <v>1244.0513342661407</v>
      </c>
    </row>
    <row r="87" spans="80:92" x14ac:dyDescent="0.2">
      <c r="CB87" s="280">
        <f t="shared" si="72"/>
        <v>2009</v>
      </c>
      <c r="CD87" s="280">
        <f t="shared" si="68"/>
        <v>948</v>
      </c>
      <c r="CE87" s="282">
        <f t="shared" si="69"/>
        <v>1551.6689511054694</v>
      </c>
      <c r="CL87" s="280">
        <f t="shared" si="71"/>
        <v>2009</v>
      </c>
      <c r="CM87" s="280">
        <f t="shared" si="70"/>
        <v>1258.4077253269381</v>
      </c>
    </row>
    <row r="88" spans="80:92" x14ac:dyDescent="0.2">
      <c r="CB88" s="280">
        <f t="shared" si="72"/>
        <v>2010</v>
      </c>
      <c r="CD88" s="280">
        <f t="shared" si="68"/>
        <v>952</v>
      </c>
      <c r="CE88" s="282">
        <f t="shared" si="69"/>
        <v>1546.7734514040417</v>
      </c>
      <c r="CL88" s="280">
        <f t="shared" si="71"/>
        <v>2010</v>
      </c>
      <c r="CM88" s="280">
        <f t="shared" si="70"/>
        <v>1250.4160025838332</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autoPageBreaks="0"/>
  </sheetPr>
  <dimension ref="A1:BB285"/>
  <sheetViews>
    <sheetView topLeftCell="A144" zoomScaleNormal="100" zoomScaleSheetLayoutView="100" workbookViewId="0">
      <selection activeCell="K21" sqref="K21"/>
    </sheetView>
  </sheetViews>
  <sheetFormatPr defaultColWidth="8.85546875" defaultRowHeight="12.75" x14ac:dyDescent="0.2"/>
  <cols>
    <col min="1" max="1" width="16.7109375" style="203" customWidth="1"/>
    <col min="2" max="2" width="8.140625" style="181" customWidth="1"/>
    <col min="3" max="4" width="8" style="181" customWidth="1"/>
    <col min="5" max="5" width="8" style="206" customWidth="1"/>
    <col min="6" max="7" width="8.140625" style="181" customWidth="1"/>
    <col min="8" max="8" width="8.85546875" style="181" customWidth="1"/>
    <col min="9" max="10" width="8.140625" style="181" customWidth="1"/>
    <col min="11" max="11" width="9" style="181" customWidth="1"/>
    <col min="12" max="13" width="8.140625" style="181" customWidth="1"/>
    <col min="14" max="14" width="8.5703125" style="181" customWidth="1"/>
    <col min="15" max="16" width="8.140625" style="181" customWidth="1"/>
    <col min="17" max="16384" width="8.85546875" style="161"/>
  </cols>
  <sheetData>
    <row r="1" spans="1:43" s="145" customFormat="1" ht="20.25" x14ac:dyDescent="0.3">
      <c r="B1" s="453" t="s">
        <v>269</v>
      </c>
      <c r="C1" s="453"/>
      <c r="D1" s="453"/>
      <c r="E1" s="453"/>
      <c r="F1" s="453"/>
      <c r="G1" s="453"/>
      <c r="H1" s="453"/>
      <c r="I1" s="453"/>
      <c r="J1" s="453"/>
      <c r="K1" s="453"/>
      <c r="L1" s="453"/>
      <c r="M1" s="453"/>
      <c r="N1" s="453"/>
      <c r="O1" s="453"/>
      <c r="P1" s="454"/>
    </row>
    <row r="2" spans="1:43" s="147" customFormat="1" ht="15.75" x14ac:dyDescent="0.25">
      <c r="A2" s="146"/>
      <c r="B2" s="455" t="s">
        <v>270</v>
      </c>
      <c r="C2" s="455"/>
      <c r="D2" s="455"/>
      <c r="E2" s="455"/>
      <c r="F2" s="455"/>
      <c r="G2" s="455"/>
      <c r="H2" s="455"/>
      <c r="I2" s="455"/>
      <c r="J2" s="455"/>
      <c r="K2" s="455"/>
      <c r="L2" s="455"/>
      <c r="M2" s="455"/>
      <c r="N2" s="455"/>
      <c r="O2" s="455"/>
      <c r="P2" s="455"/>
    </row>
    <row r="3" spans="1:43" s="150" customFormat="1" ht="15" customHeight="1" x14ac:dyDescent="0.25">
      <c r="A3" s="146"/>
      <c r="B3" s="148"/>
      <c r="C3" s="146"/>
      <c r="D3" s="146"/>
      <c r="E3" s="149"/>
      <c r="F3" s="146"/>
      <c r="G3" s="146"/>
      <c r="H3" s="146"/>
      <c r="I3" s="146"/>
      <c r="J3" s="146"/>
      <c r="K3" s="146"/>
      <c r="L3" s="146"/>
      <c r="M3" s="146"/>
      <c r="N3" s="146"/>
      <c r="O3" s="146"/>
      <c r="P3" s="146"/>
    </row>
    <row r="4" spans="1:43" s="150" customFormat="1" ht="15" customHeight="1" x14ac:dyDescent="0.25">
      <c r="A4" s="151"/>
      <c r="B4" s="456" t="s">
        <v>271</v>
      </c>
      <c r="C4" s="456"/>
      <c r="D4" s="456"/>
      <c r="E4" s="456" t="s">
        <v>20</v>
      </c>
      <c r="F4" s="456"/>
      <c r="G4" s="456"/>
      <c r="H4" s="456" t="s">
        <v>21</v>
      </c>
      <c r="I4" s="456"/>
      <c r="J4" s="456"/>
      <c r="K4" s="456" t="s">
        <v>22</v>
      </c>
      <c r="L4" s="456"/>
      <c r="M4" s="456"/>
      <c r="N4" s="456" t="s">
        <v>23</v>
      </c>
      <c r="O4" s="456"/>
      <c r="P4" s="456"/>
      <c r="R4" s="150">
        <v>700</v>
      </c>
      <c r="S4" s="150">
        <v>1400</v>
      </c>
    </row>
    <row r="5" spans="1:43" s="150" customFormat="1" ht="18.75" customHeight="1" x14ac:dyDescent="0.25">
      <c r="A5" s="152"/>
      <c r="B5" s="153" t="s">
        <v>272</v>
      </c>
      <c r="C5" s="154" t="s">
        <v>273</v>
      </c>
      <c r="D5" s="154" t="s">
        <v>274</v>
      </c>
      <c r="E5" s="153" t="s">
        <v>272</v>
      </c>
      <c r="F5" s="154" t="s">
        <v>273</v>
      </c>
      <c r="G5" s="154" t="s">
        <v>274</v>
      </c>
      <c r="H5" s="153" t="s">
        <v>272</v>
      </c>
      <c r="I5" s="154" t="s">
        <v>273</v>
      </c>
      <c r="J5" s="154" t="s">
        <v>274</v>
      </c>
      <c r="K5" s="153" t="s">
        <v>272</v>
      </c>
      <c r="L5" s="154" t="s">
        <v>273</v>
      </c>
      <c r="M5" s="154" t="s">
        <v>274</v>
      </c>
      <c r="N5" s="153" t="s">
        <v>272</v>
      </c>
      <c r="O5" s="154" t="s">
        <v>273</v>
      </c>
      <c r="P5" s="154" t="s">
        <v>274</v>
      </c>
    </row>
    <row r="6" spans="1:43" s="155" customFormat="1" ht="11.25" customHeight="1" x14ac:dyDescent="0.25">
      <c r="A6" s="152"/>
      <c r="B6" s="153"/>
      <c r="C6" s="154"/>
      <c r="D6" s="154"/>
      <c r="E6" s="153"/>
      <c r="F6" s="154"/>
      <c r="G6" s="154"/>
      <c r="H6" s="153"/>
      <c r="I6" s="154"/>
      <c r="J6" s="154"/>
      <c r="K6" s="153"/>
      <c r="L6" s="154"/>
      <c r="M6" s="154"/>
      <c r="N6" s="153"/>
      <c r="O6" s="154"/>
      <c r="P6" s="154"/>
    </row>
    <row r="7" spans="1:43" ht="16.5" x14ac:dyDescent="0.3">
      <c r="A7" s="156" t="s">
        <v>86</v>
      </c>
      <c r="B7" s="157"/>
      <c r="C7" s="157"/>
      <c r="D7" s="157"/>
      <c r="E7" s="158"/>
      <c r="F7" s="157"/>
      <c r="G7" s="157"/>
      <c r="H7" s="157"/>
      <c r="I7" s="157"/>
      <c r="J7" s="157"/>
      <c r="K7" s="157"/>
      <c r="L7" s="157"/>
      <c r="M7" s="157"/>
      <c r="N7" s="157"/>
      <c r="O7" s="157"/>
      <c r="P7" s="157"/>
      <c r="Q7" s="159"/>
      <c r="R7" s="159"/>
      <c r="S7" s="159"/>
      <c r="T7" s="159"/>
      <c r="U7" s="159"/>
      <c r="V7" s="159"/>
      <c r="W7" s="159"/>
      <c r="X7" s="159"/>
      <c r="Y7" s="159"/>
      <c r="Z7" s="159"/>
      <c r="AA7" s="159"/>
      <c r="AB7" s="159"/>
      <c r="AC7" s="159"/>
      <c r="AD7" s="159"/>
      <c r="AE7" s="160"/>
      <c r="AF7" s="160"/>
      <c r="AG7" s="160"/>
      <c r="AH7" s="160"/>
      <c r="AI7" s="160"/>
      <c r="AJ7" s="160"/>
      <c r="AK7" s="160"/>
      <c r="AL7" s="160"/>
      <c r="AM7" s="160"/>
      <c r="AN7" s="160"/>
      <c r="AO7" s="160"/>
      <c r="AP7" s="160"/>
      <c r="AQ7" s="160"/>
    </row>
    <row r="8" spans="1:43" ht="15" customHeight="1" x14ac:dyDescent="0.3">
      <c r="A8" s="162">
        <v>2000</v>
      </c>
      <c r="B8" s="163">
        <v>280.89999999999998</v>
      </c>
      <c r="C8" s="163">
        <v>88.3</v>
      </c>
      <c r="D8" s="163">
        <v>190.3</v>
      </c>
      <c r="E8" s="163">
        <v>14.9</v>
      </c>
      <c r="F8" s="163">
        <v>4.2</v>
      </c>
      <c r="G8" s="163">
        <v>10.6</v>
      </c>
      <c r="H8" s="163">
        <v>48.7</v>
      </c>
      <c r="I8" s="163">
        <v>14.2</v>
      </c>
      <c r="J8" s="163">
        <v>34.4</v>
      </c>
      <c r="K8" s="163">
        <v>178.7</v>
      </c>
      <c r="L8" s="163">
        <v>64.3</v>
      </c>
      <c r="M8" s="163">
        <v>113.4</v>
      </c>
      <c r="N8" s="163">
        <v>38.6</v>
      </c>
      <c r="O8" s="163">
        <v>5.6</v>
      </c>
      <c r="P8" s="163">
        <v>31.9</v>
      </c>
      <c r="Q8" s="164"/>
      <c r="R8" s="165"/>
      <c r="S8" s="165"/>
      <c r="T8" s="165"/>
      <c r="U8" s="165"/>
      <c r="V8" s="165"/>
      <c r="W8" s="165"/>
      <c r="X8" s="165"/>
      <c r="Y8" s="165"/>
      <c r="Z8" s="165"/>
      <c r="AA8" s="165"/>
      <c r="AB8" s="165"/>
      <c r="AC8" s="165"/>
      <c r="AD8" s="165"/>
      <c r="AE8" s="165"/>
      <c r="AF8" s="165"/>
      <c r="AG8" s="160"/>
      <c r="AH8" s="160"/>
      <c r="AI8" s="160"/>
      <c r="AJ8" s="160"/>
      <c r="AK8" s="160"/>
      <c r="AL8" s="160"/>
      <c r="AM8" s="160"/>
      <c r="AN8" s="160"/>
      <c r="AO8" s="160"/>
      <c r="AP8" s="160"/>
      <c r="AQ8" s="160"/>
    </row>
    <row r="9" spans="1:43" ht="15" customHeight="1" x14ac:dyDescent="0.3">
      <c r="A9" s="162">
        <v>2001</v>
      </c>
      <c r="B9" s="163">
        <v>196.2</v>
      </c>
      <c r="C9" s="163">
        <v>53.3</v>
      </c>
      <c r="D9" s="163">
        <v>139.30000000000001</v>
      </c>
      <c r="E9" s="163">
        <v>12.2</v>
      </c>
      <c r="F9" s="163">
        <v>3.9</v>
      </c>
      <c r="G9" s="163">
        <v>8.3000000000000007</v>
      </c>
      <c r="H9" s="163">
        <v>37.6</v>
      </c>
      <c r="I9" s="163">
        <v>10.4</v>
      </c>
      <c r="J9" s="163">
        <v>27</v>
      </c>
      <c r="K9" s="163">
        <v>116.4</v>
      </c>
      <c r="L9" s="163">
        <v>35.200000000000003</v>
      </c>
      <c r="M9" s="163">
        <v>80</v>
      </c>
      <c r="N9" s="163">
        <v>30</v>
      </c>
      <c r="O9" s="163">
        <v>3.8</v>
      </c>
      <c r="P9" s="163">
        <v>24</v>
      </c>
      <c r="Q9" s="164"/>
      <c r="R9" s="165"/>
      <c r="S9" s="165"/>
      <c r="T9" s="165"/>
      <c r="U9" s="165"/>
      <c r="V9" s="165"/>
      <c r="W9" s="165"/>
      <c r="X9" s="165"/>
      <c r="Y9" s="165"/>
      <c r="Z9" s="165"/>
      <c r="AA9" s="165"/>
      <c r="AB9" s="165"/>
      <c r="AC9" s="165"/>
      <c r="AD9" s="165"/>
      <c r="AE9" s="165"/>
      <c r="AF9" s="165"/>
      <c r="AG9" s="160"/>
      <c r="AH9" s="160"/>
      <c r="AI9" s="160"/>
      <c r="AJ9" s="160"/>
      <c r="AK9" s="160"/>
      <c r="AL9" s="160"/>
      <c r="AM9" s="160"/>
      <c r="AN9" s="160"/>
      <c r="AO9" s="160"/>
      <c r="AP9" s="160"/>
      <c r="AQ9" s="160"/>
    </row>
    <row r="10" spans="1:43" ht="15" customHeight="1" x14ac:dyDescent="0.3">
      <c r="A10" s="162">
        <v>2002</v>
      </c>
      <c r="B10" s="163">
        <v>174.3</v>
      </c>
      <c r="C10" s="163">
        <v>41.1</v>
      </c>
      <c r="D10" s="163">
        <v>128.69999999999999</v>
      </c>
      <c r="E10" s="163">
        <v>11.8</v>
      </c>
      <c r="F10" s="163">
        <v>3.1</v>
      </c>
      <c r="G10" s="163">
        <v>8.6999999999999993</v>
      </c>
      <c r="H10" s="163">
        <v>34.200000000000003</v>
      </c>
      <c r="I10" s="163">
        <v>8.1</v>
      </c>
      <c r="J10" s="163">
        <v>25.7</v>
      </c>
      <c r="K10" s="163">
        <v>101</v>
      </c>
      <c r="L10" s="163">
        <v>27.6</v>
      </c>
      <c r="M10" s="163">
        <v>72</v>
      </c>
      <c r="N10" s="163">
        <v>27.2</v>
      </c>
      <c r="O10" s="163">
        <v>2.4</v>
      </c>
      <c r="P10" s="163">
        <v>22.2</v>
      </c>
      <c r="R10" s="165"/>
      <c r="S10" s="165"/>
      <c r="T10" s="165"/>
      <c r="U10" s="165"/>
      <c r="V10" s="165"/>
      <c r="W10" s="165"/>
      <c r="X10" s="165"/>
      <c r="Y10" s="165"/>
      <c r="Z10" s="165"/>
      <c r="AA10" s="165"/>
      <c r="AB10" s="165"/>
      <c r="AC10" s="165"/>
      <c r="AD10" s="165"/>
      <c r="AE10" s="165"/>
      <c r="AF10" s="165"/>
      <c r="AG10" s="160"/>
      <c r="AH10" s="160"/>
      <c r="AI10" s="160"/>
      <c r="AJ10" s="160"/>
      <c r="AK10" s="160"/>
      <c r="AL10" s="160"/>
      <c r="AM10" s="160"/>
      <c r="AN10" s="160"/>
      <c r="AO10" s="160"/>
      <c r="AP10" s="160"/>
      <c r="AQ10" s="160"/>
    </row>
    <row r="11" spans="1:43" ht="15" customHeight="1" x14ac:dyDescent="0.3">
      <c r="A11" s="162">
        <v>2003</v>
      </c>
      <c r="B11" s="163">
        <v>139.80000000000001</v>
      </c>
      <c r="C11" s="163">
        <v>29.4</v>
      </c>
      <c r="D11" s="163">
        <v>106</v>
      </c>
      <c r="E11" s="163">
        <v>11.2</v>
      </c>
      <c r="F11" s="163">
        <v>3.4</v>
      </c>
      <c r="G11" s="163">
        <v>7.8</v>
      </c>
      <c r="H11" s="163">
        <v>25.2</v>
      </c>
      <c r="I11" s="163">
        <v>4.9000000000000004</v>
      </c>
      <c r="J11" s="163">
        <v>20</v>
      </c>
      <c r="K11" s="163">
        <v>77.2</v>
      </c>
      <c r="L11" s="163">
        <v>19.100000000000001</v>
      </c>
      <c r="M11" s="163">
        <v>57</v>
      </c>
      <c r="N11" s="163">
        <v>26.1</v>
      </c>
      <c r="O11" s="163">
        <v>1.9</v>
      </c>
      <c r="P11" s="163">
        <v>21.3</v>
      </c>
      <c r="R11" s="165"/>
      <c r="S11" s="165"/>
      <c r="T11" s="165"/>
      <c r="U11" s="165"/>
      <c r="V11" s="165"/>
      <c r="W11" s="165"/>
      <c r="X11" s="165"/>
      <c r="Y11" s="165"/>
      <c r="Z11" s="165"/>
      <c r="AA11" s="165"/>
      <c r="AB11" s="165"/>
      <c r="AC11" s="165"/>
      <c r="AD11" s="165"/>
      <c r="AE11" s="165"/>
      <c r="AF11" s="165"/>
      <c r="AG11" s="160"/>
      <c r="AH11" s="160"/>
      <c r="AI11" s="160"/>
      <c r="AJ11" s="160"/>
      <c r="AK11" s="160"/>
      <c r="AL11" s="160"/>
      <c r="AM11" s="160"/>
      <c r="AN11" s="160"/>
      <c r="AO11" s="160"/>
      <c r="AP11" s="160"/>
      <c r="AQ11" s="160"/>
    </row>
    <row r="12" spans="1:43" ht="15" customHeight="1" x14ac:dyDescent="0.3">
      <c r="A12" s="162">
        <v>2004</v>
      </c>
      <c r="B12" s="166">
        <v>124.4</v>
      </c>
      <c r="C12" s="166">
        <v>28.2</v>
      </c>
      <c r="D12" s="166">
        <v>91.7</v>
      </c>
      <c r="E12" s="166">
        <v>11</v>
      </c>
      <c r="F12" s="166">
        <v>3.1</v>
      </c>
      <c r="G12" s="166">
        <v>7.8</v>
      </c>
      <c r="H12" s="166">
        <v>20.6</v>
      </c>
      <c r="I12" s="166">
        <v>3.7</v>
      </c>
      <c r="J12" s="166">
        <v>16.600000000000001</v>
      </c>
      <c r="K12" s="166">
        <v>67.400000000000006</v>
      </c>
      <c r="L12" s="166">
        <v>19.399999999999999</v>
      </c>
      <c r="M12" s="166">
        <v>46.8</v>
      </c>
      <c r="N12" s="166">
        <v>25.5</v>
      </c>
      <c r="O12" s="166">
        <v>2</v>
      </c>
      <c r="P12" s="166">
        <v>20.5</v>
      </c>
      <c r="R12" s="165"/>
      <c r="S12" s="165"/>
      <c r="T12" s="165"/>
      <c r="U12" s="165"/>
      <c r="V12" s="165"/>
      <c r="W12" s="165"/>
      <c r="X12" s="165"/>
      <c r="Y12" s="165"/>
      <c r="Z12" s="165"/>
      <c r="AA12" s="165"/>
      <c r="AB12" s="165"/>
      <c r="AC12" s="165"/>
      <c r="AD12" s="165"/>
      <c r="AE12" s="165"/>
      <c r="AF12" s="165"/>
      <c r="AG12" s="160"/>
      <c r="AH12" s="160"/>
      <c r="AI12" s="160"/>
      <c r="AJ12" s="160"/>
      <c r="AK12" s="160"/>
      <c r="AL12" s="160"/>
      <c r="AM12" s="160"/>
      <c r="AN12" s="160"/>
      <c r="AO12" s="160"/>
      <c r="AP12" s="160"/>
      <c r="AQ12" s="160"/>
    </row>
    <row r="13" spans="1:43" ht="15" customHeight="1" x14ac:dyDescent="0.3">
      <c r="A13" s="162">
        <v>2005</v>
      </c>
      <c r="B13" s="163">
        <v>122.9</v>
      </c>
      <c r="C13" s="163">
        <v>28.7</v>
      </c>
      <c r="D13" s="163">
        <v>89.4</v>
      </c>
      <c r="E13" s="163">
        <v>9.1999999999999993</v>
      </c>
      <c r="F13" s="163">
        <v>2.4</v>
      </c>
      <c r="G13" s="163">
        <v>6.8</v>
      </c>
      <c r="H13" s="163">
        <v>17.100000000000001</v>
      </c>
      <c r="I13" s="163">
        <v>3.8</v>
      </c>
      <c r="J13" s="163">
        <v>13.2</v>
      </c>
      <c r="K13" s="163">
        <v>68.099999999999994</v>
      </c>
      <c r="L13" s="163">
        <v>20.399999999999999</v>
      </c>
      <c r="M13" s="163">
        <v>46.5</v>
      </c>
      <c r="N13" s="163">
        <v>28.5</v>
      </c>
      <c r="O13" s="163">
        <v>2.2000000000000002</v>
      </c>
      <c r="P13" s="163">
        <v>22.9</v>
      </c>
      <c r="R13" s="165"/>
      <c r="S13" s="165"/>
      <c r="T13" s="165"/>
      <c r="U13" s="165"/>
      <c r="V13" s="165"/>
      <c r="W13" s="165"/>
      <c r="X13" s="165"/>
      <c r="Y13" s="165"/>
      <c r="Z13" s="165"/>
      <c r="AA13" s="165"/>
      <c r="AB13" s="165"/>
      <c r="AC13" s="165"/>
      <c r="AD13" s="165"/>
      <c r="AE13" s="165"/>
      <c r="AF13" s="165"/>
      <c r="AG13" s="160"/>
      <c r="AH13" s="160"/>
      <c r="AI13" s="160"/>
      <c r="AJ13" s="160"/>
      <c r="AK13" s="160"/>
      <c r="AL13" s="160"/>
      <c r="AM13" s="160"/>
      <c r="AN13" s="160"/>
      <c r="AO13" s="160"/>
      <c r="AP13" s="160"/>
      <c r="AQ13" s="160"/>
    </row>
    <row r="14" spans="1:43" ht="15" customHeight="1" x14ac:dyDescent="0.3">
      <c r="A14" s="162">
        <v>2006</v>
      </c>
      <c r="B14" s="163">
        <v>112.4</v>
      </c>
      <c r="C14" s="163">
        <v>28.9</v>
      </c>
      <c r="D14" s="163">
        <v>79.2</v>
      </c>
      <c r="E14" s="163">
        <v>7.9</v>
      </c>
      <c r="F14" s="163">
        <v>1.9</v>
      </c>
      <c r="G14" s="163">
        <v>6</v>
      </c>
      <c r="H14" s="163">
        <v>14.5</v>
      </c>
      <c r="I14" s="163">
        <v>4</v>
      </c>
      <c r="J14" s="163">
        <v>10.4</v>
      </c>
      <c r="K14" s="163">
        <v>66.099999999999994</v>
      </c>
      <c r="L14" s="163">
        <v>21</v>
      </c>
      <c r="M14" s="163">
        <v>43.9</v>
      </c>
      <c r="N14" s="163">
        <v>23.9</v>
      </c>
      <c r="O14" s="163">
        <v>2</v>
      </c>
      <c r="P14" s="163">
        <v>18.899999999999999</v>
      </c>
      <c r="R14" s="165"/>
      <c r="S14" s="165"/>
      <c r="T14" s="165"/>
      <c r="U14" s="165"/>
      <c r="V14" s="165"/>
      <c r="W14" s="165"/>
      <c r="X14" s="165"/>
      <c r="Y14" s="165"/>
      <c r="Z14" s="165"/>
      <c r="AA14" s="165"/>
      <c r="AB14" s="165"/>
      <c r="AC14" s="165"/>
      <c r="AD14" s="165"/>
      <c r="AE14" s="165"/>
      <c r="AF14" s="165"/>
      <c r="AG14" s="160"/>
      <c r="AH14" s="160"/>
      <c r="AI14" s="160"/>
      <c r="AJ14" s="160"/>
      <c r="AK14" s="160"/>
      <c r="AL14" s="160"/>
      <c r="AM14" s="160"/>
      <c r="AN14" s="160"/>
      <c r="AO14" s="160"/>
      <c r="AP14" s="160"/>
      <c r="AQ14" s="160"/>
    </row>
    <row r="15" spans="1:43" ht="15" customHeight="1" x14ac:dyDescent="0.3">
      <c r="A15" s="162">
        <v>2007</v>
      </c>
      <c r="B15" s="163">
        <v>94.8</v>
      </c>
      <c r="C15" s="163">
        <v>28.6</v>
      </c>
      <c r="D15" s="163">
        <v>63.1</v>
      </c>
      <c r="E15" s="163">
        <v>7</v>
      </c>
      <c r="F15" s="163">
        <v>2.4</v>
      </c>
      <c r="G15" s="163">
        <v>4.5</v>
      </c>
      <c r="H15" s="163">
        <v>10.8</v>
      </c>
      <c r="I15" s="163">
        <v>3.4</v>
      </c>
      <c r="J15" s="163">
        <v>7.3</v>
      </c>
      <c r="K15" s="163">
        <v>59.4</v>
      </c>
      <c r="L15" s="163">
        <v>20.6</v>
      </c>
      <c r="M15" s="163">
        <v>38.1</v>
      </c>
      <c r="N15" s="163">
        <v>17.7</v>
      </c>
      <c r="O15" s="163">
        <v>2.2999999999999998</v>
      </c>
      <c r="P15" s="163">
        <v>13.3</v>
      </c>
      <c r="R15" s="165"/>
      <c r="S15" s="165"/>
      <c r="T15" s="165"/>
      <c r="U15" s="165"/>
      <c r="V15" s="165"/>
      <c r="W15" s="165"/>
      <c r="X15" s="165"/>
      <c r="Y15" s="165"/>
      <c r="Z15" s="165"/>
      <c r="AA15" s="165"/>
      <c r="AB15" s="165"/>
      <c r="AC15" s="165"/>
      <c r="AD15" s="165"/>
      <c r="AE15" s="165"/>
      <c r="AF15" s="165"/>
      <c r="AG15" s="160"/>
      <c r="AH15" s="160"/>
      <c r="AI15" s="160"/>
      <c r="AJ15" s="160"/>
      <c r="AK15" s="160"/>
      <c r="AL15" s="160"/>
      <c r="AM15" s="160"/>
      <c r="AN15" s="160"/>
      <c r="AO15" s="160"/>
      <c r="AP15" s="160"/>
      <c r="AQ15" s="160"/>
    </row>
    <row r="16" spans="1:43" ht="15" customHeight="1" x14ac:dyDescent="0.3">
      <c r="A16" s="162">
        <v>2008</v>
      </c>
      <c r="B16" s="163">
        <v>80.5</v>
      </c>
      <c r="C16" s="163">
        <v>27.8</v>
      </c>
      <c r="D16" s="163">
        <v>50.8</v>
      </c>
      <c r="E16" s="163">
        <v>5</v>
      </c>
      <c r="F16" s="163">
        <v>1.6</v>
      </c>
      <c r="G16" s="163">
        <v>3.3</v>
      </c>
      <c r="H16" s="163">
        <v>8.1999999999999993</v>
      </c>
      <c r="I16" s="163">
        <v>2.7</v>
      </c>
      <c r="J16" s="163">
        <v>5.4</v>
      </c>
      <c r="K16" s="163">
        <v>54</v>
      </c>
      <c r="L16" s="163">
        <v>21</v>
      </c>
      <c r="M16" s="163">
        <v>32.4</v>
      </c>
      <c r="N16" s="163">
        <v>13.3</v>
      </c>
      <c r="O16" s="163">
        <v>2.4</v>
      </c>
      <c r="P16" s="163">
        <v>9.6999999999999993</v>
      </c>
      <c r="R16" s="165"/>
      <c r="S16" s="165"/>
      <c r="T16" s="165"/>
      <c r="U16" s="165"/>
      <c r="V16" s="165"/>
      <c r="W16" s="165"/>
      <c r="X16" s="165"/>
      <c r="Y16" s="165"/>
      <c r="Z16" s="165"/>
      <c r="AA16" s="165"/>
      <c r="AB16" s="165"/>
      <c r="AC16" s="165"/>
      <c r="AD16" s="165"/>
      <c r="AE16" s="165"/>
      <c r="AF16" s="165"/>
      <c r="AG16" s="160"/>
      <c r="AH16" s="160"/>
      <c r="AI16" s="160"/>
      <c r="AJ16" s="160"/>
      <c r="AK16" s="160"/>
      <c r="AL16" s="160"/>
      <c r="AM16" s="160"/>
      <c r="AN16" s="160"/>
      <c r="AO16" s="160"/>
      <c r="AP16" s="160"/>
      <c r="AQ16" s="160"/>
    </row>
    <row r="17" spans="1:43" ht="15" customHeight="1" x14ac:dyDescent="0.3">
      <c r="A17" s="162">
        <v>2009</v>
      </c>
      <c r="B17" s="163">
        <v>54.5</v>
      </c>
      <c r="C17" s="163">
        <v>20.2</v>
      </c>
      <c r="D17" s="163">
        <v>33.1</v>
      </c>
      <c r="E17" s="163">
        <v>3.6</v>
      </c>
      <c r="F17" s="163">
        <v>1.2</v>
      </c>
      <c r="G17" s="163">
        <v>2.2999999999999998</v>
      </c>
      <c r="H17" s="163">
        <v>5.5</v>
      </c>
      <c r="I17" s="163">
        <v>1.9</v>
      </c>
      <c r="J17" s="163">
        <v>3.6</v>
      </c>
      <c r="K17" s="163">
        <v>38</v>
      </c>
      <c r="L17" s="163">
        <v>15.7</v>
      </c>
      <c r="M17" s="163">
        <v>21.9</v>
      </c>
      <c r="N17" s="163">
        <v>7.5</v>
      </c>
      <c r="O17" s="163">
        <v>1.5</v>
      </c>
      <c r="P17" s="163">
        <v>5.3</v>
      </c>
      <c r="R17" s="165"/>
      <c r="S17" s="165"/>
      <c r="T17" s="165"/>
      <c r="U17" s="165"/>
      <c r="V17" s="165"/>
      <c r="W17" s="165"/>
      <c r="X17" s="165"/>
      <c r="Y17" s="165"/>
      <c r="Z17" s="165"/>
      <c r="AA17" s="165"/>
      <c r="AB17" s="165"/>
      <c r="AC17" s="165"/>
      <c r="AD17" s="165"/>
      <c r="AE17" s="165"/>
      <c r="AF17" s="165"/>
      <c r="AG17" s="160"/>
      <c r="AH17" s="160"/>
      <c r="AI17" s="160"/>
      <c r="AJ17" s="160"/>
      <c r="AK17" s="160"/>
      <c r="AL17" s="160"/>
      <c r="AM17" s="160"/>
      <c r="AN17" s="160"/>
      <c r="AO17" s="160"/>
      <c r="AP17" s="160"/>
      <c r="AQ17" s="160"/>
    </row>
    <row r="18" spans="1:43" ht="15" customHeight="1" x14ac:dyDescent="0.3">
      <c r="A18" s="162">
        <v>2010</v>
      </c>
      <c r="B18" s="163">
        <v>49.9</v>
      </c>
      <c r="C18" s="163">
        <v>19</v>
      </c>
      <c r="D18" s="163">
        <v>29.9</v>
      </c>
      <c r="E18" s="163">
        <v>3.8</v>
      </c>
      <c r="F18" s="163">
        <v>1.4</v>
      </c>
      <c r="G18" s="163">
        <v>2.2999999999999998</v>
      </c>
      <c r="H18" s="163">
        <v>5.6</v>
      </c>
      <c r="I18" s="163">
        <v>2.5</v>
      </c>
      <c r="J18" s="163">
        <v>3.1</v>
      </c>
      <c r="K18" s="163">
        <v>34.200000000000003</v>
      </c>
      <c r="L18" s="163">
        <v>13.7</v>
      </c>
      <c r="M18" s="163">
        <v>20</v>
      </c>
      <c r="N18" s="163">
        <v>6.4</v>
      </c>
      <c r="O18" s="163">
        <v>1.3</v>
      </c>
      <c r="P18" s="163">
        <v>4.5</v>
      </c>
      <c r="R18" s="165"/>
      <c r="S18" s="165"/>
      <c r="T18" s="165"/>
      <c r="U18" s="165"/>
      <c r="V18" s="165"/>
      <c r="W18" s="165"/>
      <c r="X18" s="165"/>
      <c r="Y18" s="165"/>
      <c r="Z18" s="165"/>
      <c r="AA18" s="165"/>
      <c r="AB18" s="165"/>
      <c r="AC18" s="165"/>
      <c r="AD18" s="165"/>
      <c r="AE18" s="165"/>
      <c r="AF18" s="165"/>
      <c r="AG18" s="160"/>
      <c r="AH18" s="160"/>
      <c r="AI18" s="160"/>
      <c r="AJ18" s="160"/>
      <c r="AK18" s="160"/>
      <c r="AL18" s="160"/>
      <c r="AM18" s="160"/>
      <c r="AN18" s="160"/>
      <c r="AO18" s="160"/>
      <c r="AP18" s="160"/>
      <c r="AQ18" s="160"/>
    </row>
    <row r="19" spans="1:43" ht="16.149999999999999" customHeight="1" x14ac:dyDescent="0.3">
      <c r="A19" s="167"/>
      <c r="B19" s="168"/>
      <c r="C19" s="168"/>
      <c r="D19" s="168"/>
      <c r="E19" s="168"/>
      <c r="F19" s="168"/>
      <c r="G19" s="168"/>
      <c r="H19" s="168"/>
      <c r="I19" s="168"/>
      <c r="J19" s="168"/>
      <c r="K19" s="168"/>
      <c r="L19" s="168"/>
      <c r="M19" s="168"/>
      <c r="N19" s="168"/>
      <c r="O19" s="168"/>
      <c r="P19" s="168"/>
      <c r="Q19" s="159"/>
      <c r="R19" s="165"/>
      <c r="S19" s="165"/>
      <c r="T19" s="165"/>
      <c r="U19" s="165"/>
      <c r="V19" s="165"/>
      <c r="W19" s="165"/>
      <c r="X19" s="165"/>
      <c r="Y19" s="165"/>
      <c r="Z19" s="165"/>
      <c r="AA19" s="165"/>
      <c r="AB19" s="165"/>
      <c r="AC19" s="165"/>
      <c r="AD19" s="165"/>
      <c r="AE19" s="165"/>
      <c r="AF19" s="165"/>
      <c r="AG19" s="160"/>
      <c r="AH19" s="160"/>
      <c r="AI19" s="160"/>
      <c r="AJ19" s="160"/>
      <c r="AK19" s="160"/>
      <c r="AL19" s="160"/>
      <c r="AM19" s="160"/>
      <c r="AN19" s="160"/>
      <c r="AO19" s="160"/>
      <c r="AP19" s="160"/>
      <c r="AQ19" s="160"/>
    </row>
    <row r="20" spans="1:43" s="160" customFormat="1" ht="17.45" customHeight="1" x14ac:dyDescent="0.3">
      <c r="A20" s="156" t="s">
        <v>275</v>
      </c>
      <c r="B20" s="169"/>
      <c r="C20" s="157"/>
      <c r="D20" s="157"/>
      <c r="E20" s="158"/>
      <c r="F20" s="157"/>
      <c r="G20" s="157"/>
      <c r="H20" s="157"/>
      <c r="I20" s="169"/>
      <c r="J20" s="157"/>
      <c r="K20" s="157"/>
      <c r="L20" s="157"/>
      <c r="M20" s="157"/>
      <c r="N20" s="157"/>
      <c r="O20" s="157"/>
      <c r="P20" s="169"/>
      <c r="Q20" s="159"/>
      <c r="R20" s="165"/>
      <c r="S20" s="165"/>
      <c r="T20" s="165"/>
      <c r="U20" s="165"/>
      <c r="V20" s="165"/>
      <c r="W20" s="165"/>
      <c r="X20" s="165"/>
      <c r="Y20" s="165"/>
      <c r="Z20" s="165"/>
      <c r="AA20" s="165"/>
      <c r="AB20" s="165"/>
      <c r="AC20" s="165"/>
      <c r="AD20" s="165"/>
      <c r="AE20" s="165"/>
      <c r="AF20" s="165"/>
    </row>
    <row r="21" spans="1:43" ht="10.15" customHeight="1" x14ac:dyDescent="0.3">
      <c r="A21" s="167"/>
      <c r="B21" s="157"/>
      <c r="C21" s="157"/>
      <c r="D21" s="157"/>
      <c r="E21" s="158"/>
      <c r="F21" s="157"/>
      <c r="G21" s="157"/>
      <c r="H21" s="157"/>
      <c r="I21" s="157"/>
      <c r="J21" s="157"/>
      <c r="K21" s="157"/>
      <c r="L21" s="157"/>
      <c r="M21" s="157"/>
      <c r="N21" s="157"/>
      <c r="O21" s="157"/>
      <c r="P21" s="157"/>
      <c r="Q21" s="159"/>
      <c r="R21" s="165"/>
      <c r="S21" s="165"/>
      <c r="T21" s="165"/>
      <c r="U21" s="165"/>
      <c r="V21" s="165"/>
      <c r="W21" s="165"/>
      <c r="X21" s="165"/>
      <c r="Y21" s="165"/>
      <c r="Z21" s="165"/>
      <c r="AA21" s="165"/>
      <c r="AB21" s="165"/>
      <c r="AC21" s="165"/>
      <c r="AD21" s="165"/>
      <c r="AE21" s="165"/>
      <c r="AF21" s="165"/>
      <c r="AG21" s="160"/>
      <c r="AH21" s="160"/>
      <c r="AI21" s="160"/>
      <c r="AJ21" s="160"/>
      <c r="AK21" s="160"/>
      <c r="AL21" s="160"/>
      <c r="AM21" s="160"/>
      <c r="AN21" s="160"/>
      <c r="AO21" s="160"/>
      <c r="AP21" s="160"/>
      <c r="AQ21" s="160"/>
    </row>
    <row r="22" spans="1:43" ht="13.5" customHeight="1" x14ac:dyDescent="0.3">
      <c r="A22" s="170">
        <v>2008</v>
      </c>
      <c r="B22" s="171"/>
      <c r="C22" s="171"/>
      <c r="D22" s="171"/>
      <c r="E22" s="171"/>
      <c r="F22" s="171"/>
      <c r="G22" s="171"/>
      <c r="H22" s="171"/>
      <c r="I22" s="171"/>
      <c r="J22" s="171"/>
      <c r="K22" s="171"/>
      <c r="L22" s="171"/>
      <c r="M22" s="171"/>
      <c r="N22" s="171"/>
      <c r="O22" s="171"/>
      <c r="P22" s="171"/>
      <c r="Q22" s="172"/>
      <c r="R22" s="165"/>
      <c r="S22" s="165"/>
      <c r="T22" s="165"/>
      <c r="U22" s="165"/>
      <c r="V22" s="165"/>
      <c r="W22" s="165"/>
      <c r="X22" s="165"/>
      <c r="Y22" s="165"/>
      <c r="Z22" s="165"/>
      <c r="AA22" s="165"/>
      <c r="AB22" s="165"/>
      <c r="AC22" s="165"/>
      <c r="AD22" s="165"/>
      <c r="AE22" s="165"/>
      <c r="AF22" s="165"/>
      <c r="AG22" s="160"/>
      <c r="AH22" s="160"/>
      <c r="AI22" s="160"/>
      <c r="AJ22" s="160"/>
      <c r="AK22" s="160"/>
      <c r="AL22" s="160"/>
      <c r="AM22" s="160"/>
      <c r="AN22" s="160"/>
      <c r="AO22" s="160"/>
      <c r="AP22" s="160"/>
      <c r="AQ22" s="160"/>
    </row>
    <row r="23" spans="1:43" ht="13.5" customHeight="1" x14ac:dyDescent="0.3">
      <c r="A23" s="170" t="s">
        <v>276</v>
      </c>
      <c r="B23" s="163">
        <v>4.8</v>
      </c>
      <c r="C23" s="163">
        <v>1.2</v>
      </c>
      <c r="D23" s="163">
        <v>3.3</v>
      </c>
      <c r="E23" s="163">
        <v>0.3</v>
      </c>
      <c r="F23" s="163" t="s">
        <v>277</v>
      </c>
      <c r="G23" s="163">
        <v>0.2</v>
      </c>
      <c r="H23" s="163">
        <v>0.4</v>
      </c>
      <c r="I23" s="163">
        <v>0.1</v>
      </c>
      <c r="J23" s="163">
        <v>0.3</v>
      </c>
      <c r="K23" s="163">
        <v>3</v>
      </c>
      <c r="L23" s="163">
        <v>1</v>
      </c>
      <c r="M23" s="163">
        <v>2</v>
      </c>
      <c r="N23" s="163">
        <v>1.1000000000000001</v>
      </c>
      <c r="O23" s="163">
        <v>0.1</v>
      </c>
      <c r="P23" s="163">
        <v>0.8</v>
      </c>
      <c r="Q23" s="172"/>
      <c r="R23" s="165"/>
      <c r="S23" s="165"/>
      <c r="T23" s="165"/>
      <c r="U23" s="165"/>
      <c r="V23" s="165"/>
      <c r="W23" s="165"/>
      <c r="X23" s="165"/>
      <c r="Y23" s="165"/>
      <c r="Z23" s="165"/>
      <c r="AA23" s="165"/>
      <c r="AB23" s="165"/>
      <c r="AC23" s="165"/>
      <c r="AD23" s="165"/>
      <c r="AE23" s="165"/>
      <c r="AF23" s="165"/>
      <c r="AG23" s="160"/>
      <c r="AH23" s="160"/>
      <c r="AI23" s="160"/>
      <c r="AJ23" s="160"/>
      <c r="AK23" s="160"/>
      <c r="AL23" s="160"/>
      <c r="AM23" s="160"/>
      <c r="AN23" s="160"/>
      <c r="AO23" s="160"/>
      <c r="AP23" s="160"/>
      <c r="AQ23" s="160"/>
    </row>
    <row r="24" spans="1:43" ht="13.5" customHeight="1" x14ac:dyDescent="0.3">
      <c r="A24" s="170" t="s">
        <v>278</v>
      </c>
      <c r="B24" s="163">
        <v>5.9</v>
      </c>
      <c r="C24" s="163">
        <v>2.2000000000000002</v>
      </c>
      <c r="D24" s="163">
        <v>3.6</v>
      </c>
      <c r="E24" s="163">
        <v>0.1</v>
      </c>
      <c r="F24" s="163" t="s">
        <v>277</v>
      </c>
      <c r="G24" s="163">
        <v>0.1</v>
      </c>
      <c r="H24" s="163">
        <v>0.4</v>
      </c>
      <c r="I24" s="163">
        <v>0.1</v>
      </c>
      <c r="J24" s="163">
        <v>0.3</v>
      </c>
      <c r="K24" s="163">
        <v>4.5999999999999996</v>
      </c>
      <c r="L24" s="163">
        <v>2.1</v>
      </c>
      <c r="M24" s="163">
        <v>2.5</v>
      </c>
      <c r="N24" s="163">
        <v>0.8</v>
      </c>
      <c r="O24" s="163" t="s">
        <v>277</v>
      </c>
      <c r="P24" s="163">
        <v>0.7</v>
      </c>
      <c r="Q24" s="172"/>
      <c r="R24" s="165"/>
      <c r="S24" s="165"/>
      <c r="T24" s="165"/>
      <c r="U24" s="165"/>
      <c r="V24" s="165"/>
      <c r="W24" s="165"/>
      <c r="X24" s="165"/>
      <c r="Y24" s="165"/>
      <c r="Z24" s="165"/>
      <c r="AA24" s="165"/>
      <c r="AB24" s="165"/>
      <c r="AC24" s="165"/>
      <c r="AD24" s="165"/>
      <c r="AE24" s="165"/>
      <c r="AF24" s="165"/>
      <c r="AG24" s="160"/>
      <c r="AH24" s="160"/>
      <c r="AI24" s="160"/>
      <c r="AJ24" s="160"/>
      <c r="AK24" s="160"/>
      <c r="AL24" s="160"/>
      <c r="AM24" s="160"/>
      <c r="AN24" s="160"/>
      <c r="AO24" s="160"/>
      <c r="AP24" s="160"/>
      <c r="AQ24" s="160"/>
    </row>
    <row r="25" spans="1:43" ht="13.5" customHeight="1" x14ac:dyDescent="0.3">
      <c r="A25" s="170" t="s">
        <v>279</v>
      </c>
      <c r="B25" s="163">
        <v>6.7</v>
      </c>
      <c r="C25" s="163">
        <v>2.2999999999999998</v>
      </c>
      <c r="D25" s="163">
        <v>4.3</v>
      </c>
      <c r="E25" s="163">
        <v>0.2</v>
      </c>
      <c r="F25" s="163" t="s">
        <v>277</v>
      </c>
      <c r="G25" s="163">
        <v>0.2</v>
      </c>
      <c r="H25" s="163">
        <v>0.5</v>
      </c>
      <c r="I25" s="163" t="s">
        <v>277</v>
      </c>
      <c r="J25" s="163">
        <v>0.4</v>
      </c>
      <c r="K25" s="163">
        <v>5</v>
      </c>
      <c r="L25" s="163">
        <v>2</v>
      </c>
      <c r="M25" s="163">
        <v>2.9</v>
      </c>
      <c r="N25" s="163">
        <v>1</v>
      </c>
      <c r="O25" s="163">
        <v>0.2</v>
      </c>
      <c r="P25" s="163">
        <v>0.8</v>
      </c>
      <c r="Q25" s="172"/>
      <c r="R25" s="165"/>
      <c r="S25" s="165"/>
      <c r="T25" s="165"/>
      <c r="U25" s="165"/>
      <c r="V25" s="165"/>
      <c r="W25" s="165"/>
      <c r="X25" s="165"/>
      <c r="Y25" s="165"/>
      <c r="Z25" s="165"/>
      <c r="AA25" s="165"/>
      <c r="AB25" s="165"/>
      <c r="AC25" s="165"/>
      <c r="AD25" s="165"/>
      <c r="AE25" s="165"/>
      <c r="AF25" s="165"/>
      <c r="AG25" s="160"/>
      <c r="AH25" s="160"/>
      <c r="AI25" s="160"/>
      <c r="AJ25" s="160"/>
      <c r="AK25" s="160"/>
      <c r="AL25" s="160"/>
      <c r="AM25" s="160"/>
      <c r="AN25" s="160"/>
      <c r="AO25" s="160"/>
      <c r="AP25" s="160"/>
      <c r="AQ25" s="160"/>
    </row>
    <row r="26" spans="1:43" ht="13.5" customHeight="1" x14ac:dyDescent="0.3">
      <c r="A26" s="170" t="s">
        <v>280</v>
      </c>
      <c r="B26" s="163">
        <v>7.1</v>
      </c>
      <c r="C26" s="163">
        <v>2.4</v>
      </c>
      <c r="D26" s="163">
        <v>4.5</v>
      </c>
      <c r="E26" s="163">
        <v>0.4</v>
      </c>
      <c r="F26" s="163">
        <v>0.1</v>
      </c>
      <c r="G26" s="163">
        <v>0.3</v>
      </c>
      <c r="H26" s="163">
        <v>0.6</v>
      </c>
      <c r="I26" s="163">
        <v>0.2</v>
      </c>
      <c r="J26" s="163">
        <v>0.4</v>
      </c>
      <c r="K26" s="163">
        <v>5</v>
      </c>
      <c r="L26" s="163">
        <v>2</v>
      </c>
      <c r="M26" s="163">
        <v>2.9</v>
      </c>
      <c r="N26" s="163">
        <v>1.1000000000000001</v>
      </c>
      <c r="O26" s="163">
        <v>0.1</v>
      </c>
      <c r="P26" s="163">
        <v>0.8</v>
      </c>
      <c r="Q26" s="172"/>
      <c r="R26" s="165"/>
      <c r="S26" s="165"/>
      <c r="T26" s="165"/>
      <c r="U26" s="165"/>
      <c r="V26" s="165"/>
      <c r="W26" s="165"/>
      <c r="X26" s="165"/>
      <c r="Y26" s="165"/>
      <c r="Z26" s="165"/>
      <c r="AA26" s="165"/>
      <c r="AB26" s="165"/>
      <c r="AC26" s="165"/>
      <c r="AD26" s="165"/>
      <c r="AE26" s="165"/>
      <c r="AF26" s="165"/>
      <c r="AG26" s="160"/>
      <c r="AH26" s="160"/>
      <c r="AI26" s="160"/>
      <c r="AJ26" s="160"/>
      <c r="AK26" s="160"/>
      <c r="AL26" s="160"/>
      <c r="AM26" s="160"/>
      <c r="AN26" s="160"/>
      <c r="AO26" s="160"/>
      <c r="AP26" s="160"/>
      <c r="AQ26" s="160"/>
    </row>
    <row r="27" spans="1:43" ht="13.5" customHeight="1" x14ac:dyDescent="0.3">
      <c r="A27" s="170" t="s">
        <v>281</v>
      </c>
      <c r="B27" s="163">
        <v>7.9</v>
      </c>
      <c r="C27" s="163">
        <v>2.8</v>
      </c>
      <c r="D27" s="163">
        <v>4.9000000000000004</v>
      </c>
      <c r="E27" s="163">
        <v>0.5</v>
      </c>
      <c r="F27" s="163">
        <v>0.2</v>
      </c>
      <c r="G27" s="163">
        <v>0.2</v>
      </c>
      <c r="H27" s="163">
        <v>0.8</v>
      </c>
      <c r="I27" s="163">
        <v>0.3</v>
      </c>
      <c r="J27" s="163">
        <v>0.5</v>
      </c>
      <c r="K27" s="163">
        <v>5.3</v>
      </c>
      <c r="L27" s="163">
        <v>2</v>
      </c>
      <c r="M27" s="163">
        <v>3.2</v>
      </c>
      <c r="N27" s="163">
        <v>1.4</v>
      </c>
      <c r="O27" s="163">
        <v>0.3</v>
      </c>
      <c r="P27" s="163">
        <v>1</v>
      </c>
      <c r="Q27" s="172"/>
      <c r="R27" s="165"/>
      <c r="S27" s="165"/>
      <c r="T27" s="165"/>
      <c r="U27" s="165"/>
      <c r="V27" s="165"/>
      <c r="W27" s="165"/>
      <c r="X27" s="165"/>
      <c r="Y27" s="165"/>
      <c r="Z27" s="165"/>
      <c r="AA27" s="165"/>
      <c r="AB27" s="165"/>
      <c r="AC27" s="165"/>
      <c r="AD27" s="165"/>
      <c r="AE27" s="165"/>
      <c r="AF27" s="165"/>
      <c r="AG27" s="160"/>
      <c r="AH27" s="160"/>
      <c r="AI27" s="160"/>
      <c r="AJ27" s="160"/>
      <c r="AK27" s="160"/>
      <c r="AL27" s="160"/>
      <c r="AM27" s="160"/>
      <c r="AN27" s="160"/>
      <c r="AO27" s="160"/>
      <c r="AP27" s="160"/>
      <c r="AQ27" s="160"/>
    </row>
    <row r="28" spans="1:43" ht="13.5" customHeight="1" x14ac:dyDescent="0.3">
      <c r="A28" s="170" t="s">
        <v>282</v>
      </c>
      <c r="B28" s="163">
        <v>7.9</v>
      </c>
      <c r="C28" s="163">
        <v>2.9</v>
      </c>
      <c r="D28" s="163">
        <v>4.8</v>
      </c>
      <c r="E28" s="163">
        <v>0.8</v>
      </c>
      <c r="F28" s="163">
        <v>0.2</v>
      </c>
      <c r="G28" s="163">
        <v>0.6</v>
      </c>
      <c r="H28" s="163">
        <v>0.7</v>
      </c>
      <c r="I28" s="163">
        <v>0.3</v>
      </c>
      <c r="J28" s="163">
        <v>0.4</v>
      </c>
      <c r="K28" s="163">
        <v>5.0999999999999996</v>
      </c>
      <c r="L28" s="163">
        <v>2.1</v>
      </c>
      <c r="M28" s="163">
        <v>3</v>
      </c>
      <c r="N28" s="163">
        <v>1.2</v>
      </c>
      <c r="O28" s="163">
        <v>0.3</v>
      </c>
      <c r="P28" s="163">
        <v>0.8</v>
      </c>
      <c r="Q28" s="172"/>
      <c r="R28" s="165"/>
      <c r="S28" s="165"/>
      <c r="T28" s="165"/>
      <c r="U28" s="165"/>
      <c r="V28" s="165"/>
      <c r="W28" s="165"/>
      <c r="X28" s="165"/>
      <c r="Y28" s="165"/>
      <c r="Z28" s="165"/>
      <c r="AA28" s="165"/>
      <c r="AB28" s="165"/>
      <c r="AC28" s="165"/>
      <c r="AD28" s="165"/>
      <c r="AE28" s="165"/>
      <c r="AF28" s="165"/>
      <c r="AG28" s="160"/>
      <c r="AH28" s="160"/>
      <c r="AI28" s="160"/>
      <c r="AJ28" s="160"/>
      <c r="AK28" s="160"/>
      <c r="AL28" s="160"/>
      <c r="AM28" s="160"/>
      <c r="AN28" s="160"/>
      <c r="AO28" s="160"/>
      <c r="AP28" s="160"/>
      <c r="AQ28" s="160"/>
    </row>
    <row r="29" spans="1:43" ht="13.5" customHeight="1" x14ac:dyDescent="0.3">
      <c r="A29" s="173" t="s">
        <v>283</v>
      </c>
      <c r="B29" s="163">
        <v>7.6</v>
      </c>
      <c r="C29" s="163">
        <v>2.4</v>
      </c>
      <c r="D29" s="163">
        <v>4.9000000000000004</v>
      </c>
      <c r="E29" s="163">
        <v>0.3</v>
      </c>
      <c r="F29" s="163">
        <v>0.1</v>
      </c>
      <c r="G29" s="163">
        <v>0.2</v>
      </c>
      <c r="H29" s="163">
        <v>1</v>
      </c>
      <c r="I29" s="163">
        <v>0.4</v>
      </c>
      <c r="J29" s="163">
        <v>0.5</v>
      </c>
      <c r="K29" s="163">
        <v>4.8</v>
      </c>
      <c r="L29" s="163">
        <v>1.6</v>
      </c>
      <c r="M29" s="163">
        <v>3.2</v>
      </c>
      <c r="N29" s="163">
        <v>1.4</v>
      </c>
      <c r="O29" s="163">
        <v>0.3</v>
      </c>
      <c r="P29" s="163">
        <v>1</v>
      </c>
      <c r="Q29" s="172"/>
      <c r="R29" s="165"/>
      <c r="S29" s="165"/>
      <c r="T29" s="165"/>
      <c r="U29" s="165"/>
      <c r="V29" s="165"/>
      <c r="W29" s="165"/>
      <c r="X29" s="165"/>
      <c r="Y29" s="165"/>
      <c r="Z29" s="165"/>
      <c r="AA29" s="165"/>
      <c r="AB29" s="165"/>
      <c r="AC29" s="165"/>
      <c r="AD29" s="165"/>
      <c r="AE29" s="165"/>
      <c r="AF29" s="165"/>
      <c r="AG29" s="160"/>
      <c r="AH29" s="160"/>
      <c r="AI29" s="160"/>
      <c r="AJ29" s="160"/>
      <c r="AK29" s="160"/>
      <c r="AL29" s="160"/>
      <c r="AM29" s="160"/>
      <c r="AN29" s="160"/>
      <c r="AO29" s="160"/>
      <c r="AP29" s="160"/>
      <c r="AQ29" s="160"/>
    </row>
    <row r="30" spans="1:43" ht="13.5" customHeight="1" x14ac:dyDescent="0.3">
      <c r="A30" s="173" t="s">
        <v>284</v>
      </c>
      <c r="B30" s="163">
        <v>7.6</v>
      </c>
      <c r="C30" s="163">
        <v>2.7</v>
      </c>
      <c r="D30" s="163">
        <v>4.7</v>
      </c>
      <c r="E30" s="163">
        <v>0.7</v>
      </c>
      <c r="F30" s="163">
        <v>0.2</v>
      </c>
      <c r="G30" s="163">
        <v>0.4</v>
      </c>
      <c r="H30" s="163">
        <v>0.7</v>
      </c>
      <c r="I30" s="163">
        <v>0.3</v>
      </c>
      <c r="J30" s="163">
        <v>0.5</v>
      </c>
      <c r="K30" s="163">
        <v>4.8</v>
      </c>
      <c r="L30" s="163">
        <v>1.9</v>
      </c>
      <c r="M30" s="163">
        <v>2.8</v>
      </c>
      <c r="N30" s="163">
        <v>1.5</v>
      </c>
      <c r="O30" s="163">
        <v>0.3</v>
      </c>
      <c r="P30" s="163">
        <v>1</v>
      </c>
      <c r="Q30" s="172"/>
      <c r="R30" s="165"/>
      <c r="S30" s="165"/>
      <c r="T30" s="165"/>
      <c r="U30" s="165"/>
      <c r="V30" s="165"/>
      <c r="W30" s="165"/>
      <c r="X30" s="165"/>
      <c r="Y30" s="165"/>
      <c r="Z30" s="165"/>
      <c r="AA30" s="165"/>
      <c r="AB30" s="165"/>
      <c r="AC30" s="165"/>
      <c r="AD30" s="165"/>
      <c r="AE30" s="165"/>
      <c r="AF30" s="165"/>
      <c r="AG30" s="160"/>
      <c r="AH30" s="160"/>
      <c r="AI30" s="160"/>
      <c r="AJ30" s="160"/>
      <c r="AK30" s="160"/>
      <c r="AL30" s="160"/>
      <c r="AM30" s="160"/>
      <c r="AN30" s="160"/>
      <c r="AO30" s="160"/>
      <c r="AP30" s="160"/>
      <c r="AQ30" s="160"/>
    </row>
    <row r="31" spans="1:43" ht="13.5" customHeight="1" x14ac:dyDescent="0.3">
      <c r="A31" s="173" t="s">
        <v>285</v>
      </c>
      <c r="B31" s="163">
        <v>7.2</v>
      </c>
      <c r="C31" s="163">
        <v>2.5</v>
      </c>
      <c r="D31" s="163">
        <v>4.5999999999999996</v>
      </c>
      <c r="E31" s="163">
        <v>0.4</v>
      </c>
      <c r="F31" s="163">
        <v>0.2</v>
      </c>
      <c r="G31" s="163">
        <v>0.2</v>
      </c>
      <c r="H31" s="163">
        <v>1</v>
      </c>
      <c r="I31" s="163">
        <v>0.5</v>
      </c>
      <c r="J31" s="163">
        <v>0.6</v>
      </c>
      <c r="K31" s="163">
        <v>4.7</v>
      </c>
      <c r="L31" s="163">
        <v>1.6</v>
      </c>
      <c r="M31" s="163">
        <v>3</v>
      </c>
      <c r="N31" s="163">
        <v>1.2</v>
      </c>
      <c r="O31" s="163">
        <v>0.2</v>
      </c>
      <c r="P31" s="163">
        <v>0.8</v>
      </c>
      <c r="Q31" s="172"/>
      <c r="R31" s="165"/>
      <c r="S31" s="165"/>
      <c r="T31" s="165"/>
      <c r="U31" s="165"/>
      <c r="V31" s="165"/>
      <c r="W31" s="165"/>
      <c r="X31" s="165"/>
      <c r="Y31" s="165"/>
      <c r="Z31" s="165"/>
      <c r="AA31" s="165"/>
      <c r="AB31" s="165"/>
      <c r="AC31" s="165"/>
      <c r="AD31" s="165"/>
      <c r="AE31" s="165"/>
      <c r="AF31" s="165"/>
      <c r="AG31" s="160"/>
      <c r="AH31" s="160"/>
      <c r="AI31" s="160"/>
      <c r="AJ31" s="160"/>
      <c r="AK31" s="160"/>
      <c r="AL31" s="160"/>
      <c r="AM31" s="160"/>
      <c r="AN31" s="160"/>
      <c r="AO31" s="160"/>
      <c r="AP31" s="160"/>
      <c r="AQ31" s="160"/>
    </row>
    <row r="32" spans="1:43" ht="13.5" customHeight="1" x14ac:dyDescent="0.3">
      <c r="A32" s="170" t="s">
        <v>286</v>
      </c>
      <c r="B32" s="163">
        <v>7.2</v>
      </c>
      <c r="C32" s="163">
        <v>2.5</v>
      </c>
      <c r="D32" s="163">
        <v>4.5</v>
      </c>
      <c r="E32" s="163">
        <v>0.8</v>
      </c>
      <c r="F32" s="163">
        <v>0.3</v>
      </c>
      <c r="G32" s="163">
        <v>0.5</v>
      </c>
      <c r="H32" s="163">
        <v>0.8</v>
      </c>
      <c r="I32" s="163">
        <v>0.2</v>
      </c>
      <c r="J32" s="163">
        <v>0.6</v>
      </c>
      <c r="K32" s="163">
        <v>4.5999999999999996</v>
      </c>
      <c r="L32" s="163">
        <v>1.8</v>
      </c>
      <c r="M32" s="163">
        <v>2.7</v>
      </c>
      <c r="N32" s="163">
        <v>1</v>
      </c>
      <c r="O32" s="163">
        <v>0.2</v>
      </c>
      <c r="P32" s="163">
        <v>0.7</v>
      </c>
      <c r="Q32" s="172"/>
      <c r="R32" s="165"/>
      <c r="S32" s="165"/>
      <c r="T32" s="165"/>
      <c r="U32" s="165"/>
      <c r="V32" s="165"/>
      <c r="W32" s="165"/>
      <c r="X32" s="165"/>
      <c r="Y32" s="165"/>
      <c r="Z32" s="165"/>
      <c r="AA32" s="165"/>
      <c r="AB32" s="165"/>
      <c r="AC32" s="165"/>
      <c r="AD32" s="165"/>
      <c r="AE32" s="165"/>
      <c r="AF32" s="165"/>
      <c r="AG32" s="160"/>
      <c r="AH32" s="160"/>
      <c r="AI32" s="160"/>
      <c r="AJ32" s="160"/>
      <c r="AK32" s="160"/>
      <c r="AL32" s="160"/>
      <c r="AM32" s="160"/>
      <c r="AN32" s="160"/>
      <c r="AO32" s="160"/>
      <c r="AP32" s="160"/>
      <c r="AQ32" s="160"/>
    </row>
    <row r="33" spans="1:43" ht="13.5" customHeight="1" x14ac:dyDescent="0.3">
      <c r="A33" s="170" t="s">
        <v>287</v>
      </c>
      <c r="B33" s="163">
        <v>5.4</v>
      </c>
      <c r="C33" s="163">
        <v>2</v>
      </c>
      <c r="D33" s="163">
        <v>3.3</v>
      </c>
      <c r="E33" s="163">
        <v>0.2</v>
      </c>
      <c r="F33" s="163" t="s">
        <v>277</v>
      </c>
      <c r="G33" s="163">
        <v>0.2</v>
      </c>
      <c r="H33" s="163">
        <v>0.8</v>
      </c>
      <c r="I33" s="163">
        <v>0.3</v>
      </c>
      <c r="J33" s="163">
        <v>0.5</v>
      </c>
      <c r="K33" s="163">
        <v>3.7</v>
      </c>
      <c r="L33" s="163">
        <v>1.5</v>
      </c>
      <c r="M33" s="163">
        <v>2.1</v>
      </c>
      <c r="N33" s="163">
        <v>0.7</v>
      </c>
      <c r="O33" s="163">
        <v>0.1</v>
      </c>
      <c r="P33" s="163">
        <v>0.5</v>
      </c>
      <c r="Q33" s="172"/>
      <c r="R33" s="165"/>
      <c r="S33" s="165"/>
      <c r="T33" s="165"/>
      <c r="U33" s="165"/>
      <c r="V33" s="165"/>
      <c r="W33" s="165"/>
      <c r="X33" s="165"/>
      <c r="Y33" s="165"/>
      <c r="Z33" s="165"/>
      <c r="AA33" s="165"/>
      <c r="AB33" s="165"/>
      <c r="AC33" s="165"/>
      <c r="AD33" s="165"/>
      <c r="AE33" s="165"/>
      <c r="AF33" s="165"/>
      <c r="AG33" s="160"/>
      <c r="AH33" s="160"/>
      <c r="AI33" s="160"/>
      <c r="AJ33" s="160"/>
      <c r="AK33" s="160"/>
      <c r="AL33" s="160"/>
      <c r="AM33" s="160"/>
      <c r="AN33" s="160"/>
      <c r="AO33" s="160"/>
      <c r="AP33" s="160"/>
      <c r="AQ33" s="160"/>
    </row>
    <row r="34" spans="1:43" ht="13.5" customHeight="1" x14ac:dyDescent="0.3">
      <c r="A34" s="170" t="s">
        <v>288</v>
      </c>
      <c r="B34" s="163">
        <v>5.3</v>
      </c>
      <c r="C34" s="163">
        <v>1.8</v>
      </c>
      <c r="D34" s="163">
        <v>3.3</v>
      </c>
      <c r="E34" s="163">
        <v>0.3</v>
      </c>
      <c r="F34" s="163">
        <v>0.1</v>
      </c>
      <c r="G34" s="163">
        <v>0.3</v>
      </c>
      <c r="H34" s="163">
        <v>0.5</v>
      </c>
      <c r="I34" s="163">
        <v>0.1</v>
      </c>
      <c r="J34" s="163">
        <v>0.4</v>
      </c>
      <c r="K34" s="163">
        <v>3.4</v>
      </c>
      <c r="L34" s="163">
        <v>1.4</v>
      </c>
      <c r="M34" s="163">
        <v>1.9</v>
      </c>
      <c r="N34" s="163">
        <v>1</v>
      </c>
      <c r="O34" s="163">
        <v>0.2</v>
      </c>
      <c r="P34" s="163">
        <v>0.7</v>
      </c>
      <c r="Q34" s="172"/>
      <c r="R34" s="165"/>
      <c r="S34" s="165"/>
      <c r="T34" s="165"/>
      <c r="U34" s="165"/>
      <c r="V34" s="165"/>
      <c r="W34" s="165"/>
      <c r="X34" s="165"/>
      <c r="Y34" s="165"/>
      <c r="Z34" s="165"/>
      <c r="AA34" s="165"/>
      <c r="AB34" s="165"/>
      <c r="AC34" s="165"/>
      <c r="AD34" s="165"/>
      <c r="AE34" s="165"/>
      <c r="AF34" s="165"/>
      <c r="AG34" s="160"/>
      <c r="AH34" s="160"/>
      <c r="AI34" s="160"/>
      <c r="AJ34" s="160"/>
      <c r="AK34" s="160"/>
      <c r="AL34" s="160"/>
      <c r="AM34" s="160"/>
      <c r="AN34" s="160"/>
      <c r="AO34" s="160"/>
      <c r="AP34" s="160"/>
      <c r="AQ34" s="160"/>
    </row>
    <row r="35" spans="1:43" ht="13.5" customHeight="1" x14ac:dyDescent="0.3">
      <c r="A35" s="174"/>
      <c r="B35" s="171"/>
      <c r="C35" s="171"/>
      <c r="D35" s="171"/>
      <c r="E35" s="171"/>
      <c r="F35" s="171"/>
      <c r="G35" s="171"/>
      <c r="H35" s="171"/>
      <c r="I35" s="171"/>
      <c r="J35" s="171"/>
      <c r="K35" s="171"/>
      <c r="L35" s="171"/>
      <c r="M35" s="171"/>
      <c r="N35" s="171"/>
      <c r="O35" s="171"/>
      <c r="P35" s="171"/>
      <c r="Q35" s="172"/>
      <c r="R35" s="165"/>
      <c r="S35" s="165"/>
      <c r="T35" s="165"/>
      <c r="U35" s="165"/>
      <c r="V35" s="165"/>
      <c r="W35" s="165"/>
      <c r="X35" s="165"/>
      <c r="Y35" s="165"/>
      <c r="Z35" s="165"/>
      <c r="AA35" s="165"/>
      <c r="AB35" s="165"/>
      <c r="AC35" s="165"/>
      <c r="AD35" s="165"/>
      <c r="AE35" s="165"/>
      <c r="AF35" s="165"/>
      <c r="AG35" s="160"/>
      <c r="AH35" s="160"/>
      <c r="AI35" s="160"/>
      <c r="AJ35" s="160"/>
      <c r="AK35" s="160"/>
      <c r="AL35" s="160"/>
      <c r="AM35" s="160"/>
      <c r="AN35" s="160"/>
      <c r="AO35" s="160"/>
      <c r="AP35" s="160"/>
      <c r="AQ35" s="160"/>
    </row>
    <row r="36" spans="1:43" ht="13.5" customHeight="1" x14ac:dyDescent="0.3">
      <c r="A36" s="170">
        <v>2009</v>
      </c>
      <c r="B36" s="171"/>
      <c r="C36" s="171"/>
      <c r="D36" s="171"/>
      <c r="E36" s="171"/>
      <c r="F36" s="171"/>
      <c r="G36" s="171"/>
      <c r="H36" s="171"/>
      <c r="I36" s="171"/>
      <c r="J36" s="171"/>
      <c r="K36" s="171"/>
      <c r="L36" s="171"/>
      <c r="M36" s="171"/>
      <c r="N36" s="171"/>
      <c r="O36" s="171"/>
      <c r="P36" s="171"/>
      <c r="Q36" s="172"/>
      <c r="R36" s="165"/>
      <c r="S36" s="165"/>
      <c r="T36" s="165"/>
      <c r="U36" s="165"/>
      <c r="V36" s="165"/>
      <c r="W36" s="165"/>
      <c r="X36" s="165"/>
      <c r="Y36" s="165"/>
      <c r="Z36" s="165"/>
      <c r="AA36" s="165"/>
      <c r="AB36" s="165"/>
      <c r="AC36" s="165"/>
      <c r="AD36" s="165"/>
      <c r="AE36" s="165"/>
      <c r="AF36" s="165"/>
      <c r="AG36" s="160"/>
      <c r="AH36" s="160"/>
      <c r="AI36" s="160"/>
      <c r="AJ36" s="160"/>
      <c r="AK36" s="160"/>
      <c r="AL36" s="160"/>
      <c r="AM36" s="160"/>
      <c r="AN36" s="160"/>
      <c r="AO36" s="160"/>
      <c r="AP36" s="160"/>
      <c r="AQ36" s="160"/>
    </row>
    <row r="37" spans="1:43" ht="13.5" customHeight="1" x14ac:dyDescent="0.3">
      <c r="A37" s="170" t="s">
        <v>289</v>
      </c>
      <c r="B37" s="163">
        <v>4</v>
      </c>
      <c r="C37" s="163">
        <v>1.4</v>
      </c>
      <c r="D37" s="163">
        <v>2.5</v>
      </c>
      <c r="E37" s="163">
        <v>0.2</v>
      </c>
      <c r="F37" s="163">
        <v>0.1</v>
      </c>
      <c r="G37" s="163">
        <v>0.1</v>
      </c>
      <c r="H37" s="163">
        <v>0.4</v>
      </c>
      <c r="I37" s="163">
        <v>0.1</v>
      </c>
      <c r="J37" s="163">
        <v>0.2</v>
      </c>
      <c r="K37" s="163">
        <v>3</v>
      </c>
      <c r="L37" s="163">
        <v>1.1000000000000001</v>
      </c>
      <c r="M37" s="163">
        <v>1.8</v>
      </c>
      <c r="N37" s="163">
        <v>0.5</v>
      </c>
      <c r="O37" s="163">
        <v>0.1</v>
      </c>
      <c r="P37" s="163">
        <v>0.3</v>
      </c>
      <c r="Q37" s="172"/>
      <c r="R37" s="165"/>
      <c r="S37" s="165"/>
      <c r="T37" s="165"/>
      <c r="U37" s="165"/>
      <c r="V37" s="165"/>
      <c r="W37" s="165"/>
      <c r="X37" s="165"/>
      <c r="Y37" s="165"/>
      <c r="Z37" s="165"/>
      <c r="AA37" s="165"/>
      <c r="AB37" s="165"/>
      <c r="AC37" s="165"/>
      <c r="AD37" s="165"/>
      <c r="AE37" s="165"/>
      <c r="AF37" s="165"/>
      <c r="AG37" s="160"/>
      <c r="AH37" s="160"/>
      <c r="AI37" s="160"/>
      <c r="AJ37" s="160"/>
      <c r="AK37" s="160"/>
      <c r="AL37" s="160"/>
      <c r="AM37" s="160"/>
      <c r="AN37" s="160"/>
      <c r="AO37" s="160"/>
      <c r="AP37" s="160"/>
      <c r="AQ37" s="160"/>
    </row>
    <row r="38" spans="1:43" ht="13.5" customHeight="1" x14ac:dyDescent="0.3">
      <c r="A38" s="170" t="s">
        <v>290</v>
      </c>
      <c r="B38" s="163">
        <v>3.2</v>
      </c>
      <c r="C38" s="163">
        <v>1.3</v>
      </c>
      <c r="D38" s="163">
        <v>1.9</v>
      </c>
      <c r="E38" s="163" t="s">
        <v>277</v>
      </c>
      <c r="F38" s="163" t="s">
        <v>277</v>
      </c>
      <c r="G38" s="163" t="s">
        <v>277</v>
      </c>
      <c r="H38" s="163">
        <v>0.2</v>
      </c>
      <c r="I38" s="163" t="s">
        <v>277</v>
      </c>
      <c r="J38" s="163">
        <v>0.1</v>
      </c>
      <c r="K38" s="163">
        <v>2.7</v>
      </c>
      <c r="L38" s="163">
        <v>1.1000000000000001</v>
      </c>
      <c r="M38" s="163">
        <v>1.5</v>
      </c>
      <c r="N38" s="163">
        <v>0.4</v>
      </c>
      <c r="O38" s="163">
        <v>0.1</v>
      </c>
      <c r="P38" s="163">
        <v>0.2</v>
      </c>
      <c r="Q38" s="172"/>
      <c r="R38" s="165"/>
      <c r="S38" s="165"/>
      <c r="T38" s="165"/>
      <c r="U38" s="165"/>
      <c r="V38" s="165"/>
      <c r="W38" s="165"/>
      <c r="X38" s="165"/>
      <c r="Y38" s="165"/>
      <c r="Z38" s="165"/>
      <c r="AA38" s="165"/>
      <c r="AB38" s="165"/>
      <c r="AC38" s="165"/>
      <c r="AD38" s="165"/>
      <c r="AE38" s="165"/>
      <c r="AF38" s="165"/>
      <c r="AG38" s="160"/>
      <c r="AH38" s="160"/>
      <c r="AI38" s="160"/>
      <c r="AJ38" s="160"/>
      <c r="AK38" s="160"/>
      <c r="AL38" s="160"/>
      <c r="AM38" s="160"/>
      <c r="AN38" s="160"/>
      <c r="AO38" s="160"/>
      <c r="AP38" s="160"/>
      <c r="AQ38" s="160"/>
    </row>
    <row r="39" spans="1:43" ht="13.5" customHeight="1" x14ac:dyDescent="0.3">
      <c r="A39" s="170" t="s">
        <v>291</v>
      </c>
      <c r="B39" s="163">
        <v>4.7</v>
      </c>
      <c r="C39" s="163">
        <v>1.8</v>
      </c>
      <c r="D39" s="163">
        <v>2.8</v>
      </c>
      <c r="E39" s="163">
        <v>0.1</v>
      </c>
      <c r="F39" s="163" t="s">
        <v>277</v>
      </c>
      <c r="G39" s="163">
        <v>0.1</v>
      </c>
      <c r="H39" s="163">
        <v>0.5</v>
      </c>
      <c r="I39" s="163">
        <v>0.2</v>
      </c>
      <c r="J39" s="163">
        <v>0.3</v>
      </c>
      <c r="K39" s="163">
        <v>3.3</v>
      </c>
      <c r="L39" s="163">
        <v>1.5</v>
      </c>
      <c r="M39" s="163">
        <v>1.8</v>
      </c>
      <c r="N39" s="163">
        <v>0.8</v>
      </c>
      <c r="O39" s="163">
        <v>0.1</v>
      </c>
      <c r="P39" s="163">
        <v>0.6</v>
      </c>
      <c r="Q39" s="172"/>
      <c r="R39" s="165"/>
      <c r="S39" s="165"/>
      <c r="T39" s="165"/>
      <c r="U39" s="165"/>
      <c r="V39" s="165"/>
      <c r="W39" s="165"/>
      <c r="X39" s="165"/>
      <c r="Y39" s="165"/>
      <c r="Z39" s="165"/>
      <c r="AA39" s="165"/>
      <c r="AB39" s="165"/>
      <c r="AC39" s="165"/>
      <c r="AD39" s="165"/>
      <c r="AE39" s="165"/>
      <c r="AF39" s="165"/>
      <c r="AG39" s="160"/>
      <c r="AH39" s="160"/>
      <c r="AI39" s="160"/>
      <c r="AJ39" s="160"/>
      <c r="AK39" s="160"/>
      <c r="AL39" s="160"/>
      <c r="AM39" s="160"/>
      <c r="AN39" s="160"/>
      <c r="AO39" s="160"/>
      <c r="AP39" s="160"/>
      <c r="AQ39" s="160"/>
    </row>
    <row r="40" spans="1:43" ht="13.5" customHeight="1" x14ac:dyDescent="0.3">
      <c r="A40" s="170" t="s">
        <v>292</v>
      </c>
      <c r="B40" s="163">
        <v>4.8</v>
      </c>
      <c r="C40" s="163">
        <v>2</v>
      </c>
      <c r="D40" s="163">
        <v>2.8</v>
      </c>
      <c r="E40" s="163">
        <v>0.2</v>
      </c>
      <c r="F40" s="163">
        <v>0.1</v>
      </c>
      <c r="G40" s="163">
        <v>0.1</v>
      </c>
      <c r="H40" s="163">
        <v>0.4</v>
      </c>
      <c r="I40" s="163">
        <v>0.2</v>
      </c>
      <c r="J40" s="163">
        <v>0.2</v>
      </c>
      <c r="K40" s="163">
        <v>3.5</v>
      </c>
      <c r="L40" s="163">
        <v>1.5</v>
      </c>
      <c r="M40" s="163">
        <v>2</v>
      </c>
      <c r="N40" s="163">
        <v>0.7</v>
      </c>
      <c r="O40" s="163">
        <v>0.2</v>
      </c>
      <c r="P40" s="163">
        <v>0.5</v>
      </c>
      <c r="Q40" s="172"/>
      <c r="R40" s="165"/>
      <c r="S40" s="165"/>
      <c r="T40" s="165"/>
      <c r="U40" s="165"/>
      <c r="V40" s="165"/>
      <c r="W40" s="165"/>
      <c r="X40" s="165"/>
      <c r="Y40" s="165"/>
      <c r="Z40" s="165"/>
      <c r="AA40" s="165"/>
      <c r="AB40" s="165"/>
      <c r="AC40" s="165"/>
      <c r="AD40" s="165"/>
      <c r="AE40" s="165"/>
      <c r="AF40" s="165"/>
      <c r="AG40" s="160"/>
      <c r="AH40" s="160"/>
      <c r="AI40" s="160"/>
      <c r="AJ40" s="160"/>
      <c r="AK40" s="160"/>
      <c r="AL40" s="160"/>
      <c r="AM40" s="160"/>
      <c r="AN40" s="160"/>
      <c r="AO40" s="160"/>
      <c r="AP40" s="160"/>
      <c r="AQ40" s="160"/>
    </row>
    <row r="41" spans="1:43" ht="13.5" customHeight="1" x14ac:dyDescent="0.3">
      <c r="A41" s="170" t="s">
        <v>293</v>
      </c>
      <c r="B41" s="163">
        <v>4.7</v>
      </c>
      <c r="C41" s="163">
        <v>2</v>
      </c>
      <c r="D41" s="163">
        <v>2.6</v>
      </c>
      <c r="E41" s="163">
        <v>0.2</v>
      </c>
      <c r="F41" s="163">
        <v>0.1</v>
      </c>
      <c r="G41" s="163">
        <v>0.1</v>
      </c>
      <c r="H41" s="163">
        <v>0.5</v>
      </c>
      <c r="I41" s="163">
        <v>0.1</v>
      </c>
      <c r="J41" s="163">
        <v>0.3</v>
      </c>
      <c r="K41" s="163">
        <v>3.3</v>
      </c>
      <c r="L41" s="163">
        <v>1.6</v>
      </c>
      <c r="M41" s="163">
        <v>1.7</v>
      </c>
      <c r="N41" s="163">
        <v>0.7</v>
      </c>
      <c r="O41" s="163">
        <v>0.1</v>
      </c>
      <c r="P41" s="163">
        <v>0.5</v>
      </c>
      <c r="Q41" s="172"/>
      <c r="R41" s="165"/>
      <c r="S41" s="165"/>
      <c r="T41" s="165"/>
      <c r="U41" s="165"/>
      <c r="V41" s="165"/>
      <c r="W41" s="165"/>
      <c r="X41" s="165"/>
      <c r="Y41" s="165"/>
      <c r="Z41" s="165"/>
      <c r="AA41" s="165"/>
      <c r="AB41" s="165"/>
      <c r="AC41" s="165"/>
      <c r="AD41" s="165"/>
      <c r="AE41" s="165"/>
      <c r="AF41" s="165"/>
      <c r="AG41" s="160"/>
      <c r="AH41" s="160"/>
      <c r="AI41" s="160"/>
      <c r="AJ41" s="160"/>
      <c r="AK41" s="160"/>
      <c r="AL41" s="160"/>
      <c r="AM41" s="160"/>
      <c r="AN41" s="160"/>
      <c r="AO41" s="160"/>
      <c r="AP41" s="160"/>
      <c r="AQ41" s="160"/>
    </row>
    <row r="42" spans="1:43" ht="13.5" customHeight="1" x14ac:dyDescent="0.3">
      <c r="A42" s="170" t="s">
        <v>282</v>
      </c>
      <c r="B42" s="163">
        <v>4.7</v>
      </c>
      <c r="C42" s="163">
        <v>1.8</v>
      </c>
      <c r="D42" s="163">
        <v>2.8</v>
      </c>
      <c r="E42" s="163">
        <v>0.4</v>
      </c>
      <c r="F42" s="163">
        <v>0.1</v>
      </c>
      <c r="G42" s="163">
        <v>0.3</v>
      </c>
      <c r="H42" s="163">
        <v>0.3</v>
      </c>
      <c r="I42" s="163" t="s">
        <v>277</v>
      </c>
      <c r="J42" s="163">
        <v>0.3</v>
      </c>
      <c r="K42" s="163">
        <v>3.4</v>
      </c>
      <c r="L42" s="163">
        <v>1.5</v>
      </c>
      <c r="M42" s="163">
        <v>1.8</v>
      </c>
      <c r="N42" s="163">
        <v>0.6</v>
      </c>
      <c r="O42" s="163">
        <v>0.2</v>
      </c>
      <c r="P42" s="163">
        <v>0.4</v>
      </c>
      <c r="Q42" s="172"/>
      <c r="R42" s="165"/>
      <c r="S42" s="165"/>
      <c r="T42" s="165"/>
      <c r="U42" s="165"/>
      <c r="V42" s="165"/>
      <c r="W42" s="165"/>
      <c r="X42" s="165"/>
      <c r="Y42" s="165"/>
      <c r="Z42" s="165"/>
      <c r="AA42" s="165"/>
      <c r="AB42" s="165"/>
      <c r="AC42" s="165"/>
      <c r="AD42" s="165"/>
      <c r="AE42" s="165"/>
      <c r="AF42" s="165"/>
      <c r="AG42" s="160"/>
      <c r="AH42" s="160"/>
      <c r="AI42" s="160"/>
      <c r="AJ42" s="160"/>
      <c r="AK42" s="160"/>
      <c r="AL42" s="160"/>
      <c r="AM42" s="160"/>
      <c r="AN42" s="160"/>
      <c r="AO42" s="160"/>
      <c r="AP42" s="160"/>
      <c r="AQ42" s="160"/>
    </row>
    <row r="43" spans="1:43" ht="13.5" customHeight="1" x14ac:dyDescent="0.3">
      <c r="A43" s="173" t="s">
        <v>283</v>
      </c>
      <c r="B43" s="163">
        <v>4.5999999999999996</v>
      </c>
      <c r="C43" s="163">
        <v>1.5</v>
      </c>
      <c r="D43" s="163">
        <v>3</v>
      </c>
      <c r="E43" s="163">
        <v>0.6</v>
      </c>
      <c r="F43" s="163">
        <v>0.2</v>
      </c>
      <c r="G43" s="163">
        <v>0.4</v>
      </c>
      <c r="H43" s="163">
        <v>0.4</v>
      </c>
      <c r="I43" s="163">
        <v>0.2</v>
      </c>
      <c r="J43" s="163">
        <v>0.2</v>
      </c>
      <c r="K43" s="163">
        <v>3</v>
      </c>
      <c r="L43" s="163">
        <v>1</v>
      </c>
      <c r="M43" s="163">
        <v>1.9</v>
      </c>
      <c r="N43" s="163">
        <v>0.6</v>
      </c>
      <c r="O43" s="163" t="s">
        <v>277</v>
      </c>
      <c r="P43" s="163">
        <v>0.5</v>
      </c>
      <c r="Q43" s="172"/>
      <c r="R43" s="165"/>
      <c r="S43" s="165"/>
      <c r="T43" s="165"/>
      <c r="U43" s="165"/>
      <c r="V43" s="165"/>
      <c r="W43" s="165"/>
      <c r="X43" s="165"/>
      <c r="Y43" s="165"/>
      <c r="Z43" s="165"/>
      <c r="AA43" s="165"/>
      <c r="AB43" s="165"/>
      <c r="AC43" s="165"/>
      <c r="AD43" s="165"/>
      <c r="AE43" s="165"/>
      <c r="AF43" s="165"/>
      <c r="AG43" s="160"/>
      <c r="AH43" s="160"/>
      <c r="AI43" s="160"/>
      <c r="AJ43" s="160"/>
      <c r="AK43" s="160"/>
      <c r="AL43" s="160"/>
      <c r="AM43" s="160"/>
      <c r="AN43" s="160"/>
      <c r="AO43" s="160"/>
      <c r="AP43" s="160"/>
      <c r="AQ43" s="160"/>
    </row>
    <row r="44" spans="1:43" ht="13.5" customHeight="1" x14ac:dyDescent="0.3">
      <c r="A44" s="173" t="s">
        <v>284</v>
      </c>
      <c r="B44" s="163">
        <v>4.2</v>
      </c>
      <c r="C44" s="163">
        <v>1.2</v>
      </c>
      <c r="D44" s="163">
        <v>3</v>
      </c>
      <c r="E44" s="163">
        <v>0.2</v>
      </c>
      <c r="F44" s="163">
        <v>0.1</v>
      </c>
      <c r="G44" s="163">
        <v>0.1</v>
      </c>
      <c r="H44" s="163">
        <v>0.5</v>
      </c>
      <c r="I44" s="163">
        <v>0.1</v>
      </c>
      <c r="J44" s="163">
        <v>0.4</v>
      </c>
      <c r="K44" s="163">
        <v>2.8</v>
      </c>
      <c r="L44" s="163">
        <v>1</v>
      </c>
      <c r="M44" s="163">
        <v>1.8</v>
      </c>
      <c r="N44" s="163">
        <v>0.7</v>
      </c>
      <c r="O44" s="163" t="s">
        <v>277</v>
      </c>
      <c r="P44" s="163">
        <v>0.6</v>
      </c>
      <c r="Q44" s="172"/>
      <c r="R44" s="165"/>
      <c r="S44" s="165"/>
      <c r="T44" s="165"/>
      <c r="U44" s="165"/>
      <c r="V44" s="165"/>
      <c r="W44" s="165"/>
      <c r="X44" s="165"/>
      <c r="Y44" s="165"/>
      <c r="Z44" s="165"/>
      <c r="AA44" s="165"/>
      <c r="AB44" s="165"/>
      <c r="AC44" s="165"/>
      <c r="AD44" s="165"/>
      <c r="AE44" s="165"/>
      <c r="AF44" s="165"/>
      <c r="AG44" s="160"/>
      <c r="AH44" s="160"/>
      <c r="AI44" s="160"/>
      <c r="AJ44" s="160"/>
      <c r="AK44" s="160"/>
      <c r="AL44" s="160"/>
      <c r="AM44" s="160"/>
      <c r="AN44" s="160"/>
      <c r="AO44" s="160"/>
      <c r="AP44" s="160"/>
      <c r="AQ44" s="160"/>
    </row>
    <row r="45" spans="1:43" ht="13.5" customHeight="1" x14ac:dyDescent="0.3">
      <c r="A45" s="173" t="s">
        <v>294</v>
      </c>
      <c r="B45" s="163">
        <v>4.9000000000000004</v>
      </c>
      <c r="C45" s="163">
        <v>1.8</v>
      </c>
      <c r="D45" s="163">
        <v>3</v>
      </c>
      <c r="E45" s="163">
        <v>0.5</v>
      </c>
      <c r="F45" s="163">
        <v>0.2</v>
      </c>
      <c r="G45" s="163">
        <v>0.3</v>
      </c>
      <c r="H45" s="163">
        <v>0.7</v>
      </c>
      <c r="I45" s="163">
        <v>0.2</v>
      </c>
      <c r="J45" s="163">
        <v>0.5</v>
      </c>
      <c r="K45" s="163">
        <v>3.1</v>
      </c>
      <c r="L45" s="163">
        <v>1.2</v>
      </c>
      <c r="M45" s="163">
        <v>1.9</v>
      </c>
      <c r="N45" s="163">
        <v>0.6</v>
      </c>
      <c r="O45" s="163">
        <v>0.2</v>
      </c>
      <c r="P45" s="163">
        <v>0.4</v>
      </c>
      <c r="Q45" s="172"/>
      <c r="R45" s="165"/>
      <c r="S45" s="165"/>
      <c r="T45" s="165"/>
      <c r="U45" s="165"/>
      <c r="V45" s="165"/>
      <c r="W45" s="165"/>
      <c r="X45" s="165"/>
      <c r="Y45" s="165"/>
      <c r="Z45" s="165"/>
      <c r="AA45" s="165"/>
      <c r="AB45" s="165"/>
      <c r="AC45" s="165"/>
      <c r="AD45" s="165"/>
      <c r="AE45" s="165"/>
      <c r="AF45" s="165"/>
      <c r="AG45" s="160"/>
      <c r="AH45" s="160"/>
      <c r="AI45" s="160"/>
      <c r="AJ45" s="160"/>
      <c r="AK45" s="160"/>
      <c r="AL45" s="160"/>
      <c r="AM45" s="160"/>
      <c r="AN45" s="160"/>
      <c r="AO45" s="160"/>
      <c r="AP45" s="160"/>
      <c r="AQ45" s="160"/>
    </row>
    <row r="46" spans="1:43" ht="13.5" customHeight="1" x14ac:dyDescent="0.3">
      <c r="A46" s="170" t="s">
        <v>295</v>
      </c>
      <c r="B46" s="163">
        <v>5.2</v>
      </c>
      <c r="C46" s="163">
        <v>1.7</v>
      </c>
      <c r="D46" s="163">
        <v>3.3</v>
      </c>
      <c r="E46" s="163">
        <v>0.4</v>
      </c>
      <c r="F46" s="163">
        <v>0.2</v>
      </c>
      <c r="G46" s="163">
        <v>0.3</v>
      </c>
      <c r="H46" s="163">
        <v>0.7</v>
      </c>
      <c r="I46" s="163">
        <v>0.2</v>
      </c>
      <c r="J46" s="163">
        <v>0.6</v>
      </c>
      <c r="K46" s="163">
        <v>3.3</v>
      </c>
      <c r="L46" s="163">
        <v>1.2</v>
      </c>
      <c r="M46" s="163">
        <v>2.1</v>
      </c>
      <c r="N46" s="163">
        <v>0.8</v>
      </c>
      <c r="O46" s="163">
        <v>0.2</v>
      </c>
      <c r="P46" s="163">
        <v>0.4</v>
      </c>
      <c r="Q46" s="172"/>
      <c r="R46" s="165"/>
      <c r="S46" s="165"/>
      <c r="T46" s="165"/>
      <c r="U46" s="165"/>
      <c r="V46" s="165"/>
      <c r="W46" s="165"/>
      <c r="X46" s="165"/>
      <c r="Y46" s="165"/>
      <c r="Z46" s="165"/>
      <c r="AA46" s="165"/>
      <c r="AB46" s="165"/>
      <c r="AC46" s="165"/>
      <c r="AD46" s="165"/>
      <c r="AE46" s="165"/>
      <c r="AF46" s="165"/>
      <c r="AG46" s="160"/>
      <c r="AH46" s="160"/>
      <c r="AI46" s="160"/>
      <c r="AJ46" s="160"/>
      <c r="AK46" s="160"/>
      <c r="AL46" s="160"/>
      <c r="AM46" s="160"/>
      <c r="AN46" s="160"/>
      <c r="AO46" s="160"/>
      <c r="AP46" s="160"/>
      <c r="AQ46" s="160"/>
    </row>
    <row r="47" spans="1:43" ht="13.5" customHeight="1" x14ac:dyDescent="0.3">
      <c r="A47" s="170" t="s">
        <v>296</v>
      </c>
      <c r="B47" s="163">
        <v>5.4</v>
      </c>
      <c r="C47" s="163">
        <v>2</v>
      </c>
      <c r="D47" s="163">
        <v>3.3</v>
      </c>
      <c r="E47" s="163">
        <v>0.4</v>
      </c>
      <c r="F47" s="163">
        <v>0.1</v>
      </c>
      <c r="G47" s="163">
        <v>0.3</v>
      </c>
      <c r="H47" s="163">
        <v>0.5</v>
      </c>
      <c r="I47" s="163">
        <v>0.2</v>
      </c>
      <c r="J47" s="163">
        <v>0.3</v>
      </c>
      <c r="K47" s="163">
        <v>3.8</v>
      </c>
      <c r="L47" s="163">
        <v>1.5</v>
      </c>
      <c r="M47" s="163">
        <v>2.2000000000000002</v>
      </c>
      <c r="N47" s="163">
        <v>0.8</v>
      </c>
      <c r="O47" s="163">
        <v>0.2</v>
      </c>
      <c r="P47" s="163">
        <v>0.5</v>
      </c>
      <c r="Q47" s="172"/>
      <c r="R47" s="165"/>
      <c r="S47" s="165"/>
      <c r="T47" s="165"/>
      <c r="U47" s="165"/>
      <c r="V47" s="165"/>
      <c r="W47" s="165"/>
      <c r="X47" s="165"/>
      <c r="Y47" s="165"/>
      <c r="Z47" s="165"/>
      <c r="AA47" s="165"/>
      <c r="AB47" s="165"/>
      <c r="AC47" s="165"/>
      <c r="AD47" s="165"/>
      <c r="AE47" s="165"/>
      <c r="AF47" s="165"/>
      <c r="AG47" s="160"/>
      <c r="AH47" s="160"/>
      <c r="AI47" s="160"/>
      <c r="AJ47" s="160"/>
      <c r="AK47" s="160"/>
      <c r="AL47" s="160"/>
      <c r="AM47" s="160"/>
      <c r="AN47" s="160"/>
      <c r="AO47" s="160"/>
      <c r="AP47" s="160"/>
      <c r="AQ47" s="160"/>
    </row>
    <row r="48" spans="1:43" ht="13.5" customHeight="1" x14ac:dyDescent="0.3">
      <c r="A48" s="170" t="s">
        <v>297</v>
      </c>
      <c r="B48" s="163">
        <v>4</v>
      </c>
      <c r="C48" s="163">
        <v>1.7</v>
      </c>
      <c r="D48" s="163">
        <v>2.2000000000000002</v>
      </c>
      <c r="E48" s="163">
        <v>0.2</v>
      </c>
      <c r="F48" s="163" t="s">
        <v>277</v>
      </c>
      <c r="G48" s="163">
        <v>0.1</v>
      </c>
      <c r="H48" s="163">
        <v>0.4</v>
      </c>
      <c r="I48" s="163">
        <v>0.2</v>
      </c>
      <c r="J48" s="163">
        <v>0.2</v>
      </c>
      <c r="K48" s="163">
        <v>2.9</v>
      </c>
      <c r="L48" s="163">
        <v>1.4</v>
      </c>
      <c r="M48" s="163">
        <v>1.5</v>
      </c>
      <c r="N48" s="163">
        <v>0.4</v>
      </c>
      <c r="O48" s="163" t="s">
        <v>277</v>
      </c>
      <c r="P48" s="163">
        <v>0.3</v>
      </c>
      <c r="Q48" s="172"/>
      <c r="R48" s="165"/>
      <c r="S48" s="165"/>
      <c r="T48" s="165"/>
      <c r="U48" s="165"/>
      <c r="V48" s="165"/>
      <c r="W48" s="165"/>
      <c r="X48" s="165"/>
      <c r="Y48" s="165"/>
      <c r="Z48" s="165"/>
      <c r="AA48" s="165"/>
      <c r="AB48" s="165"/>
      <c r="AC48" s="165"/>
      <c r="AD48" s="165"/>
      <c r="AE48" s="165"/>
      <c r="AF48" s="165"/>
      <c r="AG48" s="160"/>
      <c r="AH48" s="160"/>
      <c r="AI48" s="160"/>
      <c r="AJ48" s="160"/>
      <c r="AK48" s="160"/>
      <c r="AL48" s="160"/>
      <c r="AM48" s="160"/>
      <c r="AN48" s="160"/>
      <c r="AO48" s="160"/>
      <c r="AP48" s="160"/>
      <c r="AQ48" s="160"/>
    </row>
    <row r="49" spans="1:43" ht="13.5" customHeight="1" x14ac:dyDescent="0.3">
      <c r="A49" s="170"/>
      <c r="B49" s="163"/>
      <c r="C49" s="163"/>
      <c r="D49" s="163"/>
      <c r="E49" s="163"/>
      <c r="F49" s="163"/>
      <c r="G49" s="163"/>
      <c r="H49" s="163"/>
      <c r="I49" s="163"/>
      <c r="J49" s="163"/>
      <c r="K49" s="163"/>
      <c r="L49" s="163"/>
      <c r="M49" s="163"/>
      <c r="N49" s="163"/>
      <c r="O49" s="163"/>
      <c r="P49" s="163"/>
      <c r="Q49" s="172"/>
      <c r="R49" s="165"/>
      <c r="S49" s="165"/>
      <c r="T49" s="165"/>
      <c r="U49" s="165"/>
      <c r="V49" s="165"/>
      <c r="W49" s="165"/>
      <c r="X49" s="165"/>
      <c r="Y49" s="165"/>
      <c r="Z49" s="165"/>
      <c r="AA49" s="165"/>
      <c r="AB49" s="165"/>
      <c r="AC49" s="165"/>
      <c r="AD49" s="165"/>
      <c r="AE49" s="165"/>
      <c r="AF49" s="165"/>
      <c r="AG49" s="160"/>
      <c r="AH49" s="160"/>
      <c r="AI49" s="160"/>
      <c r="AJ49" s="160"/>
      <c r="AK49" s="160"/>
      <c r="AL49" s="160"/>
      <c r="AM49" s="160"/>
      <c r="AN49" s="160"/>
      <c r="AO49" s="160"/>
      <c r="AP49" s="160"/>
      <c r="AQ49" s="160"/>
    </row>
    <row r="50" spans="1:43" ht="13.5" customHeight="1" x14ac:dyDescent="0.3">
      <c r="A50" s="170">
        <v>2010</v>
      </c>
      <c r="B50" s="163"/>
      <c r="C50" s="163"/>
      <c r="D50" s="163"/>
      <c r="E50" s="163"/>
      <c r="F50" s="163"/>
      <c r="G50" s="163"/>
      <c r="H50" s="163"/>
      <c r="I50" s="163"/>
      <c r="J50" s="163"/>
      <c r="K50" s="163"/>
      <c r="L50" s="163"/>
      <c r="M50" s="163"/>
      <c r="N50" s="163"/>
      <c r="O50" s="163"/>
      <c r="P50" s="163"/>
      <c r="Q50" s="172"/>
      <c r="R50" s="165"/>
      <c r="S50" s="165"/>
      <c r="T50" s="165"/>
      <c r="U50" s="165"/>
      <c r="V50" s="165"/>
      <c r="W50" s="165"/>
      <c r="X50" s="165"/>
      <c r="Y50" s="165"/>
      <c r="Z50" s="165"/>
      <c r="AA50" s="165"/>
      <c r="AB50" s="165"/>
      <c r="AC50" s="165"/>
      <c r="AD50" s="165"/>
      <c r="AE50" s="165"/>
      <c r="AF50" s="165"/>
      <c r="AG50" s="160"/>
      <c r="AH50" s="160"/>
      <c r="AI50" s="160"/>
      <c r="AJ50" s="160"/>
      <c r="AK50" s="160"/>
      <c r="AL50" s="160"/>
      <c r="AM50" s="160"/>
      <c r="AN50" s="160"/>
      <c r="AO50" s="160"/>
      <c r="AP50" s="160"/>
      <c r="AQ50" s="160"/>
    </row>
    <row r="51" spans="1:43" ht="13.5" customHeight="1" x14ac:dyDescent="0.3">
      <c r="A51" s="170" t="s">
        <v>289</v>
      </c>
      <c r="B51" s="163">
        <v>2.7</v>
      </c>
      <c r="C51" s="163">
        <v>0.9</v>
      </c>
      <c r="D51" s="163">
        <v>1.8</v>
      </c>
      <c r="E51" s="163">
        <v>0.2</v>
      </c>
      <c r="F51" s="163" t="s">
        <v>277</v>
      </c>
      <c r="G51" s="163">
        <v>0.1</v>
      </c>
      <c r="H51" s="163">
        <v>0.2</v>
      </c>
      <c r="I51" s="163" t="s">
        <v>277</v>
      </c>
      <c r="J51" s="163">
        <v>0.2</v>
      </c>
      <c r="K51" s="163">
        <v>1.9</v>
      </c>
      <c r="L51" s="163">
        <v>0.7</v>
      </c>
      <c r="M51" s="163">
        <v>1.2</v>
      </c>
      <c r="N51" s="163">
        <v>0.4</v>
      </c>
      <c r="O51" s="163">
        <v>0.1</v>
      </c>
      <c r="P51" s="163">
        <v>0.3</v>
      </c>
      <c r="Q51" s="172"/>
      <c r="R51" s="165"/>
      <c r="S51" s="165"/>
      <c r="T51" s="165"/>
      <c r="U51" s="165"/>
      <c r="V51" s="165"/>
      <c r="W51" s="165"/>
      <c r="X51" s="165"/>
      <c r="Y51" s="165"/>
      <c r="Z51" s="165"/>
      <c r="AA51" s="165"/>
      <c r="AB51" s="165"/>
      <c r="AC51" s="165"/>
      <c r="AD51" s="165"/>
      <c r="AE51" s="165"/>
      <c r="AF51" s="165"/>
      <c r="AG51" s="160"/>
      <c r="AH51" s="160"/>
      <c r="AI51" s="160"/>
      <c r="AJ51" s="160"/>
      <c r="AK51" s="160"/>
      <c r="AL51" s="160"/>
      <c r="AM51" s="160"/>
      <c r="AN51" s="160"/>
      <c r="AO51" s="160"/>
      <c r="AP51" s="160"/>
      <c r="AQ51" s="160"/>
    </row>
    <row r="52" spans="1:43" ht="13.5" customHeight="1" x14ac:dyDescent="0.3">
      <c r="A52" s="170" t="s">
        <v>290</v>
      </c>
      <c r="B52" s="163">
        <v>2.6</v>
      </c>
      <c r="C52" s="163">
        <v>0.9</v>
      </c>
      <c r="D52" s="163">
        <v>1.6</v>
      </c>
      <c r="E52" s="163">
        <v>0.1</v>
      </c>
      <c r="F52" s="163" t="s">
        <v>277</v>
      </c>
      <c r="G52" s="163">
        <v>0.1</v>
      </c>
      <c r="H52" s="163">
        <v>0.2</v>
      </c>
      <c r="I52" s="163">
        <v>0.1</v>
      </c>
      <c r="J52" s="163">
        <v>0.1</v>
      </c>
      <c r="K52" s="163">
        <v>2</v>
      </c>
      <c r="L52" s="163">
        <v>0.7</v>
      </c>
      <c r="M52" s="163">
        <v>1.3</v>
      </c>
      <c r="N52" s="163">
        <v>0.3</v>
      </c>
      <c r="O52" s="163">
        <v>0.1</v>
      </c>
      <c r="P52" s="163">
        <v>0.2</v>
      </c>
      <c r="Q52" s="172"/>
      <c r="R52" s="165"/>
      <c r="S52" s="165"/>
      <c r="T52" s="165"/>
      <c r="U52" s="165"/>
      <c r="V52" s="165"/>
      <c r="W52" s="165"/>
      <c r="X52" s="165"/>
      <c r="Y52" s="165"/>
      <c r="Z52" s="165"/>
      <c r="AA52" s="165"/>
      <c r="AB52" s="165"/>
      <c r="AC52" s="165"/>
      <c r="AD52" s="165"/>
      <c r="AE52" s="165"/>
      <c r="AF52" s="165"/>
      <c r="AG52" s="160"/>
      <c r="AH52" s="160"/>
      <c r="AI52" s="160"/>
      <c r="AJ52" s="160"/>
      <c r="AK52" s="160"/>
      <c r="AL52" s="160"/>
      <c r="AM52" s="160"/>
      <c r="AN52" s="160"/>
      <c r="AO52" s="160"/>
      <c r="AP52" s="160"/>
      <c r="AQ52" s="160"/>
    </row>
    <row r="53" spans="1:43" ht="13.5" customHeight="1" x14ac:dyDescent="0.3">
      <c r="A53" s="170" t="s">
        <v>291</v>
      </c>
      <c r="B53" s="163">
        <v>4</v>
      </c>
      <c r="C53" s="163">
        <v>1.4</v>
      </c>
      <c r="D53" s="163">
        <v>2.5</v>
      </c>
      <c r="E53" s="163">
        <v>0.1</v>
      </c>
      <c r="F53" s="163" t="s">
        <v>277</v>
      </c>
      <c r="G53" s="163">
        <v>0.1</v>
      </c>
      <c r="H53" s="163">
        <v>0.3</v>
      </c>
      <c r="I53" s="163">
        <v>0.1</v>
      </c>
      <c r="J53" s="163">
        <v>0.1</v>
      </c>
      <c r="K53" s="163">
        <v>3.1</v>
      </c>
      <c r="L53" s="163">
        <v>1.1000000000000001</v>
      </c>
      <c r="M53" s="163">
        <v>2</v>
      </c>
      <c r="N53" s="163">
        <v>0.4</v>
      </c>
      <c r="O53" s="163">
        <v>0.1</v>
      </c>
      <c r="P53" s="163">
        <v>0.3</v>
      </c>
      <c r="Q53" s="172"/>
      <c r="R53" s="165"/>
      <c r="S53" s="165"/>
      <c r="T53" s="165"/>
      <c r="U53" s="165"/>
      <c r="V53" s="165"/>
      <c r="W53" s="165"/>
      <c r="X53" s="165"/>
      <c r="Y53" s="165"/>
      <c r="Z53" s="165"/>
      <c r="AA53" s="165"/>
      <c r="AB53" s="165"/>
      <c r="AC53" s="165"/>
      <c r="AD53" s="165"/>
      <c r="AE53" s="165"/>
      <c r="AF53" s="165"/>
      <c r="AG53" s="160"/>
      <c r="AH53" s="160"/>
      <c r="AI53" s="160"/>
      <c r="AJ53" s="160"/>
      <c r="AK53" s="160"/>
      <c r="AL53" s="160"/>
      <c r="AM53" s="160"/>
      <c r="AN53" s="160"/>
      <c r="AO53" s="160"/>
      <c r="AP53" s="160"/>
      <c r="AQ53" s="160"/>
    </row>
    <row r="54" spans="1:43" ht="13.5" customHeight="1" x14ac:dyDescent="0.3">
      <c r="A54" s="170" t="s">
        <v>292</v>
      </c>
      <c r="B54" s="163">
        <v>5.0999999999999996</v>
      </c>
      <c r="C54" s="163">
        <v>2</v>
      </c>
      <c r="D54" s="163">
        <v>2.9</v>
      </c>
      <c r="E54" s="163">
        <v>0.2</v>
      </c>
      <c r="F54" s="163">
        <v>0.1</v>
      </c>
      <c r="G54" s="163">
        <v>0.1</v>
      </c>
      <c r="H54" s="163">
        <v>0.6</v>
      </c>
      <c r="I54" s="163">
        <v>0.3</v>
      </c>
      <c r="J54" s="163">
        <v>0.2</v>
      </c>
      <c r="K54" s="163">
        <v>3.6</v>
      </c>
      <c r="L54" s="163">
        <v>1.5</v>
      </c>
      <c r="M54" s="163">
        <v>2.1</v>
      </c>
      <c r="N54" s="163">
        <v>0.7</v>
      </c>
      <c r="O54" s="163">
        <v>0.1</v>
      </c>
      <c r="P54" s="163">
        <v>0.5</v>
      </c>
      <c r="Q54" s="172"/>
      <c r="R54" s="165"/>
      <c r="S54" s="165"/>
      <c r="T54" s="165"/>
      <c r="U54" s="165"/>
      <c r="V54" s="165"/>
      <c r="W54" s="165"/>
      <c r="X54" s="165"/>
      <c r="Y54" s="165"/>
      <c r="Z54" s="165"/>
      <c r="AA54" s="165"/>
      <c r="AB54" s="165"/>
      <c r="AC54" s="165"/>
      <c r="AD54" s="165"/>
      <c r="AE54" s="165"/>
      <c r="AF54" s="165"/>
      <c r="AG54" s="160"/>
      <c r="AH54" s="160"/>
      <c r="AI54" s="160"/>
      <c r="AJ54" s="160"/>
      <c r="AK54" s="160"/>
      <c r="AL54" s="160"/>
      <c r="AM54" s="160"/>
      <c r="AN54" s="160"/>
      <c r="AO54" s="160"/>
      <c r="AP54" s="160"/>
      <c r="AQ54" s="160"/>
    </row>
    <row r="55" spans="1:43" ht="13.5" customHeight="1" x14ac:dyDescent="0.3">
      <c r="A55" s="170" t="s">
        <v>293</v>
      </c>
      <c r="B55" s="163">
        <v>5.4</v>
      </c>
      <c r="C55" s="163">
        <v>2.1</v>
      </c>
      <c r="D55" s="163">
        <v>3.1</v>
      </c>
      <c r="E55" s="163">
        <v>0.4</v>
      </c>
      <c r="F55" s="163">
        <v>0.2</v>
      </c>
      <c r="G55" s="163">
        <v>0.2</v>
      </c>
      <c r="H55" s="163">
        <v>0.5</v>
      </c>
      <c r="I55" s="163">
        <v>0.2</v>
      </c>
      <c r="J55" s="163">
        <v>0.3</v>
      </c>
      <c r="K55" s="163">
        <v>3.8</v>
      </c>
      <c r="L55" s="163">
        <v>1.6</v>
      </c>
      <c r="M55" s="163">
        <v>2.1</v>
      </c>
      <c r="N55" s="163">
        <v>0.7</v>
      </c>
      <c r="O55" s="163">
        <v>0.1</v>
      </c>
      <c r="P55" s="163">
        <v>0.5</v>
      </c>
      <c r="Q55" s="172"/>
      <c r="R55" s="165"/>
      <c r="S55" s="165"/>
      <c r="T55" s="165"/>
      <c r="U55" s="165"/>
      <c r="V55" s="165"/>
      <c r="W55" s="165"/>
      <c r="X55" s="165"/>
      <c r="Y55" s="165"/>
      <c r="Z55" s="165"/>
      <c r="AA55" s="165"/>
      <c r="AB55" s="165"/>
      <c r="AC55" s="165"/>
      <c r="AD55" s="165"/>
      <c r="AE55" s="165"/>
      <c r="AF55" s="165"/>
      <c r="AG55" s="160"/>
      <c r="AH55" s="160"/>
      <c r="AI55" s="160"/>
      <c r="AJ55" s="160"/>
      <c r="AK55" s="160"/>
      <c r="AL55" s="160"/>
      <c r="AM55" s="160"/>
      <c r="AN55" s="160"/>
      <c r="AO55" s="160"/>
      <c r="AP55" s="160"/>
      <c r="AQ55" s="160"/>
    </row>
    <row r="56" spans="1:43" ht="13.5" customHeight="1" x14ac:dyDescent="0.3">
      <c r="A56" s="170" t="s">
        <v>282</v>
      </c>
      <c r="B56" s="163">
        <v>5.7</v>
      </c>
      <c r="C56" s="163">
        <v>1.9</v>
      </c>
      <c r="D56" s="163">
        <v>3.7</v>
      </c>
      <c r="E56" s="163">
        <v>0.5</v>
      </c>
      <c r="F56" s="163">
        <v>0.2</v>
      </c>
      <c r="G56" s="163">
        <v>0.3</v>
      </c>
      <c r="H56" s="163">
        <v>0.6</v>
      </c>
      <c r="I56" s="163">
        <v>0.2</v>
      </c>
      <c r="J56" s="163">
        <v>0.4</v>
      </c>
      <c r="K56" s="163">
        <v>3.9</v>
      </c>
      <c r="L56" s="163">
        <v>1.4</v>
      </c>
      <c r="M56" s="163">
        <v>2.5</v>
      </c>
      <c r="N56" s="163">
        <v>0.8</v>
      </c>
      <c r="O56" s="163">
        <v>0.2</v>
      </c>
      <c r="P56" s="163">
        <v>0.6</v>
      </c>
      <c r="Q56" s="172"/>
      <c r="R56" s="165"/>
      <c r="S56" s="165"/>
      <c r="T56" s="165"/>
      <c r="U56" s="165"/>
      <c r="V56" s="165"/>
      <c r="W56" s="165"/>
      <c r="X56" s="165"/>
      <c r="Y56" s="165"/>
      <c r="Z56" s="165"/>
      <c r="AA56" s="165"/>
      <c r="AB56" s="165"/>
      <c r="AC56" s="165"/>
      <c r="AD56" s="165"/>
      <c r="AE56" s="165"/>
      <c r="AF56" s="165"/>
      <c r="AG56" s="160"/>
      <c r="AH56" s="160"/>
      <c r="AI56" s="160"/>
      <c r="AJ56" s="160"/>
      <c r="AK56" s="160"/>
      <c r="AL56" s="160"/>
      <c r="AM56" s="160"/>
      <c r="AN56" s="160"/>
      <c r="AO56" s="160"/>
      <c r="AP56" s="160"/>
      <c r="AQ56" s="160"/>
    </row>
    <row r="57" spans="1:43" ht="13.5" customHeight="1" x14ac:dyDescent="0.3">
      <c r="A57" s="173" t="s">
        <v>283</v>
      </c>
      <c r="B57" s="163">
        <v>4.8</v>
      </c>
      <c r="C57" s="163">
        <v>1.6</v>
      </c>
      <c r="D57" s="163">
        <v>3.1</v>
      </c>
      <c r="E57" s="163">
        <v>0.4</v>
      </c>
      <c r="F57" s="163">
        <v>0.2</v>
      </c>
      <c r="G57" s="163">
        <v>0.2</v>
      </c>
      <c r="H57" s="163">
        <v>0.6</v>
      </c>
      <c r="I57" s="163">
        <v>0.2</v>
      </c>
      <c r="J57" s="163">
        <v>0.3</v>
      </c>
      <c r="K57" s="163">
        <v>3.3</v>
      </c>
      <c r="L57" s="163">
        <v>1.2</v>
      </c>
      <c r="M57" s="163">
        <v>2.1</v>
      </c>
      <c r="N57" s="163">
        <v>0.5</v>
      </c>
      <c r="O57" s="163">
        <v>0.1</v>
      </c>
      <c r="P57" s="163">
        <v>0.4</v>
      </c>
      <c r="Q57" s="172"/>
      <c r="R57" s="165"/>
      <c r="S57" s="165"/>
      <c r="T57" s="165"/>
      <c r="U57" s="165"/>
      <c r="V57" s="165"/>
      <c r="W57" s="165"/>
      <c r="X57" s="165"/>
      <c r="Y57" s="165"/>
      <c r="Z57" s="165"/>
      <c r="AA57" s="165"/>
      <c r="AB57" s="165"/>
      <c r="AC57" s="165"/>
      <c r="AD57" s="165"/>
      <c r="AE57" s="165"/>
      <c r="AF57" s="165"/>
      <c r="AG57" s="160"/>
      <c r="AH57" s="160"/>
      <c r="AI57" s="160"/>
      <c r="AJ57" s="160"/>
      <c r="AK57" s="160"/>
      <c r="AL57" s="160"/>
      <c r="AM57" s="160"/>
      <c r="AN57" s="160"/>
      <c r="AO57" s="160"/>
      <c r="AP57" s="160"/>
      <c r="AQ57" s="160"/>
    </row>
    <row r="58" spans="1:43" ht="13.5" customHeight="1" x14ac:dyDescent="0.3">
      <c r="A58" s="173" t="s">
        <v>284</v>
      </c>
      <c r="B58" s="163">
        <v>4.7</v>
      </c>
      <c r="C58" s="163">
        <v>2.1</v>
      </c>
      <c r="D58" s="163">
        <v>2.5</v>
      </c>
      <c r="E58" s="163">
        <v>0.4</v>
      </c>
      <c r="F58" s="163">
        <v>0.2</v>
      </c>
      <c r="G58" s="163">
        <v>0.2</v>
      </c>
      <c r="H58" s="163">
        <v>0.7</v>
      </c>
      <c r="I58" s="163">
        <v>0.3</v>
      </c>
      <c r="J58" s="163">
        <v>0.4</v>
      </c>
      <c r="K58" s="163">
        <v>3</v>
      </c>
      <c r="L58" s="163">
        <v>1.4</v>
      </c>
      <c r="M58" s="163">
        <v>1.6</v>
      </c>
      <c r="N58" s="163">
        <v>0.6</v>
      </c>
      <c r="O58" s="163">
        <v>0.1</v>
      </c>
      <c r="P58" s="163">
        <v>0.4</v>
      </c>
      <c r="Q58" s="172"/>
      <c r="R58" s="165"/>
      <c r="S58" s="165"/>
      <c r="T58" s="165"/>
      <c r="U58" s="165"/>
      <c r="V58" s="165"/>
      <c r="W58" s="165"/>
      <c r="X58" s="165"/>
      <c r="Y58" s="165"/>
      <c r="Z58" s="165"/>
      <c r="AA58" s="165"/>
      <c r="AB58" s="165"/>
      <c r="AC58" s="165"/>
      <c r="AD58" s="165"/>
      <c r="AE58" s="165"/>
      <c r="AF58" s="165"/>
      <c r="AG58" s="160"/>
      <c r="AH58" s="160"/>
      <c r="AI58" s="160"/>
      <c r="AJ58" s="160"/>
      <c r="AK58" s="160"/>
      <c r="AL58" s="160"/>
      <c r="AM58" s="160"/>
      <c r="AN58" s="160"/>
      <c r="AO58" s="160"/>
      <c r="AP58" s="160"/>
      <c r="AQ58" s="160"/>
    </row>
    <row r="59" spans="1:43" ht="13.5" customHeight="1" x14ac:dyDescent="0.3">
      <c r="A59" s="173" t="s">
        <v>294</v>
      </c>
      <c r="B59" s="163">
        <v>4</v>
      </c>
      <c r="C59" s="163">
        <v>1.8</v>
      </c>
      <c r="D59" s="163">
        <v>2.1</v>
      </c>
      <c r="E59" s="163">
        <v>0.4</v>
      </c>
      <c r="F59" s="163">
        <v>0.2</v>
      </c>
      <c r="G59" s="163">
        <v>0.2</v>
      </c>
      <c r="H59" s="163">
        <v>0.5</v>
      </c>
      <c r="I59" s="163">
        <v>0.2</v>
      </c>
      <c r="J59" s="163">
        <v>0.2</v>
      </c>
      <c r="K59" s="163">
        <v>2.5</v>
      </c>
      <c r="L59" s="163">
        <v>1.3</v>
      </c>
      <c r="M59" s="163">
        <v>1.2</v>
      </c>
      <c r="N59" s="163">
        <v>0.5</v>
      </c>
      <c r="O59" s="163">
        <v>0.1</v>
      </c>
      <c r="P59" s="163">
        <v>0.4</v>
      </c>
      <c r="Q59" s="172"/>
      <c r="R59" s="165"/>
      <c r="S59" s="165"/>
      <c r="T59" s="165"/>
      <c r="U59" s="165"/>
      <c r="V59" s="165"/>
      <c r="W59" s="165"/>
      <c r="X59" s="165"/>
      <c r="Y59" s="165"/>
      <c r="Z59" s="165"/>
      <c r="AA59" s="165"/>
      <c r="AB59" s="165"/>
      <c r="AC59" s="165"/>
      <c r="AD59" s="165"/>
      <c r="AE59" s="165"/>
      <c r="AF59" s="165"/>
      <c r="AG59" s="160"/>
      <c r="AH59" s="160"/>
      <c r="AI59" s="160"/>
      <c r="AJ59" s="160"/>
      <c r="AK59" s="160"/>
      <c r="AL59" s="160"/>
      <c r="AM59" s="160"/>
      <c r="AN59" s="160"/>
      <c r="AO59" s="160"/>
      <c r="AP59" s="160"/>
      <c r="AQ59" s="160"/>
    </row>
    <row r="60" spans="1:43" ht="13.5" customHeight="1" x14ac:dyDescent="0.3">
      <c r="A60" s="170" t="s">
        <v>295</v>
      </c>
      <c r="B60" s="163">
        <v>4.3</v>
      </c>
      <c r="C60" s="163">
        <v>1.6</v>
      </c>
      <c r="D60" s="163">
        <v>2.6</v>
      </c>
      <c r="E60" s="163">
        <v>0.4</v>
      </c>
      <c r="F60" s="163">
        <v>0.1</v>
      </c>
      <c r="G60" s="163">
        <v>0.3</v>
      </c>
      <c r="H60" s="163">
        <v>0.6</v>
      </c>
      <c r="I60" s="163">
        <v>0.2</v>
      </c>
      <c r="J60" s="163">
        <v>0.4</v>
      </c>
      <c r="K60" s="163">
        <v>2.8</v>
      </c>
      <c r="L60" s="163">
        <v>1.1000000000000001</v>
      </c>
      <c r="M60" s="163">
        <v>1.6</v>
      </c>
      <c r="N60" s="163">
        <v>0.5</v>
      </c>
      <c r="O60" s="163">
        <v>0.1</v>
      </c>
      <c r="P60" s="163">
        <v>0.4</v>
      </c>
      <c r="Q60" s="172"/>
      <c r="R60" s="165"/>
      <c r="S60" s="165"/>
      <c r="T60" s="165"/>
      <c r="U60" s="165"/>
      <c r="V60" s="165"/>
      <c r="W60" s="165"/>
      <c r="X60" s="165"/>
      <c r="Y60" s="165"/>
      <c r="Z60" s="165"/>
      <c r="AA60" s="165"/>
      <c r="AB60" s="165"/>
      <c r="AC60" s="165"/>
      <c r="AD60" s="165"/>
      <c r="AE60" s="165"/>
      <c r="AF60" s="165"/>
      <c r="AG60" s="160"/>
      <c r="AH60" s="160"/>
      <c r="AI60" s="160"/>
      <c r="AJ60" s="160"/>
      <c r="AK60" s="160"/>
      <c r="AL60" s="160"/>
      <c r="AM60" s="160"/>
      <c r="AN60" s="160"/>
      <c r="AO60" s="160"/>
      <c r="AP60" s="160"/>
      <c r="AQ60" s="160"/>
    </row>
    <row r="61" spans="1:43" ht="13.5" customHeight="1" x14ac:dyDescent="0.3">
      <c r="A61" s="170" t="s">
        <v>296</v>
      </c>
      <c r="B61" s="163">
        <v>3.5</v>
      </c>
      <c r="C61" s="163">
        <v>1.4</v>
      </c>
      <c r="D61" s="163">
        <v>2</v>
      </c>
      <c r="E61" s="163">
        <v>0.4</v>
      </c>
      <c r="F61" s="163">
        <v>0.1</v>
      </c>
      <c r="G61" s="163">
        <v>0.3</v>
      </c>
      <c r="H61" s="163">
        <v>0.5</v>
      </c>
      <c r="I61" s="163">
        <v>0.2</v>
      </c>
      <c r="J61" s="163">
        <v>0.2</v>
      </c>
      <c r="K61" s="163">
        <v>2.2000000000000002</v>
      </c>
      <c r="L61" s="163">
        <v>0.9</v>
      </c>
      <c r="M61" s="163">
        <v>1.2</v>
      </c>
      <c r="N61" s="163">
        <v>0.4</v>
      </c>
      <c r="O61" s="163">
        <v>0.1</v>
      </c>
      <c r="P61" s="163">
        <v>0.3</v>
      </c>
      <c r="Q61" s="172"/>
      <c r="R61" s="165"/>
      <c r="S61" s="165"/>
      <c r="T61" s="165"/>
      <c r="U61" s="165"/>
      <c r="V61" s="165"/>
      <c r="W61" s="165"/>
      <c r="X61" s="165"/>
      <c r="Y61" s="165"/>
      <c r="Z61" s="165"/>
      <c r="AA61" s="165"/>
      <c r="AB61" s="165"/>
      <c r="AC61" s="165"/>
      <c r="AD61" s="165"/>
      <c r="AE61" s="165"/>
      <c r="AF61" s="165"/>
      <c r="AG61" s="160"/>
      <c r="AH61" s="160"/>
      <c r="AI61" s="160"/>
      <c r="AJ61" s="160"/>
      <c r="AK61" s="160"/>
      <c r="AL61" s="160"/>
      <c r="AM61" s="160"/>
      <c r="AN61" s="160"/>
      <c r="AO61" s="160"/>
      <c r="AP61" s="160"/>
      <c r="AQ61" s="160"/>
    </row>
    <row r="62" spans="1:43" ht="13.5" customHeight="1" x14ac:dyDescent="0.3">
      <c r="A62" s="170" t="s">
        <v>297</v>
      </c>
      <c r="B62" s="163">
        <v>3.3</v>
      </c>
      <c r="C62" s="163">
        <v>1.3</v>
      </c>
      <c r="D62" s="163">
        <v>1.9</v>
      </c>
      <c r="E62" s="163">
        <v>0.3</v>
      </c>
      <c r="F62" s="163">
        <v>0.1</v>
      </c>
      <c r="G62" s="163">
        <v>0.2</v>
      </c>
      <c r="H62" s="163">
        <v>0.5</v>
      </c>
      <c r="I62" s="163">
        <v>0.2</v>
      </c>
      <c r="J62" s="163">
        <v>0.2</v>
      </c>
      <c r="K62" s="163">
        <v>2.1</v>
      </c>
      <c r="L62" s="163">
        <v>0.8</v>
      </c>
      <c r="M62" s="163">
        <v>1.2</v>
      </c>
      <c r="N62" s="163">
        <v>0.5</v>
      </c>
      <c r="O62" s="163">
        <v>0.1</v>
      </c>
      <c r="P62" s="163">
        <v>0.3</v>
      </c>
      <c r="Q62" s="172"/>
      <c r="R62" s="165"/>
      <c r="S62" s="165"/>
      <c r="T62" s="165"/>
      <c r="U62" s="165"/>
      <c r="V62" s="165"/>
      <c r="W62" s="165"/>
      <c r="X62" s="165"/>
      <c r="Y62" s="165"/>
      <c r="Z62" s="165"/>
      <c r="AA62" s="165"/>
      <c r="AB62" s="165"/>
      <c r="AC62" s="165"/>
      <c r="AD62" s="165"/>
      <c r="AE62" s="165"/>
      <c r="AF62" s="165"/>
      <c r="AG62" s="160"/>
      <c r="AH62" s="160"/>
      <c r="AI62" s="160"/>
      <c r="AJ62" s="160"/>
      <c r="AK62" s="160"/>
      <c r="AL62" s="160"/>
      <c r="AM62" s="160"/>
      <c r="AN62" s="160"/>
      <c r="AO62" s="160"/>
      <c r="AP62" s="160"/>
      <c r="AQ62" s="160"/>
    </row>
    <row r="63" spans="1:43" ht="13.5" customHeight="1" x14ac:dyDescent="0.3">
      <c r="A63" s="170"/>
      <c r="B63" s="163"/>
      <c r="C63" s="163"/>
      <c r="D63" s="163"/>
      <c r="E63" s="163"/>
      <c r="F63" s="163"/>
      <c r="G63" s="163"/>
      <c r="H63" s="163"/>
      <c r="I63" s="163"/>
      <c r="J63" s="163"/>
      <c r="K63" s="163"/>
      <c r="L63" s="163"/>
      <c r="M63" s="163"/>
      <c r="N63" s="163"/>
      <c r="O63" s="163"/>
      <c r="P63" s="163"/>
      <c r="Q63" s="172"/>
      <c r="R63" s="165"/>
      <c r="S63" s="165"/>
      <c r="T63" s="165"/>
      <c r="U63" s="165"/>
      <c r="V63" s="165"/>
      <c r="W63" s="165"/>
      <c r="X63" s="165"/>
      <c r="Y63" s="165"/>
      <c r="Z63" s="165"/>
      <c r="AA63" s="165"/>
      <c r="AB63" s="165"/>
      <c r="AC63" s="165"/>
      <c r="AD63" s="165"/>
      <c r="AE63" s="165"/>
      <c r="AF63" s="165"/>
      <c r="AG63" s="160"/>
      <c r="AH63" s="160"/>
      <c r="AI63" s="160"/>
      <c r="AJ63" s="160"/>
      <c r="AK63" s="160"/>
      <c r="AL63" s="160"/>
      <c r="AM63" s="160"/>
      <c r="AN63" s="160"/>
      <c r="AO63" s="160"/>
      <c r="AP63" s="160"/>
      <c r="AQ63" s="160"/>
    </row>
    <row r="64" spans="1:43" ht="13.5" customHeight="1" x14ac:dyDescent="0.3">
      <c r="A64" s="170">
        <v>2011</v>
      </c>
      <c r="B64" s="163"/>
      <c r="C64" s="163"/>
      <c r="D64" s="163"/>
      <c r="E64" s="163"/>
      <c r="F64" s="163"/>
      <c r="G64" s="163"/>
      <c r="H64" s="163"/>
      <c r="I64" s="163"/>
      <c r="J64" s="163"/>
      <c r="K64" s="163"/>
      <c r="L64" s="163"/>
      <c r="M64" s="163"/>
      <c r="N64" s="163"/>
      <c r="O64" s="163"/>
      <c r="P64" s="163"/>
      <c r="Q64" s="172"/>
      <c r="R64" s="165"/>
      <c r="S64" s="165"/>
      <c r="T64" s="165"/>
      <c r="U64" s="165"/>
      <c r="V64" s="165"/>
      <c r="W64" s="165"/>
      <c r="X64" s="165"/>
      <c r="Y64" s="165"/>
      <c r="Z64" s="165"/>
      <c r="AA64" s="165"/>
      <c r="AB64" s="165"/>
      <c r="AC64" s="165"/>
      <c r="AD64" s="165"/>
      <c r="AE64" s="165"/>
      <c r="AF64" s="165"/>
      <c r="AG64" s="160"/>
      <c r="AH64" s="160"/>
      <c r="AI64" s="160"/>
      <c r="AJ64" s="160"/>
      <c r="AK64" s="160"/>
      <c r="AL64" s="160"/>
      <c r="AM64" s="160"/>
      <c r="AN64" s="160"/>
      <c r="AO64" s="160"/>
      <c r="AP64" s="160"/>
      <c r="AQ64" s="160"/>
    </row>
    <row r="65" spans="1:54" ht="13.5" customHeight="1" x14ac:dyDescent="0.3">
      <c r="A65" s="170" t="s">
        <v>298</v>
      </c>
      <c r="B65" s="163">
        <v>2.2000000000000002</v>
      </c>
      <c r="C65" s="163">
        <v>0.9</v>
      </c>
      <c r="D65" s="163">
        <v>1.3</v>
      </c>
      <c r="E65" s="163">
        <v>0.1</v>
      </c>
      <c r="F65" s="163">
        <v>0.1</v>
      </c>
      <c r="G65" s="163">
        <v>0.1</v>
      </c>
      <c r="H65" s="163">
        <v>0.2</v>
      </c>
      <c r="I65" s="163">
        <v>0.1</v>
      </c>
      <c r="J65" s="163">
        <v>0.1</v>
      </c>
      <c r="K65" s="163">
        <v>1.5</v>
      </c>
      <c r="L65" s="163">
        <v>0.6</v>
      </c>
      <c r="M65" s="163">
        <v>0.9</v>
      </c>
      <c r="N65" s="163">
        <v>0.4</v>
      </c>
      <c r="O65" s="163">
        <v>0.1</v>
      </c>
      <c r="P65" s="163">
        <v>0.2</v>
      </c>
      <c r="Q65" s="172"/>
      <c r="R65" s="165"/>
      <c r="S65" s="165"/>
      <c r="T65" s="165"/>
      <c r="U65" s="165"/>
      <c r="V65" s="165"/>
      <c r="W65" s="165"/>
      <c r="X65" s="165"/>
      <c r="Y65" s="165"/>
      <c r="Z65" s="165"/>
      <c r="AA65" s="165"/>
      <c r="AB65" s="165"/>
      <c r="AC65" s="165"/>
      <c r="AD65" s="165"/>
      <c r="AE65" s="165"/>
      <c r="AF65" s="165"/>
      <c r="AG65" s="160"/>
      <c r="AH65" s="160"/>
      <c r="AI65" s="160"/>
      <c r="AJ65" s="160"/>
      <c r="AK65" s="160"/>
      <c r="AL65" s="160"/>
      <c r="AM65" s="160"/>
      <c r="AN65" s="160"/>
      <c r="AO65" s="160"/>
      <c r="AP65" s="160"/>
      <c r="AQ65" s="160"/>
    </row>
    <row r="66" spans="1:54" ht="13.5" customHeight="1" x14ac:dyDescent="0.3">
      <c r="A66" s="170" t="s">
        <v>278</v>
      </c>
      <c r="B66" s="163">
        <v>2.7</v>
      </c>
      <c r="C66" s="163">
        <v>1.2</v>
      </c>
      <c r="D66" s="163">
        <v>1.4</v>
      </c>
      <c r="E66" s="163">
        <v>0.1</v>
      </c>
      <c r="F66" s="163" t="s">
        <v>277</v>
      </c>
      <c r="G66" s="163">
        <v>0.1</v>
      </c>
      <c r="H66" s="163">
        <v>0.2</v>
      </c>
      <c r="I66" s="163">
        <v>0.1</v>
      </c>
      <c r="J66" s="163">
        <v>0.1</v>
      </c>
      <c r="K66" s="163">
        <v>2</v>
      </c>
      <c r="L66" s="163">
        <v>1</v>
      </c>
      <c r="M66" s="163">
        <v>1</v>
      </c>
      <c r="N66" s="163">
        <v>0.4</v>
      </c>
      <c r="O66" s="163">
        <v>0.1</v>
      </c>
      <c r="P66" s="163">
        <v>0.3</v>
      </c>
      <c r="Q66" s="172"/>
      <c r="R66" s="165"/>
      <c r="S66" s="165"/>
      <c r="T66" s="165"/>
      <c r="U66" s="165"/>
      <c r="V66" s="165"/>
      <c r="W66" s="165"/>
      <c r="X66" s="165"/>
      <c r="Y66" s="165"/>
      <c r="Z66" s="165"/>
      <c r="AA66" s="165"/>
      <c r="AB66" s="165"/>
      <c r="AC66" s="165"/>
      <c r="AD66" s="165"/>
      <c r="AE66" s="165"/>
      <c r="AF66" s="165"/>
      <c r="AG66" s="160"/>
      <c r="AH66" s="160"/>
      <c r="AI66" s="160"/>
      <c r="AJ66" s="160"/>
      <c r="AK66" s="160"/>
      <c r="AL66" s="160"/>
      <c r="AM66" s="160"/>
      <c r="AN66" s="160"/>
      <c r="AO66" s="160"/>
      <c r="AP66" s="160"/>
      <c r="AQ66" s="160"/>
    </row>
    <row r="67" spans="1:54" ht="13.5" customHeight="1" x14ac:dyDescent="0.3">
      <c r="A67" s="170" t="s">
        <v>299</v>
      </c>
      <c r="B67" s="163">
        <v>3.5</v>
      </c>
      <c r="C67" s="163">
        <v>1.4</v>
      </c>
      <c r="D67" s="163">
        <v>2</v>
      </c>
      <c r="E67" s="163">
        <v>0.2</v>
      </c>
      <c r="F67" s="163">
        <v>0.1</v>
      </c>
      <c r="G67" s="163">
        <v>0.1</v>
      </c>
      <c r="H67" s="163">
        <v>0.3</v>
      </c>
      <c r="I67" s="163">
        <v>0.2</v>
      </c>
      <c r="J67" s="163">
        <v>0.1</v>
      </c>
      <c r="K67" s="163">
        <v>2.5</v>
      </c>
      <c r="L67" s="163">
        <v>0.9</v>
      </c>
      <c r="M67" s="163">
        <v>1.5</v>
      </c>
      <c r="N67" s="163">
        <v>0.5</v>
      </c>
      <c r="O67" s="163">
        <v>0.2</v>
      </c>
      <c r="P67" s="163">
        <v>0.3</v>
      </c>
      <c r="Q67" s="172"/>
      <c r="R67" s="165"/>
      <c r="S67" s="165"/>
      <c r="T67" s="165"/>
      <c r="U67" s="165"/>
      <c r="V67" s="165"/>
      <c r="W67" s="165"/>
      <c r="X67" s="165"/>
      <c r="Y67" s="165"/>
      <c r="Z67" s="165"/>
      <c r="AA67" s="165"/>
      <c r="AB67" s="165"/>
      <c r="AC67" s="165"/>
      <c r="AD67" s="165"/>
      <c r="AE67" s="165"/>
      <c r="AF67" s="165"/>
      <c r="AG67" s="160"/>
      <c r="AH67" s="160"/>
      <c r="AI67" s="160"/>
      <c r="AJ67" s="160"/>
      <c r="AK67" s="160"/>
      <c r="AL67" s="160"/>
      <c r="AM67" s="160"/>
      <c r="AN67" s="160"/>
      <c r="AO67" s="160"/>
      <c r="AP67" s="160"/>
      <c r="AQ67" s="160"/>
    </row>
    <row r="68" spans="1:54" ht="13.5" customHeight="1" x14ac:dyDescent="0.3">
      <c r="A68" s="170" t="s">
        <v>292</v>
      </c>
      <c r="B68" s="163">
        <v>3.9</v>
      </c>
      <c r="C68" s="163">
        <v>2</v>
      </c>
      <c r="D68" s="163">
        <v>1.9</v>
      </c>
      <c r="E68" s="163">
        <v>0.2</v>
      </c>
      <c r="F68" s="163">
        <v>0.1</v>
      </c>
      <c r="G68" s="163">
        <v>0.1</v>
      </c>
      <c r="H68" s="163">
        <v>0.3</v>
      </c>
      <c r="I68" s="163">
        <v>0.2</v>
      </c>
      <c r="J68" s="163">
        <v>0.1</v>
      </c>
      <c r="K68" s="163">
        <v>2.8</v>
      </c>
      <c r="L68" s="163">
        <v>1.4</v>
      </c>
      <c r="M68" s="163">
        <v>1.4</v>
      </c>
      <c r="N68" s="163">
        <v>0.6</v>
      </c>
      <c r="O68" s="163">
        <v>0.3</v>
      </c>
      <c r="P68" s="163">
        <v>0.3</v>
      </c>
      <c r="Q68" s="172"/>
      <c r="R68" s="165"/>
      <c r="S68" s="165"/>
      <c r="T68" s="165"/>
      <c r="U68" s="165"/>
      <c r="V68" s="165"/>
      <c r="W68" s="165"/>
      <c r="X68" s="165"/>
      <c r="Y68" s="165"/>
      <c r="Z68" s="165"/>
      <c r="AA68" s="165"/>
      <c r="AB68" s="165"/>
      <c r="AC68" s="165"/>
      <c r="AD68" s="165"/>
      <c r="AE68" s="165"/>
      <c r="AF68" s="165"/>
      <c r="AG68" s="160"/>
      <c r="AH68" s="160"/>
      <c r="AI68" s="160"/>
      <c r="AJ68" s="160"/>
      <c r="AK68" s="160"/>
      <c r="AL68" s="160"/>
      <c r="AM68" s="160"/>
      <c r="AN68" s="160"/>
      <c r="AO68" s="160"/>
      <c r="AP68" s="160"/>
      <c r="AQ68" s="160"/>
    </row>
    <row r="69" spans="1:54" ht="13.5" customHeight="1" x14ac:dyDescent="0.3">
      <c r="A69" s="174" t="s">
        <v>300</v>
      </c>
      <c r="B69" s="163">
        <v>3.8</v>
      </c>
      <c r="C69" s="163">
        <v>1.7</v>
      </c>
      <c r="D69" s="163">
        <v>2.1</v>
      </c>
      <c r="E69" s="163">
        <v>0.3</v>
      </c>
      <c r="F69" s="163">
        <v>0.1</v>
      </c>
      <c r="G69" s="163">
        <v>0.2</v>
      </c>
      <c r="H69" s="163">
        <v>0.5</v>
      </c>
      <c r="I69" s="163">
        <v>0.3</v>
      </c>
      <c r="J69" s="163">
        <v>0.2</v>
      </c>
      <c r="K69" s="163">
        <v>2.5</v>
      </c>
      <c r="L69" s="163">
        <v>1.1000000000000001</v>
      </c>
      <c r="M69" s="163">
        <v>1.3</v>
      </c>
      <c r="N69" s="163">
        <v>0.6</v>
      </c>
      <c r="O69" s="163">
        <v>0.2</v>
      </c>
      <c r="P69" s="163">
        <v>0.4</v>
      </c>
      <c r="Q69" s="172"/>
      <c r="R69" s="165"/>
      <c r="S69" s="165"/>
      <c r="T69" s="165"/>
      <c r="U69" s="165"/>
      <c r="V69" s="165"/>
      <c r="W69" s="165"/>
      <c r="X69" s="165"/>
      <c r="Y69" s="165"/>
      <c r="Z69" s="165"/>
      <c r="AA69" s="165"/>
      <c r="AB69" s="165"/>
      <c r="AC69" s="165"/>
      <c r="AD69" s="165"/>
      <c r="AE69" s="165"/>
      <c r="AF69" s="165"/>
      <c r="AG69" s="160"/>
      <c r="AH69" s="160"/>
      <c r="AI69" s="160"/>
      <c r="AJ69" s="160"/>
      <c r="AK69" s="160"/>
      <c r="AL69" s="160"/>
      <c r="AM69" s="160"/>
      <c r="AN69" s="160"/>
      <c r="AO69" s="160"/>
      <c r="AP69" s="160"/>
      <c r="AQ69" s="160"/>
    </row>
    <row r="70" spans="1:54" ht="13.5" customHeight="1" x14ac:dyDescent="0.3">
      <c r="A70" s="174" t="s">
        <v>301</v>
      </c>
      <c r="B70" s="163">
        <v>5.0999999999999996</v>
      </c>
      <c r="C70" s="163">
        <v>2.4</v>
      </c>
      <c r="D70" s="163">
        <v>2.7</v>
      </c>
      <c r="E70" s="163">
        <v>0.4</v>
      </c>
      <c r="F70" s="163">
        <v>0.2</v>
      </c>
      <c r="G70" s="163">
        <v>0.2</v>
      </c>
      <c r="H70" s="163">
        <v>0.7</v>
      </c>
      <c r="I70" s="163">
        <v>0.4</v>
      </c>
      <c r="J70" s="163">
        <v>0.3</v>
      </c>
      <c r="K70" s="163">
        <v>3.6</v>
      </c>
      <c r="L70" s="163">
        <v>1.7</v>
      </c>
      <c r="M70" s="163">
        <v>1.8</v>
      </c>
      <c r="N70" s="163">
        <v>0.5</v>
      </c>
      <c r="O70" s="163">
        <v>0.1</v>
      </c>
      <c r="P70" s="163">
        <v>0.4</v>
      </c>
      <c r="Q70" s="172"/>
      <c r="R70" s="165"/>
      <c r="S70" s="165"/>
      <c r="T70" s="165"/>
      <c r="U70" s="165"/>
      <c r="V70" s="165"/>
      <c r="W70" s="165"/>
      <c r="X70" s="165"/>
      <c r="Y70" s="165"/>
      <c r="Z70" s="165"/>
      <c r="AA70" s="165"/>
      <c r="AB70" s="165"/>
      <c r="AC70" s="165"/>
      <c r="AD70" s="165"/>
      <c r="AE70" s="165"/>
      <c r="AF70" s="165"/>
      <c r="AG70" s="160"/>
      <c r="AH70" s="160"/>
      <c r="AI70" s="160"/>
      <c r="AJ70" s="160"/>
      <c r="AK70" s="160"/>
      <c r="AL70" s="160"/>
      <c r="AM70" s="160"/>
      <c r="AN70" s="160"/>
      <c r="AO70" s="160"/>
      <c r="AP70" s="160"/>
      <c r="AQ70" s="160"/>
    </row>
    <row r="71" spans="1:54" ht="13.5" customHeight="1" x14ac:dyDescent="0.3">
      <c r="A71" s="174" t="s">
        <v>302</v>
      </c>
      <c r="B71" s="163">
        <v>4</v>
      </c>
      <c r="C71" s="163">
        <v>1.7</v>
      </c>
      <c r="D71" s="163">
        <v>2.2999999999999998</v>
      </c>
      <c r="E71" s="163">
        <v>0.2</v>
      </c>
      <c r="F71" s="163">
        <v>0.1</v>
      </c>
      <c r="G71" s="163">
        <v>0.1</v>
      </c>
      <c r="H71" s="163">
        <v>0.6</v>
      </c>
      <c r="I71" s="163">
        <v>0.3</v>
      </c>
      <c r="J71" s="163">
        <v>0.3</v>
      </c>
      <c r="K71" s="163">
        <v>2.6</v>
      </c>
      <c r="L71" s="163">
        <v>1.1000000000000001</v>
      </c>
      <c r="M71" s="163">
        <v>1.5</v>
      </c>
      <c r="N71" s="163">
        <v>0.5</v>
      </c>
      <c r="O71" s="163">
        <v>0.2</v>
      </c>
      <c r="P71" s="163">
        <v>0.4</v>
      </c>
      <c r="Q71" s="172"/>
      <c r="R71" s="165"/>
      <c r="S71" s="165"/>
      <c r="T71" s="165"/>
      <c r="U71" s="165"/>
      <c r="V71" s="165"/>
      <c r="W71" s="165"/>
      <c r="X71" s="165"/>
      <c r="Y71" s="165"/>
      <c r="Z71" s="165"/>
      <c r="AA71" s="165"/>
      <c r="AB71" s="165"/>
      <c r="AC71" s="165"/>
      <c r="AD71" s="165"/>
      <c r="AE71" s="165"/>
      <c r="AF71" s="165"/>
      <c r="AG71" s="160"/>
      <c r="AH71" s="160"/>
      <c r="AI71" s="160"/>
      <c r="AJ71" s="160"/>
      <c r="AK71" s="160"/>
      <c r="AL71" s="160"/>
      <c r="AM71" s="160"/>
      <c r="AN71" s="160"/>
      <c r="AO71" s="160"/>
      <c r="AP71" s="160"/>
      <c r="AQ71" s="160"/>
    </row>
    <row r="72" spans="1:54" ht="13.5" customHeight="1" x14ac:dyDescent="0.3">
      <c r="A72" s="174" t="s">
        <v>303</v>
      </c>
      <c r="B72" s="163">
        <v>4.0999999999999996</v>
      </c>
      <c r="C72" s="163">
        <v>1.4</v>
      </c>
      <c r="D72" s="163">
        <v>2.6</v>
      </c>
      <c r="E72" s="163">
        <v>0.3</v>
      </c>
      <c r="F72" s="163">
        <v>0.1</v>
      </c>
      <c r="G72" s="163">
        <v>0.2</v>
      </c>
      <c r="H72" s="163">
        <v>0.6</v>
      </c>
      <c r="I72" s="163">
        <v>0.2</v>
      </c>
      <c r="J72" s="163">
        <v>0.3</v>
      </c>
      <c r="K72" s="163">
        <v>2.7</v>
      </c>
      <c r="L72" s="163">
        <v>1</v>
      </c>
      <c r="M72" s="163">
        <v>1.7</v>
      </c>
      <c r="N72" s="163">
        <v>0.5</v>
      </c>
      <c r="O72" s="163">
        <v>0.1</v>
      </c>
      <c r="P72" s="163">
        <v>0.3</v>
      </c>
      <c r="Q72" s="172"/>
      <c r="R72" s="165"/>
      <c r="S72" s="165"/>
      <c r="T72" s="165"/>
      <c r="U72" s="165"/>
      <c r="V72" s="165"/>
      <c r="W72" s="165"/>
      <c r="X72" s="165"/>
      <c r="Y72" s="165"/>
      <c r="Z72" s="165"/>
      <c r="AA72" s="165"/>
      <c r="AB72" s="165"/>
      <c r="AC72" s="165"/>
      <c r="AD72" s="165"/>
      <c r="AE72" s="165"/>
      <c r="AF72" s="165"/>
      <c r="AG72" s="160"/>
      <c r="AH72" s="160"/>
      <c r="AI72" s="160"/>
      <c r="AJ72" s="160"/>
      <c r="AK72" s="160"/>
      <c r="AL72" s="160"/>
      <c r="AM72" s="160"/>
      <c r="AN72" s="160"/>
      <c r="AO72" s="160"/>
      <c r="AP72" s="160"/>
      <c r="AQ72" s="160"/>
    </row>
    <row r="73" spans="1:54" ht="13.5" customHeight="1" x14ac:dyDescent="0.3">
      <c r="A73" s="173" t="s">
        <v>294</v>
      </c>
      <c r="B73" s="163"/>
      <c r="C73" s="163"/>
      <c r="D73" s="163"/>
      <c r="E73" s="163"/>
      <c r="F73" s="163"/>
      <c r="G73" s="163"/>
      <c r="H73" s="163"/>
      <c r="I73" s="163"/>
      <c r="J73" s="163"/>
      <c r="K73" s="163"/>
      <c r="L73" s="163"/>
      <c r="M73" s="163"/>
      <c r="N73" s="163"/>
      <c r="O73" s="163"/>
      <c r="P73" s="163"/>
      <c r="Q73" s="172"/>
      <c r="R73" s="165"/>
      <c r="S73" s="165"/>
      <c r="T73" s="165"/>
      <c r="U73" s="165"/>
      <c r="V73" s="165"/>
      <c r="W73" s="165"/>
      <c r="X73" s="165"/>
      <c r="Y73" s="165"/>
      <c r="Z73" s="165"/>
      <c r="AA73" s="165"/>
      <c r="AB73" s="165"/>
      <c r="AC73" s="165"/>
      <c r="AD73" s="165"/>
      <c r="AE73" s="165"/>
      <c r="AF73" s="165"/>
      <c r="AG73" s="160"/>
      <c r="AH73" s="160"/>
      <c r="AI73" s="160"/>
      <c r="AJ73" s="160"/>
      <c r="AK73" s="160"/>
      <c r="AL73" s="160"/>
      <c r="AM73" s="160"/>
      <c r="AN73" s="160"/>
      <c r="AO73" s="160"/>
      <c r="AP73" s="160"/>
      <c r="AQ73" s="160"/>
    </row>
    <row r="74" spans="1:54" ht="13.5" customHeight="1" x14ac:dyDescent="0.3">
      <c r="A74" s="170" t="s">
        <v>295</v>
      </c>
      <c r="B74" s="163"/>
      <c r="C74" s="163"/>
      <c r="D74" s="163"/>
      <c r="E74" s="163"/>
      <c r="F74" s="163"/>
      <c r="G74" s="163"/>
      <c r="H74" s="163"/>
      <c r="I74" s="163"/>
      <c r="J74" s="163"/>
      <c r="K74" s="163"/>
      <c r="L74" s="163"/>
      <c r="M74" s="163"/>
      <c r="N74" s="163"/>
      <c r="O74" s="163"/>
      <c r="P74" s="163"/>
      <c r="Q74" s="172"/>
      <c r="R74" s="165"/>
      <c r="S74" s="165"/>
      <c r="T74" s="165"/>
      <c r="U74" s="165"/>
      <c r="V74" s="165"/>
      <c r="W74" s="165"/>
      <c r="X74" s="165"/>
      <c r="Y74" s="165"/>
      <c r="Z74" s="165"/>
      <c r="AA74" s="165"/>
      <c r="AB74" s="165"/>
      <c r="AC74" s="165"/>
      <c r="AD74" s="165"/>
      <c r="AE74" s="165"/>
      <c r="AF74" s="165"/>
      <c r="AG74" s="160"/>
      <c r="AH74" s="160"/>
      <c r="AI74" s="160"/>
      <c r="AJ74" s="160"/>
      <c r="AK74" s="160"/>
      <c r="AL74" s="160"/>
      <c r="AM74" s="160"/>
      <c r="AN74" s="160"/>
      <c r="AO74" s="160"/>
      <c r="AP74" s="160"/>
      <c r="AQ74" s="160"/>
    </row>
    <row r="75" spans="1:54" ht="13.5" customHeight="1" x14ac:dyDescent="0.3">
      <c r="A75" s="170" t="s">
        <v>296</v>
      </c>
      <c r="B75" s="163"/>
      <c r="C75" s="163"/>
      <c r="D75" s="163"/>
      <c r="E75" s="163"/>
      <c r="F75" s="163"/>
      <c r="G75" s="163"/>
      <c r="H75" s="163"/>
      <c r="I75" s="163"/>
      <c r="J75" s="163"/>
      <c r="K75" s="163"/>
      <c r="L75" s="163"/>
      <c r="M75" s="163"/>
      <c r="N75" s="163"/>
      <c r="O75" s="163"/>
      <c r="P75" s="163"/>
      <c r="Q75" s="172"/>
      <c r="R75" s="165"/>
      <c r="S75" s="165"/>
      <c r="T75" s="165"/>
      <c r="U75" s="165"/>
      <c r="V75" s="165"/>
      <c r="W75" s="165"/>
      <c r="X75" s="165"/>
      <c r="Y75" s="165"/>
      <c r="Z75" s="165"/>
      <c r="AA75" s="165"/>
      <c r="AB75" s="165"/>
      <c r="AC75" s="165"/>
      <c r="AD75" s="165"/>
      <c r="AE75" s="165"/>
      <c r="AF75" s="165"/>
      <c r="AG75" s="160"/>
      <c r="AH75" s="160"/>
      <c r="AI75" s="160"/>
      <c r="AJ75" s="160"/>
      <c r="AK75" s="160"/>
      <c r="AL75" s="160"/>
      <c r="AM75" s="160"/>
      <c r="AN75" s="160"/>
      <c r="AO75" s="160"/>
      <c r="AP75" s="160"/>
      <c r="AQ75" s="160"/>
    </row>
    <row r="76" spans="1:54" ht="13.5" customHeight="1" x14ac:dyDescent="0.3">
      <c r="A76" s="170" t="s">
        <v>297</v>
      </c>
      <c r="B76" s="163"/>
      <c r="C76" s="163"/>
      <c r="D76" s="163"/>
      <c r="E76" s="163"/>
      <c r="F76" s="163"/>
      <c r="G76" s="163"/>
      <c r="H76" s="163"/>
      <c r="I76" s="163"/>
      <c r="J76" s="163"/>
      <c r="K76" s="163"/>
      <c r="L76" s="163"/>
      <c r="M76" s="163"/>
      <c r="N76" s="163"/>
      <c r="O76" s="163"/>
      <c r="P76" s="163"/>
      <c r="Q76" s="172"/>
      <c r="R76" s="165"/>
      <c r="S76" s="165"/>
      <c r="T76" s="165"/>
      <c r="U76" s="165"/>
      <c r="V76" s="165"/>
      <c r="W76" s="165"/>
      <c r="X76" s="165"/>
      <c r="Y76" s="165"/>
      <c r="Z76" s="165"/>
      <c r="AA76" s="165"/>
      <c r="AB76" s="165"/>
      <c r="AC76" s="165"/>
      <c r="AD76" s="165"/>
      <c r="AE76" s="165"/>
      <c r="AF76" s="165"/>
      <c r="AG76" s="160"/>
      <c r="AH76" s="160"/>
      <c r="AI76" s="160"/>
      <c r="AJ76" s="160"/>
      <c r="AK76" s="160"/>
      <c r="AL76" s="160"/>
      <c r="AM76" s="160"/>
      <c r="AN76" s="160"/>
      <c r="AO76" s="160"/>
      <c r="AP76" s="160"/>
      <c r="AQ76" s="160"/>
    </row>
    <row r="77" spans="1:54" ht="13.5" customHeight="1" x14ac:dyDescent="0.3">
      <c r="A77" s="170"/>
      <c r="B77" s="163"/>
      <c r="C77" s="163"/>
      <c r="D77" s="163"/>
      <c r="E77" s="163"/>
      <c r="F77" s="163"/>
      <c r="G77" s="163"/>
      <c r="H77" s="163"/>
      <c r="I77" s="163"/>
      <c r="J77" s="163"/>
      <c r="K77" s="163"/>
      <c r="L77" s="163"/>
      <c r="M77" s="163"/>
      <c r="N77" s="163"/>
      <c r="O77" s="163"/>
      <c r="P77" s="163"/>
      <c r="Q77" s="172"/>
      <c r="R77" s="165"/>
      <c r="S77" s="165"/>
      <c r="T77" s="165"/>
      <c r="U77" s="165"/>
      <c r="V77" s="165"/>
      <c r="W77" s="165"/>
      <c r="X77" s="165"/>
      <c r="Y77" s="165"/>
      <c r="Z77" s="165"/>
      <c r="AA77" s="165"/>
      <c r="AB77" s="165"/>
      <c r="AC77" s="165"/>
      <c r="AD77" s="165"/>
      <c r="AE77" s="165"/>
      <c r="AF77" s="165"/>
      <c r="AG77" s="160"/>
      <c r="AH77" s="160"/>
      <c r="AI77" s="160"/>
      <c r="AJ77" s="160"/>
      <c r="AK77" s="160"/>
      <c r="AL77" s="160"/>
      <c r="AM77" s="160"/>
      <c r="AN77" s="160"/>
      <c r="AO77" s="160"/>
      <c r="AP77" s="160"/>
      <c r="AQ77" s="160"/>
    </row>
    <row r="78" spans="1:54" ht="13.5" customHeight="1" x14ac:dyDescent="0.3">
      <c r="A78" s="156" t="s">
        <v>304</v>
      </c>
      <c r="B78" s="157"/>
      <c r="C78" s="157"/>
      <c r="D78" s="157"/>
      <c r="E78" s="157"/>
      <c r="F78" s="157"/>
      <c r="G78" s="157"/>
      <c r="H78" s="157"/>
      <c r="I78" s="157"/>
      <c r="J78" s="157"/>
      <c r="K78" s="157"/>
      <c r="L78" s="157"/>
      <c r="M78" s="157"/>
      <c r="N78" s="157"/>
      <c r="O78" s="157"/>
      <c r="P78" s="157"/>
      <c r="Q78" s="172"/>
      <c r="R78" s="165"/>
      <c r="S78" s="165"/>
      <c r="T78" s="165"/>
      <c r="U78" s="165"/>
      <c r="V78" s="165"/>
      <c r="W78" s="165"/>
      <c r="X78" s="165"/>
      <c r="Y78" s="165"/>
      <c r="Z78" s="165"/>
      <c r="AA78" s="165"/>
      <c r="AB78" s="165"/>
      <c r="AC78" s="165"/>
      <c r="AD78" s="165"/>
      <c r="AE78" s="165"/>
      <c r="AF78" s="165"/>
      <c r="AG78" s="160"/>
      <c r="AH78" s="160"/>
      <c r="AI78" s="160"/>
      <c r="AJ78" s="160"/>
      <c r="AK78" s="160"/>
      <c r="AL78" s="160"/>
      <c r="AM78" s="160"/>
      <c r="AN78" s="160"/>
      <c r="AO78" s="160"/>
      <c r="AP78" s="160"/>
      <c r="AQ78" s="160"/>
    </row>
    <row r="79" spans="1:54" ht="9" customHeight="1" x14ac:dyDescent="0.3">
      <c r="A79" s="167"/>
      <c r="B79" s="169"/>
      <c r="C79" s="169"/>
      <c r="D79" s="169"/>
      <c r="E79" s="175"/>
      <c r="F79" s="169"/>
      <c r="G79" s="169"/>
      <c r="H79" s="169"/>
      <c r="I79" s="169"/>
      <c r="J79" s="169"/>
      <c r="K79" s="169"/>
      <c r="L79" s="169"/>
      <c r="M79" s="169"/>
      <c r="N79" s="169"/>
      <c r="O79" s="169"/>
      <c r="P79" s="169"/>
      <c r="Q79" s="172"/>
      <c r="R79" s="165"/>
      <c r="S79" s="165"/>
      <c r="T79" s="165"/>
      <c r="U79" s="165"/>
      <c r="V79" s="165"/>
      <c r="W79" s="165"/>
      <c r="X79" s="165"/>
      <c r="Y79" s="165"/>
      <c r="Z79" s="165"/>
      <c r="AA79" s="165"/>
      <c r="AB79" s="165"/>
      <c r="AC79" s="165"/>
      <c r="AD79" s="165"/>
      <c r="AE79" s="165"/>
      <c r="AF79" s="165"/>
      <c r="AG79" s="160"/>
      <c r="AH79" s="160"/>
      <c r="AI79" s="160"/>
      <c r="AJ79" s="160"/>
      <c r="AK79" s="160"/>
      <c r="AL79" s="160"/>
      <c r="AM79" s="160"/>
      <c r="AN79" s="160"/>
      <c r="AO79" s="160"/>
      <c r="AP79" s="160"/>
      <c r="AQ79" s="160"/>
    </row>
    <row r="80" spans="1:54" ht="13.5" customHeight="1" x14ac:dyDescent="0.25">
      <c r="A80" s="170">
        <v>2008</v>
      </c>
      <c r="B80" s="176"/>
      <c r="C80" s="176"/>
      <c r="D80" s="176"/>
      <c r="E80" s="176"/>
      <c r="F80" s="176"/>
      <c r="G80" s="176"/>
      <c r="H80" s="176"/>
      <c r="I80" s="176"/>
      <c r="J80" s="176"/>
      <c r="K80" s="176"/>
      <c r="L80" s="176"/>
      <c r="M80" s="176"/>
      <c r="N80" s="176"/>
      <c r="O80" s="176"/>
      <c r="P80" s="176"/>
      <c r="Q80" s="177"/>
      <c r="R80" s="165"/>
      <c r="S80" s="165"/>
      <c r="T80" s="165"/>
      <c r="U80" s="165"/>
      <c r="V80" s="165"/>
      <c r="W80" s="165"/>
      <c r="X80" s="165"/>
      <c r="Y80" s="165"/>
      <c r="Z80" s="165"/>
      <c r="AA80" s="165"/>
      <c r="AB80" s="165"/>
      <c r="AC80" s="165"/>
      <c r="AD80" s="165"/>
      <c r="AE80" s="165"/>
      <c r="AF80" s="165"/>
      <c r="AG80" s="178"/>
      <c r="AH80" s="178"/>
      <c r="AI80" s="178"/>
      <c r="AJ80" s="178"/>
      <c r="AK80" s="178"/>
      <c r="AL80" s="178"/>
      <c r="AM80" s="178"/>
      <c r="AN80" s="178"/>
      <c r="AO80" s="178"/>
      <c r="AP80" s="178"/>
      <c r="AQ80" s="178"/>
      <c r="AR80" s="178"/>
      <c r="AS80" s="178"/>
      <c r="AT80" s="178"/>
      <c r="AU80" s="178"/>
      <c r="AV80" s="178"/>
      <c r="AW80" s="178"/>
      <c r="AX80" s="178"/>
      <c r="AY80" s="178"/>
      <c r="AZ80" s="178"/>
      <c r="BA80" s="178"/>
      <c r="BB80" s="178"/>
    </row>
    <row r="81" spans="1:54" ht="13.5" customHeight="1" x14ac:dyDescent="0.25">
      <c r="A81" s="170" t="s">
        <v>298</v>
      </c>
      <c r="B81" s="179">
        <v>73</v>
      </c>
      <c r="C81" s="179" t="s">
        <v>305</v>
      </c>
      <c r="D81" s="179" t="s">
        <v>305</v>
      </c>
      <c r="E81" s="179">
        <v>5</v>
      </c>
      <c r="F81" s="179" t="s">
        <v>305</v>
      </c>
      <c r="G81" s="179" t="s">
        <v>305</v>
      </c>
      <c r="H81" s="179">
        <v>7</v>
      </c>
      <c r="I81" s="179" t="s">
        <v>305</v>
      </c>
      <c r="J81" s="179" t="s">
        <v>305</v>
      </c>
      <c r="K81" s="179">
        <v>46</v>
      </c>
      <c r="L81" s="179" t="s">
        <v>305</v>
      </c>
      <c r="M81" s="179" t="s">
        <v>305</v>
      </c>
      <c r="N81" s="179">
        <v>15</v>
      </c>
      <c r="O81" s="179" t="s">
        <v>305</v>
      </c>
      <c r="P81" s="179" t="s">
        <v>305</v>
      </c>
      <c r="Q81" s="177"/>
      <c r="R81" s="165"/>
      <c r="S81" s="165"/>
      <c r="T81" s="165"/>
      <c r="U81" s="165"/>
      <c r="V81" s="165"/>
      <c r="W81" s="165"/>
      <c r="X81" s="165"/>
      <c r="Y81" s="165"/>
      <c r="Z81" s="165"/>
      <c r="AA81" s="165"/>
      <c r="AB81" s="165"/>
      <c r="AC81" s="165"/>
      <c r="AD81" s="165"/>
      <c r="AE81" s="165"/>
      <c r="AF81" s="165"/>
      <c r="AG81" s="178"/>
      <c r="AH81" s="178"/>
      <c r="AI81" s="178"/>
      <c r="AJ81" s="178"/>
      <c r="AK81" s="178"/>
      <c r="AL81" s="178"/>
      <c r="AM81" s="178"/>
      <c r="AN81" s="178"/>
      <c r="AO81" s="178"/>
      <c r="AP81" s="178"/>
      <c r="AQ81" s="178"/>
      <c r="AR81" s="178"/>
      <c r="AS81" s="178"/>
      <c r="AT81" s="178"/>
      <c r="AU81" s="178"/>
      <c r="AV81" s="178"/>
      <c r="AW81" s="178"/>
      <c r="AX81" s="178"/>
      <c r="AY81" s="178"/>
      <c r="AZ81" s="178"/>
      <c r="BA81" s="178"/>
      <c r="BB81" s="178"/>
    </row>
    <row r="82" spans="1:54" ht="13.5" customHeight="1" x14ac:dyDescent="0.3">
      <c r="A82" s="170" t="s">
        <v>306</v>
      </c>
      <c r="B82" s="179">
        <v>96</v>
      </c>
      <c r="C82" s="179" t="s">
        <v>305</v>
      </c>
      <c r="D82" s="179" t="s">
        <v>305</v>
      </c>
      <c r="E82" s="179">
        <v>2</v>
      </c>
      <c r="F82" s="179" t="s">
        <v>305</v>
      </c>
      <c r="G82" s="179" t="s">
        <v>305</v>
      </c>
      <c r="H82" s="179">
        <v>10</v>
      </c>
      <c r="I82" s="179" t="s">
        <v>305</v>
      </c>
      <c r="J82" s="179" t="s">
        <v>305</v>
      </c>
      <c r="K82" s="179">
        <v>71</v>
      </c>
      <c r="L82" s="179" t="s">
        <v>305</v>
      </c>
      <c r="M82" s="179" t="s">
        <v>305</v>
      </c>
      <c r="N82" s="179">
        <v>14</v>
      </c>
      <c r="O82" s="179" t="s">
        <v>305</v>
      </c>
      <c r="P82" s="179" t="s">
        <v>305</v>
      </c>
      <c r="Q82" s="172"/>
      <c r="R82" s="165"/>
      <c r="S82" s="165"/>
      <c r="T82" s="165"/>
      <c r="U82" s="165"/>
      <c r="V82" s="165"/>
      <c r="W82" s="165"/>
      <c r="X82" s="165"/>
      <c r="Y82" s="165"/>
      <c r="Z82" s="165"/>
      <c r="AA82" s="165"/>
      <c r="AB82" s="165"/>
      <c r="AC82" s="165"/>
      <c r="AD82" s="165"/>
      <c r="AE82" s="165"/>
      <c r="AF82" s="165"/>
      <c r="AG82" s="160"/>
      <c r="AH82" s="160"/>
      <c r="AI82" s="160"/>
      <c r="AJ82" s="160"/>
      <c r="AK82" s="160"/>
      <c r="AL82" s="160"/>
      <c r="AM82" s="160"/>
      <c r="AN82" s="160"/>
      <c r="AO82" s="160"/>
      <c r="AP82" s="160"/>
      <c r="AQ82" s="160"/>
    </row>
    <row r="83" spans="1:54" ht="13.5" customHeight="1" x14ac:dyDescent="0.3">
      <c r="A83" s="170" t="s">
        <v>279</v>
      </c>
      <c r="B83" s="179">
        <v>84</v>
      </c>
      <c r="C83" s="179" t="s">
        <v>305</v>
      </c>
      <c r="D83" s="179" t="s">
        <v>305</v>
      </c>
      <c r="E83" s="179">
        <v>3</v>
      </c>
      <c r="F83" s="179" t="s">
        <v>305</v>
      </c>
      <c r="G83" s="179" t="s">
        <v>305</v>
      </c>
      <c r="H83" s="179">
        <v>9</v>
      </c>
      <c r="I83" s="179" t="s">
        <v>305</v>
      </c>
      <c r="J83" s="179" t="s">
        <v>305</v>
      </c>
      <c r="K83" s="179">
        <v>58</v>
      </c>
      <c r="L83" s="179" t="s">
        <v>305</v>
      </c>
      <c r="M83" s="179" t="s">
        <v>305</v>
      </c>
      <c r="N83" s="179">
        <v>14</v>
      </c>
      <c r="O83" s="179" t="s">
        <v>305</v>
      </c>
      <c r="P83" s="179" t="s">
        <v>305</v>
      </c>
      <c r="Q83" s="172"/>
      <c r="R83" s="165"/>
      <c r="S83" s="165"/>
      <c r="T83" s="165"/>
      <c r="U83" s="165"/>
      <c r="V83" s="165"/>
      <c r="W83" s="165"/>
      <c r="X83" s="165"/>
      <c r="Y83" s="165"/>
      <c r="Z83" s="165"/>
      <c r="AA83" s="165"/>
      <c r="AB83" s="165"/>
      <c r="AC83" s="165"/>
      <c r="AD83" s="165"/>
      <c r="AE83" s="165"/>
      <c r="AF83" s="165"/>
      <c r="AG83" s="160"/>
      <c r="AH83" s="160"/>
      <c r="AI83" s="160"/>
      <c r="AJ83" s="160"/>
      <c r="AK83" s="160"/>
      <c r="AL83" s="160"/>
      <c r="AM83" s="160"/>
      <c r="AN83" s="160"/>
      <c r="AO83" s="160"/>
      <c r="AP83" s="160"/>
      <c r="AQ83" s="160"/>
    </row>
    <row r="84" spans="1:54" ht="13.5" customHeight="1" x14ac:dyDescent="0.3">
      <c r="A84" s="170" t="s">
        <v>307</v>
      </c>
      <c r="B84" s="179">
        <v>89</v>
      </c>
      <c r="C84" s="179" t="s">
        <v>305</v>
      </c>
      <c r="D84" s="179" t="s">
        <v>305</v>
      </c>
      <c r="E84" s="179">
        <v>6</v>
      </c>
      <c r="F84" s="179" t="s">
        <v>305</v>
      </c>
      <c r="G84" s="179" t="s">
        <v>305</v>
      </c>
      <c r="H84" s="179">
        <v>10</v>
      </c>
      <c r="I84" s="179" t="s">
        <v>305</v>
      </c>
      <c r="J84" s="179" t="s">
        <v>305</v>
      </c>
      <c r="K84" s="179">
        <v>59</v>
      </c>
      <c r="L84" s="179" t="s">
        <v>305</v>
      </c>
      <c r="M84" s="179" t="s">
        <v>305</v>
      </c>
      <c r="N84" s="179">
        <v>14</v>
      </c>
      <c r="O84" s="179" t="s">
        <v>305</v>
      </c>
      <c r="P84" s="179" t="s">
        <v>305</v>
      </c>
      <c r="Q84" s="172"/>
      <c r="R84" s="165"/>
      <c r="S84" s="165"/>
      <c r="T84" s="165"/>
      <c r="U84" s="165"/>
      <c r="V84" s="165"/>
      <c r="W84" s="165"/>
      <c r="X84" s="165"/>
      <c r="Y84" s="165"/>
      <c r="Z84" s="165"/>
      <c r="AA84" s="165"/>
      <c r="AB84" s="165"/>
      <c r="AC84" s="165"/>
      <c r="AD84" s="165"/>
      <c r="AE84" s="165"/>
      <c r="AF84" s="165"/>
      <c r="AG84" s="160"/>
      <c r="AH84" s="160"/>
      <c r="AI84" s="160"/>
      <c r="AJ84" s="160"/>
      <c r="AK84" s="160"/>
      <c r="AL84" s="160"/>
      <c r="AM84" s="160"/>
      <c r="AN84" s="160"/>
      <c r="AO84" s="160"/>
      <c r="AP84" s="160"/>
      <c r="AQ84" s="160"/>
    </row>
    <row r="85" spans="1:54" ht="13.5" customHeight="1" x14ac:dyDescent="0.3">
      <c r="A85" s="170" t="s">
        <v>308</v>
      </c>
      <c r="B85" s="179">
        <v>87</v>
      </c>
      <c r="C85" s="179" t="s">
        <v>305</v>
      </c>
      <c r="D85" s="179" t="s">
        <v>305</v>
      </c>
      <c r="E85" s="179">
        <v>6</v>
      </c>
      <c r="F85" s="179" t="s">
        <v>305</v>
      </c>
      <c r="G85" s="179" t="s">
        <v>305</v>
      </c>
      <c r="H85" s="179">
        <v>9</v>
      </c>
      <c r="I85" s="179" t="s">
        <v>305</v>
      </c>
      <c r="J85" s="179" t="s">
        <v>305</v>
      </c>
      <c r="K85" s="179">
        <v>58</v>
      </c>
      <c r="L85" s="179" t="s">
        <v>305</v>
      </c>
      <c r="M85" s="179" t="s">
        <v>305</v>
      </c>
      <c r="N85" s="179">
        <v>14</v>
      </c>
      <c r="O85" s="179" t="s">
        <v>305</v>
      </c>
      <c r="P85" s="179" t="s">
        <v>305</v>
      </c>
      <c r="Q85" s="172"/>
      <c r="R85" s="165"/>
      <c r="S85" s="165"/>
      <c r="T85" s="165"/>
      <c r="U85" s="165"/>
      <c r="V85" s="165"/>
      <c r="W85" s="165"/>
      <c r="X85" s="165"/>
      <c r="Y85" s="165"/>
      <c r="Z85" s="165"/>
      <c r="AA85" s="165"/>
      <c r="AB85" s="165"/>
      <c r="AC85" s="165"/>
      <c r="AD85" s="165"/>
      <c r="AE85" s="165"/>
      <c r="AF85" s="165"/>
      <c r="AG85" s="160"/>
      <c r="AH85" s="160"/>
      <c r="AI85" s="160"/>
      <c r="AJ85" s="160"/>
      <c r="AK85" s="160"/>
      <c r="AL85" s="160"/>
      <c r="AM85" s="160"/>
      <c r="AN85" s="160"/>
      <c r="AO85" s="160"/>
      <c r="AP85" s="160"/>
      <c r="AQ85" s="160"/>
    </row>
    <row r="86" spans="1:54" ht="13.5" customHeight="1" x14ac:dyDescent="0.3">
      <c r="A86" s="170" t="s">
        <v>309</v>
      </c>
      <c r="B86" s="179">
        <v>81</v>
      </c>
      <c r="C86" s="179" t="s">
        <v>305</v>
      </c>
      <c r="D86" s="179" t="s">
        <v>305</v>
      </c>
      <c r="E86" s="179">
        <v>7</v>
      </c>
      <c r="F86" s="179" t="s">
        <v>305</v>
      </c>
      <c r="G86" s="179" t="s">
        <v>305</v>
      </c>
      <c r="H86" s="179">
        <v>6</v>
      </c>
      <c r="I86" s="179" t="s">
        <v>305</v>
      </c>
      <c r="J86" s="179" t="s">
        <v>305</v>
      </c>
      <c r="K86" s="179">
        <v>54</v>
      </c>
      <c r="L86" s="179" t="s">
        <v>305</v>
      </c>
      <c r="M86" s="179" t="s">
        <v>305</v>
      </c>
      <c r="N86" s="179">
        <v>14</v>
      </c>
      <c r="O86" s="179" t="s">
        <v>305</v>
      </c>
      <c r="P86" s="179" t="s">
        <v>305</v>
      </c>
      <c r="Q86" s="172"/>
      <c r="R86" s="165"/>
      <c r="S86" s="165"/>
      <c r="T86" s="165"/>
      <c r="U86" s="165"/>
      <c r="V86" s="165"/>
      <c r="W86" s="165"/>
      <c r="X86" s="165"/>
      <c r="Y86" s="165"/>
      <c r="Z86" s="165"/>
      <c r="AA86" s="165"/>
      <c r="AB86" s="165"/>
      <c r="AC86" s="165"/>
      <c r="AD86" s="165"/>
      <c r="AE86" s="165"/>
      <c r="AF86" s="165"/>
      <c r="AG86" s="160"/>
      <c r="AH86" s="160"/>
      <c r="AI86" s="160"/>
      <c r="AJ86" s="160"/>
      <c r="AK86" s="160"/>
      <c r="AL86" s="160"/>
      <c r="AM86" s="160"/>
      <c r="AN86" s="160"/>
      <c r="AO86" s="160"/>
      <c r="AP86" s="160"/>
      <c r="AQ86" s="160"/>
    </row>
    <row r="87" spans="1:54" ht="13.5" customHeight="1" x14ac:dyDescent="0.3">
      <c r="A87" s="170" t="s">
        <v>283</v>
      </c>
      <c r="B87" s="179">
        <v>82</v>
      </c>
      <c r="C87" s="179" t="s">
        <v>305</v>
      </c>
      <c r="D87" s="179" t="s">
        <v>305</v>
      </c>
      <c r="E87" s="179">
        <v>3</v>
      </c>
      <c r="F87" s="179" t="s">
        <v>305</v>
      </c>
      <c r="G87" s="179" t="s">
        <v>305</v>
      </c>
      <c r="H87" s="179">
        <v>10</v>
      </c>
      <c r="I87" s="179" t="s">
        <v>305</v>
      </c>
      <c r="J87" s="179" t="s">
        <v>305</v>
      </c>
      <c r="K87" s="179">
        <v>55</v>
      </c>
      <c r="L87" s="179" t="s">
        <v>305</v>
      </c>
      <c r="M87" s="179" t="s">
        <v>305</v>
      </c>
      <c r="N87" s="179">
        <v>14</v>
      </c>
      <c r="O87" s="179" t="s">
        <v>305</v>
      </c>
      <c r="P87" s="179" t="s">
        <v>305</v>
      </c>
      <c r="Q87" s="172"/>
      <c r="R87" s="165"/>
      <c r="S87" s="165"/>
      <c r="T87" s="165"/>
      <c r="U87" s="165"/>
      <c r="V87" s="165"/>
      <c r="W87" s="165"/>
      <c r="X87" s="165"/>
      <c r="Y87" s="165"/>
      <c r="Z87" s="165"/>
      <c r="AA87" s="165"/>
      <c r="AB87" s="165"/>
      <c r="AC87" s="165"/>
      <c r="AD87" s="165"/>
      <c r="AE87" s="165"/>
      <c r="AF87" s="165"/>
      <c r="AG87" s="160"/>
      <c r="AH87" s="160"/>
      <c r="AI87" s="160"/>
      <c r="AJ87" s="160"/>
      <c r="AK87" s="160"/>
      <c r="AL87" s="160"/>
      <c r="AM87" s="160"/>
      <c r="AN87" s="160"/>
      <c r="AO87" s="160"/>
      <c r="AP87" s="160"/>
      <c r="AQ87" s="160"/>
    </row>
    <row r="88" spans="1:54" ht="13.5" customHeight="1" x14ac:dyDescent="0.3">
      <c r="A88" s="170" t="s">
        <v>310</v>
      </c>
      <c r="B88" s="179">
        <v>82</v>
      </c>
      <c r="C88" s="179" t="s">
        <v>305</v>
      </c>
      <c r="D88" s="179" t="s">
        <v>305</v>
      </c>
      <c r="E88" s="179">
        <v>7</v>
      </c>
      <c r="F88" s="179" t="s">
        <v>305</v>
      </c>
      <c r="G88" s="179" t="s">
        <v>305</v>
      </c>
      <c r="H88" s="179">
        <v>7</v>
      </c>
      <c r="I88" s="179" t="s">
        <v>305</v>
      </c>
      <c r="J88" s="179" t="s">
        <v>305</v>
      </c>
      <c r="K88" s="179">
        <v>54</v>
      </c>
      <c r="L88" s="179" t="s">
        <v>305</v>
      </c>
      <c r="M88" s="179" t="s">
        <v>305</v>
      </c>
      <c r="N88" s="179">
        <v>14</v>
      </c>
      <c r="O88" s="179" t="s">
        <v>305</v>
      </c>
      <c r="P88" s="179" t="s">
        <v>305</v>
      </c>
      <c r="Q88" s="172"/>
      <c r="R88" s="165"/>
      <c r="S88" s="165"/>
      <c r="T88" s="165"/>
      <c r="U88" s="165"/>
      <c r="V88" s="165"/>
      <c r="W88" s="165"/>
      <c r="X88" s="165"/>
      <c r="Y88" s="165"/>
      <c r="Z88" s="165"/>
      <c r="AA88" s="165"/>
      <c r="AB88" s="165"/>
      <c r="AC88" s="165"/>
      <c r="AD88" s="165"/>
      <c r="AE88" s="165"/>
      <c r="AF88" s="165"/>
      <c r="AG88" s="160"/>
      <c r="AH88" s="160"/>
      <c r="AI88" s="160"/>
      <c r="AJ88" s="160"/>
      <c r="AK88" s="160"/>
      <c r="AL88" s="160"/>
      <c r="AM88" s="160"/>
      <c r="AN88" s="160"/>
      <c r="AO88" s="160"/>
      <c r="AP88" s="160"/>
      <c r="AQ88" s="160"/>
    </row>
    <row r="89" spans="1:54" ht="13.5" customHeight="1" x14ac:dyDescent="0.3">
      <c r="A89" s="173" t="s">
        <v>311</v>
      </c>
      <c r="B89" s="179">
        <v>81</v>
      </c>
      <c r="C89" s="179" t="s">
        <v>305</v>
      </c>
      <c r="D89" s="179" t="s">
        <v>305</v>
      </c>
      <c r="E89" s="179">
        <v>4</v>
      </c>
      <c r="F89" s="179" t="s">
        <v>305</v>
      </c>
      <c r="G89" s="179" t="s">
        <v>305</v>
      </c>
      <c r="H89" s="179">
        <v>9</v>
      </c>
      <c r="I89" s="179" t="s">
        <v>305</v>
      </c>
      <c r="J89" s="179" t="s">
        <v>305</v>
      </c>
      <c r="K89" s="179">
        <v>54</v>
      </c>
      <c r="L89" s="179" t="s">
        <v>305</v>
      </c>
      <c r="M89" s="179" t="s">
        <v>305</v>
      </c>
      <c r="N89" s="179">
        <v>14</v>
      </c>
      <c r="O89" s="179" t="s">
        <v>305</v>
      </c>
      <c r="P89" s="179" t="s">
        <v>305</v>
      </c>
      <c r="Q89" s="172"/>
      <c r="R89" s="165"/>
      <c r="S89" s="165"/>
      <c r="T89" s="165"/>
      <c r="U89" s="165"/>
      <c r="V89" s="165"/>
      <c r="W89" s="165"/>
      <c r="X89" s="165"/>
      <c r="Y89" s="165"/>
      <c r="Z89" s="165"/>
      <c r="AA89" s="165"/>
      <c r="AB89" s="165"/>
      <c r="AC89" s="165"/>
      <c r="AD89" s="165"/>
      <c r="AE89" s="165"/>
      <c r="AF89" s="165"/>
      <c r="AG89" s="160"/>
      <c r="AH89" s="160"/>
      <c r="AI89" s="160"/>
      <c r="AJ89" s="160"/>
      <c r="AK89" s="160"/>
      <c r="AL89" s="160"/>
      <c r="AM89" s="160"/>
      <c r="AN89" s="160"/>
      <c r="AO89" s="160"/>
      <c r="AP89" s="160"/>
      <c r="AQ89" s="160"/>
    </row>
    <row r="90" spans="1:54" ht="13.5" customHeight="1" x14ac:dyDescent="0.3">
      <c r="A90" s="170" t="s">
        <v>295</v>
      </c>
      <c r="B90" s="179">
        <v>76</v>
      </c>
      <c r="C90" s="179" t="s">
        <v>305</v>
      </c>
      <c r="D90" s="179" t="s">
        <v>305</v>
      </c>
      <c r="E90" s="179">
        <v>7</v>
      </c>
      <c r="F90" s="179" t="s">
        <v>305</v>
      </c>
      <c r="G90" s="179" t="s">
        <v>305</v>
      </c>
      <c r="H90" s="179">
        <v>7</v>
      </c>
      <c r="I90" s="179" t="s">
        <v>305</v>
      </c>
      <c r="J90" s="179" t="s">
        <v>305</v>
      </c>
      <c r="K90" s="179">
        <v>51</v>
      </c>
      <c r="L90" s="179" t="s">
        <v>305</v>
      </c>
      <c r="M90" s="179" t="s">
        <v>305</v>
      </c>
      <c r="N90" s="179">
        <v>10</v>
      </c>
      <c r="O90" s="179" t="s">
        <v>305</v>
      </c>
      <c r="P90" s="179" t="s">
        <v>305</v>
      </c>
      <c r="Q90" s="172"/>
      <c r="R90" s="165"/>
      <c r="S90" s="165"/>
      <c r="T90" s="165"/>
      <c r="U90" s="165"/>
      <c r="V90" s="165"/>
      <c r="W90" s="165"/>
      <c r="X90" s="165"/>
      <c r="Y90" s="165"/>
      <c r="Z90" s="165"/>
      <c r="AA90" s="165"/>
      <c r="AB90" s="165"/>
      <c r="AC90" s="165"/>
      <c r="AD90" s="165"/>
      <c r="AE90" s="165"/>
      <c r="AF90" s="165"/>
      <c r="AG90" s="160"/>
      <c r="AH90" s="160"/>
      <c r="AI90" s="160"/>
      <c r="AJ90" s="160"/>
      <c r="AK90" s="160"/>
      <c r="AL90" s="160"/>
      <c r="AM90" s="160"/>
      <c r="AN90" s="160"/>
      <c r="AO90" s="160"/>
      <c r="AP90" s="160"/>
      <c r="AQ90" s="160"/>
    </row>
    <row r="91" spans="1:54" ht="13.5" customHeight="1" x14ac:dyDescent="0.3">
      <c r="A91" s="170" t="s">
        <v>312</v>
      </c>
      <c r="B91" s="179">
        <v>65</v>
      </c>
      <c r="C91" s="179" t="s">
        <v>305</v>
      </c>
      <c r="D91" s="179" t="s">
        <v>305</v>
      </c>
      <c r="E91" s="179">
        <v>2</v>
      </c>
      <c r="F91" s="179" t="s">
        <v>305</v>
      </c>
      <c r="G91" s="179" t="s">
        <v>305</v>
      </c>
      <c r="H91" s="179">
        <v>8</v>
      </c>
      <c r="I91" s="179" t="s">
        <v>305</v>
      </c>
      <c r="J91" s="179" t="s">
        <v>305</v>
      </c>
      <c r="K91" s="179">
        <v>45</v>
      </c>
      <c r="L91" s="179" t="s">
        <v>305</v>
      </c>
      <c r="M91" s="179" t="s">
        <v>305</v>
      </c>
      <c r="N91" s="179">
        <v>9</v>
      </c>
      <c r="O91" s="179" t="s">
        <v>305</v>
      </c>
      <c r="P91" s="179" t="s">
        <v>305</v>
      </c>
      <c r="Q91" s="172"/>
      <c r="R91" s="165"/>
      <c r="S91" s="165"/>
      <c r="T91" s="165"/>
      <c r="U91" s="165"/>
      <c r="V91" s="165"/>
      <c r="W91" s="165"/>
      <c r="X91" s="165"/>
      <c r="Y91" s="165"/>
      <c r="Z91" s="165"/>
      <c r="AA91" s="165"/>
      <c r="AB91" s="165"/>
      <c r="AC91" s="165"/>
      <c r="AD91" s="165"/>
      <c r="AE91" s="165"/>
      <c r="AF91" s="165"/>
      <c r="AG91" s="160"/>
      <c r="AH91" s="160"/>
      <c r="AI91" s="160"/>
      <c r="AJ91" s="160"/>
      <c r="AK91" s="160"/>
      <c r="AL91" s="160"/>
      <c r="AM91" s="160"/>
      <c r="AN91" s="160"/>
      <c r="AO91" s="160"/>
      <c r="AP91" s="160"/>
      <c r="AQ91" s="160"/>
    </row>
    <row r="92" spans="1:54" ht="13.5" customHeight="1" x14ac:dyDescent="0.3">
      <c r="A92" s="170" t="s">
        <v>288</v>
      </c>
      <c r="B92" s="180">
        <v>68</v>
      </c>
      <c r="C92" s="179" t="s">
        <v>305</v>
      </c>
      <c r="D92" s="179" t="s">
        <v>305</v>
      </c>
      <c r="E92" s="180">
        <v>4</v>
      </c>
      <c r="F92" s="179" t="s">
        <v>305</v>
      </c>
      <c r="G92" s="179" t="s">
        <v>305</v>
      </c>
      <c r="H92" s="180">
        <v>7</v>
      </c>
      <c r="I92" s="179" t="s">
        <v>305</v>
      </c>
      <c r="J92" s="179" t="s">
        <v>305</v>
      </c>
      <c r="K92" s="180">
        <v>44</v>
      </c>
      <c r="L92" s="179" t="s">
        <v>305</v>
      </c>
      <c r="M92" s="179" t="s">
        <v>305</v>
      </c>
      <c r="N92" s="180">
        <v>13</v>
      </c>
      <c r="O92" s="179" t="s">
        <v>305</v>
      </c>
      <c r="P92" s="179" t="s">
        <v>305</v>
      </c>
      <c r="Q92" s="172"/>
      <c r="R92" s="165"/>
      <c r="S92" s="165"/>
      <c r="T92" s="165"/>
      <c r="U92" s="165"/>
      <c r="V92" s="165"/>
      <c r="W92" s="165"/>
      <c r="X92" s="165"/>
      <c r="Y92" s="165"/>
      <c r="Z92" s="165"/>
      <c r="AA92" s="165"/>
      <c r="AB92" s="165"/>
      <c r="AC92" s="165"/>
      <c r="AD92" s="165"/>
      <c r="AE92" s="165"/>
      <c r="AF92" s="165"/>
      <c r="AG92" s="160"/>
      <c r="AH92" s="160"/>
      <c r="AI92" s="160"/>
      <c r="AJ92" s="160"/>
      <c r="AK92" s="160"/>
      <c r="AL92" s="160"/>
      <c r="AM92" s="160"/>
      <c r="AN92" s="160"/>
      <c r="AO92" s="160"/>
      <c r="AP92" s="160"/>
      <c r="AQ92" s="160"/>
    </row>
    <row r="93" spans="1:54" ht="13.5" customHeight="1" x14ac:dyDescent="0.3">
      <c r="A93" s="174"/>
      <c r="B93" s="175"/>
      <c r="C93" s="176"/>
      <c r="D93" s="176"/>
      <c r="E93" s="175"/>
      <c r="F93" s="176"/>
      <c r="G93" s="176"/>
      <c r="H93" s="175"/>
      <c r="I93" s="176"/>
      <c r="J93" s="176"/>
      <c r="K93" s="175"/>
      <c r="L93" s="176"/>
      <c r="M93" s="176"/>
      <c r="N93" s="175"/>
      <c r="O93" s="176"/>
      <c r="P93" s="176"/>
      <c r="Q93" s="177"/>
      <c r="R93" s="165"/>
      <c r="S93" s="165"/>
      <c r="T93" s="165"/>
      <c r="U93" s="165"/>
      <c r="V93" s="165"/>
      <c r="W93" s="165"/>
      <c r="X93" s="165"/>
      <c r="Y93" s="165"/>
      <c r="Z93" s="165"/>
      <c r="AA93" s="165"/>
      <c r="AB93" s="165"/>
      <c r="AC93" s="165"/>
      <c r="AD93" s="165"/>
      <c r="AE93" s="165"/>
      <c r="AF93" s="165"/>
      <c r="AG93" s="178"/>
      <c r="AH93" s="178"/>
      <c r="AI93" s="178"/>
      <c r="AJ93" s="178"/>
      <c r="AK93" s="178"/>
      <c r="AL93" s="178"/>
      <c r="AM93" s="178"/>
      <c r="AN93" s="178"/>
      <c r="AO93" s="178"/>
      <c r="AP93" s="178"/>
      <c r="AQ93" s="178"/>
      <c r="AR93" s="178"/>
      <c r="AS93" s="178"/>
      <c r="AT93" s="178"/>
      <c r="AU93" s="178"/>
      <c r="AV93" s="178"/>
      <c r="AW93" s="178"/>
      <c r="AX93" s="178"/>
      <c r="AY93" s="178"/>
      <c r="AZ93" s="178"/>
      <c r="BA93" s="178"/>
      <c r="BB93" s="178"/>
    </row>
    <row r="94" spans="1:54" ht="13.5" customHeight="1" x14ac:dyDescent="0.3">
      <c r="A94" s="170">
        <v>2009</v>
      </c>
      <c r="B94" s="175"/>
      <c r="C94" s="158"/>
      <c r="D94" s="158"/>
      <c r="E94" s="175"/>
      <c r="F94" s="158"/>
      <c r="G94" s="158"/>
      <c r="H94" s="175"/>
      <c r="I94" s="158"/>
      <c r="J94" s="158"/>
      <c r="K94" s="175"/>
      <c r="L94" s="158"/>
      <c r="M94" s="158"/>
      <c r="N94" s="175"/>
      <c r="O94" s="158"/>
      <c r="P94" s="158"/>
      <c r="Q94" s="181"/>
      <c r="R94" s="165"/>
      <c r="S94" s="165"/>
      <c r="T94" s="165"/>
      <c r="U94" s="165"/>
      <c r="V94" s="165"/>
      <c r="W94" s="165"/>
      <c r="X94" s="165"/>
      <c r="Y94" s="165"/>
      <c r="Z94" s="165"/>
      <c r="AA94" s="165"/>
      <c r="AB94" s="165"/>
      <c r="AC94" s="165"/>
      <c r="AD94" s="165"/>
      <c r="AE94" s="165"/>
      <c r="AF94" s="165"/>
    </row>
    <row r="95" spans="1:54" ht="13.5" customHeight="1" x14ac:dyDescent="0.2">
      <c r="A95" s="170" t="s">
        <v>289</v>
      </c>
      <c r="B95" s="180">
        <v>68</v>
      </c>
      <c r="C95" s="179" t="s">
        <v>305</v>
      </c>
      <c r="D95" s="179" t="s">
        <v>305</v>
      </c>
      <c r="E95" s="180">
        <v>4</v>
      </c>
      <c r="F95" s="179" t="s">
        <v>305</v>
      </c>
      <c r="G95" s="179" t="s">
        <v>305</v>
      </c>
      <c r="H95" s="180">
        <v>8</v>
      </c>
      <c r="I95" s="179" t="s">
        <v>305</v>
      </c>
      <c r="J95" s="179" t="s">
        <v>305</v>
      </c>
      <c r="K95" s="180">
        <v>47</v>
      </c>
      <c r="L95" s="179" t="s">
        <v>305</v>
      </c>
      <c r="M95" s="179" t="s">
        <v>305</v>
      </c>
      <c r="N95" s="180">
        <v>8</v>
      </c>
      <c r="O95" s="179" t="s">
        <v>305</v>
      </c>
      <c r="P95" s="179" t="s">
        <v>305</v>
      </c>
      <c r="Q95" s="181"/>
      <c r="R95" s="165"/>
      <c r="S95" s="165"/>
      <c r="T95" s="165"/>
      <c r="U95" s="165"/>
      <c r="V95" s="165"/>
      <c r="W95" s="165"/>
      <c r="X95" s="165"/>
      <c r="Y95" s="165"/>
      <c r="Z95" s="165"/>
      <c r="AA95" s="165"/>
      <c r="AB95" s="165"/>
      <c r="AC95" s="165"/>
      <c r="AD95" s="165"/>
      <c r="AE95" s="165"/>
      <c r="AF95" s="165"/>
    </row>
    <row r="96" spans="1:54" ht="13.5" customHeight="1" x14ac:dyDescent="0.2">
      <c r="A96" s="170" t="s">
        <v>290</v>
      </c>
      <c r="B96" s="180">
        <v>55</v>
      </c>
      <c r="C96" s="179" t="s">
        <v>305</v>
      </c>
      <c r="D96" s="179" t="s">
        <v>305</v>
      </c>
      <c r="E96" s="163" t="s">
        <v>313</v>
      </c>
      <c r="F96" s="179" t="s">
        <v>305</v>
      </c>
      <c r="G96" s="179" t="s">
        <v>305</v>
      </c>
      <c r="H96" s="180">
        <v>6</v>
      </c>
      <c r="I96" s="179" t="s">
        <v>305</v>
      </c>
      <c r="J96" s="179" t="s">
        <v>305</v>
      </c>
      <c r="K96" s="180">
        <v>42</v>
      </c>
      <c r="L96" s="179" t="s">
        <v>305</v>
      </c>
      <c r="M96" s="179" t="s">
        <v>305</v>
      </c>
      <c r="N96" s="180">
        <v>8</v>
      </c>
      <c r="O96" s="179" t="s">
        <v>305</v>
      </c>
      <c r="P96" s="179" t="s">
        <v>305</v>
      </c>
      <c r="R96" s="165"/>
      <c r="S96" s="165"/>
      <c r="T96" s="165"/>
      <c r="U96" s="165"/>
      <c r="V96" s="165"/>
      <c r="W96" s="165"/>
      <c r="X96" s="165"/>
      <c r="Y96" s="165"/>
      <c r="Z96" s="165"/>
      <c r="AA96" s="165"/>
      <c r="AB96" s="165"/>
      <c r="AC96" s="165"/>
      <c r="AD96" s="165"/>
      <c r="AE96" s="165"/>
      <c r="AF96" s="165"/>
    </row>
    <row r="97" spans="1:32" ht="13.5" customHeight="1" x14ac:dyDescent="0.2">
      <c r="A97" s="170" t="s">
        <v>291</v>
      </c>
      <c r="B97" s="179">
        <v>62</v>
      </c>
      <c r="C97" s="179" t="s">
        <v>305</v>
      </c>
      <c r="D97" s="179" t="s">
        <v>305</v>
      </c>
      <c r="E97" s="179">
        <v>2</v>
      </c>
      <c r="F97" s="179" t="s">
        <v>305</v>
      </c>
      <c r="G97" s="179" t="s">
        <v>305</v>
      </c>
      <c r="H97" s="179">
        <v>9</v>
      </c>
      <c r="I97" s="179" t="s">
        <v>305</v>
      </c>
      <c r="J97" s="179" t="s">
        <v>305</v>
      </c>
      <c r="K97" s="179">
        <v>39</v>
      </c>
      <c r="L97" s="179" t="s">
        <v>305</v>
      </c>
      <c r="M97" s="179" t="s">
        <v>305</v>
      </c>
      <c r="N97" s="179">
        <v>11</v>
      </c>
      <c r="O97" s="179" t="s">
        <v>305</v>
      </c>
      <c r="P97" s="179" t="s">
        <v>305</v>
      </c>
      <c r="R97" s="165"/>
      <c r="S97" s="165"/>
      <c r="T97" s="165"/>
      <c r="U97" s="165"/>
      <c r="V97" s="165"/>
      <c r="W97" s="165"/>
      <c r="X97" s="165"/>
      <c r="Y97" s="165"/>
      <c r="Z97" s="165"/>
      <c r="AA97" s="165"/>
      <c r="AB97" s="165"/>
      <c r="AC97" s="165"/>
      <c r="AD97" s="165"/>
      <c r="AE97" s="165"/>
      <c r="AF97" s="165"/>
    </row>
    <row r="98" spans="1:32" ht="13.5" customHeight="1" x14ac:dyDescent="0.2">
      <c r="A98" s="170" t="s">
        <v>292</v>
      </c>
      <c r="B98" s="179">
        <v>56</v>
      </c>
      <c r="C98" s="179" t="s">
        <v>305</v>
      </c>
      <c r="D98" s="179" t="s">
        <v>305</v>
      </c>
      <c r="E98" s="179">
        <v>3</v>
      </c>
      <c r="F98" s="179" t="s">
        <v>305</v>
      </c>
      <c r="G98" s="179" t="s">
        <v>305</v>
      </c>
      <c r="H98" s="179">
        <v>6</v>
      </c>
      <c r="I98" s="179" t="s">
        <v>305</v>
      </c>
      <c r="J98" s="179" t="s">
        <v>305</v>
      </c>
      <c r="K98" s="179">
        <v>39</v>
      </c>
      <c r="L98" s="179" t="s">
        <v>305</v>
      </c>
      <c r="M98" s="179" t="s">
        <v>305</v>
      </c>
      <c r="N98" s="179">
        <v>8</v>
      </c>
      <c r="O98" s="179" t="s">
        <v>305</v>
      </c>
      <c r="P98" s="179" t="s">
        <v>305</v>
      </c>
      <c r="R98" s="165"/>
      <c r="S98" s="165"/>
      <c r="T98" s="165"/>
      <c r="U98" s="165"/>
      <c r="V98" s="165"/>
      <c r="W98" s="165"/>
      <c r="X98" s="165"/>
      <c r="Y98" s="165"/>
      <c r="Z98" s="165"/>
      <c r="AA98" s="165"/>
      <c r="AB98" s="165"/>
      <c r="AC98" s="165"/>
      <c r="AD98" s="165"/>
      <c r="AE98" s="165"/>
      <c r="AF98" s="165"/>
    </row>
    <row r="99" spans="1:32" ht="13.5" customHeight="1" x14ac:dyDescent="0.2">
      <c r="A99" s="170" t="s">
        <v>293</v>
      </c>
      <c r="B99" s="179">
        <v>50</v>
      </c>
      <c r="C99" s="179" t="s">
        <v>305</v>
      </c>
      <c r="D99" s="179" t="s">
        <v>305</v>
      </c>
      <c r="E99" s="179">
        <v>2</v>
      </c>
      <c r="F99" s="179" t="s">
        <v>305</v>
      </c>
      <c r="G99" s="179" t="s">
        <v>305</v>
      </c>
      <c r="H99" s="179">
        <v>6</v>
      </c>
      <c r="I99" s="179" t="s">
        <v>305</v>
      </c>
      <c r="J99" s="179" t="s">
        <v>305</v>
      </c>
      <c r="K99" s="179">
        <v>35</v>
      </c>
      <c r="L99" s="179" t="s">
        <v>305</v>
      </c>
      <c r="M99" s="179" t="s">
        <v>305</v>
      </c>
      <c r="N99" s="179">
        <v>7</v>
      </c>
      <c r="O99" s="179" t="s">
        <v>305</v>
      </c>
      <c r="P99" s="179" t="s">
        <v>305</v>
      </c>
      <c r="R99" s="165"/>
      <c r="S99" s="165"/>
      <c r="T99" s="165"/>
      <c r="U99" s="165"/>
      <c r="V99" s="165"/>
      <c r="W99" s="165"/>
      <c r="X99" s="165"/>
      <c r="Y99" s="165"/>
      <c r="Z99" s="165"/>
      <c r="AA99" s="165"/>
      <c r="AB99" s="165"/>
      <c r="AC99" s="165"/>
      <c r="AD99" s="165"/>
      <c r="AE99" s="165"/>
      <c r="AF99" s="165"/>
    </row>
    <row r="100" spans="1:32" ht="13.5" customHeight="1" x14ac:dyDescent="0.2">
      <c r="A100" s="170" t="s">
        <v>282</v>
      </c>
      <c r="B100" s="179">
        <v>48</v>
      </c>
      <c r="C100" s="179" t="s">
        <v>305</v>
      </c>
      <c r="D100" s="179" t="s">
        <v>305</v>
      </c>
      <c r="E100" s="179">
        <v>4</v>
      </c>
      <c r="F100" s="179" t="s">
        <v>305</v>
      </c>
      <c r="G100" s="179" t="s">
        <v>305</v>
      </c>
      <c r="H100" s="179">
        <v>3</v>
      </c>
      <c r="I100" s="179" t="s">
        <v>305</v>
      </c>
      <c r="J100" s="179" t="s">
        <v>305</v>
      </c>
      <c r="K100" s="179">
        <v>35</v>
      </c>
      <c r="L100" s="179" t="s">
        <v>305</v>
      </c>
      <c r="M100" s="179" t="s">
        <v>305</v>
      </c>
      <c r="N100" s="179">
        <v>7</v>
      </c>
      <c r="O100" s="179" t="s">
        <v>305</v>
      </c>
      <c r="P100" s="179" t="s">
        <v>305</v>
      </c>
      <c r="R100" s="165"/>
      <c r="S100" s="165"/>
      <c r="T100" s="165"/>
      <c r="U100" s="165"/>
      <c r="V100" s="165"/>
      <c r="W100" s="165"/>
      <c r="X100" s="165"/>
      <c r="Y100" s="165"/>
      <c r="Z100" s="165"/>
      <c r="AA100" s="165"/>
      <c r="AB100" s="165"/>
      <c r="AC100" s="165"/>
      <c r="AD100" s="165"/>
      <c r="AE100" s="165"/>
      <c r="AF100" s="165"/>
    </row>
    <row r="101" spans="1:32" ht="13.5" customHeight="1" x14ac:dyDescent="0.2">
      <c r="A101" s="173" t="s">
        <v>283</v>
      </c>
      <c r="B101" s="179">
        <v>50</v>
      </c>
      <c r="C101" s="179" t="s">
        <v>305</v>
      </c>
      <c r="D101" s="179" t="s">
        <v>305</v>
      </c>
      <c r="E101" s="179">
        <v>6</v>
      </c>
      <c r="F101" s="179" t="s">
        <v>305</v>
      </c>
      <c r="G101" s="179" t="s">
        <v>305</v>
      </c>
      <c r="H101" s="179">
        <v>4</v>
      </c>
      <c r="I101" s="179" t="s">
        <v>305</v>
      </c>
      <c r="J101" s="179" t="s">
        <v>305</v>
      </c>
      <c r="K101" s="179">
        <v>34</v>
      </c>
      <c r="L101" s="179" t="s">
        <v>305</v>
      </c>
      <c r="M101" s="179" t="s">
        <v>305</v>
      </c>
      <c r="N101" s="179">
        <v>6</v>
      </c>
      <c r="O101" s="179" t="s">
        <v>305</v>
      </c>
      <c r="P101" s="179" t="s">
        <v>305</v>
      </c>
      <c r="R101" s="165"/>
      <c r="S101" s="165"/>
      <c r="T101" s="165"/>
      <c r="U101" s="165"/>
      <c r="V101" s="165"/>
      <c r="W101" s="165"/>
      <c r="X101" s="165"/>
      <c r="Y101" s="165"/>
      <c r="Z101" s="165"/>
      <c r="AA101" s="165"/>
      <c r="AB101" s="165"/>
      <c r="AC101" s="165"/>
      <c r="AD101" s="165"/>
      <c r="AE101" s="165"/>
      <c r="AF101" s="165"/>
    </row>
    <row r="102" spans="1:32" ht="13.5" customHeight="1" x14ac:dyDescent="0.2">
      <c r="A102" s="173" t="s">
        <v>284</v>
      </c>
      <c r="B102" s="179">
        <v>46</v>
      </c>
      <c r="C102" s="179" t="s">
        <v>305</v>
      </c>
      <c r="D102" s="179" t="s">
        <v>305</v>
      </c>
      <c r="E102" s="179">
        <v>2</v>
      </c>
      <c r="F102" s="179" t="s">
        <v>305</v>
      </c>
      <c r="G102" s="179" t="s">
        <v>305</v>
      </c>
      <c r="H102" s="179">
        <v>5</v>
      </c>
      <c r="I102" s="179" t="s">
        <v>305</v>
      </c>
      <c r="J102" s="179" t="s">
        <v>305</v>
      </c>
      <c r="K102" s="179">
        <v>32</v>
      </c>
      <c r="L102" s="179" t="s">
        <v>305</v>
      </c>
      <c r="M102" s="179" t="s">
        <v>305</v>
      </c>
      <c r="N102" s="179">
        <v>7</v>
      </c>
      <c r="O102" s="179" t="s">
        <v>305</v>
      </c>
      <c r="P102" s="179" t="s">
        <v>305</v>
      </c>
      <c r="R102" s="165"/>
      <c r="S102" s="165"/>
      <c r="T102" s="165"/>
      <c r="U102" s="165"/>
      <c r="V102" s="165"/>
      <c r="W102" s="165"/>
      <c r="X102" s="165"/>
      <c r="Y102" s="165"/>
      <c r="Z102" s="165"/>
      <c r="AA102" s="165"/>
      <c r="AB102" s="165"/>
      <c r="AC102" s="165"/>
      <c r="AD102" s="165"/>
      <c r="AE102" s="165"/>
      <c r="AF102" s="165"/>
    </row>
    <row r="103" spans="1:32" ht="13.5" customHeight="1" x14ac:dyDescent="0.2">
      <c r="A103" s="173" t="s">
        <v>294</v>
      </c>
      <c r="B103" s="180">
        <v>55</v>
      </c>
      <c r="C103" s="180" t="s">
        <v>305</v>
      </c>
      <c r="D103" s="180" t="s">
        <v>305</v>
      </c>
      <c r="E103" s="180">
        <v>5</v>
      </c>
      <c r="F103" s="180" t="s">
        <v>305</v>
      </c>
      <c r="G103" s="180" t="s">
        <v>305</v>
      </c>
      <c r="H103" s="180">
        <v>6</v>
      </c>
      <c r="I103" s="180" t="s">
        <v>305</v>
      </c>
      <c r="J103" s="180" t="s">
        <v>305</v>
      </c>
      <c r="K103" s="180">
        <v>37</v>
      </c>
      <c r="L103" s="180" t="s">
        <v>305</v>
      </c>
      <c r="M103" s="180" t="s">
        <v>305</v>
      </c>
      <c r="N103" s="180">
        <v>7</v>
      </c>
      <c r="O103" s="180" t="s">
        <v>305</v>
      </c>
      <c r="P103" s="180" t="s">
        <v>305</v>
      </c>
      <c r="R103" s="165"/>
      <c r="S103" s="165"/>
      <c r="T103" s="165"/>
      <c r="U103" s="165"/>
      <c r="V103" s="165"/>
      <c r="W103" s="165"/>
      <c r="X103" s="165"/>
      <c r="Y103" s="165"/>
      <c r="Z103" s="165"/>
      <c r="AA103" s="165"/>
      <c r="AB103" s="165"/>
      <c r="AC103" s="165"/>
      <c r="AD103" s="165"/>
      <c r="AE103" s="165"/>
      <c r="AF103" s="165"/>
    </row>
    <row r="104" spans="1:32" ht="13.5" customHeight="1" x14ac:dyDescent="0.2">
      <c r="A104" s="170" t="s">
        <v>295</v>
      </c>
      <c r="B104" s="180">
        <v>56</v>
      </c>
      <c r="C104" s="180" t="s">
        <v>305</v>
      </c>
      <c r="D104" s="180" t="s">
        <v>305</v>
      </c>
      <c r="E104" s="180">
        <v>3</v>
      </c>
      <c r="F104" s="180" t="s">
        <v>305</v>
      </c>
      <c r="G104" s="180" t="s">
        <v>305</v>
      </c>
      <c r="H104" s="180">
        <v>6</v>
      </c>
      <c r="I104" s="180" t="s">
        <v>305</v>
      </c>
      <c r="J104" s="180" t="s">
        <v>305</v>
      </c>
      <c r="K104" s="180">
        <v>37</v>
      </c>
      <c r="L104" s="180" t="s">
        <v>305</v>
      </c>
      <c r="M104" s="180" t="s">
        <v>305</v>
      </c>
      <c r="N104" s="180">
        <v>9</v>
      </c>
      <c r="O104" s="180" t="s">
        <v>305</v>
      </c>
      <c r="P104" s="180" t="s">
        <v>305</v>
      </c>
      <c r="R104" s="165"/>
      <c r="S104" s="165"/>
      <c r="T104" s="165"/>
      <c r="U104" s="165"/>
      <c r="V104" s="165"/>
      <c r="W104" s="165"/>
      <c r="X104" s="165"/>
      <c r="Y104" s="165"/>
      <c r="Z104" s="165"/>
      <c r="AA104" s="165"/>
      <c r="AB104" s="165"/>
      <c r="AC104" s="165"/>
      <c r="AD104" s="165"/>
      <c r="AE104" s="165"/>
      <c r="AF104" s="165"/>
    </row>
    <row r="105" spans="1:32" ht="13.5" customHeight="1" x14ac:dyDescent="0.2">
      <c r="A105" s="170" t="s">
        <v>296</v>
      </c>
      <c r="B105" s="180">
        <v>68</v>
      </c>
      <c r="C105" s="180" t="s">
        <v>305</v>
      </c>
      <c r="D105" s="180" t="s">
        <v>305</v>
      </c>
      <c r="E105" s="180">
        <v>4</v>
      </c>
      <c r="F105" s="180" t="s">
        <v>305</v>
      </c>
      <c r="G105" s="180" t="s">
        <v>305</v>
      </c>
      <c r="H105" s="180">
        <v>5</v>
      </c>
      <c r="I105" s="180" t="s">
        <v>305</v>
      </c>
      <c r="J105" s="180" t="s">
        <v>305</v>
      </c>
      <c r="K105" s="180">
        <v>48</v>
      </c>
      <c r="L105" s="180" t="s">
        <v>305</v>
      </c>
      <c r="M105" s="180" t="s">
        <v>305</v>
      </c>
      <c r="N105" s="180">
        <v>11</v>
      </c>
      <c r="O105" s="180" t="s">
        <v>305</v>
      </c>
      <c r="P105" s="180" t="s">
        <v>305</v>
      </c>
      <c r="R105" s="165"/>
      <c r="S105" s="165"/>
      <c r="T105" s="165"/>
      <c r="U105" s="165"/>
      <c r="V105" s="165"/>
      <c r="W105" s="165"/>
      <c r="X105" s="165"/>
      <c r="Y105" s="165"/>
      <c r="Z105" s="165"/>
      <c r="AA105" s="165"/>
      <c r="AB105" s="165"/>
      <c r="AC105" s="165"/>
      <c r="AD105" s="165"/>
      <c r="AE105" s="165"/>
      <c r="AF105" s="165"/>
    </row>
    <row r="106" spans="1:32" ht="13.5" customHeight="1" x14ac:dyDescent="0.2">
      <c r="A106" s="170" t="s">
        <v>297</v>
      </c>
      <c r="B106" s="180">
        <v>52</v>
      </c>
      <c r="C106" s="180" t="s">
        <v>305</v>
      </c>
      <c r="D106" s="180" t="s">
        <v>305</v>
      </c>
      <c r="E106" s="180">
        <v>3</v>
      </c>
      <c r="F106" s="180" t="s">
        <v>305</v>
      </c>
      <c r="G106" s="180" t="s">
        <v>305</v>
      </c>
      <c r="H106" s="180">
        <v>6</v>
      </c>
      <c r="I106" s="180" t="s">
        <v>305</v>
      </c>
      <c r="J106" s="180" t="s">
        <v>305</v>
      </c>
      <c r="K106" s="180">
        <v>39</v>
      </c>
      <c r="L106" s="180" t="s">
        <v>305</v>
      </c>
      <c r="M106" s="180" t="s">
        <v>305</v>
      </c>
      <c r="N106" s="180">
        <v>4</v>
      </c>
      <c r="O106" s="180" t="s">
        <v>305</v>
      </c>
      <c r="P106" s="180" t="s">
        <v>305</v>
      </c>
      <c r="R106" s="165"/>
      <c r="S106" s="165"/>
      <c r="T106" s="165"/>
      <c r="U106" s="165"/>
      <c r="V106" s="165"/>
      <c r="W106" s="165"/>
      <c r="X106" s="165"/>
      <c r="Y106" s="165"/>
      <c r="Z106" s="165"/>
      <c r="AA106" s="165"/>
      <c r="AB106" s="165"/>
      <c r="AC106" s="165"/>
      <c r="AD106" s="165"/>
      <c r="AE106" s="165"/>
      <c r="AF106" s="165"/>
    </row>
    <row r="107" spans="1:32" ht="13.5" customHeight="1" x14ac:dyDescent="0.2">
      <c r="A107" s="170"/>
      <c r="B107" s="180"/>
      <c r="C107" s="180"/>
      <c r="D107" s="180"/>
      <c r="E107" s="180"/>
      <c r="F107" s="180"/>
      <c r="G107" s="180"/>
      <c r="H107" s="180"/>
      <c r="I107" s="180"/>
      <c r="J107" s="180"/>
      <c r="K107" s="180"/>
      <c r="L107" s="180"/>
      <c r="M107" s="180"/>
      <c r="N107" s="180"/>
      <c r="O107" s="180"/>
      <c r="P107" s="180"/>
      <c r="R107" s="165"/>
      <c r="S107" s="165"/>
      <c r="T107" s="165"/>
      <c r="U107" s="165"/>
      <c r="V107" s="165"/>
      <c r="W107" s="165"/>
      <c r="X107" s="165"/>
      <c r="Y107" s="165"/>
      <c r="Z107" s="165"/>
      <c r="AA107" s="165"/>
      <c r="AB107" s="165"/>
      <c r="AC107" s="165"/>
      <c r="AD107" s="165"/>
      <c r="AE107" s="165"/>
      <c r="AF107" s="165"/>
    </row>
    <row r="108" spans="1:32" ht="13.5" customHeight="1" x14ac:dyDescent="0.2">
      <c r="A108" s="170">
        <v>2010</v>
      </c>
      <c r="B108" s="180"/>
      <c r="C108" s="180"/>
      <c r="D108" s="180"/>
      <c r="E108" s="180"/>
      <c r="F108" s="180"/>
      <c r="G108" s="180"/>
      <c r="H108" s="180"/>
      <c r="I108" s="180"/>
      <c r="J108" s="180"/>
      <c r="K108" s="180"/>
      <c r="L108" s="180"/>
      <c r="M108" s="180"/>
      <c r="N108" s="180"/>
      <c r="O108" s="180"/>
      <c r="P108" s="180"/>
      <c r="R108" s="165"/>
      <c r="S108" s="165"/>
      <c r="T108" s="165"/>
      <c r="U108" s="165"/>
      <c r="V108" s="165"/>
      <c r="W108" s="165"/>
      <c r="X108" s="165"/>
      <c r="Y108" s="165"/>
      <c r="Z108" s="165"/>
      <c r="AA108" s="165"/>
      <c r="AB108" s="165"/>
      <c r="AC108" s="165"/>
      <c r="AD108" s="165"/>
      <c r="AE108" s="165"/>
      <c r="AF108" s="165"/>
    </row>
    <row r="109" spans="1:32" ht="13.5" customHeight="1" x14ac:dyDescent="0.2">
      <c r="A109" s="170" t="s">
        <v>289</v>
      </c>
      <c r="B109" s="180">
        <v>46</v>
      </c>
      <c r="C109" s="180" t="s">
        <v>305</v>
      </c>
      <c r="D109" s="180" t="s">
        <v>305</v>
      </c>
      <c r="E109" s="180">
        <v>4</v>
      </c>
      <c r="F109" s="180" t="s">
        <v>305</v>
      </c>
      <c r="G109" s="180" t="s">
        <v>305</v>
      </c>
      <c r="H109" s="180">
        <v>4</v>
      </c>
      <c r="I109" s="180" t="s">
        <v>305</v>
      </c>
      <c r="J109" s="180" t="s">
        <v>305</v>
      </c>
      <c r="K109" s="180">
        <v>30</v>
      </c>
      <c r="L109" s="180" t="s">
        <v>305</v>
      </c>
      <c r="M109" s="180" t="s">
        <v>305</v>
      </c>
      <c r="N109" s="180">
        <v>7</v>
      </c>
      <c r="O109" s="180" t="s">
        <v>305</v>
      </c>
      <c r="P109" s="180" t="s">
        <v>305</v>
      </c>
      <c r="R109" s="165"/>
      <c r="S109" s="165"/>
      <c r="T109" s="165"/>
      <c r="U109" s="165"/>
      <c r="V109" s="165"/>
      <c r="W109" s="165"/>
      <c r="X109" s="165"/>
      <c r="Y109" s="165"/>
      <c r="Z109" s="165"/>
      <c r="AA109" s="165"/>
      <c r="AB109" s="165"/>
      <c r="AC109" s="165"/>
      <c r="AD109" s="165"/>
      <c r="AE109" s="165"/>
      <c r="AF109" s="165"/>
    </row>
    <row r="110" spans="1:32" ht="13.5" customHeight="1" x14ac:dyDescent="0.2">
      <c r="A110" s="170" t="s">
        <v>290</v>
      </c>
      <c r="B110" s="180">
        <v>46</v>
      </c>
      <c r="C110" s="180" t="s">
        <v>305</v>
      </c>
      <c r="D110" s="180" t="s">
        <v>305</v>
      </c>
      <c r="E110" s="180">
        <v>3</v>
      </c>
      <c r="F110" s="180" t="s">
        <v>305</v>
      </c>
      <c r="G110" s="180" t="s">
        <v>305</v>
      </c>
      <c r="H110" s="180">
        <v>6</v>
      </c>
      <c r="I110" s="180" t="s">
        <v>305</v>
      </c>
      <c r="J110" s="180" t="s">
        <v>305</v>
      </c>
      <c r="K110" s="180">
        <v>31</v>
      </c>
      <c r="L110" s="180" t="s">
        <v>305</v>
      </c>
      <c r="M110" s="180" t="s">
        <v>305</v>
      </c>
      <c r="N110" s="180">
        <v>6</v>
      </c>
      <c r="O110" s="180" t="s">
        <v>305</v>
      </c>
      <c r="P110" s="180" t="s">
        <v>305</v>
      </c>
      <c r="R110" s="165"/>
      <c r="S110" s="165"/>
      <c r="T110" s="165"/>
      <c r="U110" s="165"/>
      <c r="V110" s="165"/>
      <c r="W110" s="165"/>
      <c r="X110" s="165"/>
      <c r="Y110" s="165"/>
      <c r="Z110" s="165"/>
      <c r="AA110" s="165"/>
      <c r="AB110" s="165"/>
      <c r="AC110" s="165"/>
      <c r="AD110" s="165"/>
      <c r="AE110" s="165"/>
      <c r="AF110" s="165"/>
    </row>
    <row r="111" spans="1:32" ht="13.5" customHeight="1" x14ac:dyDescent="0.2">
      <c r="A111" s="170" t="s">
        <v>291</v>
      </c>
      <c r="B111" s="180">
        <v>49</v>
      </c>
      <c r="C111" s="180" t="s">
        <v>305</v>
      </c>
      <c r="D111" s="180" t="s">
        <v>305</v>
      </c>
      <c r="E111" s="180">
        <v>2</v>
      </c>
      <c r="F111" s="180" t="s">
        <v>305</v>
      </c>
      <c r="G111" s="180" t="s">
        <v>305</v>
      </c>
      <c r="H111" s="180">
        <v>6</v>
      </c>
      <c r="I111" s="180" t="s">
        <v>305</v>
      </c>
      <c r="J111" s="180" t="s">
        <v>305</v>
      </c>
      <c r="K111" s="180">
        <v>36</v>
      </c>
      <c r="L111" s="180" t="s">
        <v>305</v>
      </c>
      <c r="M111" s="180" t="s">
        <v>305</v>
      </c>
      <c r="N111" s="180">
        <v>5</v>
      </c>
      <c r="O111" s="180" t="s">
        <v>305</v>
      </c>
      <c r="P111" s="180" t="s">
        <v>305</v>
      </c>
      <c r="R111" s="165"/>
      <c r="S111" s="165"/>
      <c r="T111" s="165"/>
      <c r="U111" s="165"/>
      <c r="V111" s="165"/>
      <c r="W111" s="165"/>
      <c r="X111" s="165"/>
      <c r="Y111" s="165"/>
      <c r="Z111" s="165"/>
      <c r="AA111" s="165"/>
      <c r="AB111" s="165"/>
      <c r="AC111" s="165"/>
      <c r="AD111" s="165"/>
      <c r="AE111" s="165"/>
      <c r="AF111" s="165"/>
    </row>
    <row r="112" spans="1:32" ht="13.5" customHeight="1" x14ac:dyDescent="0.2">
      <c r="A112" s="170" t="s">
        <v>292</v>
      </c>
      <c r="B112" s="180">
        <v>59</v>
      </c>
      <c r="C112" s="180" t="s">
        <v>305</v>
      </c>
      <c r="D112" s="180" t="s">
        <v>305</v>
      </c>
      <c r="E112" s="180">
        <v>3</v>
      </c>
      <c r="F112" s="180" t="s">
        <v>305</v>
      </c>
      <c r="G112" s="180" t="s">
        <v>305</v>
      </c>
      <c r="H112" s="180">
        <v>8</v>
      </c>
      <c r="I112" s="180" t="s">
        <v>305</v>
      </c>
      <c r="J112" s="180" t="s">
        <v>305</v>
      </c>
      <c r="K112" s="180">
        <v>40</v>
      </c>
      <c r="L112" s="180" t="s">
        <v>305</v>
      </c>
      <c r="M112" s="180" t="s">
        <v>305</v>
      </c>
      <c r="N112" s="180">
        <v>8</v>
      </c>
      <c r="O112" s="180" t="s">
        <v>305</v>
      </c>
      <c r="P112" s="180" t="s">
        <v>305</v>
      </c>
      <c r="R112" s="165"/>
      <c r="S112" s="165"/>
      <c r="T112" s="165"/>
      <c r="U112" s="165"/>
      <c r="V112" s="165"/>
      <c r="W112" s="165"/>
      <c r="X112" s="165"/>
      <c r="Y112" s="165"/>
      <c r="Z112" s="165"/>
      <c r="AA112" s="165"/>
      <c r="AB112" s="165"/>
      <c r="AC112" s="165"/>
      <c r="AD112" s="165"/>
      <c r="AE112" s="165"/>
      <c r="AF112" s="165"/>
    </row>
    <row r="113" spans="1:43" ht="13.5" customHeight="1" x14ac:dyDescent="0.2">
      <c r="A113" s="170" t="s">
        <v>293</v>
      </c>
      <c r="B113" s="180">
        <v>57</v>
      </c>
      <c r="C113" s="180" t="s">
        <v>305</v>
      </c>
      <c r="D113" s="180" t="s">
        <v>305</v>
      </c>
      <c r="E113" s="180">
        <v>5</v>
      </c>
      <c r="F113" s="180" t="s">
        <v>305</v>
      </c>
      <c r="G113" s="180" t="s">
        <v>305</v>
      </c>
      <c r="H113" s="180">
        <v>6</v>
      </c>
      <c r="I113" s="180" t="s">
        <v>305</v>
      </c>
      <c r="J113" s="180" t="s">
        <v>305</v>
      </c>
      <c r="K113" s="180">
        <v>40</v>
      </c>
      <c r="L113" s="180" t="s">
        <v>305</v>
      </c>
      <c r="M113" s="180" t="s">
        <v>305</v>
      </c>
      <c r="N113" s="180">
        <v>7</v>
      </c>
      <c r="O113" s="180" t="s">
        <v>305</v>
      </c>
      <c r="P113" s="180" t="s">
        <v>305</v>
      </c>
      <c r="R113" s="165"/>
      <c r="S113" s="165"/>
      <c r="T113" s="165"/>
      <c r="U113" s="165"/>
      <c r="V113" s="165"/>
      <c r="W113" s="165"/>
      <c r="X113" s="165"/>
      <c r="Y113" s="165"/>
      <c r="Z113" s="165"/>
      <c r="AA113" s="165"/>
      <c r="AB113" s="165"/>
      <c r="AC113" s="165"/>
      <c r="AD113" s="165"/>
      <c r="AE113" s="165"/>
      <c r="AF113" s="165"/>
    </row>
    <row r="114" spans="1:43" ht="13.5" customHeight="1" x14ac:dyDescent="0.2">
      <c r="A114" s="170" t="s">
        <v>282</v>
      </c>
      <c r="B114" s="180">
        <v>58</v>
      </c>
      <c r="C114" s="180" t="s">
        <v>305</v>
      </c>
      <c r="D114" s="180" t="s">
        <v>305</v>
      </c>
      <c r="E114" s="180">
        <v>5</v>
      </c>
      <c r="F114" s="180" t="s">
        <v>305</v>
      </c>
      <c r="G114" s="180" t="s">
        <v>305</v>
      </c>
      <c r="H114" s="180">
        <v>6</v>
      </c>
      <c r="I114" s="180" t="s">
        <v>305</v>
      </c>
      <c r="J114" s="180" t="s">
        <v>305</v>
      </c>
      <c r="K114" s="180">
        <v>39</v>
      </c>
      <c r="L114" s="180" t="s">
        <v>305</v>
      </c>
      <c r="M114" s="180" t="s">
        <v>305</v>
      </c>
      <c r="N114" s="180">
        <v>8</v>
      </c>
      <c r="O114" s="180" t="s">
        <v>305</v>
      </c>
      <c r="P114" s="180" t="s">
        <v>305</v>
      </c>
      <c r="R114" s="165"/>
      <c r="S114" s="165"/>
      <c r="T114" s="165"/>
      <c r="U114" s="165"/>
      <c r="V114" s="165"/>
      <c r="W114" s="165"/>
      <c r="X114" s="165"/>
      <c r="Y114" s="165"/>
      <c r="Z114" s="165"/>
      <c r="AA114" s="165"/>
      <c r="AB114" s="165"/>
      <c r="AC114" s="165"/>
      <c r="AD114" s="165"/>
      <c r="AE114" s="165"/>
      <c r="AF114" s="165"/>
    </row>
    <row r="115" spans="1:43" ht="13.5" customHeight="1" x14ac:dyDescent="0.2">
      <c r="A115" s="173" t="s">
        <v>283</v>
      </c>
      <c r="B115" s="180">
        <v>52</v>
      </c>
      <c r="C115" s="180" t="s">
        <v>305</v>
      </c>
      <c r="D115" s="180" t="s">
        <v>305</v>
      </c>
      <c r="E115" s="180">
        <v>4</v>
      </c>
      <c r="F115" s="180" t="s">
        <v>305</v>
      </c>
      <c r="G115" s="180" t="s">
        <v>305</v>
      </c>
      <c r="H115" s="180">
        <v>6</v>
      </c>
      <c r="I115" s="180" t="s">
        <v>305</v>
      </c>
      <c r="J115" s="180" t="s">
        <v>305</v>
      </c>
      <c r="K115" s="180">
        <v>37</v>
      </c>
      <c r="L115" s="180" t="s">
        <v>305</v>
      </c>
      <c r="M115" s="180" t="s">
        <v>305</v>
      </c>
      <c r="N115" s="180">
        <v>6</v>
      </c>
      <c r="O115" s="180" t="s">
        <v>305</v>
      </c>
      <c r="P115" s="180" t="s">
        <v>305</v>
      </c>
      <c r="R115" s="165"/>
      <c r="S115" s="165"/>
      <c r="T115" s="165"/>
      <c r="U115" s="165"/>
      <c r="V115" s="165"/>
      <c r="W115" s="165"/>
      <c r="X115" s="165"/>
      <c r="Y115" s="165"/>
      <c r="Z115" s="165"/>
      <c r="AA115" s="165"/>
      <c r="AB115" s="165"/>
      <c r="AC115" s="165"/>
      <c r="AD115" s="165"/>
      <c r="AE115" s="165"/>
      <c r="AF115" s="165"/>
    </row>
    <row r="116" spans="1:43" ht="13.5" customHeight="1" x14ac:dyDescent="0.2">
      <c r="A116" s="173" t="s">
        <v>284</v>
      </c>
      <c r="B116" s="180">
        <v>51</v>
      </c>
      <c r="C116" s="180" t="s">
        <v>305</v>
      </c>
      <c r="D116" s="180" t="s">
        <v>305</v>
      </c>
      <c r="E116" s="180">
        <v>4</v>
      </c>
      <c r="F116" s="180" t="s">
        <v>305</v>
      </c>
      <c r="G116" s="180" t="s">
        <v>305</v>
      </c>
      <c r="H116" s="180">
        <v>7</v>
      </c>
      <c r="I116" s="180" t="s">
        <v>305</v>
      </c>
      <c r="J116" s="180" t="s">
        <v>305</v>
      </c>
      <c r="K116" s="180">
        <v>34</v>
      </c>
      <c r="L116" s="180" t="s">
        <v>305</v>
      </c>
      <c r="M116" s="180" t="s">
        <v>305</v>
      </c>
      <c r="N116" s="180">
        <v>6</v>
      </c>
      <c r="O116" s="180" t="s">
        <v>305</v>
      </c>
      <c r="P116" s="180" t="s">
        <v>305</v>
      </c>
      <c r="R116" s="165"/>
      <c r="S116" s="165"/>
      <c r="T116" s="165"/>
      <c r="U116" s="165"/>
      <c r="V116" s="165"/>
      <c r="W116" s="165"/>
      <c r="X116" s="165"/>
      <c r="Y116" s="165"/>
      <c r="Z116" s="165"/>
      <c r="AA116" s="165"/>
      <c r="AB116" s="165"/>
      <c r="AC116" s="165"/>
      <c r="AD116" s="165"/>
      <c r="AE116" s="165"/>
      <c r="AF116" s="165"/>
    </row>
    <row r="117" spans="1:43" ht="13.5" customHeight="1" x14ac:dyDescent="0.2">
      <c r="A117" s="173" t="s">
        <v>294</v>
      </c>
      <c r="B117" s="180">
        <v>43</v>
      </c>
      <c r="C117" s="180" t="s">
        <v>305</v>
      </c>
      <c r="D117" s="180" t="s">
        <v>305</v>
      </c>
      <c r="E117" s="180">
        <v>4</v>
      </c>
      <c r="F117" s="180" t="s">
        <v>305</v>
      </c>
      <c r="G117" s="180" t="s">
        <v>305</v>
      </c>
      <c r="H117" s="180">
        <v>4</v>
      </c>
      <c r="I117" s="180" t="s">
        <v>305</v>
      </c>
      <c r="J117" s="180" t="s">
        <v>305</v>
      </c>
      <c r="K117" s="180">
        <v>30</v>
      </c>
      <c r="L117" s="180" t="s">
        <v>305</v>
      </c>
      <c r="M117" s="180" t="s">
        <v>305</v>
      </c>
      <c r="N117" s="180">
        <v>6</v>
      </c>
      <c r="O117" s="180" t="s">
        <v>305</v>
      </c>
      <c r="P117" s="180" t="s">
        <v>305</v>
      </c>
      <c r="R117" s="165"/>
      <c r="S117" s="165"/>
      <c r="T117" s="165"/>
      <c r="U117" s="165"/>
      <c r="V117" s="165"/>
      <c r="W117" s="165"/>
      <c r="X117" s="165"/>
      <c r="Y117" s="165"/>
      <c r="Z117" s="165"/>
      <c r="AA117" s="165"/>
      <c r="AB117" s="165"/>
      <c r="AC117" s="165"/>
      <c r="AD117" s="165"/>
      <c r="AE117" s="165"/>
      <c r="AF117" s="165"/>
    </row>
    <row r="118" spans="1:43" ht="13.5" customHeight="1" x14ac:dyDescent="0.2">
      <c r="A118" s="170" t="s">
        <v>295</v>
      </c>
      <c r="B118" s="180">
        <v>46</v>
      </c>
      <c r="C118" s="180" t="s">
        <v>305</v>
      </c>
      <c r="D118" s="180" t="s">
        <v>305</v>
      </c>
      <c r="E118" s="180">
        <v>3</v>
      </c>
      <c r="F118" s="180" t="s">
        <v>305</v>
      </c>
      <c r="G118" s="180" t="s">
        <v>305</v>
      </c>
      <c r="H118" s="180">
        <v>5</v>
      </c>
      <c r="I118" s="180" t="s">
        <v>305</v>
      </c>
      <c r="J118" s="180" t="s">
        <v>305</v>
      </c>
      <c r="K118" s="180">
        <v>31</v>
      </c>
      <c r="L118" s="180" t="s">
        <v>305</v>
      </c>
      <c r="M118" s="180" t="s">
        <v>305</v>
      </c>
      <c r="N118" s="180">
        <v>6</v>
      </c>
      <c r="O118" s="180" t="s">
        <v>305</v>
      </c>
      <c r="P118" s="180" t="s">
        <v>305</v>
      </c>
      <c r="R118" s="165"/>
      <c r="S118" s="165"/>
      <c r="T118" s="165"/>
      <c r="U118" s="165"/>
      <c r="V118" s="165"/>
      <c r="W118" s="165"/>
      <c r="X118" s="165"/>
      <c r="Y118" s="165"/>
      <c r="Z118" s="165"/>
      <c r="AA118" s="165"/>
      <c r="AB118" s="165"/>
      <c r="AC118" s="165"/>
      <c r="AD118" s="165"/>
      <c r="AE118" s="165"/>
      <c r="AF118" s="165"/>
    </row>
    <row r="119" spans="1:43" ht="13.5" customHeight="1" x14ac:dyDescent="0.2">
      <c r="A119" s="170" t="s">
        <v>296</v>
      </c>
      <c r="B119" s="180">
        <v>43</v>
      </c>
      <c r="C119" s="180" t="s">
        <v>305</v>
      </c>
      <c r="D119" s="180" t="s">
        <v>305</v>
      </c>
      <c r="E119" s="180">
        <v>4</v>
      </c>
      <c r="F119" s="180" t="s">
        <v>305</v>
      </c>
      <c r="G119" s="180" t="s">
        <v>305</v>
      </c>
      <c r="H119" s="180">
        <v>5</v>
      </c>
      <c r="I119" s="180" t="s">
        <v>305</v>
      </c>
      <c r="J119" s="180" t="s">
        <v>305</v>
      </c>
      <c r="K119" s="180">
        <v>28</v>
      </c>
      <c r="L119" s="180" t="s">
        <v>305</v>
      </c>
      <c r="M119" s="180" t="s">
        <v>305</v>
      </c>
      <c r="N119" s="180">
        <v>5</v>
      </c>
      <c r="O119" s="180" t="s">
        <v>305</v>
      </c>
      <c r="P119" s="180" t="s">
        <v>305</v>
      </c>
      <c r="R119" s="165"/>
      <c r="S119" s="165"/>
      <c r="T119" s="165"/>
      <c r="U119" s="165"/>
      <c r="V119" s="165"/>
      <c r="W119" s="165"/>
      <c r="X119" s="165"/>
      <c r="Y119" s="165"/>
      <c r="Z119" s="165"/>
      <c r="AA119" s="165"/>
      <c r="AB119" s="165"/>
      <c r="AC119" s="165"/>
      <c r="AD119" s="165"/>
      <c r="AE119" s="165"/>
      <c r="AF119" s="165"/>
    </row>
    <row r="120" spans="1:43" ht="13.5" customHeight="1" x14ac:dyDescent="0.2">
      <c r="A120" s="170" t="s">
        <v>297</v>
      </c>
      <c r="B120" s="180">
        <v>45</v>
      </c>
      <c r="C120" s="180" t="s">
        <v>305</v>
      </c>
      <c r="D120" s="180" t="s">
        <v>305</v>
      </c>
      <c r="E120" s="180">
        <v>4</v>
      </c>
      <c r="F120" s="180" t="s">
        <v>305</v>
      </c>
      <c r="G120" s="180" t="s">
        <v>305</v>
      </c>
      <c r="H120" s="180">
        <v>7</v>
      </c>
      <c r="I120" s="180" t="s">
        <v>305</v>
      </c>
      <c r="J120" s="180" t="s">
        <v>305</v>
      </c>
      <c r="K120" s="180">
        <v>28</v>
      </c>
      <c r="L120" s="180" t="s">
        <v>305</v>
      </c>
      <c r="M120" s="180" t="s">
        <v>305</v>
      </c>
      <c r="N120" s="180">
        <v>6</v>
      </c>
      <c r="O120" s="180" t="s">
        <v>305</v>
      </c>
      <c r="P120" s="180" t="s">
        <v>305</v>
      </c>
      <c r="R120" s="165"/>
      <c r="S120" s="165"/>
      <c r="T120" s="165"/>
      <c r="U120" s="165"/>
      <c r="V120" s="165"/>
      <c r="W120" s="165"/>
      <c r="X120" s="165"/>
      <c r="Y120" s="165"/>
      <c r="Z120" s="165"/>
      <c r="AA120" s="165"/>
      <c r="AB120" s="165"/>
      <c r="AC120" s="165"/>
      <c r="AD120" s="165"/>
      <c r="AE120" s="165"/>
      <c r="AF120" s="165"/>
    </row>
    <row r="121" spans="1:43" ht="13.5" customHeight="1" x14ac:dyDescent="0.2">
      <c r="A121" s="170"/>
      <c r="B121" s="180"/>
      <c r="C121" s="180"/>
      <c r="D121" s="180"/>
      <c r="E121" s="180"/>
      <c r="F121" s="180"/>
      <c r="G121" s="180"/>
      <c r="H121" s="180"/>
      <c r="I121" s="180"/>
      <c r="J121" s="180"/>
      <c r="K121" s="180"/>
      <c r="L121" s="180"/>
      <c r="M121" s="180"/>
      <c r="N121" s="180"/>
      <c r="O121" s="180"/>
      <c r="P121" s="180"/>
      <c r="R121" s="165"/>
      <c r="S121" s="165"/>
      <c r="T121" s="165"/>
      <c r="U121" s="165"/>
      <c r="V121" s="165"/>
      <c r="W121" s="165"/>
      <c r="X121" s="165"/>
      <c r="Y121" s="165"/>
      <c r="Z121" s="165"/>
      <c r="AA121" s="165"/>
      <c r="AB121" s="165"/>
      <c r="AC121" s="165"/>
      <c r="AD121" s="165"/>
      <c r="AE121" s="165"/>
      <c r="AF121" s="165"/>
    </row>
    <row r="122" spans="1:43" ht="13.5" customHeight="1" x14ac:dyDescent="0.3">
      <c r="A122" s="170">
        <v>2011</v>
      </c>
      <c r="B122" s="163"/>
      <c r="C122" s="163"/>
      <c r="D122" s="163"/>
      <c r="E122" s="163"/>
      <c r="F122" s="163"/>
      <c r="G122" s="163"/>
      <c r="H122" s="163"/>
      <c r="I122" s="163"/>
      <c r="J122" s="163"/>
      <c r="K122" s="163"/>
      <c r="L122" s="163"/>
      <c r="M122" s="163"/>
      <c r="N122" s="163"/>
      <c r="O122" s="163"/>
      <c r="P122" s="163"/>
      <c r="Q122" s="172"/>
      <c r="R122" s="165"/>
      <c r="S122" s="165"/>
      <c r="T122" s="165"/>
      <c r="U122" s="165"/>
      <c r="V122" s="165"/>
      <c r="W122" s="165"/>
      <c r="X122" s="165"/>
      <c r="Y122" s="165"/>
      <c r="Z122" s="165"/>
      <c r="AA122" s="165"/>
      <c r="AB122" s="165"/>
      <c r="AC122" s="165"/>
      <c r="AD122" s="165"/>
      <c r="AE122" s="165"/>
      <c r="AF122" s="165"/>
      <c r="AG122" s="160"/>
      <c r="AH122" s="160"/>
      <c r="AI122" s="160"/>
      <c r="AJ122" s="160"/>
      <c r="AK122" s="160"/>
      <c r="AL122" s="160"/>
      <c r="AM122" s="160"/>
      <c r="AN122" s="160"/>
      <c r="AO122" s="160"/>
      <c r="AP122" s="160"/>
      <c r="AQ122" s="160"/>
    </row>
    <row r="123" spans="1:43" ht="13.5" customHeight="1" x14ac:dyDescent="0.3">
      <c r="A123" s="170" t="s">
        <v>298</v>
      </c>
      <c r="B123" s="179">
        <v>37</v>
      </c>
      <c r="C123" s="179" t="s">
        <v>305</v>
      </c>
      <c r="D123" s="179" t="s">
        <v>305</v>
      </c>
      <c r="E123" s="179">
        <v>2</v>
      </c>
      <c r="F123" s="179" t="s">
        <v>305</v>
      </c>
      <c r="G123" s="179" t="s">
        <v>305</v>
      </c>
      <c r="H123" s="179">
        <v>4</v>
      </c>
      <c r="I123" s="179" t="s">
        <v>305</v>
      </c>
      <c r="J123" s="179" t="s">
        <v>305</v>
      </c>
      <c r="K123" s="179">
        <v>24</v>
      </c>
      <c r="L123" s="179" t="s">
        <v>305</v>
      </c>
      <c r="M123" s="179" t="s">
        <v>305</v>
      </c>
      <c r="N123" s="179">
        <v>6</v>
      </c>
      <c r="O123" s="179" t="s">
        <v>305</v>
      </c>
      <c r="P123" s="179" t="s">
        <v>305</v>
      </c>
      <c r="Q123" s="172"/>
      <c r="R123" s="165"/>
      <c r="S123" s="165"/>
      <c r="T123" s="165"/>
      <c r="U123" s="165"/>
      <c r="V123" s="165"/>
      <c r="W123" s="165"/>
      <c r="X123" s="165"/>
      <c r="Y123" s="165"/>
      <c r="Z123" s="165"/>
      <c r="AA123" s="165"/>
      <c r="AB123" s="165"/>
      <c r="AC123" s="165"/>
      <c r="AD123" s="165"/>
      <c r="AE123" s="165"/>
      <c r="AF123" s="165"/>
      <c r="AG123" s="160"/>
      <c r="AH123" s="160"/>
      <c r="AI123" s="160"/>
      <c r="AJ123" s="160"/>
      <c r="AK123" s="160"/>
      <c r="AL123" s="160"/>
      <c r="AM123" s="160"/>
      <c r="AN123" s="160"/>
      <c r="AO123" s="160"/>
      <c r="AP123" s="160"/>
      <c r="AQ123" s="160"/>
    </row>
    <row r="124" spans="1:43" ht="13.5" customHeight="1" x14ac:dyDescent="0.3">
      <c r="A124" s="170" t="s">
        <v>278</v>
      </c>
      <c r="B124" s="179">
        <v>47</v>
      </c>
      <c r="C124" s="179" t="s">
        <v>305</v>
      </c>
      <c r="D124" s="179" t="s">
        <v>305</v>
      </c>
      <c r="E124" s="179">
        <v>3</v>
      </c>
      <c r="F124" s="179" t="s">
        <v>305</v>
      </c>
      <c r="G124" s="179" t="s">
        <v>305</v>
      </c>
      <c r="H124" s="179">
        <v>6</v>
      </c>
      <c r="I124" s="179" t="s">
        <v>305</v>
      </c>
      <c r="J124" s="179" t="s">
        <v>305</v>
      </c>
      <c r="K124" s="179">
        <v>30</v>
      </c>
      <c r="L124" s="179" t="s">
        <v>305</v>
      </c>
      <c r="M124" s="179" t="s">
        <v>305</v>
      </c>
      <c r="N124" s="179">
        <v>7</v>
      </c>
      <c r="O124" s="179" t="s">
        <v>305</v>
      </c>
      <c r="P124" s="179" t="s">
        <v>305</v>
      </c>
      <c r="Q124" s="172"/>
      <c r="R124" s="165"/>
      <c r="S124" s="165"/>
      <c r="T124" s="165"/>
      <c r="U124" s="165"/>
      <c r="V124" s="165"/>
      <c r="W124" s="165"/>
      <c r="X124" s="165"/>
      <c r="Y124" s="165"/>
      <c r="Z124" s="165"/>
      <c r="AA124" s="165"/>
      <c r="AB124" s="165"/>
      <c r="AC124" s="165"/>
      <c r="AD124" s="165"/>
      <c r="AE124" s="165"/>
      <c r="AF124" s="165"/>
      <c r="AG124" s="160"/>
      <c r="AH124" s="160"/>
      <c r="AI124" s="160"/>
      <c r="AJ124" s="160"/>
      <c r="AK124" s="160"/>
      <c r="AL124" s="160"/>
      <c r="AM124" s="160"/>
      <c r="AN124" s="160"/>
      <c r="AO124" s="160"/>
      <c r="AP124" s="160"/>
      <c r="AQ124" s="160"/>
    </row>
    <row r="125" spans="1:43" ht="13.5" customHeight="1" x14ac:dyDescent="0.3">
      <c r="A125" s="170" t="s">
        <v>299</v>
      </c>
      <c r="B125" s="180">
        <v>44</v>
      </c>
      <c r="C125" s="163" t="s">
        <v>305</v>
      </c>
      <c r="D125" s="163" t="s">
        <v>305</v>
      </c>
      <c r="E125" s="179">
        <v>4</v>
      </c>
      <c r="F125" s="163" t="s">
        <v>305</v>
      </c>
      <c r="G125" s="163" t="s">
        <v>305</v>
      </c>
      <c r="H125" s="179">
        <v>5</v>
      </c>
      <c r="I125" s="163" t="s">
        <v>305</v>
      </c>
      <c r="J125" s="163" t="s">
        <v>305</v>
      </c>
      <c r="K125" s="179">
        <v>29</v>
      </c>
      <c r="L125" s="163" t="s">
        <v>305</v>
      </c>
      <c r="M125" s="163" t="s">
        <v>305</v>
      </c>
      <c r="N125" s="180">
        <v>7</v>
      </c>
      <c r="O125" s="163" t="s">
        <v>305</v>
      </c>
      <c r="P125" s="163" t="s">
        <v>305</v>
      </c>
      <c r="Q125" s="172"/>
      <c r="R125" s="165"/>
      <c r="S125" s="165"/>
      <c r="T125" s="165"/>
      <c r="U125" s="165"/>
      <c r="V125" s="165"/>
      <c r="W125" s="165"/>
      <c r="X125" s="165"/>
      <c r="Y125" s="165"/>
      <c r="Z125" s="165"/>
      <c r="AA125" s="165"/>
      <c r="AB125" s="165"/>
      <c r="AC125" s="165"/>
      <c r="AD125" s="165"/>
      <c r="AE125" s="165"/>
      <c r="AF125" s="165"/>
      <c r="AG125" s="160"/>
      <c r="AH125" s="160"/>
      <c r="AI125" s="160"/>
      <c r="AJ125" s="160"/>
      <c r="AK125" s="160"/>
      <c r="AL125" s="160"/>
      <c r="AM125" s="160"/>
      <c r="AN125" s="160"/>
      <c r="AO125" s="160"/>
      <c r="AP125" s="160"/>
      <c r="AQ125" s="160"/>
    </row>
    <row r="126" spans="1:43" ht="13.5" customHeight="1" x14ac:dyDescent="0.3">
      <c r="A126" s="170" t="s">
        <v>292</v>
      </c>
      <c r="B126" s="180">
        <v>44</v>
      </c>
      <c r="C126" s="163" t="s">
        <v>305</v>
      </c>
      <c r="D126" s="163" t="s">
        <v>305</v>
      </c>
      <c r="E126" s="179">
        <v>3</v>
      </c>
      <c r="F126" s="163" t="s">
        <v>305</v>
      </c>
      <c r="G126" s="163" t="s">
        <v>305</v>
      </c>
      <c r="H126" s="179">
        <v>4</v>
      </c>
      <c r="I126" s="163" t="s">
        <v>305</v>
      </c>
      <c r="J126" s="163" t="s">
        <v>305</v>
      </c>
      <c r="K126" s="179">
        <v>30</v>
      </c>
      <c r="L126" s="163" t="s">
        <v>305</v>
      </c>
      <c r="M126" s="163" t="s">
        <v>305</v>
      </c>
      <c r="N126" s="180">
        <v>7</v>
      </c>
      <c r="O126" s="163" t="s">
        <v>305</v>
      </c>
      <c r="P126" s="163" t="s">
        <v>305</v>
      </c>
      <c r="Q126" s="172"/>
      <c r="R126" s="165"/>
      <c r="S126" s="165"/>
      <c r="T126" s="165"/>
      <c r="U126" s="165"/>
      <c r="V126" s="165"/>
      <c r="W126" s="165"/>
      <c r="X126" s="165"/>
      <c r="Y126" s="165"/>
      <c r="Z126" s="165"/>
      <c r="AA126" s="165"/>
      <c r="AB126" s="165"/>
      <c r="AC126" s="165"/>
      <c r="AD126" s="165"/>
      <c r="AE126" s="165"/>
      <c r="AF126" s="165"/>
      <c r="AG126" s="160"/>
      <c r="AH126" s="160"/>
      <c r="AI126" s="160"/>
      <c r="AJ126" s="160"/>
      <c r="AK126" s="160"/>
      <c r="AL126" s="160"/>
      <c r="AM126" s="160"/>
      <c r="AN126" s="160"/>
      <c r="AO126" s="160"/>
      <c r="AP126" s="160"/>
      <c r="AQ126" s="160"/>
    </row>
    <row r="127" spans="1:43" ht="13.5" customHeight="1" x14ac:dyDescent="0.3">
      <c r="A127" s="174" t="s">
        <v>300</v>
      </c>
      <c r="B127" s="179">
        <v>41</v>
      </c>
      <c r="C127" s="179" t="s">
        <v>305</v>
      </c>
      <c r="D127" s="179" t="s">
        <v>305</v>
      </c>
      <c r="E127" s="179">
        <v>3</v>
      </c>
      <c r="F127" s="179" t="s">
        <v>305</v>
      </c>
      <c r="G127" s="179" t="s">
        <v>305</v>
      </c>
      <c r="H127" s="179">
        <v>6</v>
      </c>
      <c r="I127" s="179" t="s">
        <v>305</v>
      </c>
      <c r="J127" s="179" t="s">
        <v>305</v>
      </c>
      <c r="K127" s="179">
        <v>26</v>
      </c>
      <c r="L127" s="179" t="s">
        <v>305</v>
      </c>
      <c r="M127" s="179" t="s">
        <v>305</v>
      </c>
      <c r="N127" s="179">
        <v>6</v>
      </c>
      <c r="O127" s="179" t="s">
        <v>305</v>
      </c>
      <c r="P127" s="179" t="s">
        <v>305</v>
      </c>
      <c r="Q127" s="172"/>
      <c r="R127" s="165"/>
      <c r="S127" s="165"/>
      <c r="T127" s="165"/>
      <c r="U127" s="165"/>
      <c r="V127" s="165"/>
      <c r="W127" s="165"/>
      <c r="X127" s="165"/>
      <c r="Y127" s="165"/>
      <c r="Z127" s="165"/>
      <c r="AA127" s="165"/>
      <c r="AB127" s="165"/>
      <c r="AC127" s="165"/>
      <c r="AD127" s="165"/>
      <c r="AE127" s="165"/>
      <c r="AF127" s="165"/>
      <c r="AG127" s="160"/>
      <c r="AH127" s="160"/>
      <c r="AI127" s="160"/>
      <c r="AJ127" s="160"/>
      <c r="AK127" s="160"/>
      <c r="AL127" s="160"/>
      <c r="AM127" s="160"/>
      <c r="AN127" s="160"/>
      <c r="AO127" s="160"/>
      <c r="AP127" s="160"/>
      <c r="AQ127" s="160"/>
    </row>
    <row r="128" spans="1:43" ht="13.5" customHeight="1" x14ac:dyDescent="0.3">
      <c r="A128" s="174" t="s">
        <v>301</v>
      </c>
      <c r="B128" s="179">
        <v>50</v>
      </c>
      <c r="C128" s="163" t="s">
        <v>305</v>
      </c>
      <c r="D128" s="163" t="s">
        <v>305</v>
      </c>
      <c r="E128" s="179">
        <v>4</v>
      </c>
      <c r="F128" s="163" t="s">
        <v>305</v>
      </c>
      <c r="G128" s="163" t="s">
        <v>305</v>
      </c>
      <c r="H128" s="179">
        <v>6</v>
      </c>
      <c r="I128" s="163" t="s">
        <v>305</v>
      </c>
      <c r="J128" s="163" t="s">
        <v>305</v>
      </c>
      <c r="K128" s="179">
        <v>35</v>
      </c>
      <c r="L128" s="163" t="s">
        <v>305</v>
      </c>
      <c r="M128" s="163" t="s">
        <v>305</v>
      </c>
      <c r="N128" s="179">
        <v>5</v>
      </c>
      <c r="O128" s="163" t="s">
        <v>305</v>
      </c>
      <c r="P128" s="163" t="s">
        <v>305</v>
      </c>
      <c r="Q128" s="172"/>
      <c r="R128" s="165"/>
      <c r="S128" s="165"/>
      <c r="T128" s="165"/>
      <c r="U128" s="165"/>
      <c r="V128" s="165"/>
      <c r="W128" s="165"/>
      <c r="X128" s="165"/>
      <c r="Y128" s="165"/>
      <c r="Z128" s="165"/>
      <c r="AA128" s="165"/>
      <c r="AB128" s="165"/>
      <c r="AC128" s="165"/>
      <c r="AD128" s="165"/>
      <c r="AE128" s="165"/>
      <c r="AF128" s="165"/>
      <c r="AG128" s="160"/>
      <c r="AH128" s="160"/>
      <c r="AI128" s="160"/>
      <c r="AJ128" s="160"/>
      <c r="AK128" s="160"/>
      <c r="AL128" s="160"/>
      <c r="AM128" s="160"/>
      <c r="AN128" s="160"/>
      <c r="AO128" s="160"/>
      <c r="AP128" s="160"/>
      <c r="AQ128" s="160"/>
    </row>
    <row r="129" spans="1:43" ht="13.5" customHeight="1" x14ac:dyDescent="0.3">
      <c r="A129" s="174" t="s">
        <v>302</v>
      </c>
      <c r="B129" s="179">
        <v>43</v>
      </c>
      <c r="C129" s="163" t="s">
        <v>305</v>
      </c>
      <c r="D129" s="163" t="s">
        <v>305</v>
      </c>
      <c r="E129" s="179">
        <v>2</v>
      </c>
      <c r="F129" s="163" t="s">
        <v>305</v>
      </c>
      <c r="G129" s="163" t="s">
        <v>305</v>
      </c>
      <c r="H129" s="179">
        <v>6</v>
      </c>
      <c r="I129" s="163" t="s">
        <v>305</v>
      </c>
      <c r="J129" s="163" t="s">
        <v>305</v>
      </c>
      <c r="K129" s="179">
        <v>29</v>
      </c>
      <c r="L129" s="163" t="s">
        <v>305</v>
      </c>
      <c r="M129" s="163" t="s">
        <v>305</v>
      </c>
      <c r="N129" s="179">
        <v>6</v>
      </c>
      <c r="O129" s="163" t="s">
        <v>305</v>
      </c>
      <c r="P129" s="163" t="s">
        <v>305</v>
      </c>
      <c r="Q129" s="172"/>
      <c r="R129" s="165"/>
      <c r="S129" s="165"/>
      <c r="T129" s="165"/>
      <c r="U129" s="165"/>
      <c r="V129" s="165"/>
      <c r="W129" s="165"/>
      <c r="X129" s="165"/>
      <c r="Y129" s="165"/>
      <c r="Z129" s="165"/>
      <c r="AA129" s="165"/>
      <c r="AB129" s="165"/>
      <c r="AC129" s="165"/>
      <c r="AD129" s="165"/>
      <c r="AE129" s="165"/>
      <c r="AF129" s="165"/>
      <c r="AG129" s="160"/>
      <c r="AH129" s="160"/>
      <c r="AI129" s="160"/>
      <c r="AJ129" s="160"/>
      <c r="AK129" s="160"/>
      <c r="AL129" s="160"/>
      <c r="AM129" s="160"/>
      <c r="AN129" s="160"/>
      <c r="AO129" s="160"/>
      <c r="AP129" s="160"/>
      <c r="AQ129" s="160"/>
    </row>
    <row r="130" spans="1:43" ht="13.5" customHeight="1" x14ac:dyDescent="0.3">
      <c r="A130" s="174" t="s">
        <v>303</v>
      </c>
      <c r="B130" s="179">
        <v>44</v>
      </c>
      <c r="C130" s="163" t="s">
        <v>305</v>
      </c>
      <c r="D130" s="163" t="s">
        <v>305</v>
      </c>
      <c r="E130" s="179">
        <v>3</v>
      </c>
      <c r="F130" s="163" t="s">
        <v>305</v>
      </c>
      <c r="G130" s="163" t="s">
        <v>305</v>
      </c>
      <c r="H130" s="179">
        <v>6</v>
      </c>
      <c r="I130" s="163" t="s">
        <v>305</v>
      </c>
      <c r="J130" s="163" t="s">
        <v>305</v>
      </c>
      <c r="K130" s="180">
        <v>31</v>
      </c>
      <c r="L130" s="163" t="s">
        <v>305</v>
      </c>
      <c r="M130" s="163" t="s">
        <v>305</v>
      </c>
      <c r="N130" s="180">
        <v>5</v>
      </c>
      <c r="O130" s="163" t="s">
        <v>305</v>
      </c>
      <c r="P130" s="163" t="s">
        <v>305</v>
      </c>
      <c r="Q130" s="172"/>
      <c r="R130" s="165"/>
      <c r="S130" s="165"/>
      <c r="T130" s="165"/>
      <c r="U130" s="165"/>
      <c r="V130" s="165"/>
      <c r="W130" s="165"/>
      <c r="X130" s="165"/>
      <c r="Y130" s="165"/>
      <c r="Z130" s="165"/>
      <c r="AA130" s="165"/>
      <c r="AB130" s="165"/>
      <c r="AC130" s="165"/>
      <c r="AD130" s="165"/>
      <c r="AE130" s="165"/>
      <c r="AF130" s="165"/>
      <c r="AG130" s="160"/>
      <c r="AH130" s="160"/>
      <c r="AI130" s="160"/>
      <c r="AJ130" s="160"/>
      <c r="AK130" s="160"/>
      <c r="AL130" s="160"/>
      <c r="AM130" s="160"/>
      <c r="AN130" s="160"/>
      <c r="AO130" s="160"/>
      <c r="AP130" s="160"/>
      <c r="AQ130" s="160"/>
    </row>
    <row r="131" spans="1:43" ht="13.5" customHeight="1" x14ac:dyDescent="0.3">
      <c r="A131" s="173" t="s">
        <v>294</v>
      </c>
      <c r="B131" s="163"/>
      <c r="C131" s="163"/>
      <c r="D131" s="163"/>
      <c r="E131" s="163"/>
      <c r="F131" s="163"/>
      <c r="G131" s="163"/>
      <c r="H131" s="163"/>
      <c r="I131" s="163"/>
      <c r="J131" s="163"/>
      <c r="K131" s="163"/>
      <c r="L131" s="163"/>
      <c r="M131" s="163"/>
      <c r="N131" s="163"/>
      <c r="O131" s="163"/>
      <c r="P131" s="163"/>
      <c r="Q131" s="172"/>
      <c r="R131" s="165"/>
      <c r="S131" s="165"/>
      <c r="T131" s="165"/>
      <c r="U131" s="165"/>
      <c r="V131" s="165"/>
      <c r="W131" s="165"/>
      <c r="X131" s="165"/>
      <c r="Y131" s="165"/>
      <c r="Z131" s="165"/>
      <c r="AA131" s="165"/>
      <c r="AB131" s="165"/>
      <c r="AC131" s="165"/>
      <c r="AD131" s="165"/>
      <c r="AE131" s="165"/>
      <c r="AF131" s="165"/>
      <c r="AG131" s="160"/>
      <c r="AH131" s="160"/>
      <c r="AI131" s="160"/>
      <c r="AJ131" s="160"/>
      <c r="AK131" s="160"/>
      <c r="AL131" s="160"/>
      <c r="AM131" s="160"/>
      <c r="AN131" s="160"/>
      <c r="AO131" s="160"/>
      <c r="AP131" s="160"/>
      <c r="AQ131" s="160"/>
    </row>
    <row r="132" spans="1:43" ht="13.5" customHeight="1" x14ac:dyDescent="0.3">
      <c r="A132" s="170" t="s">
        <v>295</v>
      </c>
      <c r="B132" s="163"/>
      <c r="C132" s="163"/>
      <c r="D132" s="163"/>
      <c r="E132" s="163"/>
      <c r="F132" s="163"/>
      <c r="G132" s="163"/>
      <c r="H132" s="163"/>
      <c r="I132" s="163"/>
      <c r="J132" s="163"/>
      <c r="K132" s="163"/>
      <c r="L132" s="163"/>
      <c r="M132" s="163"/>
      <c r="N132" s="163"/>
      <c r="O132" s="163"/>
      <c r="P132" s="163"/>
      <c r="Q132" s="172"/>
      <c r="R132" s="165"/>
      <c r="S132" s="165"/>
      <c r="T132" s="165"/>
      <c r="U132" s="165"/>
      <c r="V132" s="165"/>
      <c r="W132" s="165"/>
      <c r="X132" s="165"/>
      <c r="Y132" s="165"/>
      <c r="Z132" s="165"/>
      <c r="AA132" s="165"/>
      <c r="AB132" s="165"/>
      <c r="AC132" s="165"/>
      <c r="AD132" s="165"/>
      <c r="AE132" s="165"/>
      <c r="AF132" s="165"/>
      <c r="AG132" s="160"/>
      <c r="AH132" s="160"/>
      <c r="AI132" s="160"/>
      <c r="AJ132" s="160"/>
      <c r="AK132" s="160"/>
      <c r="AL132" s="160"/>
      <c r="AM132" s="160"/>
      <c r="AN132" s="160"/>
      <c r="AO132" s="160"/>
      <c r="AP132" s="160"/>
      <c r="AQ132" s="160"/>
    </row>
    <row r="133" spans="1:43" ht="13.5" customHeight="1" x14ac:dyDescent="0.3">
      <c r="A133" s="170" t="s">
        <v>296</v>
      </c>
      <c r="B133" s="163"/>
      <c r="C133" s="163"/>
      <c r="D133" s="163"/>
      <c r="E133" s="163"/>
      <c r="F133" s="163"/>
      <c r="G133" s="163"/>
      <c r="H133" s="163"/>
      <c r="I133" s="163"/>
      <c r="J133" s="163"/>
      <c r="K133" s="163"/>
      <c r="L133" s="163"/>
      <c r="M133" s="163"/>
      <c r="N133" s="163"/>
      <c r="O133" s="163"/>
      <c r="P133" s="163"/>
      <c r="Q133" s="172"/>
      <c r="R133" s="165"/>
      <c r="S133" s="165"/>
      <c r="T133" s="165"/>
      <c r="U133" s="165"/>
      <c r="V133" s="165"/>
      <c r="W133" s="165"/>
      <c r="X133" s="165"/>
      <c r="Y133" s="165"/>
      <c r="Z133" s="165"/>
      <c r="AA133" s="165"/>
      <c r="AB133" s="165"/>
      <c r="AC133" s="165"/>
      <c r="AD133" s="165"/>
      <c r="AE133" s="165"/>
      <c r="AF133" s="165"/>
      <c r="AG133" s="160"/>
      <c r="AH133" s="160"/>
      <c r="AI133" s="160"/>
      <c r="AJ133" s="160"/>
      <c r="AK133" s="160"/>
      <c r="AL133" s="160"/>
      <c r="AM133" s="160"/>
      <c r="AN133" s="160"/>
      <c r="AO133" s="160"/>
      <c r="AP133" s="160"/>
      <c r="AQ133" s="160"/>
    </row>
    <row r="134" spans="1:43" ht="13.5" customHeight="1" x14ac:dyDescent="0.3">
      <c r="A134" s="170" t="s">
        <v>297</v>
      </c>
      <c r="B134" s="163"/>
      <c r="C134" s="163"/>
      <c r="D134" s="163"/>
      <c r="E134" s="163"/>
      <c r="F134" s="163"/>
      <c r="G134" s="163"/>
      <c r="H134" s="163"/>
      <c r="I134" s="163"/>
      <c r="J134" s="163"/>
      <c r="K134" s="163"/>
      <c r="L134" s="163"/>
      <c r="M134" s="163"/>
      <c r="N134" s="163"/>
      <c r="O134" s="163"/>
      <c r="P134" s="163"/>
      <c r="Q134" s="172"/>
      <c r="R134" s="165"/>
      <c r="S134" s="165"/>
      <c r="T134" s="165"/>
      <c r="U134" s="165"/>
      <c r="V134" s="165"/>
      <c r="W134" s="165"/>
      <c r="X134" s="165"/>
      <c r="Y134" s="165"/>
      <c r="Z134" s="165"/>
      <c r="AA134" s="165"/>
      <c r="AB134" s="165"/>
      <c r="AC134" s="165"/>
      <c r="AD134" s="165"/>
      <c r="AE134" s="165"/>
      <c r="AF134" s="165"/>
      <c r="AG134" s="160"/>
      <c r="AH134" s="160"/>
      <c r="AI134" s="160"/>
      <c r="AJ134" s="160"/>
      <c r="AK134" s="160"/>
      <c r="AL134" s="160"/>
      <c r="AM134" s="160"/>
      <c r="AN134" s="160"/>
      <c r="AO134" s="160"/>
      <c r="AP134" s="160"/>
      <c r="AQ134" s="160"/>
    </row>
    <row r="135" spans="1:43" ht="13.5" customHeight="1" thickBot="1" x14ac:dyDescent="0.35">
      <c r="A135" s="182"/>
      <c r="B135" s="183"/>
      <c r="C135" s="184"/>
      <c r="D135" s="184"/>
      <c r="E135" s="185"/>
      <c r="F135" s="184"/>
      <c r="G135" s="184"/>
      <c r="H135" s="186"/>
      <c r="I135" s="184"/>
      <c r="J135" s="184"/>
      <c r="K135" s="186"/>
      <c r="L135" s="184"/>
      <c r="M135" s="184"/>
      <c r="N135" s="186"/>
      <c r="O135" s="184"/>
      <c r="P135" s="187"/>
      <c r="Q135" s="172"/>
      <c r="R135" s="165"/>
      <c r="S135" s="165"/>
      <c r="T135" s="165"/>
      <c r="U135" s="165"/>
      <c r="V135" s="165"/>
      <c r="W135" s="165"/>
      <c r="X135" s="165"/>
      <c r="Y135" s="165"/>
      <c r="Z135" s="165"/>
      <c r="AA135" s="165"/>
      <c r="AB135" s="165"/>
      <c r="AC135" s="165"/>
      <c r="AD135" s="165"/>
      <c r="AE135" s="165"/>
      <c r="AF135" s="165"/>
      <c r="AG135" s="160"/>
      <c r="AH135" s="160"/>
      <c r="AI135" s="160"/>
      <c r="AJ135" s="160"/>
      <c r="AK135" s="160"/>
      <c r="AL135" s="160"/>
      <c r="AM135" s="160"/>
      <c r="AN135" s="160"/>
      <c r="AO135" s="160"/>
      <c r="AP135" s="160"/>
      <c r="AQ135" s="160"/>
    </row>
    <row r="136" spans="1:43" ht="13.5" customHeight="1" thickTop="1" x14ac:dyDescent="0.3">
      <c r="A136" s="161"/>
      <c r="B136" s="188"/>
      <c r="C136" s="189"/>
      <c r="D136" s="188"/>
      <c r="E136" s="189"/>
      <c r="F136" s="188"/>
      <c r="G136" s="188"/>
      <c r="H136" s="190"/>
      <c r="I136" s="191"/>
      <c r="J136" s="188"/>
      <c r="K136" s="188"/>
      <c r="L136" s="188"/>
      <c r="M136" s="188"/>
      <c r="N136" s="188"/>
      <c r="O136" s="188"/>
      <c r="P136" s="192"/>
      <c r="Q136" s="172"/>
      <c r="R136" s="172"/>
      <c r="S136" s="172"/>
      <c r="T136" s="172"/>
      <c r="U136" s="172"/>
      <c r="V136" s="172"/>
      <c r="W136" s="172"/>
      <c r="X136" s="172"/>
      <c r="Y136" s="172"/>
      <c r="Z136" s="172"/>
      <c r="AA136" s="172"/>
      <c r="AB136" s="172"/>
      <c r="AC136" s="172"/>
      <c r="AD136" s="172"/>
      <c r="AE136" s="172"/>
      <c r="AF136" s="160"/>
      <c r="AG136" s="160"/>
      <c r="AH136" s="160"/>
      <c r="AI136" s="160"/>
      <c r="AJ136" s="160"/>
      <c r="AK136" s="160"/>
      <c r="AL136" s="160"/>
      <c r="AM136" s="160"/>
      <c r="AN136" s="160"/>
      <c r="AO136" s="160"/>
      <c r="AP136" s="160"/>
      <c r="AQ136" s="160"/>
    </row>
    <row r="137" spans="1:43" s="194" customFormat="1" ht="13.5" customHeight="1" x14ac:dyDescent="0.3">
      <c r="A137" s="193" t="s">
        <v>314</v>
      </c>
      <c r="B137" s="157"/>
      <c r="C137" s="158"/>
      <c r="D137" s="158"/>
      <c r="E137" s="158"/>
      <c r="F137" s="158"/>
      <c r="G137" s="158"/>
      <c r="H137" s="158"/>
      <c r="I137" s="158"/>
      <c r="J137" s="158"/>
      <c r="K137" s="158"/>
      <c r="L137" s="158"/>
      <c r="M137" s="158"/>
      <c r="N137" s="158"/>
      <c r="O137" s="158"/>
      <c r="P137" s="158"/>
      <c r="Q137" s="172"/>
      <c r="R137" s="172"/>
      <c r="S137" s="172"/>
      <c r="T137" s="172"/>
      <c r="U137" s="172"/>
      <c r="V137" s="172"/>
      <c r="W137" s="172"/>
      <c r="X137" s="172"/>
      <c r="Y137" s="172"/>
      <c r="Z137" s="172"/>
      <c r="AA137" s="172"/>
      <c r="AB137" s="172"/>
      <c r="AC137" s="172"/>
    </row>
    <row r="138" spans="1:43" s="194" customFormat="1" ht="13.5" customHeight="1" x14ac:dyDescent="0.3">
      <c r="A138" s="195"/>
      <c r="B138" s="157"/>
      <c r="C138" s="158"/>
      <c r="D138" s="158"/>
      <c r="E138" s="158"/>
      <c r="F138" s="158"/>
      <c r="G138" s="158"/>
      <c r="H138" s="158"/>
      <c r="I138" s="158"/>
      <c r="J138" s="158"/>
      <c r="K138" s="158"/>
      <c r="L138" s="158"/>
      <c r="M138" s="158"/>
      <c r="N138" s="158"/>
      <c r="O138" s="158"/>
      <c r="P138" s="158"/>
    </row>
    <row r="139" spans="1:43" s="194" customFormat="1" ht="13.5" customHeight="1" x14ac:dyDescent="0.3">
      <c r="A139" s="196" t="s">
        <v>315</v>
      </c>
      <c r="B139" s="157"/>
      <c r="C139" s="158"/>
      <c r="D139" s="158"/>
      <c r="E139" s="158"/>
      <c r="F139" s="158"/>
      <c r="G139" s="158"/>
      <c r="H139" s="158"/>
      <c r="I139" s="158"/>
      <c r="J139" s="158"/>
      <c r="K139" s="158"/>
      <c r="L139" s="158"/>
      <c r="M139" s="158"/>
      <c r="N139" s="158"/>
      <c r="O139" s="158"/>
      <c r="P139" s="158"/>
    </row>
    <row r="140" spans="1:43" s="194" customFormat="1" ht="13.5" customHeight="1" x14ac:dyDescent="0.3">
      <c r="A140" s="197" t="s">
        <v>316</v>
      </c>
      <c r="B140" s="157"/>
      <c r="C140" s="158"/>
      <c r="D140" s="158"/>
      <c r="E140" s="158"/>
      <c r="F140" s="158"/>
      <c r="G140" s="158"/>
      <c r="H140" s="158"/>
      <c r="I140" s="158"/>
      <c r="J140" s="158"/>
      <c r="K140" s="158"/>
      <c r="L140" s="158"/>
      <c r="M140" s="158"/>
      <c r="N140" s="158"/>
      <c r="O140" s="158"/>
      <c r="P140" s="158"/>
    </row>
    <row r="141" spans="1:43" s="194" customFormat="1" ht="13.5" customHeight="1" x14ac:dyDescent="0.3">
      <c r="A141" s="167"/>
      <c r="B141" s="157"/>
      <c r="C141" s="158"/>
      <c r="D141" s="158"/>
      <c r="E141" s="158"/>
      <c r="F141" s="158"/>
      <c r="G141" s="158"/>
      <c r="H141" s="158"/>
      <c r="I141" s="157"/>
      <c r="J141" s="158"/>
      <c r="K141" s="158"/>
      <c r="L141" s="158"/>
      <c r="M141" s="158"/>
      <c r="N141" s="158"/>
      <c r="O141" s="158"/>
      <c r="P141" s="158"/>
    </row>
    <row r="142" spans="1:43" ht="13.5" customHeight="1" x14ac:dyDescent="0.3">
      <c r="A142" s="197" t="s">
        <v>317</v>
      </c>
      <c r="B142" s="157"/>
      <c r="C142" s="158"/>
      <c r="D142" s="158"/>
      <c r="E142" s="158"/>
      <c r="F142" s="158"/>
      <c r="G142" s="158"/>
      <c r="H142" s="158"/>
      <c r="I142" s="157"/>
      <c r="J142" s="158"/>
      <c r="K142" s="158"/>
      <c r="L142" s="158"/>
      <c r="M142" s="158"/>
      <c r="N142" s="158"/>
      <c r="O142" s="158"/>
      <c r="P142" s="158"/>
      <c r="Q142" s="159"/>
      <c r="R142" s="159"/>
      <c r="S142" s="159"/>
      <c r="T142" s="159"/>
      <c r="U142" s="159"/>
      <c r="V142" s="159"/>
      <c r="W142" s="159"/>
      <c r="X142" s="159"/>
      <c r="Y142" s="159"/>
      <c r="Z142" s="159"/>
      <c r="AA142" s="159"/>
      <c r="AB142" s="159"/>
      <c r="AC142" s="159"/>
      <c r="AD142" s="159"/>
      <c r="AE142" s="160"/>
      <c r="AF142" s="160"/>
      <c r="AG142" s="160"/>
      <c r="AH142" s="160"/>
      <c r="AI142" s="160"/>
      <c r="AJ142" s="160"/>
      <c r="AK142" s="160"/>
      <c r="AL142" s="160"/>
      <c r="AM142" s="160"/>
      <c r="AN142" s="160"/>
      <c r="AO142" s="160"/>
      <c r="AP142" s="160"/>
      <c r="AQ142" s="160"/>
    </row>
    <row r="143" spans="1:43" ht="13.5" customHeight="1" x14ac:dyDescent="0.3">
      <c r="A143" s="193" t="s">
        <v>318</v>
      </c>
      <c r="B143" s="157"/>
      <c r="C143" s="158"/>
      <c r="D143" s="158"/>
      <c r="E143" s="158"/>
      <c r="F143" s="158"/>
      <c r="G143" s="158"/>
      <c r="H143" s="158"/>
      <c r="I143" s="158"/>
      <c r="J143" s="158"/>
      <c r="K143" s="158"/>
      <c r="L143" s="158"/>
      <c r="M143" s="158"/>
      <c r="N143" s="158"/>
      <c r="O143" s="158"/>
      <c r="P143" s="158"/>
      <c r="Q143" s="159"/>
      <c r="R143" s="159"/>
      <c r="S143" s="159"/>
      <c r="T143" s="159"/>
      <c r="U143" s="159"/>
      <c r="V143" s="159"/>
      <c r="W143" s="159"/>
      <c r="X143" s="159"/>
      <c r="Y143" s="159"/>
      <c r="Z143" s="159"/>
      <c r="AA143" s="159"/>
      <c r="AB143" s="159"/>
      <c r="AC143" s="159"/>
      <c r="AD143" s="159"/>
      <c r="AE143" s="160"/>
      <c r="AF143" s="160"/>
      <c r="AG143" s="160"/>
      <c r="AH143" s="160"/>
      <c r="AI143" s="160"/>
      <c r="AJ143" s="160"/>
      <c r="AK143" s="160"/>
      <c r="AL143" s="160"/>
      <c r="AM143" s="160"/>
      <c r="AN143" s="160"/>
      <c r="AO143" s="160"/>
      <c r="AP143" s="160"/>
      <c r="AQ143" s="160"/>
    </row>
    <row r="144" spans="1:43" ht="13.5" customHeight="1" x14ac:dyDescent="0.3">
      <c r="A144" s="198"/>
      <c r="B144" s="157"/>
      <c r="C144" s="158"/>
      <c r="D144" s="158"/>
      <c r="E144" s="158"/>
      <c r="F144" s="158"/>
      <c r="G144" s="158"/>
      <c r="H144" s="158"/>
      <c r="I144" s="158"/>
      <c r="J144" s="158"/>
      <c r="K144" s="158"/>
      <c r="L144" s="158"/>
      <c r="M144" s="158"/>
      <c r="N144" s="158"/>
      <c r="O144" s="158"/>
      <c r="P144" s="158"/>
      <c r="Q144" s="159"/>
      <c r="R144" s="159"/>
      <c r="S144" s="159"/>
      <c r="T144" s="159"/>
      <c r="U144" s="159"/>
      <c r="V144" s="159"/>
      <c r="W144" s="159"/>
      <c r="X144" s="159"/>
      <c r="Y144" s="159"/>
      <c r="Z144" s="159"/>
      <c r="AA144" s="159"/>
      <c r="AB144" s="159"/>
      <c r="AC144" s="159"/>
      <c r="AD144" s="159"/>
      <c r="AE144" s="160"/>
      <c r="AF144" s="160"/>
      <c r="AG144" s="160"/>
      <c r="AH144" s="160"/>
      <c r="AI144" s="160"/>
      <c r="AJ144" s="160"/>
      <c r="AK144" s="160"/>
      <c r="AL144" s="160"/>
      <c r="AM144" s="160"/>
      <c r="AN144" s="160"/>
      <c r="AO144" s="160"/>
      <c r="AP144" s="160"/>
      <c r="AQ144" s="160"/>
    </row>
    <row r="145" spans="1:43" ht="13.5" customHeight="1" x14ac:dyDescent="0.3">
      <c r="A145" s="193" t="s">
        <v>319</v>
      </c>
      <c r="B145" s="157"/>
      <c r="C145" s="158"/>
      <c r="D145" s="158"/>
      <c r="E145" s="158"/>
      <c r="F145" s="158"/>
      <c r="G145" s="158"/>
      <c r="H145" s="158"/>
      <c r="I145" s="158"/>
      <c r="J145" s="158"/>
      <c r="K145" s="158"/>
      <c r="L145" s="158"/>
      <c r="M145" s="158"/>
      <c r="N145" s="158"/>
      <c r="O145" s="158"/>
      <c r="P145" s="158"/>
      <c r="Q145" s="159"/>
      <c r="R145" s="159"/>
      <c r="S145" s="159"/>
      <c r="T145" s="159"/>
      <c r="U145" s="159"/>
      <c r="V145" s="159"/>
      <c r="W145" s="159"/>
      <c r="X145" s="159"/>
      <c r="Y145" s="159"/>
      <c r="Z145" s="159"/>
      <c r="AA145" s="159"/>
      <c r="AB145" s="159"/>
      <c r="AC145" s="159"/>
      <c r="AD145" s="159"/>
      <c r="AE145" s="160"/>
      <c r="AF145" s="160"/>
      <c r="AG145" s="160"/>
      <c r="AH145" s="160"/>
      <c r="AI145" s="160"/>
      <c r="AJ145" s="160"/>
      <c r="AK145" s="160"/>
      <c r="AL145" s="160"/>
      <c r="AM145" s="160"/>
      <c r="AN145" s="160"/>
      <c r="AO145" s="160"/>
      <c r="AP145" s="160"/>
      <c r="AQ145" s="160"/>
    </row>
    <row r="146" spans="1:43" ht="13.5" customHeight="1" x14ac:dyDescent="0.3">
      <c r="A146" s="198"/>
      <c r="B146" s="157"/>
      <c r="C146" s="158"/>
      <c r="D146" s="158"/>
      <c r="E146" s="158"/>
      <c r="F146" s="158"/>
      <c r="G146" s="158"/>
      <c r="H146" s="158"/>
      <c r="I146" s="158"/>
      <c r="J146" s="158"/>
      <c r="K146" s="158"/>
      <c r="L146" s="158"/>
      <c r="M146" s="158"/>
      <c r="N146" s="158"/>
      <c r="O146" s="158"/>
      <c r="P146" s="158"/>
      <c r="Q146" s="159"/>
      <c r="R146" s="159"/>
      <c r="S146" s="159"/>
      <c r="T146" s="159"/>
      <c r="U146" s="159"/>
      <c r="V146" s="159"/>
      <c r="W146" s="159"/>
      <c r="X146" s="159"/>
      <c r="Y146" s="159"/>
      <c r="Z146" s="159"/>
      <c r="AA146" s="159"/>
      <c r="AB146" s="159"/>
      <c r="AC146" s="159"/>
      <c r="AD146" s="159"/>
      <c r="AE146" s="160"/>
      <c r="AF146" s="160"/>
      <c r="AG146" s="160"/>
      <c r="AH146" s="160"/>
      <c r="AI146" s="160"/>
      <c r="AJ146" s="160"/>
      <c r="AK146" s="160"/>
      <c r="AL146" s="160"/>
      <c r="AM146" s="160"/>
      <c r="AN146" s="160"/>
      <c r="AO146" s="160"/>
      <c r="AP146" s="160"/>
      <c r="AQ146" s="160"/>
    </row>
    <row r="147" spans="1:43" ht="13.5" customHeight="1" x14ac:dyDescent="0.3">
      <c r="A147" s="451" t="s">
        <v>320</v>
      </c>
      <c r="B147" s="452"/>
      <c r="C147" s="452"/>
      <c r="D147" s="452"/>
      <c r="E147" s="452"/>
      <c r="F147" s="452"/>
      <c r="G147" s="452"/>
      <c r="H147" s="452"/>
      <c r="I147" s="452"/>
      <c r="J147" s="452"/>
      <c r="K147" s="452"/>
      <c r="L147" s="452"/>
      <c r="M147" s="452"/>
      <c r="N147" s="452"/>
      <c r="O147" s="452"/>
      <c r="P147" s="452"/>
      <c r="Q147" s="159"/>
      <c r="R147" s="159"/>
      <c r="S147" s="159"/>
      <c r="T147" s="159"/>
      <c r="U147" s="159"/>
      <c r="V147" s="159"/>
      <c r="W147" s="159"/>
      <c r="X147" s="159"/>
      <c r="Y147" s="159"/>
      <c r="Z147" s="159"/>
      <c r="AA147" s="159"/>
      <c r="AB147" s="159"/>
      <c r="AC147" s="159"/>
      <c r="AD147" s="159"/>
      <c r="AE147" s="160"/>
      <c r="AF147" s="160"/>
      <c r="AG147" s="160"/>
      <c r="AH147" s="160"/>
      <c r="AI147" s="160"/>
      <c r="AJ147" s="160"/>
      <c r="AK147" s="160"/>
      <c r="AL147" s="160"/>
      <c r="AM147" s="160"/>
      <c r="AN147" s="160"/>
      <c r="AO147" s="160"/>
      <c r="AP147" s="160"/>
      <c r="AQ147" s="160"/>
    </row>
    <row r="148" spans="1:43" ht="13.5" customHeight="1" x14ac:dyDescent="0.3">
      <c r="A148" s="193" t="s">
        <v>321</v>
      </c>
      <c r="B148" s="157"/>
      <c r="C148" s="158"/>
      <c r="D148" s="158"/>
      <c r="E148" s="158"/>
      <c r="F148" s="158"/>
      <c r="G148" s="158"/>
      <c r="H148" s="158"/>
      <c r="I148" s="158"/>
      <c r="J148" s="158"/>
      <c r="K148" s="158"/>
      <c r="L148" s="158"/>
      <c r="M148" s="158"/>
      <c r="N148" s="158"/>
      <c r="O148" s="158"/>
      <c r="P148" s="158"/>
      <c r="Q148" s="159"/>
      <c r="R148" s="159"/>
      <c r="S148" s="159"/>
      <c r="T148" s="159"/>
      <c r="U148" s="159"/>
      <c r="V148" s="159"/>
      <c r="W148" s="159"/>
      <c r="X148" s="159"/>
      <c r="Y148" s="159"/>
      <c r="Z148" s="159"/>
      <c r="AA148" s="159"/>
      <c r="AB148" s="159"/>
      <c r="AC148" s="159"/>
      <c r="AD148" s="159"/>
      <c r="AE148" s="160"/>
      <c r="AF148" s="160"/>
      <c r="AG148" s="160"/>
      <c r="AH148" s="160"/>
      <c r="AI148" s="160"/>
      <c r="AJ148" s="160"/>
      <c r="AK148" s="160"/>
      <c r="AL148" s="160"/>
      <c r="AM148" s="160"/>
      <c r="AN148" s="160"/>
      <c r="AO148" s="160"/>
      <c r="AP148" s="160"/>
      <c r="AQ148" s="160"/>
    </row>
    <row r="149" spans="1:43" ht="16.5" x14ac:dyDescent="0.3">
      <c r="A149" s="199"/>
      <c r="B149" s="200"/>
      <c r="C149" s="201"/>
      <c r="D149" s="201"/>
      <c r="E149" s="201"/>
      <c r="F149" s="201"/>
      <c r="G149" s="201"/>
      <c r="H149" s="201"/>
      <c r="I149" s="201"/>
      <c r="J149" s="201"/>
      <c r="K149" s="201"/>
      <c r="L149" s="201"/>
      <c r="M149" s="201"/>
      <c r="N149" s="201"/>
      <c r="O149" s="201"/>
      <c r="P149" s="201"/>
      <c r="Q149" s="159"/>
      <c r="R149" s="159"/>
      <c r="S149" s="159"/>
      <c r="T149" s="159"/>
      <c r="U149" s="159"/>
      <c r="V149" s="159"/>
      <c r="W149" s="159"/>
      <c r="X149" s="159"/>
      <c r="Y149" s="159"/>
      <c r="Z149" s="159"/>
      <c r="AA149" s="159"/>
      <c r="AB149" s="159"/>
      <c r="AC149" s="159"/>
      <c r="AD149" s="159"/>
      <c r="AE149" s="160"/>
      <c r="AF149" s="160"/>
      <c r="AG149" s="160"/>
      <c r="AH149" s="160"/>
      <c r="AI149" s="160"/>
      <c r="AJ149" s="160"/>
      <c r="AK149" s="160"/>
      <c r="AL149" s="160"/>
      <c r="AM149" s="160"/>
      <c r="AN149" s="160"/>
      <c r="AO149" s="160"/>
      <c r="AP149" s="160"/>
      <c r="AQ149" s="160"/>
    </row>
    <row r="150" spans="1:43" ht="16.5" x14ac:dyDescent="0.3">
      <c r="A150" s="202"/>
      <c r="B150" s="200"/>
      <c r="C150" s="201"/>
      <c r="D150" s="201"/>
      <c r="E150" s="201"/>
      <c r="F150" s="201"/>
      <c r="G150" s="201"/>
      <c r="H150" s="201"/>
      <c r="I150" s="201"/>
      <c r="J150" s="201"/>
      <c r="K150" s="201"/>
      <c r="L150" s="201"/>
      <c r="M150" s="201"/>
      <c r="N150" s="201"/>
      <c r="O150" s="201"/>
      <c r="P150" s="201"/>
      <c r="Q150" s="159"/>
      <c r="R150" s="159"/>
      <c r="S150" s="159"/>
      <c r="T150" s="159"/>
      <c r="U150" s="159"/>
      <c r="V150" s="159"/>
      <c r="W150" s="159"/>
      <c r="X150" s="159"/>
      <c r="Y150" s="159"/>
      <c r="Z150" s="159"/>
      <c r="AA150" s="159"/>
      <c r="AB150" s="159"/>
      <c r="AC150" s="159"/>
      <c r="AD150" s="159"/>
      <c r="AE150" s="160"/>
      <c r="AF150" s="160"/>
      <c r="AG150" s="160"/>
      <c r="AH150" s="160"/>
      <c r="AI150" s="160"/>
      <c r="AJ150" s="160"/>
      <c r="AK150" s="160"/>
      <c r="AL150" s="160"/>
      <c r="AM150" s="160"/>
      <c r="AN150" s="160"/>
      <c r="AO150" s="160"/>
      <c r="AP150" s="160"/>
      <c r="AQ150" s="160"/>
    </row>
    <row r="151" spans="1:43" ht="16.5" x14ac:dyDescent="0.3">
      <c r="A151" s="202"/>
      <c r="B151" s="200"/>
      <c r="C151" s="201"/>
      <c r="D151" s="201"/>
      <c r="E151" s="201"/>
      <c r="F151" s="201"/>
      <c r="G151" s="201"/>
      <c r="H151" s="201"/>
      <c r="I151" s="201"/>
      <c r="J151" s="201"/>
      <c r="K151" s="201"/>
      <c r="L151" s="201"/>
      <c r="M151" s="201"/>
      <c r="N151" s="201"/>
      <c r="O151" s="201"/>
      <c r="P151" s="201"/>
      <c r="Q151" s="159"/>
      <c r="R151" s="159"/>
      <c r="S151" s="159"/>
      <c r="T151" s="159"/>
      <c r="U151" s="159"/>
      <c r="V151" s="159"/>
      <c r="W151" s="159"/>
      <c r="X151" s="159"/>
      <c r="Y151" s="159"/>
      <c r="Z151" s="159"/>
      <c r="AA151" s="159"/>
      <c r="AB151" s="159"/>
      <c r="AC151" s="159"/>
      <c r="AD151" s="159"/>
      <c r="AE151" s="160"/>
      <c r="AF151" s="160"/>
      <c r="AG151" s="160"/>
      <c r="AH151" s="160"/>
      <c r="AI151" s="160"/>
      <c r="AJ151" s="160"/>
      <c r="AK151" s="160"/>
      <c r="AL151" s="160"/>
      <c r="AM151" s="160"/>
      <c r="AN151" s="160"/>
      <c r="AO151" s="160"/>
      <c r="AP151" s="160"/>
      <c r="AQ151" s="160"/>
    </row>
    <row r="152" spans="1:43" ht="16.5" x14ac:dyDescent="0.3">
      <c r="A152" s="161"/>
      <c r="B152" s="200"/>
      <c r="C152" s="201"/>
      <c r="D152" s="201"/>
      <c r="E152" s="201"/>
      <c r="F152" s="201"/>
      <c r="G152" s="201"/>
      <c r="H152" s="201"/>
      <c r="I152" s="201"/>
      <c r="J152" s="201"/>
      <c r="K152" s="201"/>
      <c r="L152" s="201"/>
      <c r="M152" s="201"/>
      <c r="N152" s="201"/>
      <c r="O152" s="201"/>
      <c r="P152" s="201"/>
      <c r="Q152" s="159"/>
      <c r="R152" s="159"/>
      <c r="S152" s="159"/>
      <c r="T152" s="159"/>
      <c r="U152" s="159"/>
      <c r="V152" s="159"/>
      <c r="W152" s="159"/>
      <c r="X152" s="159"/>
      <c r="Y152" s="159"/>
      <c r="Z152" s="159"/>
      <c r="AA152" s="159"/>
      <c r="AB152" s="159"/>
      <c r="AC152" s="159"/>
      <c r="AD152" s="159"/>
      <c r="AE152" s="160"/>
      <c r="AF152" s="160"/>
      <c r="AG152" s="160"/>
      <c r="AH152" s="160"/>
      <c r="AI152" s="160"/>
      <c r="AJ152" s="160"/>
      <c r="AK152" s="160"/>
      <c r="AL152" s="160"/>
      <c r="AM152" s="160"/>
      <c r="AN152" s="160"/>
      <c r="AO152" s="160"/>
      <c r="AP152" s="160"/>
      <c r="AQ152" s="160"/>
    </row>
    <row r="153" spans="1:43" ht="16.5" x14ac:dyDescent="0.3">
      <c r="A153" s="161"/>
      <c r="B153" s="200"/>
      <c r="C153" s="201"/>
      <c r="D153" s="201"/>
      <c r="E153" s="201"/>
      <c r="F153" s="201"/>
      <c r="G153" s="201"/>
      <c r="H153" s="201"/>
      <c r="I153" s="201"/>
      <c r="J153" s="201"/>
      <c r="K153" s="201"/>
      <c r="L153" s="201"/>
      <c r="M153" s="201"/>
      <c r="N153" s="201"/>
      <c r="O153" s="201"/>
      <c r="P153" s="201"/>
      <c r="Q153" s="159"/>
      <c r="R153" s="159"/>
      <c r="S153" s="159"/>
      <c r="T153" s="159"/>
      <c r="U153" s="159"/>
      <c r="V153" s="159"/>
      <c r="W153" s="159"/>
      <c r="X153" s="159"/>
      <c r="Y153" s="159"/>
      <c r="Z153" s="159"/>
      <c r="AA153" s="159"/>
      <c r="AB153" s="159"/>
      <c r="AC153" s="159"/>
      <c r="AD153" s="159"/>
      <c r="AE153" s="160"/>
      <c r="AF153" s="160"/>
      <c r="AG153" s="160"/>
      <c r="AH153" s="160"/>
      <c r="AI153" s="160"/>
      <c r="AJ153" s="160"/>
      <c r="AK153" s="160"/>
      <c r="AL153" s="160"/>
      <c r="AM153" s="160"/>
      <c r="AN153" s="160"/>
      <c r="AO153" s="160"/>
      <c r="AP153" s="160"/>
      <c r="AQ153" s="160"/>
    </row>
    <row r="154" spans="1:43" ht="16.5" x14ac:dyDescent="0.3">
      <c r="B154" s="200"/>
      <c r="C154" s="201"/>
      <c r="D154" s="201"/>
      <c r="E154" s="201"/>
      <c r="F154" s="201"/>
      <c r="G154" s="201"/>
      <c r="H154" s="201"/>
      <c r="I154" s="201"/>
      <c r="J154" s="201"/>
      <c r="K154" s="201"/>
      <c r="L154" s="201"/>
      <c r="M154" s="201"/>
      <c r="N154" s="201"/>
      <c r="O154" s="201"/>
      <c r="P154" s="201"/>
      <c r="Q154" s="159"/>
      <c r="R154" s="159"/>
      <c r="S154" s="159"/>
      <c r="T154" s="159"/>
      <c r="U154" s="159"/>
      <c r="V154" s="159"/>
      <c r="W154" s="159"/>
      <c r="X154" s="159"/>
      <c r="Y154" s="159"/>
      <c r="Z154" s="159"/>
      <c r="AA154" s="159"/>
      <c r="AB154" s="159"/>
      <c r="AC154" s="159"/>
      <c r="AD154" s="159"/>
      <c r="AE154" s="160"/>
      <c r="AF154" s="160"/>
      <c r="AG154" s="160"/>
      <c r="AH154" s="160"/>
      <c r="AI154" s="160"/>
      <c r="AJ154" s="160"/>
      <c r="AK154" s="160"/>
      <c r="AL154" s="160"/>
      <c r="AM154" s="160"/>
      <c r="AN154" s="160"/>
      <c r="AO154" s="160"/>
      <c r="AP154" s="160"/>
      <c r="AQ154" s="160"/>
    </row>
    <row r="155" spans="1:43" ht="16.5" x14ac:dyDescent="0.3">
      <c r="B155" s="200"/>
      <c r="C155" s="201"/>
      <c r="D155" s="201"/>
      <c r="E155" s="201"/>
      <c r="F155" s="201"/>
      <c r="G155" s="201"/>
      <c r="H155" s="201"/>
      <c r="I155" s="201"/>
      <c r="J155" s="201"/>
      <c r="K155" s="201"/>
      <c r="L155" s="201"/>
      <c r="M155" s="201"/>
      <c r="N155" s="201"/>
      <c r="O155" s="201"/>
      <c r="P155" s="201"/>
      <c r="Q155" s="159"/>
      <c r="R155" s="159"/>
      <c r="S155" s="159"/>
      <c r="T155" s="159"/>
      <c r="U155" s="159"/>
      <c r="V155" s="159"/>
      <c r="W155" s="159"/>
      <c r="X155" s="159"/>
      <c r="Y155" s="159"/>
      <c r="Z155" s="159"/>
      <c r="AA155" s="159"/>
      <c r="AB155" s="159"/>
      <c r="AC155" s="159"/>
      <c r="AD155" s="159"/>
      <c r="AE155" s="160"/>
      <c r="AF155" s="160"/>
      <c r="AG155" s="160"/>
      <c r="AH155" s="160"/>
      <c r="AI155" s="160"/>
      <c r="AJ155" s="160"/>
      <c r="AK155" s="160"/>
      <c r="AL155" s="160"/>
      <c r="AM155" s="160"/>
      <c r="AN155" s="160"/>
      <c r="AO155" s="160"/>
      <c r="AP155" s="160"/>
      <c r="AQ155" s="160"/>
    </row>
    <row r="156" spans="1:43" ht="16.5" x14ac:dyDescent="0.3">
      <c r="B156" s="200"/>
      <c r="C156" s="201"/>
      <c r="D156" s="201"/>
      <c r="E156" s="201"/>
      <c r="F156" s="201"/>
      <c r="G156" s="201"/>
      <c r="H156" s="201"/>
      <c r="I156" s="201"/>
      <c r="J156" s="201"/>
      <c r="K156" s="201"/>
      <c r="L156" s="201"/>
      <c r="M156" s="201"/>
      <c r="N156" s="201"/>
      <c r="O156" s="201"/>
      <c r="P156" s="201"/>
      <c r="Q156" s="159"/>
      <c r="R156" s="159"/>
      <c r="S156" s="159"/>
      <c r="T156" s="159"/>
      <c r="U156" s="159"/>
      <c r="V156" s="159"/>
      <c r="W156" s="159"/>
      <c r="X156" s="159"/>
      <c r="Y156" s="159"/>
      <c r="Z156" s="159"/>
      <c r="AA156" s="159"/>
      <c r="AB156" s="159"/>
      <c r="AC156" s="159"/>
      <c r="AD156" s="159"/>
      <c r="AE156" s="160"/>
      <c r="AF156" s="160"/>
      <c r="AG156" s="160"/>
      <c r="AH156" s="160"/>
      <c r="AI156" s="160"/>
      <c r="AJ156" s="160"/>
      <c r="AK156" s="160"/>
      <c r="AL156" s="160"/>
      <c r="AM156" s="160"/>
      <c r="AN156" s="160"/>
      <c r="AO156" s="160"/>
      <c r="AP156" s="160"/>
      <c r="AQ156" s="160"/>
    </row>
    <row r="157" spans="1:43" ht="16.5" x14ac:dyDescent="0.3">
      <c r="B157" s="200"/>
      <c r="C157" s="201"/>
      <c r="D157" s="201"/>
      <c r="E157" s="201"/>
      <c r="F157" s="201"/>
      <c r="G157" s="201"/>
      <c r="H157" s="201"/>
      <c r="I157" s="201"/>
      <c r="J157" s="201"/>
      <c r="K157" s="201"/>
      <c r="L157" s="201"/>
      <c r="M157" s="201"/>
      <c r="N157" s="201"/>
      <c r="O157" s="201"/>
      <c r="P157" s="201"/>
      <c r="Q157" s="159"/>
      <c r="R157" s="159"/>
      <c r="S157" s="159"/>
      <c r="T157" s="159"/>
      <c r="U157" s="159"/>
      <c r="V157" s="159"/>
      <c r="W157" s="159"/>
      <c r="X157" s="159"/>
      <c r="Y157" s="159"/>
      <c r="Z157" s="159"/>
      <c r="AA157" s="159"/>
      <c r="AB157" s="159"/>
      <c r="AC157" s="159"/>
      <c r="AD157" s="159"/>
      <c r="AE157" s="160"/>
      <c r="AF157" s="160"/>
      <c r="AG157" s="160"/>
      <c r="AH157" s="160"/>
      <c r="AI157" s="160"/>
      <c r="AJ157" s="160"/>
      <c r="AK157" s="160"/>
      <c r="AL157" s="160"/>
      <c r="AM157" s="160"/>
      <c r="AN157" s="160"/>
      <c r="AO157" s="160"/>
      <c r="AP157" s="160"/>
      <c r="AQ157" s="160"/>
    </row>
    <row r="158" spans="1:43" ht="16.5" x14ac:dyDescent="0.3">
      <c r="B158" s="200"/>
      <c r="C158" s="201"/>
      <c r="D158" s="201"/>
      <c r="E158" s="201"/>
      <c r="F158" s="201"/>
      <c r="G158" s="201"/>
      <c r="H158" s="201"/>
      <c r="I158" s="201"/>
      <c r="J158" s="201"/>
      <c r="K158" s="201"/>
      <c r="L158" s="201"/>
      <c r="M158" s="201"/>
      <c r="N158" s="201"/>
      <c r="O158" s="201"/>
      <c r="P158" s="201"/>
      <c r="Q158" s="159"/>
      <c r="R158" s="159"/>
      <c r="S158" s="159"/>
      <c r="T158" s="159"/>
      <c r="U158" s="159"/>
      <c r="V158" s="159"/>
      <c r="W158" s="159"/>
      <c r="X158" s="159"/>
      <c r="Y158" s="159"/>
      <c r="Z158" s="159"/>
      <c r="AA158" s="159"/>
      <c r="AB158" s="159"/>
      <c r="AC158" s="159"/>
      <c r="AD158" s="159"/>
      <c r="AE158" s="160"/>
      <c r="AF158" s="160"/>
      <c r="AG158" s="160"/>
      <c r="AH158" s="160"/>
      <c r="AI158" s="160"/>
      <c r="AJ158" s="160"/>
      <c r="AK158" s="160"/>
      <c r="AL158" s="160"/>
      <c r="AM158" s="160"/>
      <c r="AN158" s="160"/>
      <c r="AO158" s="160"/>
      <c r="AP158" s="160"/>
      <c r="AQ158" s="160"/>
    </row>
    <row r="159" spans="1:43" ht="16.5" x14ac:dyDescent="0.3">
      <c r="B159" s="200"/>
      <c r="C159" s="201"/>
      <c r="D159" s="201"/>
      <c r="E159" s="201"/>
      <c r="F159" s="201"/>
      <c r="G159" s="201"/>
      <c r="H159" s="201"/>
      <c r="I159" s="201"/>
      <c r="J159" s="201"/>
      <c r="K159" s="201"/>
      <c r="L159" s="201"/>
      <c r="M159" s="201"/>
      <c r="N159" s="201"/>
      <c r="O159" s="201"/>
      <c r="P159" s="201"/>
      <c r="Q159" s="159"/>
      <c r="R159" s="159"/>
      <c r="S159" s="159"/>
      <c r="T159" s="159"/>
      <c r="U159" s="159"/>
      <c r="V159" s="159"/>
      <c r="W159" s="159"/>
      <c r="X159" s="159"/>
      <c r="Y159" s="159"/>
      <c r="Z159" s="159"/>
      <c r="AA159" s="159"/>
      <c r="AB159" s="159"/>
      <c r="AC159" s="159"/>
      <c r="AD159" s="159"/>
      <c r="AE159" s="160"/>
      <c r="AF159" s="160"/>
      <c r="AG159" s="160"/>
      <c r="AH159" s="160"/>
      <c r="AI159" s="160"/>
      <c r="AJ159" s="160"/>
      <c r="AK159" s="160"/>
      <c r="AL159" s="160"/>
      <c r="AM159" s="160"/>
      <c r="AN159" s="160"/>
      <c r="AO159" s="160"/>
      <c r="AP159" s="160"/>
      <c r="AQ159" s="160"/>
    </row>
    <row r="160" spans="1:43" ht="16.5" x14ac:dyDescent="0.3">
      <c r="B160" s="200"/>
      <c r="C160" s="201"/>
      <c r="D160" s="201"/>
      <c r="E160" s="201"/>
      <c r="F160" s="201"/>
      <c r="G160" s="201"/>
      <c r="H160" s="201"/>
      <c r="I160" s="201"/>
      <c r="J160" s="201"/>
      <c r="K160" s="201"/>
      <c r="L160" s="201"/>
      <c r="M160" s="201"/>
      <c r="N160" s="201"/>
      <c r="O160" s="201"/>
      <c r="P160" s="201"/>
      <c r="Q160" s="159"/>
      <c r="R160" s="159"/>
      <c r="S160" s="159"/>
      <c r="T160" s="159"/>
      <c r="U160" s="159"/>
      <c r="V160" s="159"/>
      <c r="W160" s="159"/>
      <c r="X160" s="159"/>
      <c r="Y160" s="159"/>
      <c r="Z160" s="159"/>
      <c r="AA160" s="159"/>
      <c r="AB160" s="159"/>
      <c r="AC160" s="159"/>
      <c r="AD160" s="159"/>
      <c r="AE160" s="160"/>
      <c r="AF160" s="160"/>
      <c r="AG160" s="160"/>
      <c r="AH160" s="160"/>
      <c r="AI160" s="160"/>
      <c r="AJ160" s="160"/>
      <c r="AK160" s="160"/>
      <c r="AL160" s="160"/>
      <c r="AM160" s="160"/>
      <c r="AN160" s="160"/>
      <c r="AO160" s="160"/>
      <c r="AP160" s="160"/>
      <c r="AQ160" s="160"/>
    </row>
    <row r="161" spans="2:43" ht="16.5" x14ac:dyDescent="0.3">
      <c r="B161" s="200"/>
      <c r="C161" s="201"/>
      <c r="D161" s="201"/>
      <c r="E161" s="201"/>
      <c r="F161" s="201"/>
      <c r="G161" s="201"/>
      <c r="H161" s="201"/>
      <c r="I161" s="201"/>
      <c r="J161" s="201"/>
      <c r="K161" s="201"/>
      <c r="L161" s="201"/>
      <c r="M161" s="201"/>
      <c r="N161" s="201"/>
      <c r="O161" s="201"/>
      <c r="P161" s="201"/>
      <c r="Q161" s="159"/>
      <c r="R161" s="159"/>
      <c r="S161" s="159"/>
      <c r="T161" s="159"/>
      <c r="U161" s="159"/>
      <c r="V161" s="159"/>
      <c r="W161" s="159"/>
      <c r="X161" s="159"/>
      <c r="Y161" s="159"/>
      <c r="Z161" s="159"/>
      <c r="AA161" s="159"/>
      <c r="AB161" s="159"/>
      <c r="AC161" s="159"/>
      <c r="AD161" s="159"/>
      <c r="AE161" s="160"/>
      <c r="AF161" s="160"/>
      <c r="AG161" s="160"/>
      <c r="AH161" s="160"/>
      <c r="AI161" s="160"/>
      <c r="AJ161" s="160"/>
      <c r="AK161" s="160"/>
      <c r="AL161" s="160"/>
      <c r="AM161" s="160"/>
      <c r="AN161" s="160"/>
      <c r="AO161" s="160"/>
      <c r="AP161" s="160"/>
      <c r="AQ161" s="160"/>
    </row>
    <row r="162" spans="2:43" ht="16.5" x14ac:dyDescent="0.3">
      <c r="B162" s="200"/>
      <c r="C162" s="201"/>
      <c r="D162" s="201"/>
      <c r="E162" s="201"/>
      <c r="F162" s="201"/>
      <c r="G162" s="201"/>
      <c r="H162" s="201"/>
      <c r="I162" s="201"/>
      <c r="J162" s="201"/>
      <c r="K162" s="201"/>
      <c r="L162" s="201"/>
      <c r="M162" s="201"/>
      <c r="N162" s="201"/>
      <c r="O162" s="201"/>
      <c r="P162" s="201"/>
      <c r="Q162" s="159"/>
      <c r="R162" s="159"/>
      <c r="S162" s="159"/>
      <c r="T162" s="159"/>
      <c r="U162" s="159"/>
      <c r="V162" s="159"/>
      <c r="W162" s="159"/>
      <c r="X162" s="159"/>
      <c r="Y162" s="159"/>
      <c r="Z162" s="159"/>
      <c r="AA162" s="159"/>
      <c r="AB162" s="159"/>
      <c r="AC162" s="159"/>
      <c r="AD162" s="159"/>
      <c r="AE162" s="160"/>
      <c r="AF162" s="160"/>
      <c r="AG162" s="160"/>
      <c r="AH162" s="160"/>
      <c r="AI162" s="160"/>
      <c r="AJ162" s="160"/>
      <c r="AK162" s="160"/>
      <c r="AL162" s="160"/>
      <c r="AM162" s="160"/>
      <c r="AN162" s="160"/>
      <c r="AO162" s="160"/>
      <c r="AP162" s="160"/>
      <c r="AQ162" s="160"/>
    </row>
    <row r="163" spans="2:43" ht="16.5" x14ac:dyDescent="0.3">
      <c r="B163" s="200"/>
      <c r="C163" s="201"/>
      <c r="D163" s="201"/>
      <c r="E163" s="201"/>
      <c r="F163" s="201"/>
      <c r="G163" s="201"/>
      <c r="H163" s="201"/>
      <c r="I163" s="201"/>
      <c r="J163" s="201"/>
      <c r="K163" s="201"/>
      <c r="L163" s="201"/>
      <c r="M163" s="201"/>
      <c r="N163" s="201"/>
      <c r="O163" s="201"/>
      <c r="P163" s="201"/>
      <c r="Q163" s="159"/>
      <c r="R163" s="159"/>
      <c r="S163" s="159"/>
      <c r="T163" s="159"/>
      <c r="U163" s="159"/>
      <c r="V163" s="159"/>
      <c r="W163" s="159"/>
      <c r="X163" s="159"/>
      <c r="Y163" s="159"/>
      <c r="Z163" s="159"/>
      <c r="AA163" s="159"/>
      <c r="AB163" s="159"/>
      <c r="AC163" s="159"/>
      <c r="AD163" s="159"/>
      <c r="AE163" s="160"/>
      <c r="AF163" s="160"/>
      <c r="AG163" s="160"/>
      <c r="AH163" s="160"/>
      <c r="AI163" s="160"/>
      <c r="AJ163" s="160"/>
      <c r="AK163" s="160"/>
      <c r="AL163" s="160"/>
      <c r="AM163" s="160"/>
      <c r="AN163" s="160"/>
      <c r="AO163" s="160"/>
      <c r="AP163" s="160"/>
      <c r="AQ163" s="160"/>
    </row>
    <row r="164" spans="2:43" ht="16.5" x14ac:dyDescent="0.3">
      <c r="B164" s="200"/>
      <c r="C164" s="201"/>
      <c r="D164" s="201"/>
      <c r="E164" s="201"/>
      <c r="F164" s="201"/>
      <c r="G164" s="201"/>
      <c r="H164" s="201"/>
      <c r="I164" s="201"/>
      <c r="J164" s="201"/>
      <c r="K164" s="201"/>
      <c r="L164" s="201"/>
      <c r="M164" s="201"/>
      <c r="N164" s="201"/>
      <c r="O164" s="201"/>
      <c r="P164" s="201"/>
      <c r="Q164" s="159"/>
      <c r="R164" s="159"/>
      <c r="S164" s="159"/>
      <c r="T164" s="159"/>
      <c r="U164" s="159"/>
      <c r="V164" s="159"/>
      <c r="W164" s="159"/>
      <c r="X164" s="159"/>
      <c r="Y164" s="159"/>
      <c r="Z164" s="159"/>
      <c r="AA164" s="159"/>
      <c r="AB164" s="159"/>
      <c r="AC164" s="159"/>
      <c r="AD164" s="159"/>
      <c r="AE164" s="160"/>
      <c r="AF164" s="160"/>
      <c r="AG164" s="160"/>
      <c r="AH164" s="160"/>
      <c r="AI164" s="160"/>
      <c r="AJ164" s="160"/>
      <c r="AK164" s="160"/>
      <c r="AL164" s="160"/>
      <c r="AM164" s="160"/>
      <c r="AN164" s="160"/>
      <c r="AO164" s="160"/>
      <c r="AP164" s="160"/>
      <c r="AQ164" s="160"/>
    </row>
    <row r="165" spans="2:43" ht="16.5" x14ac:dyDescent="0.3">
      <c r="B165" s="200"/>
      <c r="C165" s="201"/>
      <c r="D165" s="201"/>
      <c r="E165" s="201"/>
      <c r="F165" s="201"/>
      <c r="G165" s="201"/>
      <c r="H165" s="201"/>
      <c r="I165" s="201"/>
      <c r="J165" s="201"/>
      <c r="K165" s="201"/>
      <c r="L165" s="201"/>
      <c r="M165" s="201"/>
      <c r="N165" s="201"/>
      <c r="O165" s="201"/>
      <c r="P165" s="201"/>
      <c r="Q165" s="159"/>
      <c r="R165" s="159"/>
      <c r="S165" s="159"/>
      <c r="T165" s="159"/>
      <c r="U165" s="159"/>
      <c r="V165" s="159"/>
      <c r="W165" s="159"/>
      <c r="X165" s="159"/>
      <c r="Y165" s="159"/>
      <c r="Z165" s="159"/>
      <c r="AA165" s="159"/>
      <c r="AB165" s="159"/>
      <c r="AC165" s="159"/>
      <c r="AD165" s="159"/>
      <c r="AE165" s="160"/>
      <c r="AF165" s="160"/>
      <c r="AG165" s="160"/>
      <c r="AH165" s="160"/>
      <c r="AI165" s="160"/>
      <c r="AJ165" s="160"/>
      <c r="AK165" s="160"/>
      <c r="AL165" s="160"/>
      <c r="AM165" s="160"/>
      <c r="AN165" s="160"/>
      <c r="AO165" s="160"/>
      <c r="AP165" s="160"/>
      <c r="AQ165" s="160"/>
    </row>
    <row r="166" spans="2:43" ht="16.5" x14ac:dyDescent="0.3">
      <c r="B166" s="200"/>
      <c r="C166" s="201"/>
      <c r="D166" s="201"/>
      <c r="E166" s="201"/>
      <c r="F166" s="201"/>
      <c r="G166" s="201"/>
      <c r="H166" s="201"/>
      <c r="I166" s="201"/>
      <c r="J166" s="201"/>
      <c r="K166" s="201"/>
      <c r="L166" s="201"/>
      <c r="M166" s="201"/>
      <c r="N166" s="201"/>
      <c r="O166" s="201"/>
      <c r="P166" s="201"/>
      <c r="Q166" s="159"/>
      <c r="R166" s="159"/>
      <c r="S166" s="159"/>
      <c r="T166" s="159"/>
      <c r="U166" s="159"/>
      <c r="V166" s="159"/>
      <c r="W166" s="159"/>
      <c r="X166" s="159"/>
      <c r="Y166" s="159"/>
      <c r="Z166" s="159"/>
      <c r="AA166" s="159"/>
      <c r="AB166" s="159"/>
      <c r="AC166" s="159"/>
      <c r="AD166" s="159"/>
      <c r="AE166" s="160"/>
      <c r="AF166" s="160"/>
      <c r="AG166" s="160"/>
      <c r="AH166" s="160"/>
      <c r="AI166" s="160"/>
      <c r="AJ166" s="160"/>
      <c r="AK166" s="160"/>
      <c r="AL166" s="160"/>
      <c r="AM166" s="160"/>
      <c r="AN166" s="160"/>
      <c r="AO166" s="160"/>
      <c r="AP166" s="160"/>
      <c r="AQ166" s="160"/>
    </row>
    <row r="167" spans="2:43" ht="16.5" x14ac:dyDescent="0.3">
      <c r="B167" s="200"/>
      <c r="C167" s="201"/>
      <c r="D167" s="201"/>
      <c r="E167" s="201"/>
      <c r="F167" s="201"/>
      <c r="G167" s="201"/>
      <c r="H167" s="201"/>
      <c r="I167" s="201"/>
      <c r="J167" s="201"/>
      <c r="K167" s="201"/>
      <c r="L167" s="201"/>
      <c r="M167" s="201"/>
      <c r="N167" s="201"/>
      <c r="O167" s="201"/>
      <c r="P167" s="201"/>
      <c r="Q167" s="159"/>
      <c r="R167" s="159"/>
      <c r="S167" s="159"/>
      <c r="T167" s="159"/>
      <c r="U167" s="159"/>
      <c r="V167" s="159"/>
      <c r="W167" s="159"/>
      <c r="X167" s="159"/>
      <c r="Y167" s="159"/>
      <c r="Z167" s="159"/>
      <c r="AA167" s="159"/>
      <c r="AB167" s="159"/>
      <c r="AC167" s="159"/>
      <c r="AD167" s="159"/>
      <c r="AE167" s="160"/>
      <c r="AF167" s="160"/>
      <c r="AG167" s="160"/>
      <c r="AH167" s="160"/>
      <c r="AI167" s="160"/>
      <c r="AJ167" s="160"/>
      <c r="AK167" s="160"/>
      <c r="AL167" s="160"/>
      <c r="AM167" s="160"/>
      <c r="AN167" s="160"/>
      <c r="AO167" s="160"/>
      <c r="AP167" s="160"/>
      <c r="AQ167" s="160"/>
    </row>
    <row r="168" spans="2:43" ht="16.5" x14ac:dyDescent="0.3">
      <c r="B168" s="200"/>
      <c r="C168" s="201"/>
      <c r="D168" s="201"/>
      <c r="E168" s="201"/>
      <c r="F168" s="201"/>
      <c r="G168" s="201"/>
      <c r="H168" s="201"/>
      <c r="I168" s="201"/>
      <c r="J168" s="201"/>
      <c r="K168" s="201"/>
      <c r="L168" s="201"/>
      <c r="M168" s="201"/>
      <c r="N168" s="201"/>
      <c r="O168" s="201"/>
      <c r="P168" s="201"/>
      <c r="Q168" s="159"/>
      <c r="R168" s="159"/>
      <c r="S168" s="159"/>
      <c r="T168" s="159"/>
      <c r="U168" s="159"/>
      <c r="V168" s="159"/>
      <c r="W168" s="159"/>
      <c r="X168" s="159"/>
      <c r="Y168" s="159"/>
      <c r="Z168" s="159"/>
      <c r="AA168" s="159"/>
      <c r="AB168" s="159"/>
      <c r="AC168" s="159"/>
      <c r="AD168" s="159"/>
      <c r="AE168" s="160"/>
      <c r="AF168" s="160"/>
      <c r="AG168" s="160"/>
      <c r="AH168" s="160"/>
      <c r="AI168" s="160"/>
      <c r="AJ168" s="160"/>
      <c r="AK168" s="160"/>
      <c r="AL168" s="160"/>
      <c r="AM168" s="160"/>
      <c r="AN168" s="160"/>
      <c r="AO168" s="160"/>
      <c r="AP168" s="160"/>
      <c r="AQ168" s="160"/>
    </row>
    <row r="169" spans="2:43" ht="16.5" x14ac:dyDescent="0.3">
      <c r="B169" s="200"/>
      <c r="C169" s="201"/>
      <c r="D169" s="201"/>
      <c r="E169" s="201"/>
      <c r="F169" s="201"/>
      <c r="G169" s="201"/>
      <c r="H169" s="201"/>
      <c r="I169" s="201"/>
      <c r="J169" s="201"/>
      <c r="K169" s="201"/>
      <c r="L169" s="201"/>
      <c r="M169" s="201"/>
      <c r="N169" s="201"/>
      <c r="O169" s="201"/>
      <c r="P169" s="201"/>
      <c r="Q169" s="159"/>
      <c r="R169" s="159"/>
      <c r="S169" s="159"/>
      <c r="T169" s="159"/>
      <c r="U169" s="159"/>
      <c r="V169" s="159"/>
      <c r="W169" s="159"/>
      <c r="X169" s="159"/>
      <c r="Y169" s="159"/>
      <c r="Z169" s="159"/>
      <c r="AA169" s="159"/>
      <c r="AB169" s="159"/>
      <c r="AC169" s="159"/>
      <c r="AD169" s="159"/>
      <c r="AE169" s="160"/>
      <c r="AF169" s="160"/>
      <c r="AG169" s="160"/>
      <c r="AH169" s="160"/>
      <c r="AI169" s="160"/>
      <c r="AJ169" s="160"/>
      <c r="AK169" s="160"/>
      <c r="AL169" s="160"/>
      <c r="AM169" s="160"/>
      <c r="AN169" s="160"/>
      <c r="AO169" s="160"/>
      <c r="AP169" s="160"/>
      <c r="AQ169" s="160"/>
    </row>
    <row r="170" spans="2:43" ht="16.5" x14ac:dyDescent="0.3">
      <c r="B170" s="200"/>
      <c r="C170" s="201"/>
      <c r="D170" s="201"/>
      <c r="E170" s="201"/>
      <c r="F170" s="201"/>
      <c r="G170" s="201"/>
      <c r="H170" s="201"/>
      <c r="I170" s="201"/>
      <c r="J170" s="201"/>
      <c r="K170" s="201"/>
      <c r="L170" s="201"/>
      <c r="M170" s="201"/>
      <c r="N170" s="201"/>
      <c r="O170" s="201"/>
      <c r="P170" s="201"/>
      <c r="Q170" s="159"/>
      <c r="R170" s="159"/>
      <c r="S170" s="159"/>
      <c r="T170" s="159"/>
      <c r="U170" s="159"/>
      <c r="V170" s="159"/>
      <c r="W170" s="159"/>
      <c r="X170" s="159"/>
      <c r="Y170" s="159"/>
      <c r="Z170" s="159"/>
      <c r="AA170" s="159"/>
      <c r="AB170" s="159"/>
      <c r="AC170" s="159"/>
      <c r="AD170" s="159"/>
      <c r="AE170" s="160"/>
      <c r="AF170" s="160"/>
      <c r="AG170" s="160"/>
      <c r="AH170" s="160"/>
      <c r="AI170" s="160"/>
      <c r="AJ170" s="160"/>
      <c r="AK170" s="160"/>
      <c r="AL170" s="160"/>
      <c r="AM170" s="160"/>
      <c r="AN170" s="160"/>
      <c r="AO170" s="160"/>
      <c r="AP170" s="160"/>
      <c r="AQ170" s="160"/>
    </row>
    <row r="171" spans="2:43" ht="16.5" x14ac:dyDescent="0.3">
      <c r="B171" s="200"/>
      <c r="C171" s="201"/>
      <c r="D171" s="201"/>
      <c r="E171" s="201"/>
      <c r="F171" s="201"/>
      <c r="G171" s="201"/>
      <c r="H171" s="201"/>
      <c r="I171" s="201"/>
      <c r="J171" s="201"/>
      <c r="K171" s="201"/>
      <c r="L171" s="201"/>
      <c r="M171" s="201"/>
      <c r="N171" s="201"/>
      <c r="O171" s="201"/>
      <c r="P171" s="201"/>
      <c r="Q171" s="159"/>
      <c r="R171" s="159"/>
      <c r="S171" s="159"/>
      <c r="T171" s="159"/>
      <c r="U171" s="159"/>
      <c r="V171" s="159"/>
      <c r="W171" s="159"/>
      <c r="X171" s="159"/>
      <c r="Y171" s="159"/>
      <c r="Z171" s="159"/>
      <c r="AA171" s="159"/>
      <c r="AB171" s="159"/>
      <c r="AC171" s="159"/>
      <c r="AD171" s="159"/>
      <c r="AE171" s="160"/>
      <c r="AF171" s="160"/>
      <c r="AG171" s="160"/>
      <c r="AH171" s="160"/>
      <c r="AI171" s="160"/>
      <c r="AJ171" s="160"/>
      <c r="AK171" s="160"/>
      <c r="AL171" s="160"/>
      <c r="AM171" s="160"/>
      <c r="AN171" s="160"/>
      <c r="AO171" s="160"/>
      <c r="AP171" s="160"/>
      <c r="AQ171" s="160"/>
    </row>
    <row r="172" spans="2:43" ht="16.5" x14ac:dyDescent="0.3">
      <c r="B172" s="200"/>
      <c r="C172" s="201"/>
      <c r="D172" s="201"/>
      <c r="E172" s="201"/>
      <c r="F172" s="201"/>
      <c r="G172" s="201"/>
      <c r="H172" s="201"/>
      <c r="I172" s="201"/>
      <c r="J172" s="201"/>
      <c r="K172" s="201"/>
      <c r="L172" s="201"/>
      <c r="M172" s="201"/>
      <c r="N172" s="201"/>
      <c r="O172" s="201"/>
      <c r="P172" s="201"/>
      <c r="Q172" s="159"/>
      <c r="R172" s="159"/>
      <c r="S172" s="159"/>
      <c r="T172" s="159"/>
      <c r="U172" s="159"/>
      <c r="V172" s="159"/>
      <c r="W172" s="159"/>
      <c r="X172" s="159"/>
      <c r="Y172" s="159"/>
      <c r="Z172" s="159"/>
      <c r="AA172" s="159"/>
      <c r="AB172" s="159"/>
      <c r="AC172" s="159"/>
      <c r="AD172" s="159"/>
      <c r="AE172" s="160"/>
      <c r="AF172" s="160"/>
      <c r="AG172" s="160"/>
      <c r="AH172" s="160"/>
      <c r="AI172" s="160"/>
      <c r="AJ172" s="160"/>
      <c r="AK172" s="160"/>
      <c r="AL172" s="160"/>
      <c r="AM172" s="160"/>
      <c r="AN172" s="160"/>
      <c r="AO172" s="160"/>
      <c r="AP172" s="160"/>
      <c r="AQ172" s="160"/>
    </row>
    <row r="173" spans="2:43" ht="16.5" x14ac:dyDescent="0.3">
      <c r="B173" s="200"/>
      <c r="C173" s="201"/>
      <c r="D173" s="201"/>
      <c r="E173" s="201"/>
      <c r="F173" s="201"/>
      <c r="G173" s="201"/>
      <c r="H173" s="201"/>
      <c r="I173" s="201"/>
      <c r="J173" s="201"/>
      <c r="K173" s="201"/>
      <c r="L173" s="201"/>
      <c r="M173" s="201"/>
      <c r="N173" s="201"/>
      <c r="O173" s="201"/>
      <c r="P173" s="201"/>
      <c r="Q173" s="159"/>
      <c r="R173" s="159"/>
      <c r="S173" s="159"/>
      <c r="T173" s="159"/>
      <c r="U173" s="159"/>
      <c r="V173" s="159"/>
      <c r="W173" s="159"/>
      <c r="X173" s="159"/>
      <c r="Y173" s="159"/>
      <c r="Z173" s="159"/>
      <c r="AA173" s="159"/>
      <c r="AB173" s="159"/>
      <c r="AC173" s="159"/>
      <c r="AD173" s="159"/>
      <c r="AE173" s="160"/>
      <c r="AF173" s="160"/>
      <c r="AG173" s="160"/>
      <c r="AH173" s="160"/>
      <c r="AI173" s="160"/>
      <c r="AJ173" s="160"/>
      <c r="AK173" s="160"/>
      <c r="AL173" s="160"/>
      <c r="AM173" s="160"/>
      <c r="AN173" s="160"/>
      <c r="AO173" s="160"/>
      <c r="AP173" s="160"/>
      <c r="AQ173" s="160"/>
    </row>
    <row r="174" spans="2:43" ht="16.5" x14ac:dyDescent="0.3">
      <c r="B174" s="200"/>
      <c r="C174" s="201"/>
      <c r="D174" s="201"/>
      <c r="E174" s="201"/>
      <c r="F174" s="201"/>
      <c r="G174" s="201"/>
      <c r="H174" s="201"/>
      <c r="I174" s="201"/>
      <c r="J174" s="201"/>
      <c r="K174" s="201"/>
      <c r="L174" s="201"/>
      <c r="M174" s="201"/>
      <c r="N174" s="201"/>
      <c r="O174" s="201"/>
      <c r="P174" s="201"/>
      <c r="Q174" s="159"/>
      <c r="R174" s="159"/>
      <c r="S174" s="159"/>
      <c r="T174" s="159"/>
      <c r="U174" s="159"/>
      <c r="V174" s="159"/>
      <c r="W174" s="159"/>
      <c r="X174" s="159"/>
      <c r="Y174" s="159"/>
      <c r="Z174" s="159"/>
      <c r="AA174" s="159"/>
      <c r="AB174" s="159"/>
      <c r="AC174" s="159"/>
      <c r="AD174" s="159"/>
      <c r="AE174" s="160"/>
      <c r="AF174" s="160"/>
      <c r="AG174" s="160"/>
      <c r="AH174" s="160"/>
      <c r="AI174" s="160"/>
      <c r="AJ174" s="160"/>
      <c r="AK174" s="160"/>
      <c r="AL174" s="160"/>
      <c r="AM174" s="160"/>
      <c r="AN174" s="160"/>
      <c r="AO174" s="160"/>
      <c r="AP174" s="160"/>
      <c r="AQ174" s="160"/>
    </row>
    <row r="175" spans="2:43" ht="16.5" x14ac:dyDescent="0.3">
      <c r="B175" s="200"/>
      <c r="C175" s="201"/>
      <c r="D175" s="201"/>
      <c r="E175" s="201"/>
      <c r="F175" s="201"/>
      <c r="G175" s="201"/>
      <c r="H175" s="201"/>
      <c r="I175" s="201"/>
      <c r="J175" s="201"/>
      <c r="K175" s="201"/>
      <c r="L175" s="201"/>
      <c r="M175" s="201"/>
      <c r="N175" s="201"/>
      <c r="O175" s="201"/>
      <c r="P175" s="201"/>
      <c r="Q175" s="159"/>
      <c r="R175" s="159"/>
      <c r="S175" s="159"/>
      <c r="T175" s="159"/>
      <c r="U175" s="159"/>
      <c r="V175" s="159"/>
      <c r="W175" s="159"/>
      <c r="X175" s="159"/>
      <c r="Y175" s="159"/>
      <c r="Z175" s="159"/>
      <c r="AA175" s="159"/>
      <c r="AB175" s="159"/>
      <c r="AC175" s="159"/>
      <c r="AD175" s="159"/>
      <c r="AE175" s="160"/>
      <c r="AF175" s="160"/>
      <c r="AG175" s="160"/>
      <c r="AH175" s="160"/>
      <c r="AI175" s="160"/>
      <c r="AJ175" s="160"/>
      <c r="AK175" s="160"/>
      <c r="AL175" s="160"/>
      <c r="AM175" s="160"/>
      <c r="AN175" s="160"/>
      <c r="AO175" s="160"/>
      <c r="AP175" s="160"/>
      <c r="AQ175" s="160"/>
    </row>
    <row r="176" spans="2:43" ht="16.5" x14ac:dyDescent="0.3">
      <c r="B176" s="200"/>
      <c r="C176" s="201"/>
      <c r="D176" s="201"/>
      <c r="E176" s="201"/>
      <c r="F176" s="201"/>
      <c r="G176" s="201"/>
      <c r="H176" s="201"/>
      <c r="I176" s="201"/>
      <c r="J176" s="201"/>
      <c r="K176" s="201"/>
      <c r="L176" s="201"/>
      <c r="M176" s="201"/>
      <c r="N176" s="201"/>
      <c r="O176" s="201"/>
      <c r="P176" s="201"/>
      <c r="Q176" s="159"/>
      <c r="R176" s="159"/>
      <c r="S176" s="159"/>
      <c r="T176" s="159"/>
      <c r="U176" s="159"/>
      <c r="V176" s="159"/>
      <c r="W176" s="159"/>
      <c r="X176" s="159"/>
      <c r="Y176" s="159"/>
      <c r="Z176" s="159"/>
      <c r="AA176" s="159"/>
      <c r="AB176" s="159"/>
      <c r="AC176" s="159"/>
      <c r="AD176" s="159"/>
      <c r="AE176" s="160"/>
      <c r="AF176" s="160"/>
      <c r="AG176" s="160"/>
      <c r="AH176" s="160"/>
      <c r="AI176" s="160"/>
      <c r="AJ176" s="160"/>
      <c r="AK176" s="160"/>
      <c r="AL176" s="160"/>
      <c r="AM176" s="160"/>
      <c r="AN176" s="160"/>
      <c r="AO176" s="160"/>
      <c r="AP176" s="160"/>
      <c r="AQ176" s="160"/>
    </row>
    <row r="177" spans="2:43" ht="16.5" x14ac:dyDescent="0.3">
      <c r="B177" s="200"/>
      <c r="C177" s="201"/>
      <c r="D177" s="201"/>
      <c r="E177" s="201"/>
      <c r="F177" s="201"/>
      <c r="G177" s="201"/>
      <c r="H177" s="201"/>
      <c r="I177" s="201"/>
      <c r="J177" s="201"/>
      <c r="K177" s="201"/>
      <c r="L177" s="201"/>
      <c r="M177" s="201"/>
      <c r="N177" s="201"/>
      <c r="O177" s="201"/>
      <c r="P177" s="201"/>
      <c r="Q177" s="159"/>
      <c r="R177" s="159"/>
      <c r="S177" s="159"/>
      <c r="T177" s="159"/>
      <c r="U177" s="159"/>
      <c r="V177" s="159"/>
      <c r="W177" s="159"/>
      <c r="X177" s="159"/>
      <c r="Y177" s="159"/>
      <c r="Z177" s="159"/>
      <c r="AA177" s="159"/>
      <c r="AB177" s="159"/>
      <c r="AC177" s="159"/>
      <c r="AD177" s="159"/>
      <c r="AE177" s="160"/>
      <c r="AF177" s="160"/>
      <c r="AG177" s="160"/>
      <c r="AH177" s="160"/>
      <c r="AI177" s="160"/>
      <c r="AJ177" s="160"/>
      <c r="AK177" s="160"/>
      <c r="AL177" s="160"/>
      <c r="AM177" s="160"/>
      <c r="AN177" s="160"/>
      <c r="AO177" s="160"/>
      <c r="AP177" s="160"/>
      <c r="AQ177" s="160"/>
    </row>
    <row r="178" spans="2:43" ht="16.5" x14ac:dyDescent="0.3">
      <c r="B178" s="200"/>
      <c r="C178" s="201"/>
      <c r="D178" s="201"/>
      <c r="E178" s="201"/>
      <c r="F178" s="201"/>
      <c r="G178" s="201"/>
      <c r="H178" s="201"/>
      <c r="I178" s="201"/>
      <c r="J178" s="201"/>
      <c r="K178" s="201"/>
      <c r="L178" s="201"/>
      <c r="M178" s="201"/>
      <c r="N178" s="201"/>
      <c r="O178" s="201"/>
      <c r="P178" s="201"/>
      <c r="Q178" s="159"/>
      <c r="R178" s="159"/>
      <c r="S178" s="159"/>
      <c r="T178" s="159"/>
      <c r="U178" s="159"/>
      <c r="V178" s="159"/>
      <c r="W178" s="159"/>
      <c r="X178" s="159"/>
      <c r="Y178" s="159"/>
      <c r="Z178" s="159"/>
      <c r="AA178" s="159"/>
      <c r="AB178" s="159"/>
      <c r="AC178" s="159"/>
      <c r="AD178" s="159"/>
      <c r="AE178" s="160"/>
      <c r="AF178" s="160"/>
      <c r="AG178" s="160"/>
      <c r="AH178" s="160"/>
      <c r="AI178" s="160"/>
      <c r="AJ178" s="160"/>
      <c r="AK178" s="160"/>
      <c r="AL178" s="160"/>
      <c r="AM178" s="160"/>
      <c r="AN178" s="160"/>
      <c r="AO178" s="160"/>
      <c r="AP178" s="160"/>
      <c r="AQ178" s="160"/>
    </row>
    <row r="179" spans="2:43" ht="16.5" x14ac:dyDescent="0.3">
      <c r="B179" s="200"/>
      <c r="C179" s="201"/>
      <c r="D179" s="201"/>
      <c r="E179" s="201"/>
      <c r="F179" s="201"/>
      <c r="G179" s="201"/>
      <c r="H179" s="201"/>
      <c r="I179" s="201"/>
      <c r="J179" s="201"/>
      <c r="K179" s="201"/>
      <c r="L179" s="201"/>
      <c r="M179" s="201"/>
      <c r="N179" s="201"/>
      <c r="O179" s="201"/>
      <c r="P179" s="201"/>
      <c r="Q179" s="159"/>
      <c r="R179" s="159"/>
      <c r="S179" s="159"/>
      <c r="T179" s="159"/>
      <c r="U179" s="159"/>
      <c r="V179" s="159"/>
      <c r="W179" s="159"/>
      <c r="X179" s="159"/>
      <c r="Y179" s="159"/>
      <c r="Z179" s="159"/>
      <c r="AA179" s="159"/>
      <c r="AB179" s="159"/>
      <c r="AC179" s="159"/>
      <c r="AD179" s="159"/>
      <c r="AE179" s="160"/>
      <c r="AF179" s="160"/>
      <c r="AG179" s="160"/>
      <c r="AH179" s="160"/>
      <c r="AI179" s="160"/>
      <c r="AJ179" s="160"/>
      <c r="AK179" s="160"/>
      <c r="AL179" s="160"/>
      <c r="AM179" s="160"/>
      <c r="AN179" s="160"/>
      <c r="AO179" s="160"/>
      <c r="AP179" s="160"/>
      <c r="AQ179" s="160"/>
    </row>
    <row r="180" spans="2:43" ht="16.5" x14ac:dyDescent="0.3">
      <c r="B180" s="200"/>
      <c r="C180" s="201"/>
      <c r="D180" s="201"/>
      <c r="E180" s="201"/>
      <c r="F180" s="201"/>
      <c r="G180" s="201"/>
      <c r="H180" s="201"/>
      <c r="I180" s="201"/>
      <c r="J180" s="201"/>
      <c r="K180" s="201"/>
      <c r="L180" s="201"/>
      <c r="M180" s="201"/>
      <c r="N180" s="201"/>
      <c r="O180" s="201"/>
      <c r="P180" s="201"/>
      <c r="Q180" s="159"/>
      <c r="R180" s="159"/>
      <c r="S180" s="159"/>
      <c r="T180" s="159"/>
      <c r="U180" s="159"/>
      <c r="V180" s="159"/>
      <c r="W180" s="159"/>
      <c r="X180" s="159"/>
      <c r="Y180" s="159"/>
      <c r="Z180" s="159"/>
      <c r="AA180" s="159"/>
      <c r="AB180" s="159"/>
      <c r="AC180" s="159"/>
      <c r="AD180" s="159"/>
      <c r="AE180" s="160"/>
      <c r="AF180" s="160"/>
      <c r="AG180" s="160"/>
      <c r="AH180" s="160"/>
      <c r="AI180" s="160"/>
      <c r="AJ180" s="160"/>
      <c r="AK180" s="160"/>
      <c r="AL180" s="160"/>
      <c r="AM180" s="160"/>
      <c r="AN180" s="160"/>
      <c r="AO180" s="160"/>
      <c r="AP180" s="160"/>
      <c r="AQ180" s="160"/>
    </row>
    <row r="181" spans="2:43" ht="16.5" x14ac:dyDescent="0.3">
      <c r="B181" s="200"/>
      <c r="C181" s="201"/>
      <c r="D181" s="201"/>
      <c r="E181" s="201"/>
      <c r="F181" s="201"/>
      <c r="G181" s="201"/>
      <c r="H181" s="201"/>
      <c r="I181" s="201"/>
      <c r="J181" s="201"/>
      <c r="K181" s="201"/>
      <c r="L181" s="201"/>
      <c r="M181" s="201"/>
      <c r="N181" s="201"/>
      <c r="O181" s="201"/>
      <c r="P181" s="201"/>
      <c r="Q181" s="159"/>
      <c r="R181" s="159"/>
      <c r="S181" s="159"/>
      <c r="T181" s="159"/>
      <c r="U181" s="159"/>
      <c r="V181" s="159"/>
      <c r="W181" s="159"/>
      <c r="X181" s="159"/>
      <c r="Y181" s="159"/>
      <c r="Z181" s="159"/>
      <c r="AA181" s="159"/>
      <c r="AB181" s="159"/>
      <c r="AC181" s="159"/>
      <c r="AD181" s="159"/>
      <c r="AE181" s="160"/>
      <c r="AF181" s="160"/>
      <c r="AG181" s="160"/>
      <c r="AH181" s="160"/>
      <c r="AI181" s="160"/>
      <c r="AJ181" s="160"/>
      <c r="AK181" s="160"/>
      <c r="AL181" s="160"/>
      <c r="AM181" s="160"/>
      <c r="AN181" s="160"/>
      <c r="AO181" s="160"/>
      <c r="AP181" s="160"/>
      <c r="AQ181" s="160"/>
    </row>
    <row r="182" spans="2:43" ht="16.5" x14ac:dyDescent="0.3">
      <c r="B182" s="200"/>
      <c r="C182" s="201"/>
      <c r="D182" s="201"/>
      <c r="E182" s="201"/>
      <c r="F182" s="201"/>
      <c r="G182" s="201"/>
      <c r="H182" s="201"/>
      <c r="I182" s="201"/>
      <c r="J182" s="201"/>
      <c r="K182" s="201"/>
      <c r="L182" s="201"/>
      <c r="M182" s="201"/>
      <c r="N182" s="201"/>
      <c r="O182" s="201"/>
      <c r="P182" s="201"/>
      <c r="Q182" s="159"/>
      <c r="R182" s="159"/>
      <c r="S182" s="159"/>
      <c r="T182" s="159"/>
      <c r="U182" s="159"/>
      <c r="V182" s="159"/>
      <c r="W182" s="159"/>
      <c r="X182" s="159"/>
      <c r="Y182" s="159"/>
      <c r="Z182" s="159"/>
      <c r="AA182" s="159"/>
      <c r="AB182" s="159"/>
      <c r="AC182" s="159"/>
      <c r="AD182" s="159"/>
      <c r="AE182" s="160"/>
      <c r="AF182" s="160"/>
      <c r="AG182" s="160"/>
      <c r="AH182" s="160"/>
      <c r="AI182" s="160"/>
      <c r="AJ182" s="160"/>
      <c r="AK182" s="160"/>
      <c r="AL182" s="160"/>
      <c r="AM182" s="160"/>
      <c r="AN182" s="160"/>
      <c r="AO182" s="160"/>
      <c r="AP182" s="160"/>
      <c r="AQ182" s="160"/>
    </row>
    <row r="183" spans="2:43" ht="16.5" x14ac:dyDescent="0.3">
      <c r="B183" s="200"/>
      <c r="C183" s="201"/>
      <c r="D183" s="201"/>
      <c r="E183" s="201"/>
      <c r="F183" s="201"/>
      <c r="G183" s="201"/>
      <c r="H183" s="201"/>
      <c r="I183" s="201"/>
      <c r="J183" s="201"/>
      <c r="K183" s="201"/>
      <c r="L183" s="201"/>
      <c r="M183" s="201"/>
      <c r="N183" s="201"/>
      <c r="O183" s="201"/>
      <c r="P183" s="201"/>
      <c r="Q183" s="159"/>
      <c r="R183" s="159"/>
      <c r="S183" s="159"/>
      <c r="T183" s="159"/>
      <c r="U183" s="159"/>
      <c r="V183" s="159"/>
      <c r="W183" s="159"/>
      <c r="X183" s="159"/>
      <c r="Y183" s="159"/>
      <c r="Z183" s="159"/>
      <c r="AA183" s="159"/>
      <c r="AB183" s="159"/>
      <c r="AC183" s="159"/>
      <c r="AD183" s="159"/>
      <c r="AE183" s="160"/>
      <c r="AF183" s="160"/>
      <c r="AG183" s="160"/>
      <c r="AH183" s="160"/>
      <c r="AI183" s="160"/>
      <c r="AJ183" s="160"/>
      <c r="AK183" s="160"/>
      <c r="AL183" s="160"/>
      <c r="AM183" s="160"/>
      <c r="AN183" s="160"/>
      <c r="AO183" s="160"/>
      <c r="AP183" s="160"/>
      <c r="AQ183" s="160"/>
    </row>
    <row r="184" spans="2:43" ht="16.5" x14ac:dyDescent="0.3">
      <c r="B184" s="200"/>
      <c r="C184" s="201"/>
      <c r="D184" s="201"/>
      <c r="E184" s="201"/>
      <c r="F184" s="201"/>
      <c r="G184" s="201"/>
      <c r="H184" s="201"/>
      <c r="I184" s="201"/>
      <c r="J184" s="201"/>
      <c r="K184" s="201"/>
      <c r="L184" s="201"/>
      <c r="M184" s="201"/>
      <c r="N184" s="201"/>
      <c r="O184" s="201"/>
      <c r="P184" s="201"/>
      <c r="Q184" s="159"/>
      <c r="R184" s="159"/>
      <c r="S184" s="159"/>
      <c r="T184" s="159"/>
      <c r="U184" s="159"/>
      <c r="V184" s="159"/>
      <c r="W184" s="159"/>
      <c r="X184" s="159"/>
      <c r="Y184" s="159"/>
      <c r="Z184" s="159"/>
      <c r="AA184" s="159"/>
      <c r="AB184" s="159"/>
      <c r="AC184" s="159"/>
      <c r="AD184" s="159"/>
      <c r="AE184" s="160"/>
      <c r="AF184" s="160"/>
      <c r="AG184" s="160"/>
      <c r="AH184" s="160"/>
      <c r="AI184" s="160"/>
      <c r="AJ184" s="160"/>
      <c r="AK184" s="160"/>
      <c r="AL184" s="160"/>
      <c r="AM184" s="160"/>
      <c r="AN184" s="160"/>
      <c r="AO184" s="160"/>
      <c r="AP184" s="160"/>
      <c r="AQ184" s="160"/>
    </row>
    <row r="185" spans="2:43" ht="16.5" x14ac:dyDescent="0.3">
      <c r="B185" s="200"/>
      <c r="C185" s="201"/>
      <c r="D185" s="201"/>
      <c r="E185" s="201"/>
      <c r="F185" s="201"/>
      <c r="G185" s="201"/>
      <c r="H185" s="201"/>
      <c r="I185" s="201"/>
      <c r="J185" s="201"/>
      <c r="K185" s="201"/>
      <c r="L185" s="201"/>
      <c r="M185" s="201"/>
      <c r="N185" s="201"/>
      <c r="O185" s="201"/>
      <c r="P185" s="201"/>
      <c r="Q185" s="159"/>
      <c r="R185" s="159"/>
      <c r="S185" s="159"/>
      <c r="T185" s="159"/>
      <c r="U185" s="159"/>
      <c r="V185" s="159"/>
      <c r="W185" s="159"/>
      <c r="X185" s="159"/>
      <c r="Y185" s="159"/>
      <c r="Z185" s="159"/>
      <c r="AA185" s="159"/>
      <c r="AB185" s="159"/>
      <c r="AC185" s="159"/>
      <c r="AD185" s="159"/>
      <c r="AE185" s="160"/>
      <c r="AF185" s="160"/>
      <c r="AG185" s="160"/>
      <c r="AH185" s="160"/>
      <c r="AI185" s="160"/>
      <c r="AJ185" s="160"/>
      <c r="AK185" s="160"/>
      <c r="AL185" s="160"/>
      <c r="AM185" s="160"/>
      <c r="AN185" s="160"/>
      <c r="AO185" s="160"/>
      <c r="AP185" s="160"/>
      <c r="AQ185" s="160"/>
    </row>
    <row r="186" spans="2:43" ht="16.5" x14ac:dyDescent="0.3">
      <c r="B186" s="200"/>
      <c r="C186" s="201"/>
      <c r="D186" s="201"/>
      <c r="E186" s="201"/>
      <c r="F186" s="201"/>
      <c r="G186" s="201"/>
      <c r="H186" s="201"/>
      <c r="I186" s="201"/>
      <c r="J186" s="201"/>
      <c r="K186" s="201"/>
      <c r="L186" s="201"/>
      <c r="M186" s="201"/>
      <c r="N186" s="201"/>
      <c r="O186" s="201"/>
      <c r="P186" s="201"/>
      <c r="Q186" s="159"/>
      <c r="R186" s="159"/>
      <c r="S186" s="159"/>
      <c r="T186" s="159"/>
      <c r="U186" s="159"/>
      <c r="V186" s="159"/>
      <c r="W186" s="159"/>
      <c r="X186" s="159"/>
      <c r="Y186" s="159"/>
      <c r="Z186" s="159"/>
      <c r="AA186" s="159"/>
      <c r="AB186" s="159"/>
      <c r="AC186" s="159"/>
      <c r="AD186" s="159"/>
      <c r="AE186" s="160"/>
      <c r="AF186" s="160"/>
      <c r="AG186" s="160"/>
      <c r="AH186" s="160"/>
      <c r="AI186" s="160"/>
      <c r="AJ186" s="160"/>
      <c r="AK186" s="160"/>
      <c r="AL186" s="160"/>
      <c r="AM186" s="160"/>
      <c r="AN186" s="160"/>
      <c r="AO186" s="160"/>
      <c r="AP186" s="160"/>
      <c r="AQ186" s="160"/>
    </row>
    <row r="187" spans="2:43" ht="16.5" x14ac:dyDescent="0.3">
      <c r="B187" s="200"/>
      <c r="C187" s="201"/>
      <c r="D187" s="201"/>
      <c r="E187" s="201"/>
      <c r="F187" s="201"/>
      <c r="G187" s="201"/>
      <c r="H187" s="201"/>
      <c r="I187" s="201"/>
      <c r="J187" s="201"/>
      <c r="K187" s="201"/>
      <c r="L187" s="201"/>
      <c r="M187" s="201"/>
      <c r="N187" s="201"/>
      <c r="O187" s="201"/>
      <c r="P187" s="201"/>
      <c r="Q187" s="159"/>
      <c r="R187" s="159"/>
      <c r="S187" s="159"/>
      <c r="T187" s="159"/>
      <c r="U187" s="159"/>
      <c r="V187" s="159"/>
      <c r="W187" s="159"/>
      <c r="X187" s="159"/>
      <c r="Y187" s="159"/>
      <c r="Z187" s="159"/>
      <c r="AA187" s="159"/>
      <c r="AB187" s="159"/>
      <c r="AC187" s="159"/>
      <c r="AD187" s="159"/>
      <c r="AE187" s="160"/>
      <c r="AF187" s="160"/>
      <c r="AG187" s="160"/>
      <c r="AH187" s="160"/>
      <c r="AI187" s="160"/>
      <c r="AJ187" s="160"/>
      <c r="AK187" s="160"/>
      <c r="AL187" s="160"/>
      <c r="AM187" s="160"/>
      <c r="AN187" s="160"/>
      <c r="AO187" s="160"/>
      <c r="AP187" s="160"/>
      <c r="AQ187" s="160"/>
    </row>
    <row r="188" spans="2:43" ht="16.5" x14ac:dyDescent="0.3">
      <c r="B188" s="200"/>
      <c r="C188" s="201"/>
      <c r="D188" s="201"/>
      <c r="E188" s="201"/>
      <c r="F188" s="201"/>
      <c r="G188" s="201"/>
      <c r="H188" s="201"/>
      <c r="I188" s="201"/>
      <c r="J188" s="201"/>
      <c r="K188" s="201"/>
      <c r="L188" s="201"/>
      <c r="M188" s="201"/>
      <c r="N188" s="201"/>
      <c r="O188" s="201"/>
      <c r="P188" s="201"/>
      <c r="Q188" s="159"/>
      <c r="R188" s="159"/>
      <c r="S188" s="159"/>
      <c r="T188" s="159"/>
      <c r="U188" s="159"/>
      <c r="V188" s="159"/>
      <c r="W188" s="159"/>
      <c r="X188" s="159"/>
      <c r="Y188" s="159"/>
      <c r="Z188" s="159"/>
      <c r="AA188" s="159"/>
      <c r="AB188" s="159"/>
      <c r="AC188" s="159"/>
      <c r="AD188" s="159"/>
      <c r="AE188" s="160"/>
      <c r="AF188" s="160"/>
      <c r="AG188" s="160"/>
      <c r="AH188" s="160"/>
      <c r="AI188" s="160"/>
      <c r="AJ188" s="160"/>
      <c r="AK188" s="160"/>
      <c r="AL188" s="160"/>
      <c r="AM188" s="160"/>
      <c r="AN188" s="160"/>
      <c r="AO188" s="160"/>
      <c r="AP188" s="160"/>
      <c r="AQ188" s="160"/>
    </row>
    <row r="189" spans="2:43" ht="16.5" x14ac:dyDescent="0.3">
      <c r="B189" s="200"/>
      <c r="C189" s="201"/>
      <c r="D189" s="201"/>
      <c r="E189" s="201"/>
      <c r="F189" s="201"/>
      <c r="G189" s="201"/>
      <c r="H189" s="201"/>
      <c r="I189" s="201"/>
      <c r="J189" s="201"/>
      <c r="K189" s="201"/>
      <c r="L189" s="201"/>
      <c r="M189" s="201"/>
      <c r="N189" s="201"/>
      <c r="O189" s="201"/>
      <c r="P189" s="201"/>
      <c r="Q189" s="159"/>
      <c r="R189" s="159"/>
      <c r="S189" s="159"/>
      <c r="T189" s="159"/>
      <c r="U189" s="159"/>
      <c r="V189" s="159"/>
      <c r="W189" s="159"/>
      <c r="X189" s="159"/>
      <c r="Y189" s="159"/>
      <c r="Z189" s="159"/>
      <c r="AA189" s="159"/>
      <c r="AB189" s="159"/>
      <c r="AC189" s="159"/>
      <c r="AD189" s="159"/>
      <c r="AE189" s="160"/>
      <c r="AF189" s="160"/>
      <c r="AG189" s="160"/>
      <c r="AH189" s="160"/>
      <c r="AI189" s="160"/>
      <c r="AJ189" s="160"/>
      <c r="AK189" s="160"/>
      <c r="AL189" s="160"/>
      <c r="AM189" s="160"/>
      <c r="AN189" s="160"/>
      <c r="AO189" s="160"/>
      <c r="AP189" s="160"/>
      <c r="AQ189" s="160"/>
    </row>
    <row r="190" spans="2:43" ht="16.5" x14ac:dyDescent="0.3">
      <c r="B190" s="200"/>
      <c r="C190" s="201"/>
      <c r="D190" s="201"/>
      <c r="E190" s="201"/>
      <c r="F190" s="201"/>
      <c r="G190" s="201"/>
      <c r="H190" s="201"/>
      <c r="I190" s="201"/>
      <c r="J190" s="201"/>
      <c r="K190" s="201"/>
      <c r="L190" s="201"/>
      <c r="M190" s="201"/>
      <c r="N190" s="201"/>
      <c r="O190" s="201"/>
      <c r="P190" s="201"/>
      <c r="Q190" s="159"/>
      <c r="R190" s="159"/>
      <c r="S190" s="159"/>
      <c r="T190" s="159"/>
      <c r="U190" s="159"/>
      <c r="V190" s="159"/>
      <c r="W190" s="159"/>
      <c r="X190" s="159"/>
      <c r="Y190" s="159"/>
      <c r="Z190" s="159"/>
      <c r="AA190" s="159"/>
      <c r="AB190" s="159"/>
      <c r="AC190" s="159"/>
      <c r="AD190" s="159"/>
      <c r="AE190" s="160"/>
      <c r="AF190" s="160"/>
      <c r="AG190" s="160"/>
      <c r="AH190" s="160"/>
      <c r="AI190" s="160"/>
      <c r="AJ190" s="160"/>
      <c r="AK190" s="160"/>
      <c r="AL190" s="160"/>
      <c r="AM190" s="160"/>
      <c r="AN190" s="160"/>
      <c r="AO190" s="160"/>
      <c r="AP190" s="160"/>
      <c r="AQ190" s="160"/>
    </row>
    <row r="191" spans="2:43" ht="16.5" x14ac:dyDescent="0.3">
      <c r="B191" s="200"/>
      <c r="C191" s="201"/>
      <c r="D191" s="201"/>
      <c r="E191" s="201"/>
      <c r="F191" s="201"/>
      <c r="G191" s="201"/>
      <c r="H191" s="201"/>
      <c r="I191" s="201"/>
      <c r="J191" s="201"/>
      <c r="K191" s="201"/>
      <c r="L191" s="201"/>
      <c r="M191" s="201"/>
      <c r="N191" s="201"/>
      <c r="O191" s="201"/>
      <c r="P191" s="201"/>
      <c r="Q191" s="159"/>
      <c r="R191" s="159"/>
      <c r="S191" s="159"/>
      <c r="T191" s="159"/>
      <c r="U191" s="159"/>
      <c r="V191" s="159"/>
      <c r="W191" s="159"/>
      <c r="X191" s="159"/>
      <c r="Y191" s="159"/>
      <c r="Z191" s="159"/>
      <c r="AA191" s="159"/>
      <c r="AB191" s="159"/>
      <c r="AC191" s="159"/>
      <c r="AD191" s="159"/>
      <c r="AE191" s="160"/>
      <c r="AF191" s="160"/>
      <c r="AG191" s="160"/>
      <c r="AH191" s="160"/>
      <c r="AI191" s="160"/>
      <c r="AJ191" s="160"/>
      <c r="AK191" s="160"/>
      <c r="AL191" s="160"/>
      <c r="AM191" s="160"/>
      <c r="AN191" s="160"/>
      <c r="AO191" s="160"/>
      <c r="AP191" s="160"/>
      <c r="AQ191" s="160"/>
    </row>
    <row r="192" spans="2:43" ht="16.5" x14ac:dyDescent="0.3">
      <c r="B192" s="200"/>
      <c r="C192" s="201"/>
      <c r="D192" s="201"/>
      <c r="E192" s="201"/>
      <c r="F192" s="201"/>
      <c r="G192" s="201"/>
      <c r="H192" s="201"/>
      <c r="I192" s="201"/>
      <c r="J192" s="201"/>
      <c r="K192" s="201"/>
      <c r="L192" s="201"/>
      <c r="M192" s="201"/>
      <c r="N192" s="201"/>
      <c r="O192" s="201"/>
      <c r="P192" s="201"/>
      <c r="Q192" s="159"/>
      <c r="R192" s="159"/>
      <c r="S192" s="159"/>
      <c r="T192" s="159"/>
      <c r="U192" s="159"/>
      <c r="V192" s="159"/>
      <c r="W192" s="159"/>
      <c r="X192" s="159"/>
      <c r="Y192" s="159"/>
      <c r="Z192" s="159"/>
      <c r="AA192" s="159"/>
      <c r="AB192" s="159"/>
      <c r="AC192" s="159"/>
      <c r="AD192" s="159"/>
      <c r="AE192" s="160"/>
      <c r="AF192" s="160"/>
      <c r="AG192" s="160"/>
      <c r="AH192" s="160"/>
      <c r="AI192" s="160"/>
      <c r="AJ192" s="160"/>
      <c r="AK192" s="160"/>
      <c r="AL192" s="160"/>
      <c r="AM192" s="160"/>
      <c r="AN192" s="160"/>
      <c r="AO192" s="160"/>
      <c r="AP192" s="160"/>
      <c r="AQ192" s="160"/>
    </row>
    <row r="193" spans="2:43" ht="16.5" x14ac:dyDescent="0.3">
      <c r="B193" s="200"/>
      <c r="C193" s="201"/>
      <c r="D193" s="201"/>
      <c r="E193" s="201"/>
      <c r="F193" s="201"/>
      <c r="G193" s="201"/>
      <c r="H193" s="201"/>
      <c r="I193" s="201"/>
      <c r="J193" s="201"/>
      <c r="K193" s="201"/>
      <c r="L193" s="201"/>
      <c r="M193" s="201"/>
      <c r="N193" s="201"/>
      <c r="O193" s="201"/>
      <c r="P193" s="201"/>
      <c r="Q193" s="159"/>
      <c r="R193" s="159"/>
      <c r="S193" s="159"/>
      <c r="T193" s="159"/>
      <c r="U193" s="159"/>
      <c r="V193" s="159"/>
      <c r="W193" s="159"/>
      <c r="X193" s="159"/>
      <c r="Y193" s="159"/>
      <c r="Z193" s="159"/>
      <c r="AA193" s="159"/>
      <c r="AB193" s="159"/>
      <c r="AC193" s="159"/>
      <c r="AD193" s="159"/>
      <c r="AE193" s="160"/>
      <c r="AF193" s="160"/>
      <c r="AG193" s="160"/>
      <c r="AH193" s="160"/>
      <c r="AI193" s="160"/>
      <c r="AJ193" s="160"/>
      <c r="AK193" s="160"/>
      <c r="AL193" s="160"/>
      <c r="AM193" s="160"/>
      <c r="AN193" s="160"/>
      <c r="AO193" s="160"/>
      <c r="AP193" s="160"/>
      <c r="AQ193" s="160"/>
    </row>
    <row r="194" spans="2:43" ht="16.5" x14ac:dyDescent="0.3">
      <c r="B194" s="200"/>
      <c r="C194" s="201"/>
      <c r="D194" s="201"/>
      <c r="E194" s="201"/>
      <c r="F194" s="201"/>
      <c r="G194" s="201"/>
      <c r="H194" s="201"/>
      <c r="I194" s="201"/>
      <c r="J194" s="201"/>
      <c r="K194" s="201"/>
      <c r="L194" s="201"/>
      <c r="M194" s="201"/>
      <c r="N194" s="201"/>
      <c r="O194" s="201"/>
      <c r="P194" s="201"/>
      <c r="Q194" s="159"/>
      <c r="R194" s="159"/>
      <c r="S194" s="159"/>
      <c r="T194" s="159"/>
      <c r="U194" s="159"/>
      <c r="V194" s="159"/>
      <c r="W194" s="159"/>
      <c r="X194" s="159"/>
      <c r="Y194" s="159"/>
      <c r="Z194" s="159"/>
      <c r="AA194" s="159"/>
      <c r="AB194" s="159"/>
      <c r="AC194" s="159"/>
      <c r="AD194" s="159"/>
      <c r="AE194" s="160"/>
      <c r="AF194" s="160"/>
      <c r="AG194" s="160"/>
      <c r="AH194" s="160"/>
      <c r="AI194" s="160"/>
      <c r="AJ194" s="160"/>
      <c r="AK194" s="160"/>
      <c r="AL194" s="160"/>
      <c r="AM194" s="160"/>
      <c r="AN194" s="160"/>
      <c r="AO194" s="160"/>
      <c r="AP194" s="160"/>
      <c r="AQ194" s="160"/>
    </row>
    <row r="195" spans="2:43" ht="16.5" x14ac:dyDescent="0.3">
      <c r="B195" s="200"/>
      <c r="C195" s="201"/>
      <c r="D195" s="201"/>
      <c r="E195" s="201"/>
      <c r="F195" s="201"/>
      <c r="G195" s="201"/>
      <c r="H195" s="201"/>
      <c r="I195" s="201"/>
      <c r="J195" s="201"/>
      <c r="K195" s="201"/>
      <c r="L195" s="201"/>
      <c r="M195" s="201"/>
      <c r="N195" s="201"/>
      <c r="O195" s="201"/>
      <c r="P195" s="201"/>
      <c r="Q195" s="159"/>
      <c r="R195" s="159"/>
      <c r="S195" s="159"/>
      <c r="T195" s="159"/>
      <c r="U195" s="159"/>
      <c r="V195" s="159"/>
      <c r="W195" s="159"/>
      <c r="X195" s="159"/>
      <c r="Y195" s="159"/>
      <c r="Z195" s="159"/>
      <c r="AA195" s="159"/>
      <c r="AB195" s="159"/>
      <c r="AC195" s="159"/>
      <c r="AD195" s="159"/>
      <c r="AE195" s="160"/>
      <c r="AF195" s="160"/>
      <c r="AG195" s="160"/>
      <c r="AH195" s="160"/>
      <c r="AI195" s="160"/>
      <c r="AJ195" s="160"/>
      <c r="AK195" s="160"/>
      <c r="AL195" s="160"/>
      <c r="AM195" s="160"/>
      <c r="AN195" s="160"/>
      <c r="AO195" s="160"/>
      <c r="AP195" s="160"/>
      <c r="AQ195" s="160"/>
    </row>
    <row r="196" spans="2:43" ht="16.5" x14ac:dyDescent="0.3">
      <c r="B196" s="200"/>
      <c r="C196" s="201"/>
      <c r="D196" s="201"/>
      <c r="E196" s="201"/>
      <c r="F196" s="201"/>
      <c r="G196" s="201"/>
      <c r="H196" s="201"/>
      <c r="I196" s="201"/>
      <c r="J196" s="201"/>
      <c r="K196" s="201"/>
      <c r="L196" s="201"/>
      <c r="M196" s="201"/>
      <c r="N196" s="201"/>
      <c r="O196" s="201"/>
      <c r="P196" s="201"/>
      <c r="Q196" s="159"/>
      <c r="R196" s="159"/>
      <c r="S196" s="159"/>
      <c r="T196" s="159"/>
      <c r="U196" s="159"/>
      <c r="V196" s="159"/>
      <c r="W196" s="159"/>
      <c r="X196" s="159"/>
      <c r="Y196" s="159"/>
      <c r="Z196" s="159"/>
      <c r="AA196" s="159"/>
      <c r="AB196" s="159"/>
      <c r="AC196" s="159"/>
      <c r="AD196" s="159"/>
      <c r="AE196" s="160"/>
      <c r="AF196" s="160"/>
      <c r="AG196" s="160"/>
      <c r="AH196" s="160"/>
      <c r="AI196" s="160"/>
      <c r="AJ196" s="160"/>
      <c r="AK196" s="160"/>
      <c r="AL196" s="160"/>
      <c r="AM196" s="160"/>
      <c r="AN196" s="160"/>
      <c r="AO196" s="160"/>
      <c r="AP196" s="160"/>
      <c r="AQ196" s="160"/>
    </row>
    <row r="197" spans="2:43" ht="16.5" x14ac:dyDescent="0.3">
      <c r="B197" s="200"/>
      <c r="C197" s="201"/>
      <c r="D197" s="201"/>
      <c r="E197" s="201"/>
      <c r="F197" s="201"/>
      <c r="G197" s="201"/>
      <c r="H197" s="201"/>
      <c r="I197" s="201"/>
      <c r="J197" s="201"/>
      <c r="K197" s="201"/>
      <c r="L197" s="201"/>
      <c r="M197" s="201"/>
      <c r="N197" s="201"/>
      <c r="O197" s="201"/>
      <c r="P197" s="201"/>
      <c r="Q197" s="159"/>
      <c r="R197" s="159"/>
      <c r="S197" s="159"/>
      <c r="T197" s="159"/>
      <c r="U197" s="159"/>
      <c r="V197" s="159"/>
      <c r="W197" s="159"/>
      <c r="X197" s="159"/>
      <c r="Y197" s="159"/>
      <c r="Z197" s="159"/>
      <c r="AA197" s="159"/>
      <c r="AB197" s="159"/>
      <c r="AC197" s="159"/>
      <c r="AD197" s="159"/>
      <c r="AE197" s="160"/>
      <c r="AF197" s="160"/>
      <c r="AG197" s="160"/>
      <c r="AH197" s="160"/>
      <c r="AI197" s="160"/>
      <c r="AJ197" s="160"/>
      <c r="AK197" s="160"/>
      <c r="AL197" s="160"/>
      <c r="AM197" s="160"/>
      <c r="AN197" s="160"/>
      <c r="AO197" s="160"/>
      <c r="AP197" s="160"/>
      <c r="AQ197" s="160"/>
    </row>
    <row r="198" spans="2:43" ht="16.5" x14ac:dyDescent="0.3">
      <c r="B198" s="200"/>
      <c r="C198" s="201"/>
      <c r="D198" s="201"/>
      <c r="E198" s="201"/>
      <c r="F198" s="201"/>
      <c r="G198" s="201"/>
      <c r="H198" s="201"/>
      <c r="I198" s="201"/>
      <c r="J198" s="201"/>
      <c r="K198" s="201"/>
      <c r="L198" s="201"/>
      <c r="M198" s="201"/>
      <c r="N198" s="201"/>
      <c r="O198" s="201"/>
      <c r="P198" s="201"/>
      <c r="Q198" s="159"/>
      <c r="R198" s="159"/>
      <c r="S198" s="159"/>
      <c r="T198" s="159"/>
      <c r="U198" s="159"/>
      <c r="V198" s="159"/>
      <c r="W198" s="159"/>
      <c r="X198" s="159"/>
      <c r="Y198" s="159"/>
      <c r="Z198" s="159"/>
      <c r="AA198" s="159"/>
      <c r="AB198" s="159"/>
      <c r="AC198" s="159"/>
      <c r="AD198" s="159"/>
      <c r="AE198" s="160"/>
      <c r="AF198" s="160"/>
      <c r="AG198" s="160"/>
      <c r="AH198" s="160"/>
      <c r="AI198" s="160"/>
      <c r="AJ198" s="160"/>
      <c r="AK198" s="160"/>
      <c r="AL198" s="160"/>
      <c r="AM198" s="160"/>
      <c r="AN198" s="160"/>
      <c r="AO198" s="160"/>
      <c r="AP198" s="160"/>
      <c r="AQ198" s="160"/>
    </row>
    <row r="199" spans="2:43" ht="16.5" x14ac:dyDescent="0.3">
      <c r="B199" s="200"/>
      <c r="C199" s="201"/>
      <c r="D199" s="201"/>
      <c r="E199" s="201"/>
      <c r="F199" s="201"/>
      <c r="G199" s="201"/>
      <c r="H199" s="201"/>
      <c r="I199" s="201"/>
      <c r="J199" s="201"/>
      <c r="K199" s="201"/>
      <c r="L199" s="201"/>
      <c r="M199" s="201"/>
      <c r="N199" s="201"/>
      <c r="O199" s="201"/>
      <c r="P199" s="201"/>
      <c r="Q199" s="159"/>
      <c r="R199" s="159"/>
      <c r="S199" s="159"/>
      <c r="T199" s="159"/>
      <c r="U199" s="159"/>
      <c r="V199" s="159"/>
      <c r="W199" s="159"/>
      <c r="X199" s="159"/>
      <c r="Y199" s="159"/>
      <c r="Z199" s="159"/>
      <c r="AA199" s="159"/>
      <c r="AB199" s="159"/>
      <c r="AC199" s="159"/>
      <c r="AD199" s="159"/>
      <c r="AE199" s="160"/>
      <c r="AF199" s="160"/>
      <c r="AG199" s="160"/>
      <c r="AH199" s="160"/>
      <c r="AI199" s="160"/>
      <c r="AJ199" s="160"/>
      <c r="AK199" s="160"/>
      <c r="AL199" s="160"/>
      <c r="AM199" s="160"/>
      <c r="AN199" s="160"/>
      <c r="AO199" s="160"/>
      <c r="AP199" s="160"/>
      <c r="AQ199" s="160"/>
    </row>
    <row r="200" spans="2:43" ht="16.5" x14ac:dyDescent="0.3">
      <c r="B200" s="200"/>
      <c r="C200" s="201"/>
      <c r="D200" s="201"/>
      <c r="E200" s="201"/>
      <c r="F200" s="201"/>
      <c r="G200" s="201"/>
      <c r="H200" s="201"/>
      <c r="I200" s="201"/>
      <c r="J200" s="201"/>
      <c r="K200" s="201"/>
      <c r="L200" s="201"/>
      <c r="M200" s="201"/>
      <c r="N200" s="201"/>
      <c r="O200" s="201"/>
      <c r="P200" s="201"/>
      <c r="Q200" s="159"/>
      <c r="R200" s="159"/>
      <c r="S200" s="159"/>
      <c r="T200" s="159"/>
      <c r="U200" s="159"/>
      <c r="V200" s="159"/>
      <c r="W200" s="159"/>
      <c r="X200" s="159"/>
      <c r="Y200" s="159"/>
      <c r="Z200" s="159"/>
      <c r="AA200" s="159"/>
      <c r="AB200" s="159"/>
      <c r="AC200" s="159"/>
      <c r="AD200" s="159"/>
      <c r="AE200" s="160"/>
      <c r="AF200" s="160"/>
      <c r="AG200" s="160"/>
      <c r="AH200" s="160"/>
      <c r="AI200" s="160"/>
      <c r="AJ200" s="160"/>
      <c r="AK200" s="160"/>
      <c r="AL200" s="160"/>
      <c r="AM200" s="160"/>
      <c r="AN200" s="160"/>
      <c r="AO200" s="160"/>
      <c r="AP200" s="160"/>
      <c r="AQ200" s="160"/>
    </row>
    <row r="201" spans="2:43" ht="16.5" x14ac:dyDescent="0.3">
      <c r="B201" s="200"/>
      <c r="C201" s="201"/>
      <c r="D201" s="201"/>
      <c r="E201" s="201"/>
      <c r="F201" s="201"/>
      <c r="G201" s="201"/>
      <c r="H201" s="201"/>
      <c r="I201" s="201"/>
      <c r="J201" s="201"/>
      <c r="K201" s="201"/>
      <c r="L201" s="201"/>
      <c r="M201" s="201"/>
      <c r="N201" s="201"/>
      <c r="O201" s="201"/>
      <c r="P201" s="201"/>
      <c r="Q201" s="159"/>
      <c r="R201" s="159"/>
      <c r="S201" s="159"/>
      <c r="T201" s="159"/>
      <c r="U201" s="159"/>
      <c r="V201" s="159"/>
      <c r="W201" s="159"/>
      <c r="X201" s="159"/>
      <c r="Y201" s="159"/>
      <c r="Z201" s="159"/>
      <c r="AA201" s="159"/>
      <c r="AB201" s="159"/>
      <c r="AC201" s="159"/>
      <c r="AD201" s="159"/>
      <c r="AE201" s="160"/>
      <c r="AF201" s="160"/>
      <c r="AG201" s="160"/>
      <c r="AH201" s="160"/>
      <c r="AI201" s="160"/>
      <c r="AJ201" s="160"/>
      <c r="AK201" s="160"/>
      <c r="AL201" s="160"/>
      <c r="AM201" s="160"/>
      <c r="AN201" s="160"/>
      <c r="AO201" s="160"/>
      <c r="AP201" s="160"/>
      <c r="AQ201" s="160"/>
    </row>
    <row r="202" spans="2:43" ht="16.5" x14ac:dyDescent="0.3">
      <c r="B202" s="200"/>
      <c r="C202" s="201"/>
      <c r="D202" s="201"/>
      <c r="E202" s="201"/>
      <c r="F202" s="201"/>
      <c r="G202" s="201"/>
      <c r="H202" s="201"/>
      <c r="I202" s="201"/>
      <c r="J202" s="201"/>
      <c r="K202" s="201"/>
      <c r="L202" s="201"/>
      <c r="M202" s="201"/>
      <c r="N202" s="201"/>
      <c r="O202" s="201"/>
      <c r="P202" s="201"/>
      <c r="Q202" s="159"/>
      <c r="R202" s="159"/>
      <c r="S202" s="159"/>
      <c r="T202" s="159"/>
      <c r="U202" s="159"/>
      <c r="V202" s="159"/>
      <c r="W202" s="159"/>
      <c r="X202" s="159"/>
      <c r="Y202" s="159"/>
      <c r="Z202" s="159"/>
      <c r="AA202" s="159"/>
      <c r="AB202" s="159"/>
      <c r="AC202" s="159"/>
      <c r="AD202" s="159"/>
      <c r="AE202" s="160"/>
      <c r="AF202" s="160"/>
      <c r="AG202" s="160"/>
      <c r="AH202" s="160"/>
      <c r="AI202" s="160"/>
      <c r="AJ202" s="160"/>
      <c r="AK202" s="160"/>
      <c r="AL202" s="160"/>
      <c r="AM202" s="160"/>
      <c r="AN202" s="160"/>
      <c r="AO202" s="160"/>
      <c r="AP202" s="160"/>
      <c r="AQ202" s="160"/>
    </row>
    <row r="203" spans="2:43" ht="16.5" x14ac:dyDescent="0.3">
      <c r="B203" s="200"/>
      <c r="C203" s="201"/>
      <c r="D203" s="201"/>
      <c r="E203" s="201"/>
      <c r="F203" s="201"/>
      <c r="G203" s="201"/>
      <c r="H203" s="201"/>
      <c r="I203" s="201"/>
      <c r="J203" s="201"/>
      <c r="K203" s="201"/>
      <c r="L203" s="201"/>
      <c r="M203" s="201"/>
      <c r="N203" s="201"/>
      <c r="O203" s="201"/>
      <c r="P203" s="201"/>
      <c r="Q203" s="159"/>
      <c r="R203" s="159"/>
      <c r="S203" s="159"/>
      <c r="T203" s="159"/>
      <c r="U203" s="159"/>
      <c r="V203" s="159"/>
      <c r="W203" s="159"/>
      <c r="X203" s="159"/>
      <c r="Y203" s="159"/>
      <c r="Z203" s="159"/>
      <c r="AA203" s="159"/>
      <c r="AB203" s="159"/>
      <c r="AC203" s="159"/>
      <c r="AD203" s="159"/>
      <c r="AE203" s="160"/>
      <c r="AF203" s="160"/>
      <c r="AG203" s="160"/>
      <c r="AH203" s="160"/>
      <c r="AI203" s="160"/>
      <c r="AJ203" s="160"/>
      <c r="AK203" s="160"/>
      <c r="AL203" s="160"/>
      <c r="AM203" s="160"/>
      <c r="AN203" s="160"/>
      <c r="AO203" s="160"/>
      <c r="AP203" s="160"/>
      <c r="AQ203" s="160"/>
    </row>
    <row r="204" spans="2:43" ht="16.5" x14ac:dyDescent="0.3">
      <c r="B204" s="200"/>
      <c r="C204" s="201"/>
      <c r="D204" s="201"/>
      <c r="E204" s="201"/>
      <c r="F204" s="201"/>
      <c r="G204" s="201"/>
      <c r="H204" s="201"/>
      <c r="I204" s="201"/>
      <c r="J204" s="201"/>
      <c r="K204" s="201"/>
      <c r="L204" s="201"/>
      <c r="M204" s="201"/>
      <c r="N204" s="201"/>
      <c r="O204" s="201"/>
      <c r="P204" s="201"/>
      <c r="Q204" s="159"/>
      <c r="R204" s="159"/>
      <c r="S204" s="159"/>
      <c r="T204" s="159"/>
      <c r="U204" s="159"/>
      <c r="V204" s="159"/>
      <c r="W204" s="159"/>
      <c r="X204" s="159"/>
      <c r="Y204" s="159"/>
      <c r="Z204" s="159"/>
      <c r="AA204" s="159"/>
      <c r="AB204" s="159"/>
      <c r="AC204" s="159"/>
      <c r="AD204" s="159"/>
      <c r="AE204" s="160"/>
      <c r="AF204" s="160"/>
      <c r="AG204" s="160"/>
      <c r="AH204" s="160"/>
      <c r="AI204" s="160"/>
      <c r="AJ204" s="160"/>
      <c r="AK204" s="160"/>
      <c r="AL204" s="160"/>
      <c r="AM204" s="160"/>
      <c r="AN204" s="160"/>
      <c r="AO204" s="160"/>
      <c r="AP204" s="160"/>
      <c r="AQ204" s="160"/>
    </row>
    <row r="205" spans="2:43" ht="16.5" x14ac:dyDescent="0.3">
      <c r="B205" s="200"/>
      <c r="C205" s="201"/>
      <c r="D205" s="201"/>
      <c r="E205" s="201"/>
      <c r="F205" s="201"/>
      <c r="G205" s="201"/>
      <c r="H205" s="201"/>
      <c r="I205" s="201"/>
      <c r="J205" s="201"/>
      <c r="K205" s="201"/>
      <c r="L205" s="201"/>
      <c r="M205" s="201"/>
      <c r="N205" s="201"/>
      <c r="O205" s="201"/>
      <c r="P205" s="201"/>
      <c r="Q205" s="159"/>
      <c r="R205" s="159"/>
      <c r="S205" s="159"/>
      <c r="T205" s="159"/>
      <c r="U205" s="159"/>
      <c r="V205" s="159"/>
      <c r="W205" s="159"/>
      <c r="X205" s="159"/>
      <c r="Y205" s="159"/>
      <c r="Z205" s="159"/>
      <c r="AA205" s="159"/>
      <c r="AB205" s="159"/>
      <c r="AC205" s="159"/>
      <c r="AD205" s="159"/>
      <c r="AE205" s="160"/>
      <c r="AF205" s="160"/>
      <c r="AG205" s="160"/>
      <c r="AH205" s="160"/>
      <c r="AI205" s="160"/>
      <c r="AJ205" s="160"/>
      <c r="AK205" s="160"/>
      <c r="AL205" s="160"/>
      <c r="AM205" s="160"/>
      <c r="AN205" s="160"/>
      <c r="AO205" s="160"/>
      <c r="AP205" s="160"/>
      <c r="AQ205" s="160"/>
    </row>
    <row r="206" spans="2:43" ht="16.5" x14ac:dyDescent="0.3">
      <c r="B206" s="200"/>
      <c r="C206" s="201"/>
      <c r="D206" s="201"/>
      <c r="E206" s="201"/>
      <c r="F206" s="201"/>
      <c r="G206" s="201"/>
      <c r="H206" s="201"/>
      <c r="I206" s="201"/>
      <c r="J206" s="201"/>
      <c r="K206" s="201"/>
      <c r="L206" s="201"/>
      <c r="M206" s="201"/>
      <c r="N206" s="201"/>
      <c r="O206" s="201"/>
      <c r="P206" s="201"/>
      <c r="Q206" s="159"/>
      <c r="R206" s="159"/>
      <c r="S206" s="159"/>
      <c r="T206" s="159"/>
      <c r="U206" s="159"/>
      <c r="V206" s="159"/>
      <c r="W206" s="159"/>
      <c r="X206" s="159"/>
      <c r="Y206" s="159"/>
      <c r="Z206" s="159"/>
      <c r="AA206" s="159"/>
      <c r="AB206" s="159"/>
      <c r="AC206" s="159"/>
      <c r="AD206" s="159"/>
      <c r="AE206" s="160"/>
      <c r="AF206" s="160"/>
      <c r="AG206" s="160"/>
      <c r="AH206" s="160"/>
      <c r="AI206" s="160"/>
      <c r="AJ206" s="160"/>
      <c r="AK206" s="160"/>
      <c r="AL206" s="160"/>
      <c r="AM206" s="160"/>
      <c r="AN206" s="160"/>
      <c r="AO206" s="160"/>
      <c r="AP206" s="160"/>
      <c r="AQ206" s="160"/>
    </row>
    <row r="207" spans="2:43" ht="16.5" x14ac:dyDescent="0.3">
      <c r="B207" s="200"/>
      <c r="C207" s="201"/>
      <c r="D207" s="201"/>
      <c r="E207" s="201"/>
      <c r="F207" s="201"/>
      <c r="G207" s="201"/>
      <c r="H207" s="201"/>
      <c r="I207" s="201"/>
      <c r="J207" s="201"/>
      <c r="K207" s="201"/>
      <c r="L207" s="201"/>
      <c r="M207" s="201"/>
      <c r="N207" s="201"/>
      <c r="O207" s="201"/>
      <c r="P207" s="201"/>
      <c r="Q207" s="159"/>
      <c r="R207" s="159"/>
      <c r="S207" s="159"/>
      <c r="T207" s="159"/>
      <c r="U207" s="159"/>
      <c r="V207" s="159"/>
      <c r="W207" s="159"/>
      <c r="X207" s="159"/>
      <c r="Y207" s="159"/>
      <c r="Z207" s="159"/>
      <c r="AA207" s="159"/>
      <c r="AB207" s="159"/>
      <c r="AC207" s="159"/>
      <c r="AD207" s="159"/>
      <c r="AE207" s="160"/>
      <c r="AF207" s="160"/>
      <c r="AG207" s="160"/>
      <c r="AH207" s="160"/>
      <c r="AI207" s="160"/>
      <c r="AJ207" s="160"/>
      <c r="AK207" s="160"/>
      <c r="AL207" s="160"/>
      <c r="AM207" s="160"/>
      <c r="AN207" s="160"/>
      <c r="AO207" s="160"/>
      <c r="AP207" s="160"/>
      <c r="AQ207" s="160"/>
    </row>
    <row r="208" spans="2:43" ht="16.5" x14ac:dyDescent="0.3">
      <c r="B208" s="200"/>
      <c r="C208" s="201"/>
      <c r="D208" s="201"/>
      <c r="E208" s="201"/>
      <c r="F208" s="201"/>
      <c r="G208" s="201"/>
      <c r="H208" s="201"/>
      <c r="I208" s="201"/>
      <c r="J208" s="201"/>
      <c r="K208" s="201"/>
      <c r="L208" s="201"/>
      <c r="M208" s="201"/>
      <c r="N208" s="201"/>
      <c r="O208" s="201"/>
      <c r="P208" s="201"/>
      <c r="Q208" s="159"/>
      <c r="R208" s="159"/>
      <c r="S208" s="159"/>
      <c r="T208" s="159"/>
      <c r="U208" s="159"/>
      <c r="V208" s="159"/>
      <c r="W208" s="159"/>
      <c r="X208" s="159"/>
      <c r="Y208" s="159"/>
      <c r="Z208" s="159"/>
      <c r="AA208" s="159"/>
      <c r="AB208" s="159"/>
      <c r="AC208" s="159"/>
      <c r="AD208" s="159"/>
      <c r="AE208" s="160"/>
      <c r="AF208" s="160"/>
      <c r="AG208" s="160"/>
      <c r="AH208" s="160"/>
      <c r="AI208" s="160"/>
      <c r="AJ208" s="160"/>
      <c r="AK208" s="160"/>
      <c r="AL208" s="160"/>
      <c r="AM208" s="160"/>
      <c r="AN208" s="160"/>
      <c r="AO208" s="160"/>
      <c r="AP208" s="160"/>
      <c r="AQ208" s="160"/>
    </row>
    <row r="209" spans="2:43" ht="16.5" x14ac:dyDescent="0.3">
      <c r="B209" s="169"/>
      <c r="C209" s="175"/>
      <c r="D209" s="175"/>
      <c r="E209" s="175"/>
      <c r="F209" s="175"/>
      <c r="G209" s="175"/>
      <c r="H209" s="175"/>
      <c r="I209" s="175"/>
      <c r="J209" s="175"/>
      <c r="K209" s="175"/>
      <c r="L209" s="175"/>
      <c r="M209" s="175"/>
      <c r="N209" s="175"/>
      <c r="O209" s="175"/>
      <c r="P209" s="175"/>
      <c r="Q209" s="159"/>
      <c r="R209" s="159"/>
      <c r="S209" s="159"/>
      <c r="T209" s="159"/>
      <c r="U209" s="159"/>
      <c r="V209" s="159"/>
      <c r="W209" s="159"/>
      <c r="X209" s="159"/>
      <c r="Y209" s="159"/>
      <c r="Z209" s="159"/>
      <c r="AA209" s="159"/>
      <c r="AB209" s="159"/>
      <c r="AC209" s="159"/>
      <c r="AD209" s="159"/>
      <c r="AE209" s="160"/>
      <c r="AF209" s="160"/>
      <c r="AG209" s="160"/>
      <c r="AH209" s="160"/>
      <c r="AI209" s="160"/>
      <c r="AJ209" s="160"/>
      <c r="AK209" s="160"/>
      <c r="AL209" s="160"/>
      <c r="AM209" s="160"/>
      <c r="AN209" s="160"/>
      <c r="AO209" s="160"/>
      <c r="AP209" s="160"/>
      <c r="AQ209" s="160"/>
    </row>
    <row r="210" spans="2:43" ht="16.5" x14ac:dyDescent="0.3">
      <c r="B210" s="169"/>
      <c r="C210" s="175"/>
      <c r="D210" s="175"/>
      <c r="E210" s="175"/>
      <c r="F210" s="175"/>
      <c r="G210" s="175"/>
      <c r="H210" s="175"/>
      <c r="I210" s="175"/>
      <c r="J210" s="175"/>
      <c r="K210" s="175"/>
      <c r="L210" s="175"/>
      <c r="M210" s="175"/>
      <c r="N210" s="175"/>
      <c r="O210" s="175"/>
      <c r="P210" s="175"/>
      <c r="Q210" s="159"/>
      <c r="R210" s="159"/>
      <c r="S210" s="159"/>
      <c r="T210" s="159"/>
      <c r="U210" s="159"/>
      <c r="V210" s="159"/>
      <c r="W210" s="159"/>
      <c r="X210" s="159"/>
      <c r="Y210" s="159"/>
      <c r="Z210" s="159"/>
      <c r="AA210" s="159"/>
      <c r="AB210" s="159"/>
      <c r="AC210" s="159"/>
      <c r="AD210" s="159"/>
      <c r="AE210" s="160"/>
      <c r="AF210" s="160"/>
      <c r="AG210" s="160"/>
      <c r="AH210" s="160"/>
      <c r="AI210" s="160"/>
      <c r="AJ210" s="160"/>
      <c r="AK210" s="160"/>
      <c r="AL210" s="160"/>
      <c r="AM210" s="160"/>
      <c r="AN210" s="160"/>
      <c r="AO210" s="160"/>
      <c r="AP210" s="160"/>
      <c r="AQ210" s="160"/>
    </row>
    <row r="211" spans="2:43" ht="16.5" x14ac:dyDescent="0.3">
      <c r="B211" s="169"/>
      <c r="C211" s="175"/>
      <c r="D211" s="175"/>
      <c r="E211" s="175"/>
      <c r="F211" s="175"/>
      <c r="G211" s="175"/>
      <c r="H211" s="175"/>
      <c r="I211" s="175"/>
      <c r="J211" s="175"/>
      <c r="K211" s="175"/>
      <c r="L211" s="175"/>
      <c r="M211" s="175"/>
      <c r="N211" s="175"/>
      <c r="O211" s="175"/>
      <c r="P211" s="175"/>
      <c r="Q211" s="159"/>
      <c r="R211" s="159"/>
      <c r="S211" s="159"/>
      <c r="T211" s="159"/>
      <c r="U211" s="159"/>
      <c r="V211" s="159"/>
      <c r="W211" s="159"/>
      <c r="X211" s="159"/>
      <c r="Y211" s="159"/>
      <c r="Z211" s="159"/>
      <c r="AA211" s="159"/>
      <c r="AB211" s="159"/>
      <c r="AC211" s="159"/>
      <c r="AD211" s="159"/>
      <c r="AE211" s="160"/>
      <c r="AF211" s="160"/>
      <c r="AG211" s="160"/>
      <c r="AH211" s="160"/>
      <c r="AI211" s="160"/>
      <c r="AJ211" s="160"/>
      <c r="AK211" s="160"/>
      <c r="AL211" s="160"/>
      <c r="AM211" s="160"/>
      <c r="AN211" s="160"/>
      <c r="AO211" s="160"/>
      <c r="AP211" s="160"/>
      <c r="AQ211" s="160"/>
    </row>
    <row r="212" spans="2:43" ht="16.5" x14ac:dyDescent="0.3">
      <c r="B212" s="169"/>
      <c r="C212" s="175"/>
      <c r="D212" s="175"/>
      <c r="E212" s="175"/>
      <c r="F212" s="175"/>
      <c r="G212" s="175"/>
      <c r="H212" s="175"/>
      <c r="I212" s="175"/>
      <c r="J212" s="175"/>
      <c r="K212" s="175"/>
      <c r="L212" s="175"/>
      <c r="M212" s="175"/>
      <c r="N212" s="175"/>
      <c r="O212" s="175"/>
      <c r="P212" s="175"/>
      <c r="Q212" s="160"/>
      <c r="R212" s="160"/>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row>
    <row r="213" spans="2:43" ht="16.5" x14ac:dyDescent="0.3">
      <c r="B213" s="169"/>
      <c r="C213" s="175"/>
      <c r="D213" s="175"/>
      <c r="E213" s="175"/>
      <c r="F213" s="175"/>
      <c r="G213" s="175"/>
      <c r="H213" s="175"/>
      <c r="I213" s="175"/>
      <c r="J213" s="175"/>
      <c r="K213" s="175"/>
      <c r="L213" s="175"/>
      <c r="M213" s="175"/>
      <c r="N213" s="175"/>
      <c r="O213" s="175"/>
      <c r="P213" s="175"/>
      <c r="Q213" s="160"/>
      <c r="R213" s="160"/>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row>
    <row r="214" spans="2:43" ht="16.5" x14ac:dyDescent="0.3">
      <c r="B214" s="169"/>
      <c r="C214" s="175"/>
      <c r="D214" s="175"/>
      <c r="E214" s="175"/>
      <c r="F214" s="175"/>
      <c r="G214" s="175"/>
      <c r="H214" s="175"/>
      <c r="I214" s="175"/>
      <c r="J214" s="175"/>
      <c r="K214" s="175"/>
      <c r="L214" s="175"/>
      <c r="M214" s="175"/>
      <c r="N214" s="175"/>
      <c r="O214" s="175"/>
      <c r="P214" s="175"/>
      <c r="Q214" s="160"/>
      <c r="R214" s="160"/>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row>
    <row r="215" spans="2:43" ht="16.5" x14ac:dyDescent="0.3">
      <c r="B215" s="169"/>
      <c r="C215" s="175"/>
      <c r="D215" s="175"/>
      <c r="E215" s="175"/>
      <c r="F215" s="175"/>
      <c r="G215" s="175"/>
      <c r="H215" s="175"/>
      <c r="I215" s="175"/>
      <c r="J215" s="175"/>
      <c r="K215" s="175"/>
      <c r="L215" s="175"/>
      <c r="M215" s="175"/>
      <c r="N215" s="175"/>
      <c r="O215" s="175"/>
      <c r="P215" s="175"/>
      <c r="Q215" s="160"/>
      <c r="R215" s="160"/>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row>
    <row r="216" spans="2:43" ht="16.5" x14ac:dyDescent="0.3">
      <c r="B216" s="169"/>
      <c r="C216" s="175"/>
      <c r="D216" s="175"/>
      <c r="E216" s="175"/>
      <c r="F216" s="175"/>
      <c r="G216" s="175"/>
      <c r="H216" s="175"/>
      <c r="I216" s="175"/>
      <c r="J216" s="175"/>
      <c r="K216" s="175"/>
      <c r="L216" s="175"/>
      <c r="M216" s="175"/>
      <c r="N216" s="175"/>
      <c r="O216" s="175"/>
      <c r="P216" s="175"/>
      <c r="Q216" s="160"/>
      <c r="R216" s="160"/>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row>
    <row r="217" spans="2:43" ht="16.5" x14ac:dyDescent="0.3">
      <c r="B217" s="169"/>
      <c r="C217" s="175"/>
      <c r="D217" s="175"/>
      <c r="E217" s="175"/>
      <c r="F217" s="175"/>
      <c r="G217" s="175"/>
      <c r="H217" s="175"/>
      <c r="I217" s="175"/>
      <c r="J217" s="175"/>
      <c r="K217" s="175"/>
      <c r="L217" s="175"/>
      <c r="M217" s="175"/>
      <c r="N217" s="175"/>
      <c r="O217" s="175"/>
      <c r="P217" s="175"/>
      <c r="Q217" s="160"/>
      <c r="R217" s="160"/>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row>
    <row r="218" spans="2:43" ht="16.5" x14ac:dyDescent="0.3">
      <c r="B218" s="169"/>
      <c r="C218" s="175"/>
      <c r="D218" s="175"/>
      <c r="E218" s="175"/>
      <c r="F218" s="175"/>
      <c r="G218" s="175"/>
      <c r="H218" s="175"/>
      <c r="I218" s="175"/>
      <c r="J218" s="175"/>
      <c r="K218" s="175"/>
      <c r="L218" s="175"/>
      <c r="M218" s="175"/>
      <c r="N218" s="175"/>
      <c r="O218" s="175"/>
      <c r="P218" s="175"/>
      <c r="Q218" s="160"/>
      <c r="R218" s="160"/>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row>
    <row r="219" spans="2:43" ht="16.5" x14ac:dyDescent="0.3">
      <c r="B219" s="169"/>
      <c r="C219" s="175"/>
      <c r="D219" s="175"/>
      <c r="E219" s="175"/>
      <c r="F219" s="175"/>
      <c r="G219" s="175"/>
      <c r="H219" s="175"/>
      <c r="I219" s="175"/>
      <c r="J219" s="175"/>
      <c r="K219" s="175"/>
      <c r="L219" s="175"/>
      <c r="M219" s="175"/>
      <c r="N219" s="175"/>
      <c r="O219" s="175"/>
      <c r="P219" s="175"/>
      <c r="Q219" s="160"/>
      <c r="R219" s="160"/>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row>
    <row r="220" spans="2:43" ht="16.5" x14ac:dyDescent="0.3">
      <c r="B220" s="169"/>
      <c r="C220" s="175"/>
      <c r="D220" s="175"/>
      <c r="E220" s="175"/>
      <c r="F220" s="175"/>
      <c r="G220" s="175"/>
      <c r="H220" s="175"/>
      <c r="I220" s="175"/>
      <c r="J220" s="175"/>
      <c r="K220" s="175"/>
      <c r="L220" s="175"/>
      <c r="M220" s="175"/>
      <c r="N220" s="175"/>
      <c r="O220" s="175"/>
      <c r="P220" s="175"/>
      <c r="Q220" s="160"/>
      <c r="R220" s="160"/>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row>
    <row r="221" spans="2:43" ht="16.5" x14ac:dyDescent="0.3">
      <c r="B221" s="169"/>
      <c r="C221" s="175"/>
      <c r="D221" s="175"/>
      <c r="E221" s="175"/>
      <c r="F221" s="175"/>
      <c r="G221" s="175"/>
      <c r="H221" s="175"/>
      <c r="I221" s="175"/>
      <c r="J221" s="175"/>
      <c r="K221" s="175"/>
      <c r="L221" s="175"/>
      <c r="M221" s="175"/>
      <c r="N221" s="175"/>
      <c r="O221" s="175"/>
      <c r="P221" s="175"/>
      <c r="Q221" s="160"/>
      <c r="R221" s="160"/>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row>
    <row r="222" spans="2:43" ht="16.5" x14ac:dyDescent="0.3">
      <c r="B222" s="169"/>
      <c r="C222" s="175"/>
      <c r="D222" s="175"/>
      <c r="E222" s="175"/>
      <c r="F222" s="175"/>
      <c r="G222" s="175"/>
      <c r="H222" s="175"/>
      <c r="I222" s="175"/>
      <c r="J222" s="175"/>
      <c r="K222" s="175"/>
      <c r="L222" s="175"/>
      <c r="M222" s="175"/>
      <c r="N222" s="175"/>
      <c r="O222" s="175"/>
      <c r="P222" s="175"/>
      <c r="Q222" s="160"/>
      <c r="R222" s="160"/>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row>
    <row r="223" spans="2:43" ht="16.5" x14ac:dyDescent="0.3">
      <c r="B223" s="169"/>
      <c r="C223" s="175"/>
      <c r="D223" s="175"/>
      <c r="E223" s="175"/>
      <c r="F223" s="175"/>
      <c r="G223" s="175"/>
      <c r="H223" s="175"/>
      <c r="I223" s="175"/>
      <c r="J223" s="175"/>
      <c r="K223" s="175"/>
      <c r="L223" s="175"/>
      <c r="M223" s="175"/>
      <c r="N223" s="175"/>
      <c r="O223" s="175"/>
      <c r="P223" s="175"/>
      <c r="Q223" s="160"/>
      <c r="R223" s="160"/>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row>
    <row r="224" spans="2:43" ht="16.5" x14ac:dyDescent="0.3">
      <c r="B224" s="169"/>
      <c r="C224" s="175"/>
      <c r="D224" s="175"/>
      <c r="E224" s="175"/>
      <c r="F224" s="175"/>
      <c r="G224" s="175"/>
      <c r="H224" s="175"/>
      <c r="I224" s="175"/>
      <c r="J224" s="175"/>
      <c r="K224" s="175"/>
      <c r="L224" s="175"/>
      <c r="M224" s="175"/>
      <c r="N224" s="175"/>
      <c r="O224" s="175"/>
      <c r="P224" s="175"/>
      <c r="Q224" s="160"/>
      <c r="R224" s="160"/>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row>
    <row r="225" spans="2:43" ht="16.5" x14ac:dyDescent="0.3">
      <c r="B225" s="169"/>
      <c r="C225" s="175"/>
      <c r="D225" s="175"/>
      <c r="E225" s="175"/>
      <c r="F225" s="175"/>
      <c r="G225" s="175"/>
      <c r="H225" s="175"/>
      <c r="I225" s="175"/>
      <c r="J225" s="175"/>
      <c r="K225" s="175"/>
      <c r="L225" s="175"/>
      <c r="M225" s="175"/>
      <c r="N225" s="175"/>
      <c r="O225" s="175"/>
      <c r="P225" s="175"/>
      <c r="Q225" s="160"/>
      <c r="R225" s="160"/>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row>
    <row r="226" spans="2:43" ht="16.5" x14ac:dyDescent="0.3">
      <c r="B226" s="169"/>
      <c r="C226" s="175"/>
      <c r="D226" s="175"/>
      <c r="E226" s="175"/>
      <c r="F226" s="175"/>
      <c r="G226" s="175"/>
      <c r="H226" s="175"/>
      <c r="I226" s="175"/>
      <c r="J226" s="175"/>
      <c r="K226" s="175"/>
      <c r="L226" s="175"/>
      <c r="M226" s="175"/>
      <c r="N226" s="175"/>
      <c r="O226" s="175"/>
      <c r="P226" s="175"/>
      <c r="Q226" s="160"/>
      <c r="R226" s="160"/>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row>
    <row r="227" spans="2:43" ht="16.5" x14ac:dyDescent="0.3">
      <c r="B227" s="169"/>
      <c r="C227" s="175"/>
      <c r="D227" s="175"/>
      <c r="E227" s="175"/>
      <c r="F227" s="175"/>
      <c r="G227" s="175"/>
      <c r="H227" s="175"/>
      <c r="I227" s="175"/>
      <c r="J227" s="175"/>
      <c r="K227" s="175"/>
      <c r="L227" s="175"/>
      <c r="M227" s="175"/>
      <c r="N227" s="175"/>
      <c r="O227" s="175"/>
      <c r="P227" s="175"/>
      <c r="Q227" s="160"/>
      <c r="R227" s="160"/>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row>
    <row r="228" spans="2:43" ht="16.5" x14ac:dyDescent="0.3">
      <c r="B228" s="169"/>
      <c r="C228" s="175"/>
      <c r="D228" s="175"/>
      <c r="E228" s="175"/>
      <c r="F228" s="175"/>
      <c r="G228" s="175"/>
      <c r="H228" s="175"/>
      <c r="I228" s="175"/>
      <c r="J228" s="175"/>
      <c r="K228" s="175"/>
      <c r="L228" s="175"/>
      <c r="M228" s="175"/>
      <c r="N228" s="175"/>
      <c r="O228" s="175"/>
      <c r="P228" s="175"/>
      <c r="Q228" s="160"/>
      <c r="R228" s="160"/>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row>
    <row r="229" spans="2:43" ht="16.5" x14ac:dyDescent="0.3">
      <c r="B229" s="169"/>
      <c r="C229" s="175"/>
      <c r="D229" s="175"/>
      <c r="E229" s="175"/>
      <c r="F229" s="175"/>
      <c r="G229" s="175"/>
      <c r="H229" s="175"/>
      <c r="I229" s="175"/>
      <c r="J229" s="175"/>
      <c r="K229" s="175"/>
      <c r="L229" s="175"/>
      <c r="M229" s="175"/>
      <c r="N229" s="175"/>
      <c r="O229" s="175"/>
      <c r="P229" s="175"/>
      <c r="Q229" s="160"/>
      <c r="R229" s="160"/>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row>
    <row r="230" spans="2:43" ht="16.5" x14ac:dyDescent="0.3">
      <c r="B230" s="169"/>
      <c r="C230" s="175"/>
      <c r="D230" s="175"/>
      <c r="E230" s="175"/>
      <c r="F230" s="175"/>
      <c r="G230" s="175"/>
      <c r="H230" s="175"/>
      <c r="I230" s="175"/>
      <c r="J230" s="175"/>
      <c r="K230" s="175"/>
      <c r="L230" s="175"/>
      <c r="M230" s="175"/>
      <c r="N230" s="175"/>
      <c r="O230" s="175"/>
      <c r="P230" s="175"/>
      <c r="Q230" s="160"/>
      <c r="R230" s="160"/>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row>
    <row r="231" spans="2:43" ht="16.5" x14ac:dyDescent="0.3">
      <c r="B231" s="169"/>
      <c r="C231" s="175"/>
      <c r="D231" s="175"/>
      <c r="E231" s="175"/>
      <c r="F231" s="175"/>
      <c r="G231" s="175"/>
      <c r="H231" s="175"/>
      <c r="I231" s="175"/>
      <c r="J231" s="175"/>
      <c r="K231" s="175"/>
      <c r="L231" s="175"/>
      <c r="M231" s="175"/>
      <c r="N231" s="175"/>
      <c r="O231" s="175"/>
      <c r="P231" s="175"/>
      <c r="Q231" s="160"/>
      <c r="R231" s="160"/>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row>
    <row r="232" spans="2:43" ht="16.5" x14ac:dyDescent="0.3">
      <c r="B232" s="169"/>
      <c r="C232" s="175"/>
      <c r="D232" s="175"/>
      <c r="E232" s="175"/>
      <c r="F232" s="175"/>
      <c r="G232" s="175"/>
      <c r="H232" s="175"/>
      <c r="I232" s="175"/>
      <c r="J232" s="175"/>
      <c r="K232" s="175"/>
      <c r="L232" s="175"/>
      <c r="M232" s="175"/>
      <c r="N232" s="175"/>
      <c r="O232" s="175"/>
      <c r="P232" s="175"/>
      <c r="Q232" s="160"/>
      <c r="R232" s="160"/>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row>
    <row r="233" spans="2:43" ht="16.5" x14ac:dyDescent="0.3">
      <c r="B233" s="169"/>
      <c r="C233" s="175"/>
      <c r="D233" s="175"/>
      <c r="E233" s="175"/>
      <c r="F233" s="175"/>
      <c r="G233" s="175"/>
      <c r="H233" s="175"/>
      <c r="I233" s="175"/>
      <c r="J233" s="175"/>
      <c r="K233" s="175"/>
      <c r="L233" s="175"/>
      <c r="M233" s="175"/>
      <c r="N233" s="175"/>
      <c r="O233" s="175"/>
      <c r="P233" s="175"/>
      <c r="Q233" s="160"/>
      <c r="R233" s="160"/>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row>
    <row r="234" spans="2:43" ht="16.5" x14ac:dyDescent="0.3">
      <c r="B234" s="169"/>
      <c r="C234" s="175"/>
      <c r="D234" s="175"/>
      <c r="E234" s="175"/>
      <c r="F234" s="175"/>
      <c r="G234" s="175"/>
      <c r="H234" s="175"/>
      <c r="I234" s="175"/>
      <c r="J234" s="175"/>
      <c r="K234" s="175"/>
      <c r="L234" s="175"/>
      <c r="M234" s="175"/>
      <c r="N234" s="175"/>
      <c r="O234" s="175"/>
      <c r="P234" s="175"/>
      <c r="Q234" s="160"/>
      <c r="R234" s="160"/>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row>
    <row r="235" spans="2:43" ht="16.5" x14ac:dyDescent="0.3">
      <c r="B235" s="169"/>
      <c r="C235" s="175"/>
      <c r="D235" s="175"/>
      <c r="E235" s="175"/>
      <c r="F235" s="175"/>
      <c r="G235" s="175"/>
      <c r="H235" s="175"/>
      <c r="I235" s="175"/>
      <c r="J235" s="175"/>
      <c r="K235" s="175"/>
      <c r="L235" s="175"/>
      <c r="M235" s="175"/>
      <c r="N235" s="175"/>
      <c r="O235" s="175"/>
      <c r="P235" s="175"/>
      <c r="Q235" s="160"/>
      <c r="R235" s="160"/>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row>
    <row r="236" spans="2:43" ht="16.5" x14ac:dyDescent="0.3">
      <c r="B236" s="169"/>
      <c r="C236" s="175"/>
      <c r="D236" s="175"/>
      <c r="E236" s="175"/>
      <c r="F236" s="175"/>
      <c r="G236" s="175"/>
      <c r="H236" s="175"/>
      <c r="I236" s="175"/>
      <c r="J236" s="175"/>
      <c r="K236" s="175"/>
      <c r="L236" s="175"/>
      <c r="M236" s="175"/>
      <c r="N236" s="175"/>
      <c r="O236" s="175"/>
      <c r="P236" s="175"/>
      <c r="Q236" s="160"/>
      <c r="R236" s="160"/>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row>
    <row r="237" spans="2:43" ht="16.5" x14ac:dyDescent="0.3">
      <c r="B237" s="169"/>
      <c r="C237" s="175"/>
      <c r="D237" s="175"/>
      <c r="E237" s="175"/>
      <c r="F237" s="175"/>
      <c r="G237" s="175"/>
      <c r="H237" s="175"/>
      <c r="I237" s="175"/>
      <c r="J237" s="175"/>
      <c r="K237" s="175"/>
      <c r="L237" s="175"/>
      <c r="M237" s="175"/>
      <c r="N237" s="175"/>
      <c r="O237" s="175"/>
      <c r="P237" s="175"/>
      <c r="Q237" s="160"/>
      <c r="R237" s="160"/>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row>
    <row r="238" spans="2:43" ht="16.5" x14ac:dyDescent="0.3">
      <c r="B238" s="169"/>
      <c r="C238" s="175"/>
      <c r="D238" s="175"/>
      <c r="E238" s="175"/>
      <c r="F238" s="175"/>
      <c r="G238" s="175"/>
      <c r="H238" s="175"/>
      <c r="I238" s="175"/>
      <c r="J238" s="175"/>
      <c r="K238" s="175"/>
      <c r="L238" s="175"/>
      <c r="M238" s="175"/>
      <c r="N238" s="175"/>
      <c r="O238" s="175"/>
      <c r="P238" s="175"/>
      <c r="Q238" s="160"/>
      <c r="R238" s="160"/>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row>
    <row r="239" spans="2:43" ht="16.5" x14ac:dyDescent="0.3">
      <c r="B239" s="169"/>
      <c r="C239" s="175"/>
      <c r="D239" s="175"/>
      <c r="E239" s="175"/>
      <c r="F239" s="175"/>
      <c r="G239" s="175"/>
      <c r="H239" s="175"/>
      <c r="I239" s="175"/>
      <c r="J239" s="175"/>
      <c r="K239" s="175"/>
      <c r="L239" s="175"/>
      <c r="M239" s="175"/>
      <c r="N239" s="175"/>
      <c r="O239" s="175"/>
      <c r="P239" s="175"/>
      <c r="Q239" s="160"/>
      <c r="R239" s="160"/>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row>
    <row r="240" spans="2:43" ht="16.5" x14ac:dyDescent="0.3">
      <c r="B240" s="169"/>
      <c r="C240" s="175"/>
      <c r="D240" s="175"/>
      <c r="E240" s="175"/>
      <c r="F240" s="175"/>
      <c r="G240" s="175"/>
      <c r="H240" s="175"/>
      <c r="I240" s="175"/>
      <c r="J240" s="175"/>
      <c r="K240" s="175"/>
      <c r="L240" s="175"/>
      <c r="M240" s="175"/>
      <c r="N240" s="175"/>
      <c r="O240" s="175"/>
      <c r="P240" s="175"/>
      <c r="Q240" s="160"/>
      <c r="R240" s="160"/>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row>
    <row r="241" spans="2:43" ht="16.5" x14ac:dyDescent="0.3">
      <c r="B241" s="204"/>
      <c r="C241" s="205"/>
      <c r="D241" s="205"/>
      <c r="E241" s="205"/>
      <c r="F241" s="205"/>
      <c r="G241" s="205"/>
      <c r="H241" s="205"/>
      <c r="I241" s="205"/>
      <c r="J241" s="205"/>
      <c r="K241" s="205"/>
      <c r="L241" s="205"/>
      <c r="M241" s="205"/>
      <c r="N241" s="205"/>
      <c r="O241" s="206"/>
      <c r="P241" s="206"/>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row>
    <row r="242" spans="2:43" ht="16.5" x14ac:dyDescent="0.3">
      <c r="B242" s="204"/>
      <c r="C242" s="205"/>
      <c r="D242" s="205"/>
      <c r="E242" s="205"/>
      <c r="F242" s="205"/>
      <c r="G242" s="205"/>
      <c r="H242" s="205"/>
      <c r="I242" s="205"/>
      <c r="J242" s="205"/>
      <c r="K242" s="205"/>
      <c r="L242" s="205"/>
      <c r="M242" s="205"/>
      <c r="N242" s="205"/>
      <c r="O242" s="206"/>
      <c r="P242" s="206"/>
      <c r="Q242" s="160"/>
      <c r="R242" s="160"/>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row>
    <row r="243" spans="2:43" ht="16.5" x14ac:dyDescent="0.3">
      <c r="B243" s="204"/>
      <c r="C243" s="205"/>
      <c r="D243" s="205"/>
      <c r="E243" s="205"/>
      <c r="F243" s="205"/>
      <c r="G243" s="205"/>
      <c r="H243" s="205"/>
      <c r="I243" s="205"/>
      <c r="J243" s="205"/>
      <c r="K243" s="205"/>
      <c r="L243" s="205"/>
      <c r="M243" s="205"/>
      <c r="N243" s="205"/>
      <c r="O243" s="206"/>
      <c r="P243" s="206"/>
      <c r="Q243" s="160"/>
      <c r="R243" s="160"/>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row>
    <row r="244" spans="2:43" ht="15.75" x14ac:dyDescent="0.25">
      <c r="B244" s="204"/>
      <c r="C244" s="205"/>
      <c r="D244" s="205"/>
      <c r="E244" s="205"/>
      <c r="F244" s="205"/>
      <c r="G244" s="205"/>
      <c r="H244" s="205"/>
      <c r="I244" s="205"/>
      <c r="J244" s="205"/>
      <c r="K244" s="205"/>
      <c r="L244" s="205"/>
      <c r="M244" s="205"/>
      <c r="N244" s="205"/>
      <c r="O244" s="206"/>
      <c r="P244" s="206"/>
    </row>
    <row r="245" spans="2:43" ht="15.75" x14ac:dyDescent="0.25">
      <c r="B245" s="204"/>
      <c r="C245" s="205"/>
      <c r="D245" s="205"/>
      <c r="E245" s="205"/>
      <c r="F245" s="205"/>
      <c r="G245" s="205"/>
      <c r="H245" s="205"/>
      <c r="I245" s="205"/>
      <c r="J245" s="205"/>
      <c r="K245" s="205"/>
      <c r="L245" s="205"/>
      <c r="M245" s="205"/>
      <c r="N245" s="205"/>
      <c r="O245" s="206"/>
      <c r="P245" s="206"/>
    </row>
    <row r="246" spans="2:43" ht="15.75" x14ac:dyDescent="0.25">
      <c r="B246" s="204"/>
      <c r="C246" s="205"/>
      <c r="D246" s="205"/>
      <c r="E246" s="205"/>
      <c r="F246" s="205"/>
      <c r="G246" s="205"/>
      <c r="H246" s="205"/>
      <c r="I246" s="205"/>
      <c r="J246" s="205"/>
      <c r="K246" s="205"/>
      <c r="L246" s="205"/>
      <c r="M246" s="205"/>
      <c r="N246" s="205"/>
      <c r="O246" s="206"/>
      <c r="P246" s="206"/>
    </row>
    <row r="247" spans="2:43" ht="15.75" x14ac:dyDescent="0.25">
      <c r="B247" s="204"/>
      <c r="C247" s="205"/>
      <c r="D247" s="205"/>
      <c r="E247" s="205"/>
      <c r="F247" s="205"/>
      <c r="G247" s="205"/>
      <c r="H247" s="205"/>
      <c r="I247" s="205"/>
      <c r="J247" s="205"/>
      <c r="K247" s="205"/>
      <c r="L247" s="205"/>
      <c r="M247" s="205"/>
      <c r="N247" s="205"/>
      <c r="O247" s="206"/>
      <c r="P247" s="206"/>
    </row>
    <row r="248" spans="2:43" ht="15.75" x14ac:dyDescent="0.25">
      <c r="B248" s="204"/>
      <c r="C248" s="205"/>
      <c r="D248" s="205"/>
      <c r="E248" s="205"/>
      <c r="F248" s="205"/>
      <c r="G248" s="205"/>
      <c r="H248" s="205"/>
      <c r="I248" s="205"/>
      <c r="J248" s="205"/>
      <c r="K248" s="205"/>
      <c r="L248" s="205"/>
      <c r="M248" s="205"/>
      <c r="N248" s="205"/>
      <c r="O248" s="206"/>
      <c r="P248" s="206"/>
    </row>
    <row r="249" spans="2:43" x14ac:dyDescent="0.2">
      <c r="C249" s="206"/>
      <c r="D249" s="206"/>
      <c r="F249" s="206"/>
      <c r="G249" s="206"/>
      <c r="H249" s="206"/>
      <c r="I249" s="206"/>
      <c r="J249" s="206"/>
      <c r="K249" s="206"/>
      <c r="L249" s="206"/>
      <c r="M249" s="206"/>
      <c r="N249" s="206"/>
      <c r="O249" s="206"/>
      <c r="P249" s="206"/>
    </row>
    <row r="250" spans="2:43" x14ac:dyDescent="0.2">
      <c r="C250" s="206"/>
      <c r="D250" s="206"/>
      <c r="F250" s="206"/>
      <c r="G250" s="206"/>
      <c r="H250" s="206"/>
      <c r="I250" s="206"/>
      <c r="J250" s="206"/>
      <c r="K250" s="206"/>
      <c r="L250" s="206"/>
      <c r="M250" s="206"/>
      <c r="N250" s="206"/>
      <c r="O250" s="206"/>
      <c r="P250" s="206"/>
    </row>
    <row r="251" spans="2:43" x14ac:dyDescent="0.2">
      <c r="C251" s="206"/>
      <c r="D251" s="206"/>
      <c r="F251" s="206"/>
      <c r="G251" s="206"/>
      <c r="H251" s="206"/>
      <c r="I251" s="206"/>
      <c r="J251" s="206"/>
      <c r="K251" s="206"/>
      <c r="L251" s="206"/>
      <c r="M251" s="206"/>
      <c r="N251" s="206"/>
      <c r="O251" s="206"/>
      <c r="P251" s="206"/>
    </row>
    <row r="252" spans="2:43" x14ac:dyDescent="0.2">
      <c r="C252" s="206"/>
      <c r="D252" s="206"/>
      <c r="F252" s="206"/>
      <c r="G252" s="206"/>
      <c r="H252" s="206"/>
      <c r="I252" s="206"/>
      <c r="J252" s="206"/>
      <c r="K252" s="206"/>
      <c r="L252" s="206"/>
      <c r="M252" s="206"/>
      <c r="N252" s="206"/>
      <c r="O252" s="206"/>
      <c r="P252" s="206"/>
    </row>
    <row r="253" spans="2:43" x14ac:dyDescent="0.2">
      <c r="C253" s="206"/>
      <c r="D253" s="206"/>
      <c r="F253" s="206"/>
      <c r="G253" s="206"/>
      <c r="H253" s="206"/>
      <c r="I253" s="206"/>
      <c r="J253" s="206"/>
      <c r="K253" s="206"/>
      <c r="L253" s="206"/>
      <c r="M253" s="206"/>
      <c r="N253" s="206"/>
      <c r="O253" s="206"/>
      <c r="P253" s="206"/>
    </row>
    <row r="254" spans="2:43" x14ac:dyDescent="0.2">
      <c r="C254" s="206"/>
      <c r="D254" s="206"/>
      <c r="F254" s="206"/>
      <c r="G254" s="206"/>
      <c r="H254" s="206"/>
      <c r="I254" s="206"/>
      <c r="J254" s="206"/>
      <c r="K254" s="206"/>
      <c r="L254" s="206"/>
      <c r="M254" s="206"/>
      <c r="N254" s="206"/>
      <c r="O254" s="206"/>
      <c r="P254" s="206"/>
    </row>
    <row r="255" spans="2:43" x14ac:dyDescent="0.2">
      <c r="C255" s="206"/>
      <c r="D255" s="206"/>
      <c r="F255" s="206"/>
      <c r="G255" s="206"/>
      <c r="H255" s="206"/>
      <c r="I255" s="206"/>
      <c r="J255" s="206"/>
      <c r="K255" s="206"/>
      <c r="L255" s="206"/>
      <c r="M255" s="206"/>
      <c r="N255" s="206"/>
      <c r="O255" s="206"/>
      <c r="P255" s="206"/>
    </row>
    <row r="256" spans="2:43" x14ac:dyDescent="0.2">
      <c r="C256" s="206"/>
      <c r="D256" s="206"/>
      <c r="F256" s="206"/>
      <c r="G256" s="206"/>
      <c r="H256" s="206"/>
      <c r="I256" s="206"/>
      <c r="J256" s="206"/>
      <c r="K256" s="206"/>
      <c r="L256" s="206"/>
      <c r="M256" s="206"/>
      <c r="N256" s="206"/>
      <c r="O256" s="206"/>
      <c r="P256" s="206"/>
    </row>
    <row r="257" spans="3:16" x14ac:dyDescent="0.2">
      <c r="C257" s="206"/>
      <c r="D257" s="206"/>
      <c r="F257" s="206"/>
      <c r="G257" s="206"/>
      <c r="H257" s="206"/>
      <c r="I257" s="206"/>
      <c r="J257" s="206"/>
      <c r="K257" s="206"/>
      <c r="L257" s="206"/>
      <c r="M257" s="206"/>
      <c r="N257" s="206"/>
      <c r="O257" s="206"/>
      <c r="P257" s="206"/>
    </row>
    <row r="258" spans="3:16" x14ac:dyDescent="0.2">
      <c r="C258" s="206"/>
      <c r="D258" s="206"/>
      <c r="F258" s="206"/>
      <c r="G258" s="206"/>
      <c r="H258" s="206"/>
      <c r="I258" s="206"/>
      <c r="J258" s="206"/>
      <c r="K258" s="206"/>
      <c r="L258" s="206"/>
      <c r="M258" s="206"/>
      <c r="N258" s="206"/>
      <c r="O258" s="206"/>
      <c r="P258" s="206"/>
    </row>
    <row r="259" spans="3:16" x14ac:dyDescent="0.2">
      <c r="C259" s="206"/>
      <c r="D259" s="206"/>
      <c r="F259" s="206"/>
      <c r="G259" s="206"/>
      <c r="H259" s="206"/>
      <c r="I259" s="206"/>
      <c r="J259" s="206"/>
      <c r="K259" s="206"/>
      <c r="L259" s="206"/>
      <c r="M259" s="206"/>
      <c r="N259" s="206"/>
      <c r="O259" s="206"/>
      <c r="P259" s="206"/>
    </row>
    <row r="260" spans="3:16" x14ac:dyDescent="0.2">
      <c r="C260" s="206"/>
      <c r="D260" s="206"/>
      <c r="F260" s="206"/>
      <c r="G260" s="206"/>
      <c r="H260" s="206"/>
      <c r="I260" s="206"/>
      <c r="J260" s="206"/>
      <c r="K260" s="206"/>
      <c r="L260" s="206"/>
      <c r="M260" s="206"/>
      <c r="N260" s="206"/>
      <c r="O260" s="206"/>
      <c r="P260" s="206"/>
    </row>
    <row r="261" spans="3:16" x14ac:dyDescent="0.2">
      <c r="C261" s="206"/>
      <c r="D261" s="206"/>
      <c r="F261" s="206"/>
      <c r="G261" s="206"/>
      <c r="H261" s="206"/>
      <c r="I261" s="206"/>
      <c r="J261" s="206"/>
      <c r="K261" s="206"/>
      <c r="L261" s="206"/>
      <c r="M261" s="206"/>
      <c r="N261" s="206"/>
      <c r="O261" s="206"/>
      <c r="P261" s="206"/>
    </row>
    <row r="262" spans="3:16" x14ac:dyDescent="0.2">
      <c r="C262" s="206"/>
      <c r="D262" s="206"/>
      <c r="F262" s="206"/>
      <c r="G262" s="206"/>
      <c r="H262" s="206"/>
      <c r="I262" s="206"/>
      <c r="J262" s="206"/>
      <c r="K262" s="206"/>
      <c r="L262" s="206"/>
      <c r="M262" s="206"/>
      <c r="N262" s="206"/>
      <c r="O262" s="206"/>
      <c r="P262" s="206"/>
    </row>
    <row r="263" spans="3:16" x14ac:dyDescent="0.2">
      <c r="C263" s="206"/>
      <c r="D263" s="206"/>
      <c r="F263" s="206"/>
      <c r="G263" s="206"/>
      <c r="H263" s="206"/>
      <c r="I263" s="206"/>
      <c r="J263" s="206"/>
      <c r="K263" s="206"/>
      <c r="L263" s="206"/>
      <c r="M263" s="206"/>
      <c r="N263" s="206"/>
      <c r="O263" s="206"/>
      <c r="P263" s="206"/>
    </row>
    <row r="264" spans="3:16" x14ac:dyDescent="0.2">
      <c r="C264" s="206"/>
      <c r="D264" s="206"/>
      <c r="F264" s="206"/>
      <c r="G264" s="206"/>
      <c r="H264" s="206"/>
      <c r="I264" s="206"/>
      <c r="J264" s="206"/>
      <c r="K264" s="206"/>
      <c r="L264" s="206"/>
      <c r="M264" s="206"/>
      <c r="N264" s="206"/>
      <c r="O264" s="206"/>
      <c r="P264" s="206"/>
    </row>
    <row r="265" spans="3:16" x14ac:dyDescent="0.2">
      <c r="C265" s="206"/>
      <c r="D265" s="206"/>
      <c r="F265" s="206"/>
      <c r="G265" s="206"/>
      <c r="H265" s="206"/>
      <c r="I265" s="206"/>
      <c r="J265" s="206"/>
      <c r="K265" s="206"/>
      <c r="L265" s="206"/>
      <c r="M265" s="206"/>
      <c r="N265" s="206"/>
      <c r="O265" s="206"/>
      <c r="P265" s="206"/>
    </row>
    <row r="266" spans="3:16" x14ac:dyDescent="0.2">
      <c r="C266" s="206"/>
      <c r="D266" s="206"/>
      <c r="F266" s="206"/>
      <c r="G266" s="206"/>
      <c r="H266" s="206"/>
      <c r="I266" s="206"/>
      <c r="J266" s="206"/>
      <c r="K266" s="206"/>
      <c r="L266" s="206"/>
      <c r="M266" s="206"/>
      <c r="N266" s="206"/>
      <c r="O266" s="206"/>
      <c r="P266" s="206"/>
    </row>
    <row r="267" spans="3:16" x14ac:dyDescent="0.2">
      <c r="C267" s="206"/>
      <c r="D267" s="206"/>
      <c r="F267" s="206"/>
      <c r="G267" s="206"/>
      <c r="H267" s="206"/>
      <c r="I267" s="206"/>
      <c r="J267" s="206"/>
      <c r="K267" s="206"/>
      <c r="L267" s="206"/>
      <c r="M267" s="206"/>
      <c r="N267" s="206"/>
      <c r="O267" s="206"/>
      <c r="P267" s="206"/>
    </row>
    <row r="268" spans="3:16" x14ac:dyDescent="0.2">
      <c r="C268" s="206"/>
      <c r="D268" s="206"/>
      <c r="F268" s="206"/>
      <c r="G268" s="206"/>
      <c r="H268" s="206"/>
      <c r="I268" s="206"/>
      <c r="J268" s="206"/>
      <c r="K268" s="206"/>
      <c r="L268" s="206"/>
      <c r="M268" s="206"/>
      <c r="N268" s="206"/>
      <c r="O268" s="206"/>
      <c r="P268" s="206"/>
    </row>
    <row r="269" spans="3:16" x14ac:dyDescent="0.2">
      <c r="C269" s="206"/>
      <c r="D269" s="206"/>
      <c r="F269" s="206"/>
      <c r="G269" s="206"/>
      <c r="H269" s="206"/>
      <c r="I269" s="206"/>
      <c r="J269" s="206"/>
      <c r="K269" s="206"/>
      <c r="L269" s="206"/>
      <c r="M269" s="206"/>
      <c r="N269" s="206"/>
      <c r="O269" s="206"/>
      <c r="P269" s="206"/>
    </row>
    <row r="270" spans="3:16" x14ac:dyDescent="0.2">
      <c r="C270" s="206"/>
      <c r="D270" s="206"/>
      <c r="F270" s="206"/>
      <c r="G270" s="206"/>
      <c r="H270" s="206"/>
      <c r="I270" s="206"/>
      <c r="J270" s="206"/>
      <c r="K270" s="206"/>
      <c r="L270" s="206"/>
      <c r="M270" s="206"/>
      <c r="N270" s="206"/>
      <c r="O270" s="206"/>
      <c r="P270" s="206"/>
    </row>
    <row r="271" spans="3:16" x14ac:dyDescent="0.2">
      <c r="C271" s="206"/>
      <c r="D271" s="206"/>
      <c r="F271" s="206"/>
      <c r="G271" s="206"/>
      <c r="H271" s="206"/>
      <c r="I271" s="206"/>
      <c r="J271" s="206"/>
      <c r="K271" s="206"/>
      <c r="L271" s="206"/>
      <c r="M271" s="206"/>
      <c r="N271" s="206"/>
      <c r="O271" s="206"/>
      <c r="P271" s="206"/>
    </row>
    <row r="272" spans="3:16" x14ac:dyDescent="0.2">
      <c r="C272" s="206"/>
      <c r="D272" s="206"/>
      <c r="F272" s="206"/>
      <c r="G272" s="206"/>
      <c r="H272" s="206"/>
      <c r="I272" s="206"/>
      <c r="J272" s="206"/>
      <c r="K272" s="206"/>
      <c r="L272" s="206"/>
      <c r="M272" s="206"/>
      <c r="N272" s="206"/>
      <c r="O272" s="206"/>
      <c r="P272" s="206"/>
    </row>
    <row r="273" spans="1:16" x14ac:dyDescent="0.2">
      <c r="C273" s="206"/>
      <c r="D273" s="206"/>
      <c r="F273" s="206"/>
      <c r="G273" s="206"/>
      <c r="H273" s="206"/>
      <c r="I273" s="206"/>
      <c r="J273" s="206"/>
      <c r="K273" s="206"/>
      <c r="L273" s="206"/>
      <c r="M273" s="206"/>
      <c r="N273" s="206"/>
      <c r="O273" s="206"/>
      <c r="P273" s="206"/>
    </row>
    <row r="274" spans="1:16" x14ac:dyDescent="0.2">
      <c r="C274" s="206"/>
      <c r="D274" s="206"/>
      <c r="F274" s="206"/>
      <c r="G274" s="206"/>
      <c r="H274" s="206"/>
      <c r="I274" s="206"/>
      <c r="J274" s="206"/>
      <c r="K274" s="206"/>
      <c r="L274" s="206"/>
      <c r="M274" s="206"/>
      <c r="N274" s="206"/>
      <c r="O274" s="206"/>
      <c r="P274" s="206"/>
    </row>
    <row r="275" spans="1:16" x14ac:dyDescent="0.2">
      <c r="C275" s="206"/>
      <c r="D275" s="206"/>
      <c r="F275" s="206"/>
      <c r="G275" s="206"/>
      <c r="H275" s="206"/>
      <c r="I275" s="206"/>
      <c r="J275" s="206"/>
      <c r="K275" s="206"/>
      <c r="L275" s="206"/>
      <c r="M275" s="206"/>
      <c r="N275" s="206"/>
      <c r="O275" s="206"/>
      <c r="P275" s="206"/>
    </row>
    <row r="276" spans="1:16" x14ac:dyDescent="0.2">
      <c r="C276" s="206"/>
      <c r="D276" s="206"/>
      <c r="F276" s="206"/>
      <c r="G276" s="206"/>
      <c r="H276" s="206"/>
      <c r="I276" s="206"/>
      <c r="J276" s="206"/>
      <c r="K276" s="206"/>
      <c r="L276" s="206"/>
      <c r="M276" s="206"/>
      <c r="N276" s="206"/>
      <c r="O276" s="206"/>
      <c r="P276" s="206"/>
    </row>
    <row r="277" spans="1:16" x14ac:dyDescent="0.2">
      <c r="A277" s="161"/>
      <c r="C277" s="206"/>
      <c r="D277" s="206"/>
      <c r="F277" s="206"/>
      <c r="G277" s="206"/>
      <c r="H277" s="206"/>
      <c r="I277" s="206"/>
      <c r="J277" s="206"/>
      <c r="K277" s="206"/>
      <c r="L277" s="206"/>
      <c r="M277" s="206"/>
      <c r="N277" s="206"/>
      <c r="O277" s="206"/>
      <c r="P277" s="206"/>
    </row>
    <row r="278" spans="1:16" x14ac:dyDescent="0.2">
      <c r="C278" s="206"/>
      <c r="D278" s="206"/>
      <c r="F278" s="206"/>
      <c r="G278" s="206"/>
      <c r="H278" s="206"/>
      <c r="I278" s="206"/>
      <c r="J278" s="206"/>
      <c r="K278" s="206"/>
      <c r="L278" s="206"/>
      <c r="M278" s="206"/>
      <c r="N278" s="206"/>
      <c r="O278" s="206"/>
      <c r="P278" s="206"/>
    </row>
    <row r="279" spans="1:16" x14ac:dyDescent="0.2">
      <c r="C279" s="206"/>
      <c r="D279" s="206"/>
      <c r="F279" s="206"/>
      <c r="G279" s="206"/>
      <c r="H279" s="206"/>
      <c r="I279" s="206"/>
      <c r="J279" s="206"/>
      <c r="K279" s="206"/>
      <c r="L279" s="206"/>
      <c r="M279" s="206"/>
      <c r="N279" s="206"/>
      <c r="O279" s="206"/>
      <c r="P279" s="206"/>
    </row>
    <row r="280" spans="1:16" x14ac:dyDescent="0.2">
      <c r="C280" s="206"/>
      <c r="D280" s="206"/>
      <c r="F280" s="206"/>
      <c r="G280" s="206"/>
      <c r="H280" s="206"/>
      <c r="I280" s="206"/>
      <c r="J280" s="206"/>
      <c r="K280" s="206"/>
      <c r="L280" s="206"/>
      <c r="M280" s="206"/>
      <c r="N280" s="206"/>
      <c r="O280" s="206"/>
      <c r="P280" s="206"/>
    </row>
    <row r="281" spans="1:16" x14ac:dyDescent="0.2">
      <c r="C281" s="206"/>
      <c r="D281" s="206"/>
      <c r="F281" s="206"/>
      <c r="G281" s="206"/>
      <c r="H281" s="206"/>
      <c r="I281" s="206"/>
      <c r="J281" s="206"/>
      <c r="K281" s="206"/>
      <c r="L281" s="206"/>
      <c r="M281" s="206"/>
      <c r="N281" s="206"/>
      <c r="O281" s="206"/>
      <c r="P281" s="206"/>
    </row>
    <row r="282" spans="1:16" x14ac:dyDescent="0.2">
      <c r="C282" s="206"/>
      <c r="D282" s="206"/>
      <c r="F282" s="206"/>
      <c r="G282" s="206"/>
      <c r="H282" s="206"/>
      <c r="I282" s="206"/>
      <c r="J282" s="206"/>
      <c r="K282" s="206"/>
      <c r="L282" s="206"/>
      <c r="M282" s="206"/>
      <c r="N282" s="206"/>
      <c r="O282" s="206"/>
      <c r="P282" s="206"/>
    </row>
    <row r="283" spans="1:16" x14ac:dyDescent="0.2">
      <c r="C283" s="206"/>
      <c r="D283" s="206"/>
      <c r="F283" s="206"/>
      <c r="G283" s="206"/>
      <c r="H283" s="206"/>
      <c r="I283" s="206"/>
      <c r="J283" s="206"/>
      <c r="K283" s="206"/>
      <c r="L283" s="206"/>
      <c r="M283" s="206"/>
      <c r="N283" s="206"/>
      <c r="O283" s="206"/>
      <c r="P283" s="206"/>
    </row>
    <row r="284" spans="1:16" x14ac:dyDescent="0.2">
      <c r="C284" s="206"/>
      <c r="D284" s="206"/>
      <c r="F284" s="206"/>
      <c r="G284" s="206"/>
      <c r="H284" s="206"/>
      <c r="I284" s="206"/>
      <c r="J284" s="206"/>
      <c r="K284" s="206"/>
      <c r="L284" s="206"/>
      <c r="M284" s="206"/>
      <c r="N284" s="206"/>
      <c r="O284" s="206"/>
      <c r="P284" s="206"/>
    </row>
    <row r="285" spans="1:16" x14ac:dyDescent="0.2">
      <c r="C285" s="206"/>
      <c r="D285" s="206"/>
      <c r="F285" s="206"/>
      <c r="G285" s="206"/>
      <c r="H285" s="206"/>
      <c r="I285" s="206"/>
      <c r="J285" s="206"/>
      <c r="K285" s="206"/>
      <c r="L285" s="206"/>
      <c r="M285" s="206"/>
      <c r="N285" s="206"/>
      <c r="O285" s="206"/>
      <c r="P285" s="206"/>
    </row>
  </sheetData>
  <mergeCells count="8">
    <mergeCell ref="A147:P147"/>
    <mergeCell ref="B1:P1"/>
    <mergeCell ref="B2:P2"/>
    <mergeCell ref="B4:D4"/>
    <mergeCell ref="E4:G4"/>
    <mergeCell ref="H4:J4"/>
    <mergeCell ref="K4:M4"/>
    <mergeCell ref="N4:P4"/>
  </mergeCells>
  <printOptions horizontalCentered="1"/>
  <pageMargins left="0.21" right="0.23" top="0.24" bottom="0.2" header="0.24" footer="0.2"/>
  <pageSetup scale="80" orientation="landscape" horizontalDpi="120" r:id="rId1"/>
  <headerFooter alignWithMargins="0">
    <oddFooter>&amp;L&amp;p</oddFooter>
  </headerFooter>
  <rowBreaks count="3" manualBreakCount="3">
    <brk id="48" max="15" man="1"/>
    <brk id="77" max="15" man="1"/>
    <brk id="106" max="15"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4:AJ49"/>
  <sheetViews>
    <sheetView topLeftCell="A14" workbookViewId="0">
      <selection activeCell="B41" sqref="B41"/>
    </sheetView>
  </sheetViews>
  <sheetFormatPr defaultRowHeight="12.75" x14ac:dyDescent="0.2"/>
  <cols>
    <col min="1" max="1" width="11.140625" customWidth="1"/>
  </cols>
  <sheetData>
    <row r="4" spans="2:35" x14ac:dyDescent="0.2">
      <c r="B4" t="s">
        <v>494</v>
      </c>
    </row>
    <row r="7" spans="2:35" x14ac:dyDescent="0.2">
      <c r="C7" t="s">
        <v>495</v>
      </c>
      <c r="F7" t="s">
        <v>328</v>
      </c>
      <c r="I7" t="s">
        <v>329</v>
      </c>
      <c r="L7" t="s">
        <v>22</v>
      </c>
      <c r="O7" t="s">
        <v>23</v>
      </c>
      <c r="AF7" t="s">
        <v>546</v>
      </c>
    </row>
    <row r="8" spans="2:35" ht="16.5" x14ac:dyDescent="0.2">
      <c r="C8" s="271" t="s">
        <v>91</v>
      </c>
      <c r="D8" s="271" t="s">
        <v>273</v>
      </c>
      <c r="E8" s="271" t="s">
        <v>274</v>
      </c>
      <c r="F8" s="271" t="s">
        <v>496</v>
      </c>
      <c r="G8" s="271" t="s">
        <v>273</v>
      </c>
      <c r="H8" s="271" t="s">
        <v>274</v>
      </c>
      <c r="I8" s="271" t="s">
        <v>496</v>
      </c>
      <c r="J8" s="271" t="s">
        <v>273</v>
      </c>
      <c r="K8" s="271" t="s">
        <v>274</v>
      </c>
      <c r="L8" s="271" t="s">
        <v>496</v>
      </c>
      <c r="M8" s="271" t="s">
        <v>273</v>
      </c>
      <c r="N8" s="271" t="s">
        <v>274</v>
      </c>
      <c r="O8" s="271" t="s">
        <v>496</v>
      </c>
      <c r="P8" s="271" t="s">
        <v>273</v>
      </c>
      <c r="Q8" s="271" t="s">
        <v>274</v>
      </c>
      <c r="U8" s="271" t="s">
        <v>520</v>
      </c>
      <c r="Z8">
        <v>900</v>
      </c>
      <c r="AA8">
        <v>1800</v>
      </c>
      <c r="AD8" t="s">
        <v>552</v>
      </c>
      <c r="AF8" t="s">
        <v>328</v>
      </c>
      <c r="AG8" t="s">
        <v>329</v>
      </c>
      <c r="AH8" t="s">
        <v>330</v>
      </c>
      <c r="AI8" t="s">
        <v>331</v>
      </c>
    </row>
    <row r="9" spans="2:35" x14ac:dyDescent="0.2">
      <c r="B9">
        <v>1980</v>
      </c>
      <c r="C9" s="207">
        <v>233.7</v>
      </c>
      <c r="D9" s="207">
        <v>165</v>
      </c>
      <c r="E9" s="207">
        <v>65.8</v>
      </c>
      <c r="F9" s="207">
        <v>12.3</v>
      </c>
      <c r="G9" s="207">
        <v>10.9</v>
      </c>
      <c r="H9" s="207">
        <v>1.4</v>
      </c>
      <c r="I9" s="207">
        <v>32.299999999999997</v>
      </c>
      <c r="J9" s="207">
        <v>27.8</v>
      </c>
      <c r="K9" s="207">
        <v>4.5</v>
      </c>
      <c r="L9" s="207">
        <v>140.30000000000001</v>
      </c>
      <c r="M9" s="207">
        <v>104.7</v>
      </c>
      <c r="N9" s="207">
        <v>35.5</v>
      </c>
      <c r="O9" s="207">
        <v>48.7</v>
      </c>
      <c r="P9" s="207">
        <v>21.7</v>
      </c>
      <c r="Q9" s="207">
        <v>24.3</v>
      </c>
      <c r="T9" s="207">
        <f>SUM(C9:C18)</f>
        <v>2468.8000000000002</v>
      </c>
      <c r="U9" s="207">
        <f>SUM(D9:D18)</f>
        <v>1672.5000000000002</v>
      </c>
      <c r="V9" s="207">
        <f>SUM(E9:E18)</f>
        <v>779.9000000000002</v>
      </c>
      <c r="W9" s="207">
        <f>SUM(T9:U9)</f>
        <v>4141.3</v>
      </c>
      <c r="X9">
        <f>V9/T9</f>
        <v>0.315902462734932</v>
      </c>
      <c r="Y9">
        <f>AVERAGE(AB9:AB18)</f>
        <v>1181.4924533043245</v>
      </c>
      <c r="Z9">
        <f>D9*Z$8</f>
        <v>148500</v>
      </c>
      <c r="AA9" s="280">
        <f>E9*AA$8</f>
        <v>118440</v>
      </c>
      <c r="AB9">
        <f>(Z9+AA9)/C9</f>
        <v>1142.2336328626445</v>
      </c>
      <c r="AC9">
        <f>B9</f>
        <v>1980</v>
      </c>
      <c r="AD9">
        <f>E9/C9</f>
        <v>0.28155755241762942</v>
      </c>
      <c r="AE9" s="280">
        <f>B9</f>
        <v>1980</v>
      </c>
      <c r="AF9">
        <f>F9/$C9</f>
        <v>5.2631578947368425E-2</v>
      </c>
      <c r="AG9" s="280">
        <f>I9/$C9</f>
        <v>0.13821138211382114</v>
      </c>
      <c r="AH9" s="280">
        <f>L9/$C9</f>
        <v>0.6003423192126659</v>
      </c>
      <c r="AI9" s="280">
        <f>O9/$C9</f>
        <v>0.20838682071031239</v>
      </c>
    </row>
    <row r="10" spans="2:35" x14ac:dyDescent="0.2">
      <c r="B10">
        <f>B9+1</f>
        <v>1981</v>
      </c>
      <c r="C10" s="207">
        <v>229.2</v>
      </c>
      <c r="D10" s="207">
        <v>173</v>
      </c>
      <c r="E10" s="207">
        <v>54.3</v>
      </c>
      <c r="F10" s="207">
        <v>12</v>
      </c>
      <c r="G10" s="207">
        <v>10.5</v>
      </c>
      <c r="H10" s="207">
        <v>1.5</v>
      </c>
      <c r="I10" s="207">
        <v>30.1</v>
      </c>
      <c r="J10" s="207">
        <v>26</v>
      </c>
      <c r="K10" s="207">
        <v>4.0999999999999996</v>
      </c>
      <c r="L10" s="207">
        <v>143.5</v>
      </c>
      <c r="M10" s="207">
        <v>113.9</v>
      </c>
      <c r="N10" s="207">
        <v>29.5</v>
      </c>
      <c r="O10" s="207">
        <v>43.6</v>
      </c>
      <c r="P10" s="207">
        <v>22.5</v>
      </c>
      <c r="Q10" s="207">
        <v>19.2</v>
      </c>
      <c r="T10" s="207">
        <f>SUM(C19:C28)</f>
        <v>2820.4349999999999</v>
      </c>
      <c r="U10" s="207">
        <f>SUM(D19:D28)</f>
        <v>1331.7199999999998</v>
      </c>
      <c r="V10" s="207">
        <f>SUM(E19:E28)</f>
        <v>1450.7800000000002</v>
      </c>
      <c r="W10" s="207">
        <f>SUM(T10:U10)</f>
        <v>4152.1549999999997</v>
      </c>
      <c r="X10" s="280">
        <f>V10/T10</f>
        <v>0.51438164680270959</v>
      </c>
      <c r="Y10" s="280">
        <f>AVERAGE(AB19:AB28)</f>
        <v>1341.2913217366163</v>
      </c>
      <c r="Z10" s="280">
        <f t="shared" ref="Z10:Z39" si="0">D10*Z$8</f>
        <v>155700</v>
      </c>
      <c r="AA10" s="280">
        <f t="shared" ref="AA10:AA39" si="1">E10*AA$8</f>
        <v>97740</v>
      </c>
      <c r="AB10" s="280">
        <f t="shared" ref="AB10:AB47" si="2">(Z10+AA10)/C10</f>
        <v>1105.7591623036649</v>
      </c>
      <c r="AC10" s="280">
        <f t="shared" ref="AC10:AC47" si="3">B10</f>
        <v>1981</v>
      </c>
      <c r="AD10" s="280">
        <f t="shared" ref="AD10:AD47" si="4">E10/C10</f>
        <v>0.23691099476439789</v>
      </c>
      <c r="AE10" s="280">
        <f t="shared" ref="AE10:AE28" si="5">B10</f>
        <v>1981</v>
      </c>
      <c r="AF10" s="280">
        <f t="shared" ref="AF10:AF39" si="6">F10/$C10</f>
        <v>5.2356020942408377E-2</v>
      </c>
      <c r="AG10" s="280">
        <f t="shared" ref="AG10:AG39" si="7">I10/$C10</f>
        <v>0.13132635253054104</v>
      </c>
      <c r="AH10" s="280">
        <f t="shared" ref="AH10:AH39" si="8">L10/$C10</f>
        <v>0.62609075043630025</v>
      </c>
      <c r="AI10" s="280">
        <f t="shared" ref="AI10:AI39" si="9">O10/$C10</f>
        <v>0.19022687609075045</v>
      </c>
    </row>
    <row r="11" spans="2:35" x14ac:dyDescent="0.2">
      <c r="B11">
        <f>B10+1</f>
        <v>1982</v>
      </c>
      <c r="C11" s="207">
        <v>234.1</v>
      </c>
      <c r="D11" s="207">
        <v>182.5</v>
      </c>
      <c r="E11" s="207">
        <v>50.7</v>
      </c>
      <c r="F11" s="207">
        <v>12.4</v>
      </c>
      <c r="G11" s="207">
        <v>11</v>
      </c>
      <c r="H11" s="207">
        <v>1.3</v>
      </c>
      <c r="I11" s="207">
        <v>25.6</v>
      </c>
      <c r="J11" s="207">
        <v>21.6</v>
      </c>
      <c r="K11" s="207">
        <v>4</v>
      </c>
      <c r="L11" s="207">
        <v>161.1</v>
      </c>
      <c r="M11" s="207">
        <v>130.4</v>
      </c>
      <c r="N11" s="207">
        <v>30.7</v>
      </c>
      <c r="O11" s="207">
        <v>35</v>
      </c>
      <c r="P11" s="207">
        <v>19.5</v>
      </c>
      <c r="Q11" s="207">
        <v>14.7</v>
      </c>
      <c r="T11" s="207">
        <f>SUM(C29:C38)</f>
        <v>1380.7</v>
      </c>
      <c r="U11" s="207">
        <f>SUM(D29:D38)</f>
        <v>374.5</v>
      </c>
      <c r="V11" s="207">
        <f>SUM(E29:E38)</f>
        <v>971.6</v>
      </c>
      <c r="W11" s="207">
        <f>SUM(T11:U11)</f>
        <v>1755.2</v>
      </c>
      <c r="X11" s="280">
        <f>V11/T11</f>
        <v>0.70370102122111966</v>
      </c>
      <c r="Y11" s="280">
        <f>AVERAGE(AB29:AB38)</f>
        <v>1501.3458650956882</v>
      </c>
      <c r="Z11" s="280">
        <f t="shared" si="0"/>
        <v>164250</v>
      </c>
      <c r="AA11" s="280">
        <f t="shared" si="1"/>
        <v>91260</v>
      </c>
      <c r="AB11" s="280">
        <f t="shared" si="2"/>
        <v>1091.456642460487</v>
      </c>
      <c r="AC11" s="280">
        <f t="shared" si="3"/>
        <v>1982</v>
      </c>
      <c r="AD11" s="280">
        <f t="shared" si="4"/>
        <v>0.2165741136266553</v>
      </c>
      <c r="AE11" s="280">
        <f t="shared" si="5"/>
        <v>1982</v>
      </c>
      <c r="AF11" s="280">
        <f t="shared" si="6"/>
        <v>5.296881674498078E-2</v>
      </c>
      <c r="AG11" s="280">
        <f t="shared" si="7"/>
        <v>0.10935497650576677</v>
      </c>
      <c r="AH11" s="280">
        <f t="shared" si="8"/>
        <v>0.68816744980777445</v>
      </c>
      <c r="AI11" s="280">
        <f t="shared" si="9"/>
        <v>0.149508756941478</v>
      </c>
    </row>
    <row r="12" spans="2:35" x14ac:dyDescent="0.2">
      <c r="B12">
        <f t="shared" ref="B12:B39" si="10">B11+1</f>
        <v>1983</v>
      </c>
      <c r="C12" s="207">
        <v>278.10000000000002</v>
      </c>
      <c r="D12" s="207">
        <v>205.8</v>
      </c>
      <c r="E12" s="207">
        <v>70.900000000000006</v>
      </c>
      <c r="F12" s="207">
        <v>16.3</v>
      </c>
      <c r="G12" s="207">
        <v>13.9</v>
      </c>
      <c r="H12" s="207">
        <v>2.5</v>
      </c>
      <c r="I12" s="207">
        <v>34.299999999999997</v>
      </c>
      <c r="J12" s="207">
        <v>28.4</v>
      </c>
      <c r="K12" s="207">
        <v>5.9</v>
      </c>
      <c r="L12" s="207">
        <v>186</v>
      </c>
      <c r="M12" s="207">
        <v>144.1</v>
      </c>
      <c r="N12" s="207">
        <v>41.8</v>
      </c>
      <c r="O12" s="207">
        <v>41.4</v>
      </c>
      <c r="P12" s="207">
        <v>19.399999999999999</v>
      </c>
      <c r="Q12" s="207">
        <v>20.6</v>
      </c>
      <c r="Z12" s="280">
        <f t="shared" si="0"/>
        <v>185220</v>
      </c>
      <c r="AA12" s="280">
        <f t="shared" si="1"/>
        <v>127620.00000000001</v>
      </c>
      <c r="AB12" s="280">
        <f t="shared" si="2"/>
        <v>1124.9190938511326</v>
      </c>
      <c r="AC12" s="280">
        <f t="shared" si="3"/>
        <v>1983</v>
      </c>
      <c r="AD12" s="280">
        <f t="shared" si="4"/>
        <v>0.25494426465300252</v>
      </c>
      <c r="AE12" s="280">
        <f t="shared" si="5"/>
        <v>1983</v>
      </c>
      <c r="AF12" s="280">
        <f t="shared" si="6"/>
        <v>5.8612010068320744E-2</v>
      </c>
      <c r="AG12" s="280">
        <f t="shared" si="7"/>
        <v>0.12333692916217186</v>
      </c>
      <c r="AH12" s="280">
        <f t="shared" si="8"/>
        <v>0.66882416396979494</v>
      </c>
      <c r="AI12" s="280">
        <f t="shared" si="9"/>
        <v>0.14886731391585759</v>
      </c>
    </row>
    <row r="13" spans="2:35" x14ac:dyDescent="0.2">
      <c r="B13">
        <f t="shared" si="10"/>
        <v>1984</v>
      </c>
      <c r="C13" s="207">
        <v>287.89999999999998</v>
      </c>
      <c r="D13" s="207">
        <v>204</v>
      </c>
      <c r="E13" s="207">
        <v>82.5</v>
      </c>
      <c r="F13" s="207">
        <v>19.8</v>
      </c>
      <c r="G13" s="207">
        <v>16.600000000000001</v>
      </c>
      <c r="H13" s="207">
        <v>3.2</v>
      </c>
      <c r="I13" s="207">
        <v>35.200000000000003</v>
      </c>
      <c r="J13" s="207">
        <v>28.1</v>
      </c>
      <c r="K13" s="207">
        <v>7.2</v>
      </c>
      <c r="L13" s="207">
        <v>193.4</v>
      </c>
      <c r="M13" s="207">
        <v>141.9</v>
      </c>
      <c r="N13" s="207">
        <v>51.4</v>
      </c>
      <c r="O13" s="207">
        <v>39.4</v>
      </c>
      <c r="P13" s="207">
        <v>17.399999999999999</v>
      </c>
      <c r="Q13" s="207">
        <v>20.7</v>
      </c>
      <c r="Z13" s="280">
        <f t="shared" si="0"/>
        <v>183600</v>
      </c>
      <c r="AA13" s="280">
        <f t="shared" si="1"/>
        <v>148500</v>
      </c>
      <c r="AB13" s="280">
        <f t="shared" si="2"/>
        <v>1153.5255296978119</v>
      </c>
      <c r="AC13" s="280">
        <f t="shared" si="3"/>
        <v>1984</v>
      </c>
      <c r="AD13" s="280">
        <f t="shared" si="4"/>
        <v>0.28655783258075723</v>
      </c>
      <c r="AE13" s="280">
        <f t="shared" si="5"/>
        <v>1984</v>
      </c>
      <c r="AF13" s="280">
        <f t="shared" si="6"/>
        <v>6.8773879819381739E-2</v>
      </c>
      <c r="AG13" s="280">
        <f t="shared" si="7"/>
        <v>0.12226467523445643</v>
      </c>
      <c r="AH13" s="280">
        <f t="shared" si="8"/>
        <v>0.67176102813476912</v>
      </c>
      <c r="AI13" s="280">
        <f t="shared" si="9"/>
        <v>0.13685307398402224</v>
      </c>
    </row>
    <row r="14" spans="2:35" x14ac:dyDescent="0.2">
      <c r="B14">
        <f t="shared" si="10"/>
        <v>1985</v>
      </c>
      <c r="C14" s="207">
        <v>283.39999999999998</v>
      </c>
      <c r="D14" s="207">
        <v>192.9</v>
      </c>
      <c r="E14" s="207">
        <v>88.8</v>
      </c>
      <c r="F14" s="207">
        <v>20.2</v>
      </c>
      <c r="G14" s="207">
        <v>16.2</v>
      </c>
      <c r="H14" s="207">
        <v>4</v>
      </c>
      <c r="I14" s="207">
        <v>38.6</v>
      </c>
      <c r="J14" s="207">
        <v>30.3</v>
      </c>
      <c r="K14" s="207">
        <v>8.3000000000000007</v>
      </c>
      <c r="L14" s="207">
        <v>187.6</v>
      </c>
      <c r="M14" s="207">
        <v>131.69999999999999</v>
      </c>
      <c r="N14" s="207">
        <v>55.7</v>
      </c>
      <c r="O14" s="207">
        <v>36.9</v>
      </c>
      <c r="P14" s="207">
        <v>14.6</v>
      </c>
      <c r="Q14" s="207">
        <v>20.9</v>
      </c>
      <c r="Z14" s="280">
        <f t="shared" si="0"/>
        <v>173610</v>
      </c>
      <c r="AA14" s="280">
        <f t="shared" si="1"/>
        <v>159840</v>
      </c>
      <c r="AB14" s="280">
        <f t="shared" si="2"/>
        <v>1176.605504587156</v>
      </c>
      <c r="AC14" s="280">
        <f t="shared" si="3"/>
        <v>1985</v>
      </c>
      <c r="AD14" s="280">
        <f t="shared" si="4"/>
        <v>0.31333803810868033</v>
      </c>
      <c r="AE14" s="280">
        <f t="shared" si="5"/>
        <v>1985</v>
      </c>
      <c r="AF14" s="280">
        <f t="shared" si="6"/>
        <v>7.1277346506704309E-2</v>
      </c>
      <c r="AG14" s="280">
        <f t="shared" si="7"/>
        <v>0.13620324629498942</v>
      </c>
      <c r="AH14" s="280">
        <f t="shared" si="8"/>
        <v>0.66196189131968952</v>
      </c>
      <c r="AI14" s="280">
        <f t="shared" si="9"/>
        <v>0.13020465772759351</v>
      </c>
    </row>
    <row r="15" spans="2:35" x14ac:dyDescent="0.2">
      <c r="B15">
        <f t="shared" si="10"/>
        <v>1986</v>
      </c>
      <c r="C15" s="207">
        <v>256.10000000000002</v>
      </c>
      <c r="D15" s="207">
        <v>165</v>
      </c>
      <c r="E15" s="207">
        <v>89.8</v>
      </c>
      <c r="F15" s="207">
        <v>21.2</v>
      </c>
      <c r="G15" s="207">
        <v>15.3</v>
      </c>
      <c r="H15" s="207">
        <v>5.9</v>
      </c>
      <c r="I15" s="207">
        <v>37.200000000000003</v>
      </c>
      <c r="J15" s="207">
        <v>27.6</v>
      </c>
      <c r="K15" s="207">
        <v>9.6</v>
      </c>
      <c r="L15" s="207">
        <v>162.30000000000001</v>
      </c>
      <c r="M15" s="207">
        <v>109.6</v>
      </c>
      <c r="N15" s="207">
        <v>52.5</v>
      </c>
      <c r="O15" s="207">
        <v>35.4</v>
      </c>
      <c r="P15" s="207">
        <v>12.4</v>
      </c>
      <c r="Q15" s="207">
        <v>21.8</v>
      </c>
      <c r="Z15" s="280">
        <f t="shared" si="0"/>
        <v>148500</v>
      </c>
      <c r="AA15" s="280">
        <f t="shared" si="1"/>
        <v>161640</v>
      </c>
      <c r="AB15" s="280">
        <f t="shared" si="2"/>
        <v>1211.011323701679</v>
      </c>
      <c r="AC15" s="280">
        <f t="shared" si="3"/>
        <v>1986</v>
      </c>
      <c r="AD15" s="280">
        <f t="shared" si="4"/>
        <v>0.3506442795782897</v>
      </c>
      <c r="AE15" s="280">
        <f t="shared" si="5"/>
        <v>1986</v>
      </c>
      <c r="AF15" s="280">
        <f t="shared" si="6"/>
        <v>8.27801639984381E-2</v>
      </c>
      <c r="AG15" s="280">
        <f t="shared" si="7"/>
        <v>0.14525575946895744</v>
      </c>
      <c r="AH15" s="280">
        <f t="shared" si="8"/>
        <v>0.6337368215540804</v>
      </c>
      <c r="AI15" s="280">
        <f t="shared" si="9"/>
        <v>0.13822725497852401</v>
      </c>
    </row>
    <row r="16" spans="2:35" x14ac:dyDescent="0.2">
      <c r="B16">
        <f t="shared" si="10"/>
        <v>1987</v>
      </c>
      <c r="C16" s="207">
        <v>239.2</v>
      </c>
      <c r="D16" s="207">
        <v>148.5</v>
      </c>
      <c r="E16" s="207">
        <v>89.2</v>
      </c>
      <c r="F16" s="207">
        <v>23.6</v>
      </c>
      <c r="G16" s="207">
        <v>16.600000000000001</v>
      </c>
      <c r="H16" s="207">
        <v>6.9</v>
      </c>
      <c r="I16" s="207">
        <v>40</v>
      </c>
      <c r="J16" s="207">
        <v>27.6</v>
      </c>
      <c r="K16" s="207">
        <v>12.4</v>
      </c>
      <c r="L16" s="207">
        <v>145.5</v>
      </c>
      <c r="M16" s="207">
        <v>94.6</v>
      </c>
      <c r="N16" s="207">
        <v>50.6</v>
      </c>
      <c r="O16" s="207">
        <v>30.1</v>
      </c>
      <c r="P16" s="207">
        <v>9.6</v>
      </c>
      <c r="Q16" s="207">
        <v>19.3</v>
      </c>
      <c r="Z16" s="280">
        <f t="shared" si="0"/>
        <v>133650</v>
      </c>
      <c r="AA16" s="280">
        <f t="shared" si="1"/>
        <v>160560</v>
      </c>
      <c r="AB16" s="280">
        <f t="shared" si="2"/>
        <v>1229.9749163879599</v>
      </c>
      <c r="AC16" s="280">
        <f t="shared" si="3"/>
        <v>1987</v>
      </c>
      <c r="AD16" s="280">
        <f t="shared" si="4"/>
        <v>0.37290969899665555</v>
      </c>
      <c r="AE16" s="280">
        <f t="shared" si="5"/>
        <v>1987</v>
      </c>
      <c r="AF16" s="280">
        <f t="shared" si="6"/>
        <v>9.8662207357859549E-2</v>
      </c>
      <c r="AG16" s="280">
        <f t="shared" si="7"/>
        <v>0.16722408026755853</v>
      </c>
      <c r="AH16" s="280">
        <f t="shared" si="8"/>
        <v>0.60827759197324416</v>
      </c>
      <c r="AI16" s="280">
        <f t="shared" si="9"/>
        <v>0.12583612040133779</v>
      </c>
    </row>
    <row r="17" spans="2:36" x14ac:dyDescent="0.2">
      <c r="B17">
        <f t="shared" si="10"/>
        <v>1988</v>
      </c>
      <c r="C17" s="207">
        <v>224.3</v>
      </c>
      <c r="D17" s="207">
        <v>128.4</v>
      </c>
      <c r="E17" s="207">
        <v>94.2</v>
      </c>
      <c r="F17" s="207">
        <v>22.7</v>
      </c>
      <c r="G17" s="207">
        <v>14.9</v>
      </c>
      <c r="H17" s="207">
        <v>7.8</v>
      </c>
      <c r="I17" s="207">
        <v>39.1</v>
      </c>
      <c r="J17" s="207">
        <v>25.6</v>
      </c>
      <c r="K17" s="207">
        <v>13.5</v>
      </c>
      <c r="L17" s="207">
        <v>130.69999999999999</v>
      </c>
      <c r="M17" s="207">
        <v>80.599999999999994</v>
      </c>
      <c r="N17" s="207">
        <v>49.9</v>
      </c>
      <c r="O17" s="207">
        <v>31.8</v>
      </c>
      <c r="P17" s="207">
        <v>7.4</v>
      </c>
      <c r="Q17" s="207">
        <v>23.1</v>
      </c>
      <c r="Z17" s="280">
        <f t="shared" si="0"/>
        <v>115560</v>
      </c>
      <c r="AA17" s="280">
        <f t="shared" si="1"/>
        <v>169560</v>
      </c>
      <c r="AB17" s="280">
        <f t="shared" si="2"/>
        <v>1271.1547035220685</v>
      </c>
      <c r="AC17" s="280">
        <f t="shared" si="3"/>
        <v>1988</v>
      </c>
      <c r="AD17" s="280">
        <f t="shared" si="4"/>
        <v>0.41997325011145786</v>
      </c>
      <c r="AE17" s="280">
        <f t="shared" si="5"/>
        <v>1988</v>
      </c>
      <c r="AF17" s="280">
        <f t="shared" si="6"/>
        <v>0.1012037449843959</v>
      </c>
      <c r="AG17" s="280">
        <f t="shared" si="7"/>
        <v>0.17432010699955416</v>
      </c>
      <c r="AH17" s="280">
        <f t="shared" si="8"/>
        <v>0.5827017387427551</v>
      </c>
      <c r="AI17" s="280">
        <f t="shared" si="9"/>
        <v>0.14177440927329468</v>
      </c>
    </row>
    <row r="18" spans="2:36" x14ac:dyDescent="0.2">
      <c r="B18">
        <f t="shared" si="10"/>
        <v>1989</v>
      </c>
      <c r="C18" s="207">
        <v>202.8</v>
      </c>
      <c r="D18" s="207">
        <v>107.4</v>
      </c>
      <c r="E18" s="207">
        <v>93.7</v>
      </c>
      <c r="F18" s="207">
        <v>20.2</v>
      </c>
      <c r="G18" s="207">
        <v>12.4</v>
      </c>
      <c r="H18" s="207">
        <v>7.8</v>
      </c>
      <c r="I18" s="207">
        <v>39.1</v>
      </c>
      <c r="J18" s="207">
        <v>23.9</v>
      </c>
      <c r="K18" s="207">
        <v>15.1</v>
      </c>
      <c r="L18" s="207">
        <v>112.8</v>
      </c>
      <c r="M18" s="207">
        <v>64.599999999999994</v>
      </c>
      <c r="N18" s="207">
        <v>47.8</v>
      </c>
      <c r="O18" s="207">
        <v>30.6</v>
      </c>
      <c r="P18" s="207">
        <v>6.4</v>
      </c>
      <c r="Q18" s="207">
        <v>22.9</v>
      </c>
      <c r="Z18" s="280">
        <f t="shared" si="0"/>
        <v>96660</v>
      </c>
      <c r="AA18" s="280">
        <f t="shared" si="1"/>
        <v>168660</v>
      </c>
      <c r="AB18" s="280">
        <f t="shared" si="2"/>
        <v>1308.2840236686391</v>
      </c>
      <c r="AC18" s="280">
        <f t="shared" si="3"/>
        <v>1989</v>
      </c>
      <c r="AD18" s="280">
        <f t="shared" si="4"/>
        <v>0.46203155818540431</v>
      </c>
      <c r="AE18" s="280">
        <f t="shared" si="5"/>
        <v>1989</v>
      </c>
      <c r="AF18" s="280">
        <f t="shared" si="6"/>
        <v>9.9605522682445755E-2</v>
      </c>
      <c r="AG18" s="280">
        <f t="shared" si="7"/>
        <v>0.19280078895463509</v>
      </c>
      <c r="AH18" s="280">
        <f t="shared" si="8"/>
        <v>0.55621301775147924</v>
      </c>
      <c r="AI18" s="280">
        <f t="shared" si="9"/>
        <v>0.15088757396449703</v>
      </c>
    </row>
    <row r="19" spans="2:36" x14ac:dyDescent="0.2">
      <c r="B19">
        <f t="shared" si="10"/>
        <v>1990</v>
      </c>
      <c r="C19" s="207">
        <v>195.4</v>
      </c>
      <c r="D19" s="207">
        <v>103.8</v>
      </c>
      <c r="E19" s="207">
        <v>89.5</v>
      </c>
      <c r="F19" s="207">
        <v>18.8</v>
      </c>
      <c r="G19" s="207">
        <v>12.1</v>
      </c>
      <c r="H19" s="207">
        <v>6.7</v>
      </c>
      <c r="I19" s="207">
        <v>37.700000000000003</v>
      </c>
      <c r="J19" s="207">
        <v>22.9</v>
      </c>
      <c r="K19" s="207">
        <v>14.7</v>
      </c>
      <c r="L19" s="207">
        <v>108.4</v>
      </c>
      <c r="M19" s="207">
        <v>62.7</v>
      </c>
      <c r="N19" s="207">
        <v>44.8</v>
      </c>
      <c r="O19" s="207">
        <v>30.6</v>
      </c>
      <c r="P19" s="207">
        <v>6.1</v>
      </c>
      <c r="Q19" s="207">
        <v>23.3</v>
      </c>
      <c r="Z19" s="280">
        <f t="shared" si="0"/>
        <v>93420</v>
      </c>
      <c r="AA19" s="280">
        <f t="shared" si="1"/>
        <v>161100</v>
      </c>
      <c r="AB19" s="280">
        <f t="shared" si="2"/>
        <v>1302.5588536335722</v>
      </c>
      <c r="AC19" s="280">
        <f t="shared" si="3"/>
        <v>1990</v>
      </c>
      <c r="AD19" s="280">
        <f t="shared" si="4"/>
        <v>0.45803480040941658</v>
      </c>
      <c r="AE19" s="280">
        <f t="shared" si="5"/>
        <v>1990</v>
      </c>
      <c r="AF19" s="280">
        <f t="shared" si="6"/>
        <v>9.6212896622313207E-2</v>
      </c>
      <c r="AG19" s="280">
        <f t="shared" si="7"/>
        <v>0.19293756397134085</v>
      </c>
      <c r="AH19" s="280">
        <f t="shared" si="8"/>
        <v>0.5547594677584442</v>
      </c>
      <c r="AI19" s="280">
        <f t="shared" si="9"/>
        <v>0.15660184237461616</v>
      </c>
    </row>
    <row r="20" spans="2:36" x14ac:dyDescent="0.2">
      <c r="B20">
        <f t="shared" si="10"/>
        <v>1991</v>
      </c>
      <c r="C20" s="207">
        <v>174.3</v>
      </c>
      <c r="D20" s="207">
        <v>94.6</v>
      </c>
      <c r="E20" s="207">
        <v>77.8</v>
      </c>
      <c r="F20" s="207">
        <v>14.3</v>
      </c>
      <c r="G20" s="207">
        <v>9.1</v>
      </c>
      <c r="H20" s="207">
        <v>5.2</v>
      </c>
      <c r="I20" s="207">
        <v>35.4</v>
      </c>
      <c r="J20" s="207">
        <v>21.6</v>
      </c>
      <c r="K20" s="207">
        <v>13.8</v>
      </c>
      <c r="L20" s="207">
        <v>97.6</v>
      </c>
      <c r="M20" s="207">
        <v>58.2</v>
      </c>
      <c r="N20" s="207">
        <v>38.4</v>
      </c>
      <c r="O20" s="207">
        <v>27</v>
      </c>
      <c r="P20" s="207">
        <v>5.8</v>
      </c>
      <c r="Q20" s="207">
        <v>20.3</v>
      </c>
      <c r="Z20" s="280">
        <f t="shared" si="0"/>
        <v>85140</v>
      </c>
      <c r="AA20" s="280">
        <f t="shared" si="1"/>
        <v>140040</v>
      </c>
      <c r="AB20" s="280">
        <f t="shared" si="2"/>
        <v>1291.9104991394147</v>
      </c>
      <c r="AC20" s="280">
        <f t="shared" si="3"/>
        <v>1991</v>
      </c>
      <c r="AD20" s="280">
        <f t="shared" si="4"/>
        <v>0.44635685599541014</v>
      </c>
      <c r="AE20" s="280">
        <f t="shared" si="5"/>
        <v>1991</v>
      </c>
      <c r="AF20" s="280">
        <f t="shared" si="6"/>
        <v>8.2042455536431441E-2</v>
      </c>
      <c r="AG20" s="280">
        <f t="shared" si="7"/>
        <v>0.20309810671256454</v>
      </c>
      <c r="AH20" s="280">
        <f t="shared" si="8"/>
        <v>0.55995410212277674</v>
      </c>
      <c r="AI20" s="280">
        <f t="shared" si="9"/>
        <v>0.1549053356282272</v>
      </c>
    </row>
    <row r="21" spans="2:36" x14ac:dyDescent="0.2">
      <c r="B21">
        <f t="shared" si="10"/>
        <v>1992</v>
      </c>
      <c r="C21" s="207">
        <v>212</v>
      </c>
      <c r="D21" s="207">
        <v>114.5</v>
      </c>
      <c r="E21" s="207">
        <v>95.5</v>
      </c>
      <c r="F21" s="207">
        <v>15</v>
      </c>
      <c r="G21" s="207">
        <v>8.3000000000000007</v>
      </c>
      <c r="H21" s="207">
        <v>6.7</v>
      </c>
      <c r="I21" s="207">
        <v>42.2</v>
      </c>
      <c r="J21" s="207">
        <v>25.3</v>
      </c>
      <c r="K21" s="207">
        <v>16.899999999999999</v>
      </c>
      <c r="L21" s="207">
        <v>124.4</v>
      </c>
      <c r="M21" s="207">
        <v>73.400000000000006</v>
      </c>
      <c r="N21" s="207">
        <v>50.1</v>
      </c>
      <c r="O21" s="207">
        <v>30.4</v>
      </c>
      <c r="P21" s="207">
        <v>7.4</v>
      </c>
      <c r="Q21" s="207">
        <v>21.9</v>
      </c>
      <c r="Z21" s="280">
        <f t="shared" si="0"/>
        <v>103050</v>
      </c>
      <c r="AA21" s="280">
        <f t="shared" si="1"/>
        <v>171900</v>
      </c>
      <c r="AB21" s="280">
        <f t="shared" si="2"/>
        <v>1296.933962264151</v>
      </c>
      <c r="AC21" s="280">
        <f t="shared" si="3"/>
        <v>1992</v>
      </c>
      <c r="AD21" s="280">
        <f t="shared" si="4"/>
        <v>0.45047169811320753</v>
      </c>
      <c r="AE21" s="280">
        <f t="shared" si="5"/>
        <v>1992</v>
      </c>
      <c r="AF21" s="280">
        <f t="shared" si="6"/>
        <v>7.0754716981132074E-2</v>
      </c>
      <c r="AG21" s="280">
        <f t="shared" si="7"/>
        <v>0.19905660377358492</v>
      </c>
      <c r="AH21" s="280">
        <f t="shared" si="8"/>
        <v>0.58679245283018866</v>
      </c>
      <c r="AI21" s="280">
        <f t="shared" si="9"/>
        <v>0.14339622641509434</v>
      </c>
    </row>
    <row r="22" spans="2:36" x14ac:dyDescent="0.2">
      <c r="B22">
        <f t="shared" si="10"/>
        <v>1993</v>
      </c>
      <c r="C22" s="207">
        <v>242.5</v>
      </c>
      <c r="D22" s="207">
        <v>127</v>
      </c>
      <c r="E22" s="207">
        <v>112.4</v>
      </c>
      <c r="F22" s="207">
        <v>15.4</v>
      </c>
      <c r="G22" s="207">
        <v>8.6</v>
      </c>
      <c r="H22" s="207">
        <v>6.7</v>
      </c>
      <c r="I22" s="207">
        <v>44.5</v>
      </c>
      <c r="J22" s="207">
        <v>24.7</v>
      </c>
      <c r="K22" s="207">
        <v>19.7</v>
      </c>
      <c r="L22" s="207">
        <v>146.69999999999999</v>
      </c>
      <c r="M22" s="207">
        <v>83.8</v>
      </c>
      <c r="N22" s="207">
        <v>61.5</v>
      </c>
      <c r="O22" s="207">
        <v>35.9</v>
      </c>
      <c r="P22" s="207">
        <v>9.9</v>
      </c>
      <c r="Q22" s="207">
        <v>24.4</v>
      </c>
      <c r="Z22" s="280">
        <f t="shared" si="0"/>
        <v>114300</v>
      </c>
      <c r="AA22" s="280">
        <f t="shared" si="1"/>
        <v>202320</v>
      </c>
      <c r="AB22" s="280">
        <f t="shared" si="2"/>
        <v>1305.6494845360826</v>
      </c>
      <c r="AC22" s="280">
        <f t="shared" si="3"/>
        <v>1993</v>
      </c>
      <c r="AD22" s="280">
        <f t="shared" si="4"/>
        <v>0.4635051546391753</v>
      </c>
      <c r="AE22" s="280">
        <f t="shared" si="5"/>
        <v>1993</v>
      </c>
      <c r="AF22" s="280">
        <f t="shared" si="6"/>
        <v>6.3505154639175262E-2</v>
      </c>
      <c r="AG22" s="280">
        <f t="shared" si="7"/>
        <v>0.18350515463917524</v>
      </c>
      <c r="AH22" s="280">
        <f t="shared" si="8"/>
        <v>0.60494845360824734</v>
      </c>
      <c r="AI22" s="280">
        <f t="shared" si="9"/>
        <v>0.14804123711340206</v>
      </c>
    </row>
    <row r="23" spans="2:36" x14ac:dyDescent="0.2">
      <c r="B23">
        <f t="shared" si="10"/>
        <v>1994</v>
      </c>
      <c r="C23" s="207">
        <v>290.89999999999998</v>
      </c>
      <c r="D23" s="207">
        <v>149.28</v>
      </c>
      <c r="E23" s="207">
        <v>137.30000000000001</v>
      </c>
      <c r="F23" s="207">
        <v>16.292000000000002</v>
      </c>
      <c r="G23" s="207">
        <v>9.08</v>
      </c>
      <c r="H23" s="207">
        <v>7.12</v>
      </c>
      <c r="I23" s="207">
        <v>53.252000000000002</v>
      </c>
      <c r="J23" s="207">
        <v>27.64</v>
      </c>
      <c r="K23" s="207">
        <v>25.48</v>
      </c>
      <c r="L23" s="207">
        <v>177.702</v>
      </c>
      <c r="M23" s="207">
        <v>101.32</v>
      </c>
      <c r="N23" s="207">
        <v>74.7</v>
      </c>
      <c r="O23" s="207">
        <v>43.613999999999997</v>
      </c>
      <c r="P23" s="207">
        <v>11.24</v>
      </c>
      <c r="Q23" s="207">
        <v>30</v>
      </c>
      <c r="Z23" s="280">
        <f t="shared" si="0"/>
        <v>134352</v>
      </c>
      <c r="AA23" s="280">
        <f t="shared" si="1"/>
        <v>247140.00000000003</v>
      </c>
      <c r="AB23" s="280">
        <f t="shared" si="2"/>
        <v>1311.4197318666209</v>
      </c>
      <c r="AC23" s="280">
        <f t="shared" si="3"/>
        <v>1994</v>
      </c>
      <c r="AD23" s="280">
        <f t="shared" si="4"/>
        <v>0.47198349948435897</v>
      </c>
      <c r="AE23" s="280">
        <f t="shared" si="5"/>
        <v>1994</v>
      </c>
      <c r="AF23" s="280">
        <f t="shared" si="6"/>
        <v>5.6005500171880378E-2</v>
      </c>
      <c r="AG23" s="280">
        <f t="shared" si="7"/>
        <v>0.18305947060845654</v>
      </c>
      <c r="AH23" s="280">
        <f t="shared" si="8"/>
        <v>0.61086971467858375</v>
      </c>
      <c r="AI23" s="280">
        <f t="shared" si="9"/>
        <v>0.14992781024407012</v>
      </c>
    </row>
    <row r="24" spans="2:36" ht="15.75" customHeight="1" x14ac:dyDescent="0.2">
      <c r="B24">
        <f t="shared" si="10"/>
        <v>1995</v>
      </c>
      <c r="C24" s="207">
        <v>319.416</v>
      </c>
      <c r="D24" s="207">
        <v>163.04</v>
      </c>
      <c r="E24" s="207">
        <v>152.1</v>
      </c>
      <c r="F24" s="207">
        <v>15</v>
      </c>
      <c r="G24" s="207">
        <v>8</v>
      </c>
      <c r="H24" s="207">
        <v>6.96</v>
      </c>
      <c r="I24" s="207">
        <v>57.518999999999998</v>
      </c>
      <c r="J24" s="207">
        <v>30</v>
      </c>
      <c r="K24" s="207">
        <v>27.44</v>
      </c>
      <c r="L24" s="207">
        <v>203.18600000000001</v>
      </c>
      <c r="M24" s="207">
        <v>113.24</v>
      </c>
      <c r="N24" s="207">
        <v>88.24</v>
      </c>
      <c r="O24" s="207">
        <v>43.71</v>
      </c>
      <c r="P24" s="207">
        <v>11.8</v>
      </c>
      <c r="Q24" s="207">
        <v>29.46</v>
      </c>
      <c r="Z24" s="280">
        <f t="shared" si="0"/>
        <v>146736</v>
      </c>
      <c r="AA24" s="280">
        <f t="shared" si="1"/>
        <v>273780</v>
      </c>
      <c r="AB24" s="280">
        <f t="shared" si="2"/>
        <v>1316.5151401307387</v>
      </c>
      <c r="AC24" s="280">
        <f t="shared" si="3"/>
        <v>1995</v>
      </c>
      <c r="AD24" s="280">
        <f t="shared" si="4"/>
        <v>0.47618153129461266</v>
      </c>
      <c r="AE24" s="280">
        <f t="shared" si="5"/>
        <v>1995</v>
      </c>
      <c r="AF24" s="280">
        <f t="shared" si="6"/>
        <v>4.6960703283492375E-2</v>
      </c>
      <c r="AG24" s="280">
        <f t="shared" si="7"/>
        <v>0.18007551281087986</v>
      </c>
      <c r="AH24" s="280">
        <f t="shared" si="8"/>
        <v>0.63611716382397876</v>
      </c>
      <c r="AI24" s="280">
        <f t="shared" si="9"/>
        <v>0.13684348936809679</v>
      </c>
    </row>
    <row r="25" spans="2:36" x14ac:dyDescent="0.2">
      <c r="B25">
        <f t="shared" si="10"/>
        <v>1996</v>
      </c>
      <c r="C25" s="207">
        <v>337.65100000000001</v>
      </c>
      <c r="D25" s="207">
        <v>163.36000000000001</v>
      </c>
      <c r="E25" s="207">
        <v>168.86</v>
      </c>
      <c r="F25" s="207">
        <v>16.193000000000001</v>
      </c>
      <c r="G25" s="207">
        <v>8.44</v>
      </c>
      <c r="H25" s="207">
        <v>7.74</v>
      </c>
      <c r="I25" s="207">
        <v>58.819000000000003</v>
      </c>
      <c r="J25" s="207">
        <v>28.2</v>
      </c>
      <c r="K25" s="207">
        <v>30.42</v>
      </c>
      <c r="L25" s="207">
        <v>218.233</v>
      </c>
      <c r="M25" s="207">
        <v>115.36</v>
      </c>
      <c r="N25" s="207">
        <v>100.16</v>
      </c>
      <c r="O25" s="207">
        <v>44.41</v>
      </c>
      <c r="P25" s="207">
        <v>11.36</v>
      </c>
      <c r="Q25" s="207">
        <v>30.5</v>
      </c>
      <c r="Z25" s="280">
        <f t="shared" si="0"/>
        <v>147024</v>
      </c>
      <c r="AA25" s="280">
        <f t="shared" si="1"/>
        <v>303948</v>
      </c>
      <c r="AB25" s="280">
        <f t="shared" si="2"/>
        <v>1335.6157689448571</v>
      </c>
      <c r="AC25" s="280">
        <f t="shared" si="3"/>
        <v>1996</v>
      </c>
      <c r="AD25" s="280">
        <f t="shared" si="4"/>
        <v>0.50010217650769584</v>
      </c>
      <c r="AE25" s="280">
        <f t="shared" si="5"/>
        <v>1996</v>
      </c>
      <c r="AF25" s="280">
        <f t="shared" si="6"/>
        <v>4.7957802583140585E-2</v>
      </c>
      <c r="AG25" s="280">
        <f t="shared" si="7"/>
        <v>0.17420057988870166</v>
      </c>
      <c r="AH25" s="280">
        <f t="shared" si="8"/>
        <v>0.64632712475307341</v>
      </c>
      <c r="AI25" s="280">
        <f t="shared" si="9"/>
        <v>0.13152633932670121</v>
      </c>
    </row>
    <row r="26" spans="2:36" x14ac:dyDescent="0.2">
      <c r="B26">
        <f t="shared" si="10"/>
        <v>1997</v>
      </c>
      <c r="C26" s="207">
        <v>336.27600000000001</v>
      </c>
      <c r="D26" s="207">
        <v>144</v>
      </c>
      <c r="E26" s="207">
        <v>186.18</v>
      </c>
      <c r="F26" s="207">
        <v>14.34</v>
      </c>
      <c r="G26" s="207">
        <v>5.64</v>
      </c>
      <c r="H26" s="207">
        <v>8.66</v>
      </c>
      <c r="I26" s="207">
        <v>55.256999999999998</v>
      </c>
      <c r="J26" s="207">
        <v>23.48</v>
      </c>
      <c r="K26" s="207">
        <v>31.58</v>
      </c>
      <c r="L26" s="207">
        <v>219.411</v>
      </c>
      <c r="M26" s="207">
        <v>104.6</v>
      </c>
      <c r="N26" s="207">
        <v>111.62</v>
      </c>
      <c r="O26" s="207">
        <v>47.267000000000003</v>
      </c>
      <c r="P26" s="207">
        <v>10.28</v>
      </c>
      <c r="Q26" s="207">
        <v>34.32</v>
      </c>
      <c r="Z26" s="280">
        <f t="shared" si="0"/>
        <v>129600</v>
      </c>
      <c r="AA26" s="280">
        <f t="shared" si="1"/>
        <v>335124</v>
      </c>
      <c r="AB26" s="280">
        <f t="shared" si="2"/>
        <v>1381.9719516111766</v>
      </c>
      <c r="AC26" s="280">
        <f t="shared" si="3"/>
        <v>1997</v>
      </c>
      <c r="AD26" s="280">
        <f t="shared" si="4"/>
        <v>0.55365235699247051</v>
      </c>
      <c r="AE26" s="280">
        <f t="shared" si="5"/>
        <v>1997</v>
      </c>
      <c r="AF26" s="280">
        <f t="shared" si="6"/>
        <v>4.2643542804125183E-2</v>
      </c>
      <c r="AG26" s="280">
        <f t="shared" si="7"/>
        <v>0.16432037968811333</v>
      </c>
      <c r="AH26" s="280">
        <f t="shared" si="8"/>
        <v>0.65247296863290871</v>
      </c>
      <c r="AI26" s="280">
        <f t="shared" si="9"/>
        <v>0.14056013512709797</v>
      </c>
    </row>
    <row r="27" spans="2:36" x14ac:dyDescent="0.2">
      <c r="B27">
        <f t="shared" si="10"/>
        <v>1998</v>
      </c>
      <c r="C27" s="207">
        <v>373.69200000000001</v>
      </c>
      <c r="D27" s="207">
        <v>149.63999999999999</v>
      </c>
      <c r="E27" s="207">
        <v>218.14</v>
      </c>
      <c r="F27" s="207">
        <v>14.739000000000001</v>
      </c>
      <c r="G27" s="207">
        <v>5.6</v>
      </c>
      <c r="H27" s="207">
        <v>9.06</v>
      </c>
      <c r="I27" s="207">
        <v>58.292000000000002</v>
      </c>
      <c r="J27" s="207">
        <v>22.16</v>
      </c>
      <c r="K27" s="207">
        <v>35.840000000000003</v>
      </c>
      <c r="L27" s="207">
        <v>250.26599999999999</v>
      </c>
      <c r="M27" s="207">
        <v>111.8</v>
      </c>
      <c r="N27" s="207">
        <v>135.38</v>
      </c>
      <c r="O27" s="207">
        <v>50.393999999999998</v>
      </c>
      <c r="P27" s="207">
        <v>10.08</v>
      </c>
      <c r="Q27" s="207">
        <v>37.86</v>
      </c>
      <c r="Z27" s="280">
        <f t="shared" si="0"/>
        <v>134676</v>
      </c>
      <c r="AA27" s="280">
        <f t="shared" si="1"/>
        <v>392652</v>
      </c>
      <c r="AB27" s="280">
        <f t="shared" si="2"/>
        <v>1411.1300215150445</v>
      </c>
      <c r="AC27" s="280">
        <f t="shared" si="3"/>
        <v>1998</v>
      </c>
      <c r="AD27" s="280">
        <f t="shared" si="4"/>
        <v>0.58374276141849435</v>
      </c>
      <c r="AE27" s="280">
        <f t="shared" si="5"/>
        <v>1998</v>
      </c>
      <c r="AF27" s="280">
        <f t="shared" si="6"/>
        <v>3.9441572203847017E-2</v>
      </c>
      <c r="AG27" s="280">
        <f t="shared" si="7"/>
        <v>0.15598942444580027</v>
      </c>
      <c r="AH27" s="280">
        <f t="shared" si="8"/>
        <v>0.66971195530008665</v>
      </c>
      <c r="AI27" s="280">
        <f t="shared" si="9"/>
        <v>0.13485437204970938</v>
      </c>
    </row>
    <row r="28" spans="2:36" x14ac:dyDescent="0.2">
      <c r="B28">
        <f t="shared" si="10"/>
        <v>1999</v>
      </c>
      <c r="C28" s="207">
        <v>338.3</v>
      </c>
      <c r="D28" s="207">
        <v>122.5</v>
      </c>
      <c r="E28" s="207">
        <v>213</v>
      </c>
      <c r="F28" s="207">
        <v>14.1</v>
      </c>
      <c r="G28" s="207">
        <v>4.4000000000000004</v>
      </c>
      <c r="H28" s="207">
        <v>9.6999999999999993</v>
      </c>
      <c r="I28" s="207">
        <v>53.6</v>
      </c>
      <c r="J28" s="207">
        <v>18.3</v>
      </c>
      <c r="K28" s="207">
        <v>35.200000000000003</v>
      </c>
      <c r="L28" s="207">
        <v>227.2</v>
      </c>
      <c r="M28" s="207">
        <v>92.3</v>
      </c>
      <c r="N28" s="207">
        <v>133.30000000000001</v>
      </c>
      <c r="O28" s="207">
        <v>43.5</v>
      </c>
      <c r="P28" s="207">
        <v>7.6</v>
      </c>
      <c r="Q28" s="207">
        <v>34.9</v>
      </c>
      <c r="Z28" s="280">
        <f t="shared" si="0"/>
        <v>110250</v>
      </c>
      <c r="AA28" s="280">
        <f t="shared" si="1"/>
        <v>383400</v>
      </c>
      <c r="AB28" s="280">
        <f t="shared" si="2"/>
        <v>1459.2078037245049</v>
      </c>
      <c r="AC28" s="280">
        <f t="shared" si="3"/>
        <v>1999</v>
      </c>
      <c r="AD28" s="280">
        <f t="shared" si="4"/>
        <v>0.62961868164351165</v>
      </c>
      <c r="AE28" s="280">
        <f t="shared" si="5"/>
        <v>1999</v>
      </c>
      <c r="AF28" s="280">
        <f t="shared" si="6"/>
        <v>4.1678983151049363E-2</v>
      </c>
      <c r="AG28" s="280">
        <f t="shared" si="7"/>
        <v>0.15843925509902454</v>
      </c>
      <c r="AH28" s="280">
        <f t="shared" si="8"/>
        <v>0.67159326041974576</v>
      </c>
      <c r="AI28" s="280">
        <f t="shared" si="9"/>
        <v>0.12858409695536505</v>
      </c>
      <c r="AJ28">
        <f>AVERAGE(AH14:AH28)</f>
        <v>0.61576251501795209</v>
      </c>
    </row>
    <row r="29" spans="2:36" x14ac:dyDescent="0.2">
      <c r="B29">
        <f t="shared" si="10"/>
        <v>2000</v>
      </c>
      <c r="C29" s="207">
        <v>280.89999999999998</v>
      </c>
      <c r="D29" s="207">
        <v>88.3</v>
      </c>
      <c r="E29" s="207">
        <v>190.3</v>
      </c>
      <c r="F29" s="207">
        <v>14.9</v>
      </c>
      <c r="G29" s="207">
        <v>4.2</v>
      </c>
      <c r="H29" s="207">
        <v>10.6</v>
      </c>
      <c r="I29" s="207">
        <v>48.7</v>
      </c>
      <c r="J29" s="207">
        <v>14.2</v>
      </c>
      <c r="K29" s="207">
        <v>34.4</v>
      </c>
      <c r="L29" s="207">
        <v>178.7</v>
      </c>
      <c r="M29" s="207">
        <v>64.3</v>
      </c>
      <c r="N29" s="207">
        <v>113.4</v>
      </c>
      <c r="O29" s="207">
        <v>38.6</v>
      </c>
      <c r="P29" s="207">
        <v>5.6</v>
      </c>
      <c r="Q29" s="207">
        <v>31.9</v>
      </c>
      <c r="Z29" s="280">
        <f t="shared" si="0"/>
        <v>79470</v>
      </c>
      <c r="AA29" s="280">
        <f t="shared" si="1"/>
        <v>342540</v>
      </c>
      <c r="AB29" s="280">
        <f t="shared" si="2"/>
        <v>1502.3495906016378</v>
      </c>
      <c r="AC29" s="280">
        <f t="shared" si="3"/>
        <v>2000</v>
      </c>
      <c r="AD29" s="280">
        <f t="shared" si="4"/>
        <v>0.67746529013883949</v>
      </c>
      <c r="AE29" s="280">
        <f t="shared" ref="AE29:AE47" si="11">B29</f>
        <v>2000</v>
      </c>
      <c r="AF29" s="280">
        <f t="shared" si="6"/>
        <v>5.3043787824848705E-2</v>
      </c>
      <c r="AG29" s="280">
        <f t="shared" si="7"/>
        <v>0.17337130651477398</v>
      </c>
      <c r="AH29" s="280">
        <f t="shared" si="8"/>
        <v>0.63616945532217872</v>
      </c>
      <c r="AI29" s="280">
        <f t="shared" si="9"/>
        <v>0.13741545033819866</v>
      </c>
    </row>
    <row r="30" spans="2:36" x14ac:dyDescent="0.2">
      <c r="B30">
        <f t="shared" si="10"/>
        <v>2001</v>
      </c>
      <c r="C30" s="207">
        <v>196.2</v>
      </c>
      <c r="D30" s="207">
        <v>53.3</v>
      </c>
      <c r="E30" s="207">
        <v>139.30000000000001</v>
      </c>
      <c r="F30" s="207">
        <v>12.2</v>
      </c>
      <c r="G30" s="207">
        <v>3.9</v>
      </c>
      <c r="H30" s="207">
        <v>8.3000000000000007</v>
      </c>
      <c r="I30" s="207">
        <v>37.6</v>
      </c>
      <c r="J30" s="207">
        <v>10.4</v>
      </c>
      <c r="K30" s="207">
        <v>27</v>
      </c>
      <c r="L30" s="207">
        <v>116.4</v>
      </c>
      <c r="M30" s="207">
        <v>35.200000000000003</v>
      </c>
      <c r="N30" s="207">
        <v>80</v>
      </c>
      <c r="O30" s="207">
        <v>30</v>
      </c>
      <c r="P30" s="207">
        <v>3.8</v>
      </c>
      <c r="Q30" s="207">
        <v>24</v>
      </c>
      <c r="Z30" s="280">
        <f t="shared" si="0"/>
        <v>47970</v>
      </c>
      <c r="AA30" s="280">
        <f t="shared" si="1"/>
        <v>250740.00000000003</v>
      </c>
      <c r="AB30" s="280">
        <f t="shared" si="2"/>
        <v>1522.4770642201836</v>
      </c>
      <c r="AC30" s="280">
        <f t="shared" si="3"/>
        <v>2001</v>
      </c>
      <c r="AD30" s="280">
        <f t="shared" si="4"/>
        <v>0.70998980632008168</v>
      </c>
      <c r="AE30" s="280">
        <f t="shared" si="11"/>
        <v>2001</v>
      </c>
      <c r="AF30" s="280">
        <f t="shared" si="6"/>
        <v>6.218144750254842E-2</v>
      </c>
      <c r="AG30" s="280">
        <f t="shared" si="7"/>
        <v>0.19164118246687056</v>
      </c>
      <c r="AH30" s="280">
        <f t="shared" si="8"/>
        <v>0.5932721712538227</v>
      </c>
      <c r="AI30" s="280">
        <f t="shared" si="9"/>
        <v>0.15290519877675843</v>
      </c>
    </row>
    <row r="31" spans="2:36" x14ac:dyDescent="0.2">
      <c r="B31">
        <f t="shared" si="10"/>
        <v>2002</v>
      </c>
      <c r="C31" s="207">
        <v>174.3</v>
      </c>
      <c r="D31" s="207">
        <v>41.1</v>
      </c>
      <c r="E31" s="207">
        <v>128.69999999999999</v>
      </c>
      <c r="F31" s="207">
        <v>11.8</v>
      </c>
      <c r="G31" s="207">
        <v>3.1</v>
      </c>
      <c r="H31" s="207">
        <v>8.6999999999999993</v>
      </c>
      <c r="I31" s="207">
        <v>34.200000000000003</v>
      </c>
      <c r="J31" s="207">
        <v>8.1</v>
      </c>
      <c r="K31" s="207">
        <v>25.7</v>
      </c>
      <c r="L31" s="207">
        <v>101</v>
      </c>
      <c r="M31" s="207">
        <v>27.6</v>
      </c>
      <c r="N31" s="207">
        <v>72</v>
      </c>
      <c r="O31" s="207">
        <v>27.2</v>
      </c>
      <c r="P31" s="207">
        <v>2.4</v>
      </c>
      <c r="Q31" s="207">
        <v>22.2</v>
      </c>
      <c r="Z31" s="280">
        <f t="shared" si="0"/>
        <v>36990</v>
      </c>
      <c r="AA31" s="280">
        <f t="shared" si="1"/>
        <v>231659.99999999997</v>
      </c>
      <c r="AB31" s="280">
        <f t="shared" si="2"/>
        <v>1541.3080895008604</v>
      </c>
      <c r="AC31" s="280">
        <f t="shared" si="3"/>
        <v>2002</v>
      </c>
      <c r="AD31" s="280">
        <f t="shared" si="4"/>
        <v>0.73838209982788283</v>
      </c>
      <c r="AE31" s="280">
        <f t="shared" si="11"/>
        <v>2002</v>
      </c>
      <c r="AF31" s="280">
        <f t="shared" si="6"/>
        <v>6.7699368904188179E-2</v>
      </c>
      <c r="AG31" s="280">
        <f t="shared" si="7"/>
        <v>0.19621342512908779</v>
      </c>
      <c r="AH31" s="280">
        <f t="shared" si="8"/>
        <v>0.57946069994262761</v>
      </c>
      <c r="AI31" s="280">
        <f t="shared" si="9"/>
        <v>0.15605278255880664</v>
      </c>
    </row>
    <row r="32" spans="2:36" x14ac:dyDescent="0.2">
      <c r="B32">
        <f t="shared" si="10"/>
        <v>2003</v>
      </c>
      <c r="C32" s="207">
        <v>139.80000000000001</v>
      </c>
      <c r="D32" s="207">
        <v>29.4</v>
      </c>
      <c r="E32" s="207">
        <v>106</v>
      </c>
      <c r="F32" s="207">
        <v>11.2</v>
      </c>
      <c r="G32" s="207">
        <v>3.4</v>
      </c>
      <c r="H32" s="207">
        <v>7.8</v>
      </c>
      <c r="I32" s="207">
        <v>25.2</v>
      </c>
      <c r="J32" s="207">
        <v>4.9000000000000004</v>
      </c>
      <c r="K32" s="207">
        <v>20</v>
      </c>
      <c r="L32" s="207">
        <v>77.2</v>
      </c>
      <c r="M32" s="207">
        <v>19.100000000000001</v>
      </c>
      <c r="N32" s="207">
        <v>57</v>
      </c>
      <c r="O32" s="207">
        <v>26.1</v>
      </c>
      <c r="P32" s="207">
        <v>1.9</v>
      </c>
      <c r="Q32" s="207">
        <v>21.3</v>
      </c>
      <c r="Z32" s="280">
        <f t="shared" si="0"/>
        <v>26460</v>
      </c>
      <c r="AA32" s="280">
        <f t="shared" si="1"/>
        <v>190800</v>
      </c>
      <c r="AB32" s="280">
        <f t="shared" si="2"/>
        <v>1554.0772532188839</v>
      </c>
      <c r="AC32" s="280">
        <f t="shared" si="3"/>
        <v>2003</v>
      </c>
      <c r="AD32" s="280">
        <f t="shared" si="4"/>
        <v>0.75822603719599424</v>
      </c>
      <c r="AE32" s="280">
        <f t="shared" si="11"/>
        <v>2003</v>
      </c>
      <c r="AF32" s="280">
        <f t="shared" si="6"/>
        <v>8.0114449213161645E-2</v>
      </c>
      <c r="AG32" s="280">
        <f t="shared" si="7"/>
        <v>0.18025751072961371</v>
      </c>
      <c r="AH32" s="280">
        <f t="shared" si="8"/>
        <v>0.55221745350500717</v>
      </c>
      <c r="AI32" s="280">
        <f t="shared" si="9"/>
        <v>0.18669527896995708</v>
      </c>
    </row>
    <row r="33" spans="1:35" x14ac:dyDescent="0.2">
      <c r="B33">
        <f t="shared" si="10"/>
        <v>2004</v>
      </c>
      <c r="C33" s="207">
        <v>124.4</v>
      </c>
      <c r="D33" s="207">
        <v>28.2</v>
      </c>
      <c r="E33" s="207">
        <v>91.7</v>
      </c>
      <c r="F33" s="207">
        <v>11</v>
      </c>
      <c r="G33" s="207">
        <v>3.1</v>
      </c>
      <c r="H33" s="207">
        <v>7.8</v>
      </c>
      <c r="I33" s="207">
        <v>20.6</v>
      </c>
      <c r="J33" s="207">
        <v>3.7</v>
      </c>
      <c r="K33" s="207">
        <v>16.600000000000001</v>
      </c>
      <c r="L33" s="207">
        <v>67.400000000000006</v>
      </c>
      <c r="M33" s="207">
        <v>19.399999999999999</v>
      </c>
      <c r="N33" s="207">
        <v>46.8</v>
      </c>
      <c r="O33" s="207">
        <v>25.5</v>
      </c>
      <c r="P33" s="207">
        <v>2</v>
      </c>
      <c r="Q33" s="207">
        <v>20.5</v>
      </c>
      <c r="Z33" s="280">
        <f t="shared" si="0"/>
        <v>25380</v>
      </c>
      <c r="AA33" s="280">
        <f t="shared" si="1"/>
        <v>165060</v>
      </c>
      <c r="AB33" s="280">
        <f t="shared" si="2"/>
        <v>1530.8681672025723</v>
      </c>
      <c r="AC33" s="280">
        <f t="shared" si="3"/>
        <v>2004</v>
      </c>
      <c r="AD33" s="280">
        <f t="shared" si="4"/>
        <v>0.73713826366559487</v>
      </c>
      <c r="AE33" s="280">
        <f t="shared" si="11"/>
        <v>2004</v>
      </c>
      <c r="AF33" s="280">
        <f t="shared" si="6"/>
        <v>8.8424437299035361E-2</v>
      </c>
      <c r="AG33" s="280">
        <f t="shared" si="7"/>
        <v>0.16559485530546625</v>
      </c>
      <c r="AH33" s="280">
        <f t="shared" si="8"/>
        <v>0.54180064308681675</v>
      </c>
      <c r="AI33" s="280">
        <f t="shared" si="9"/>
        <v>0.20498392282958197</v>
      </c>
    </row>
    <row r="34" spans="1:35" x14ac:dyDescent="0.2">
      <c r="B34">
        <f t="shared" si="10"/>
        <v>2005</v>
      </c>
      <c r="C34" s="207">
        <v>122.9</v>
      </c>
      <c r="D34" s="207">
        <v>28.7</v>
      </c>
      <c r="E34" s="207">
        <v>89.4</v>
      </c>
      <c r="F34" s="207">
        <v>9.1999999999999993</v>
      </c>
      <c r="G34" s="207">
        <v>2.4</v>
      </c>
      <c r="H34" s="207">
        <v>6.8</v>
      </c>
      <c r="I34" s="207">
        <v>17.100000000000001</v>
      </c>
      <c r="J34" s="207">
        <v>3.8</v>
      </c>
      <c r="K34" s="207">
        <v>13.2</v>
      </c>
      <c r="L34" s="207">
        <v>68.099999999999994</v>
      </c>
      <c r="M34" s="207">
        <v>20.399999999999999</v>
      </c>
      <c r="N34" s="207">
        <v>46.5</v>
      </c>
      <c r="O34" s="207">
        <v>28.5</v>
      </c>
      <c r="P34" s="207">
        <v>2.2000000000000002</v>
      </c>
      <c r="Q34" s="207">
        <v>22.9</v>
      </c>
      <c r="Z34" s="280">
        <f t="shared" si="0"/>
        <v>25830</v>
      </c>
      <c r="AA34" s="280">
        <f t="shared" si="1"/>
        <v>160920</v>
      </c>
      <c r="AB34" s="280">
        <f t="shared" si="2"/>
        <v>1519.5280716029292</v>
      </c>
      <c r="AC34" s="280">
        <f t="shared" si="3"/>
        <v>2005</v>
      </c>
      <c r="AD34" s="280">
        <f t="shared" si="4"/>
        <v>0.72742066720911314</v>
      </c>
      <c r="AE34" s="280">
        <f t="shared" si="11"/>
        <v>2005</v>
      </c>
      <c r="AF34" s="280">
        <f t="shared" si="6"/>
        <v>7.4857607811228632E-2</v>
      </c>
      <c r="AG34" s="280">
        <f t="shared" si="7"/>
        <v>0.13913751017087064</v>
      </c>
      <c r="AH34" s="280">
        <f t="shared" si="8"/>
        <v>0.55410903173311632</v>
      </c>
      <c r="AI34" s="280">
        <f t="shared" si="9"/>
        <v>0.23189585028478438</v>
      </c>
    </row>
    <row r="35" spans="1:35" x14ac:dyDescent="0.2">
      <c r="B35">
        <f t="shared" si="10"/>
        <v>2006</v>
      </c>
      <c r="C35" s="207">
        <v>112.4</v>
      </c>
      <c r="D35" s="207">
        <v>28.9</v>
      </c>
      <c r="E35" s="207">
        <v>79.2</v>
      </c>
      <c r="F35" s="207">
        <v>7.9</v>
      </c>
      <c r="G35" s="207">
        <v>1.9</v>
      </c>
      <c r="H35" s="207">
        <v>6</v>
      </c>
      <c r="I35" s="207">
        <v>14.5</v>
      </c>
      <c r="J35" s="207">
        <v>4</v>
      </c>
      <c r="K35" s="207">
        <v>10.4</v>
      </c>
      <c r="L35" s="207">
        <v>66.099999999999994</v>
      </c>
      <c r="M35" s="207">
        <v>21</v>
      </c>
      <c r="N35" s="207">
        <v>43.9</v>
      </c>
      <c r="O35" s="207">
        <v>23.9</v>
      </c>
      <c r="P35" s="207">
        <v>2</v>
      </c>
      <c r="Q35" s="207">
        <v>18.899999999999999</v>
      </c>
      <c r="Z35" s="280">
        <f t="shared" si="0"/>
        <v>26010</v>
      </c>
      <c r="AA35" s="280">
        <f t="shared" si="1"/>
        <v>142560</v>
      </c>
      <c r="AB35" s="280">
        <f t="shared" si="2"/>
        <v>1499.7330960854092</v>
      </c>
      <c r="AC35" s="280">
        <f t="shared" si="3"/>
        <v>2006</v>
      </c>
      <c r="AD35" s="280">
        <f t="shared" si="4"/>
        <v>0.70462633451957291</v>
      </c>
      <c r="AE35" s="280">
        <f t="shared" si="11"/>
        <v>2006</v>
      </c>
      <c r="AF35" s="280">
        <f t="shared" si="6"/>
        <v>7.0284697508896793E-2</v>
      </c>
      <c r="AG35" s="280">
        <f t="shared" si="7"/>
        <v>0.12900355871886121</v>
      </c>
      <c r="AH35" s="280">
        <f t="shared" si="8"/>
        <v>0.58807829181494653</v>
      </c>
      <c r="AI35" s="280">
        <f t="shared" si="9"/>
        <v>0.21263345195729536</v>
      </c>
    </row>
    <row r="36" spans="1:35" x14ac:dyDescent="0.2">
      <c r="B36">
        <f t="shared" si="10"/>
        <v>2007</v>
      </c>
      <c r="C36" s="207">
        <v>94.8</v>
      </c>
      <c r="D36" s="207">
        <v>28.6</v>
      </c>
      <c r="E36" s="207">
        <v>63.1</v>
      </c>
      <c r="F36" s="207">
        <v>7</v>
      </c>
      <c r="G36" s="207">
        <v>2.4</v>
      </c>
      <c r="H36" s="207">
        <v>4.5</v>
      </c>
      <c r="I36" s="207">
        <v>10.8</v>
      </c>
      <c r="J36" s="207">
        <v>3.4</v>
      </c>
      <c r="K36" s="207">
        <v>7.3</v>
      </c>
      <c r="L36" s="207">
        <v>59.4</v>
      </c>
      <c r="M36" s="207">
        <v>20.6</v>
      </c>
      <c r="N36" s="207">
        <v>38.1</v>
      </c>
      <c r="O36" s="207">
        <v>17.7</v>
      </c>
      <c r="P36" s="207">
        <v>2.2999999999999998</v>
      </c>
      <c r="Q36" s="207">
        <v>13.3</v>
      </c>
      <c r="Z36" s="280">
        <f t="shared" si="0"/>
        <v>25740</v>
      </c>
      <c r="AA36" s="280">
        <f t="shared" si="1"/>
        <v>113580</v>
      </c>
      <c r="AB36" s="280">
        <f t="shared" si="2"/>
        <v>1469.620253164557</v>
      </c>
      <c r="AC36" s="280">
        <f t="shared" si="3"/>
        <v>2007</v>
      </c>
      <c r="AD36" s="280">
        <f t="shared" si="4"/>
        <v>0.66561181434599159</v>
      </c>
      <c r="AE36" s="280">
        <f t="shared" si="11"/>
        <v>2007</v>
      </c>
      <c r="AF36" s="280">
        <f t="shared" si="6"/>
        <v>7.3839662447257384E-2</v>
      </c>
      <c r="AG36" s="280">
        <f t="shared" si="7"/>
        <v>0.1139240506329114</v>
      </c>
      <c r="AH36" s="280">
        <f t="shared" si="8"/>
        <v>0.62658227848101267</v>
      </c>
      <c r="AI36" s="280">
        <f t="shared" si="9"/>
        <v>0.18670886075949367</v>
      </c>
    </row>
    <row r="37" spans="1:35" x14ac:dyDescent="0.2">
      <c r="A37" t="s">
        <v>597</v>
      </c>
      <c r="B37">
        <f t="shared" si="10"/>
        <v>2008</v>
      </c>
      <c r="C37" s="207">
        <v>80.5</v>
      </c>
      <c r="D37" s="207">
        <v>27.8</v>
      </c>
      <c r="E37" s="207">
        <v>50.8</v>
      </c>
      <c r="F37" s="207">
        <v>5</v>
      </c>
      <c r="G37" s="207">
        <v>1.6</v>
      </c>
      <c r="H37" s="207">
        <v>3.3</v>
      </c>
      <c r="I37" s="207">
        <v>8.1999999999999993</v>
      </c>
      <c r="J37" s="207">
        <v>2.7</v>
      </c>
      <c r="K37" s="207">
        <v>5.4</v>
      </c>
      <c r="L37" s="207">
        <v>54</v>
      </c>
      <c r="M37" s="207">
        <v>21</v>
      </c>
      <c r="N37" s="207">
        <v>32.4</v>
      </c>
      <c r="O37" s="207">
        <v>13.3</v>
      </c>
      <c r="P37" s="207">
        <v>2.4</v>
      </c>
      <c r="Q37" s="207">
        <v>9.6999999999999993</v>
      </c>
      <c r="Z37" s="280">
        <f t="shared" si="0"/>
        <v>25020</v>
      </c>
      <c r="AA37" s="280">
        <f t="shared" si="1"/>
        <v>91440</v>
      </c>
      <c r="AB37" s="280">
        <f t="shared" si="2"/>
        <v>1446.7080745341616</v>
      </c>
      <c r="AC37" s="280">
        <f t="shared" si="3"/>
        <v>2008</v>
      </c>
      <c r="AD37" s="280">
        <f t="shared" si="4"/>
        <v>0.63105590062111794</v>
      </c>
      <c r="AE37" s="280">
        <f t="shared" si="11"/>
        <v>2008</v>
      </c>
      <c r="AF37" s="280">
        <f t="shared" si="6"/>
        <v>6.2111801242236024E-2</v>
      </c>
      <c r="AG37" s="280">
        <f t="shared" si="7"/>
        <v>0.10186335403726707</v>
      </c>
      <c r="AH37" s="280">
        <f t="shared" si="8"/>
        <v>0.67080745341614911</v>
      </c>
      <c r="AI37" s="280">
        <f t="shared" si="9"/>
        <v>0.16521739130434784</v>
      </c>
    </row>
    <row r="38" spans="1:35" x14ac:dyDescent="0.2">
      <c r="A38" s="207">
        <f>AVERAGE(C34:C39)</f>
        <v>85.966666666666683</v>
      </c>
      <c r="B38">
        <f t="shared" si="10"/>
        <v>2009</v>
      </c>
      <c r="C38" s="207">
        <v>54.5</v>
      </c>
      <c r="D38" s="207">
        <v>20.2</v>
      </c>
      <c r="E38" s="207">
        <v>33.1</v>
      </c>
      <c r="F38" s="207">
        <v>3.5</v>
      </c>
      <c r="G38" s="207">
        <v>1.2</v>
      </c>
      <c r="H38" s="207">
        <v>2.2999999999999998</v>
      </c>
      <c r="I38" s="207">
        <v>5.3</v>
      </c>
      <c r="J38" s="207">
        <v>1.8</v>
      </c>
      <c r="K38" s="207">
        <v>3.5</v>
      </c>
      <c r="L38" s="207">
        <v>37.799999999999997</v>
      </c>
      <c r="M38" s="207">
        <v>15.7</v>
      </c>
      <c r="N38" s="207">
        <v>21.7</v>
      </c>
      <c r="O38" s="207">
        <v>7.9</v>
      </c>
      <c r="P38" s="207">
        <v>1.5</v>
      </c>
      <c r="Q38" s="207">
        <v>5.7</v>
      </c>
      <c r="Z38" s="280">
        <f t="shared" si="0"/>
        <v>18180</v>
      </c>
      <c r="AA38" s="280">
        <f t="shared" si="1"/>
        <v>59580</v>
      </c>
      <c r="AB38" s="280">
        <f t="shared" si="2"/>
        <v>1426.788990825688</v>
      </c>
      <c r="AC38" s="280">
        <f t="shared" si="3"/>
        <v>2009</v>
      </c>
      <c r="AD38" s="280">
        <f t="shared" si="4"/>
        <v>0.60733944954128438</v>
      </c>
      <c r="AE38" s="280">
        <f t="shared" si="11"/>
        <v>2009</v>
      </c>
      <c r="AF38" s="280">
        <f t="shared" si="6"/>
        <v>6.4220183486238536E-2</v>
      </c>
      <c r="AG38" s="280">
        <f t="shared" si="7"/>
        <v>9.724770642201834E-2</v>
      </c>
      <c r="AH38" s="280">
        <f t="shared" si="8"/>
        <v>0.69357798165137607</v>
      </c>
      <c r="AI38" s="280">
        <f t="shared" si="9"/>
        <v>0.14495412844036698</v>
      </c>
    </row>
    <row r="39" spans="1:35" x14ac:dyDescent="0.2">
      <c r="B39">
        <f t="shared" si="10"/>
        <v>2010</v>
      </c>
      <c r="C39" s="207">
        <v>50.7</v>
      </c>
      <c r="D39" s="207">
        <v>19.3</v>
      </c>
      <c r="E39" s="207">
        <v>30.4</v>
      </c>
      <c r="F39" s="207">
        <v>3.8</v>
      </c>
      <c r="G39" s="207">
        <v>1.5</v>
      </c>
      <c r="H39" s="207">
        <v>2.2999999999999998</v>
      </c>
      <c r="I39" s="207">
        <v>5.8</v>
      </c>
      <c r="J39" s="207">
        <v>2.6</v>
      </c>
      <c r="K39" s="207">
        <v>3.1</v>
      </c>
      <c r="L39" s="207">
        <v>34.6</v>
      </c>
      <c r="M39" s="207">
        <v>13.8</v>
      </c>
      <c r="N39" s="207">
        <v>20.3</v>
      </c>
      <c r="O39" s="207">
        <v>6.6</v>
      </c>
      <c r="P39" s="207">
        <v>1.4</v>
      </c>
      <c r="Q39" s="207">
        <v>4.5999999999999996</v>
      </c>
      <c r="Z39" s="280">
        <f t="shared" si="0"/>
        <v>17370</v>
      </c>
      <c r="AA39" s="280">
        <f t="shared" si="1"/>
        <v>54720</v>
      </c>
      <c r="AB39" s="280">
        <f t="shared" si="2"/>
        <v>1421.8934911242602</v>
      </c>
      <c r="AC39" s="280">
        <f t="shared" si="3"/>
        <v>2010</v>
      </c>
      <c r="AD39" s="280">
        <f t="shared" si="4"/>
        <v>0.59960552268244571</v>
      </c>
      <c r="AE39" s="280">
        <f t="shared" si="11"/>
        <v>2010</v>
      </c>
      <c r="AF39" s="280">
        <f t="shared" si="6"/>
        <v>7.4950690335305714E-2</v>
      </c>
      <c r="AG39" s="280">
        <f t="shared" si="7"/>
        <v>0.11439842209072977</v>
      </c>
      <c r="AH39" s="280">
        <f t="shared" si="8"/>
        <v>0.68244575936883634</v>
      </c>
      <c r="AI39" s="280">
        <f t="shared" si="9"/>
        <v>0.13017751479289941</v>
      </c>
    </row>
    <row r="40" spans="1:35" s="280" customFormat="1" x14ac:dyDescent="0.2">
      <c r="A40" s="207">
        <f>AVERAGE(C39,C40)</f>
        <v>49.150000000000006</v>
      </c>
      <c r="B40" s="280">
        <v>2011</v>
      </c>
      <c r="C40" s="207">
        <v>47.6</v>
      </c>
      <c r="D40" s="207">
        <v>20.9</v>
      </c>
      <c r="E40" s="207">
        <v>26.1</v>
      </c>
      <c r="F40" s="207">
        <v>3.3</v>
      </c>
      <c r="G40" s="207">
        <v>1.5</v>
      </c>
      <c r="H40" s="207">
        <v>1.9</v>
      </c>
      <c r="I40" s="207">
        <v>6.3</v>
      </c>
      <c r="J40" s="207">
        <v>3.2</v>
      </c>
      <c r="K40" s="207">
        <v>3</v>
      </c>
      <c r="L40" s="207">
        <v>31.5</v>
      </c>
      <c r="M40" s="207">
        <v>14</v>
      </c>
      <c r="N40" s="207">
        <v>17.100000000000001</v>
      </c>
      <c r="O40" s="207">
        <v>6.5</v>
      </c>
      <c r="P40" s="207">
        <v>2.2000000000000002</v>
      </c>
      <c r="Q40" s="207">
        <v>4</v>
      </c>
      <c r="Z40" s="341">
        <f t="shared" ref="Z40:Z43" si="12">D40*Z$8</f>
        <v>18810</v>
      </c>
      <c r="AA40" s="341">
        <f t="shared" ref="AA40:AA43" si="13">E40*AA$8</f>
        <v>46980</v>
      </c>
      <c r="AB40" s="341">
        <f t="shared" si="2"/>
        <v>1382.1428571428571</v>
      </c>
      <c r="AC40" s="341">
        <f t="shared" si="3"/>
        <v>2011</v>
      </c>
      <c r="AD40" s="341">
        <f t="shared" si="4"/>
        <v>0.54831932773109249</v>
      </c>
      <c r="AE40" s="341">
        <f t="shared" si="11"/>
        <v>2011</v>
      </c>
      <c r="AF40" s="341">
        <f t="shared" ref="AF40:AF47" si="14">F40/$C40</f>
        <v>6.9327731092436964E-2</v>
      </c>
      <c r="AG40" s="341">
        <f t="shared" ref="AG40:AG47" si="15">I40/$C40</f>
        <v>0.13235294117647059</v>
      </c>
      <c r="AH40" s="341">
        <f t="shared" ref="AH40:AH47" si="16">L40/$C40</f>
        <v>0.66176470588235292</v>
      </c>
      <c r="AI40" s="341">
        <f t="shared" ref="AI40:AI47" si="17">O40/$C40</f>
        <v>0.13655462184873948</v>
      </c>
    </row>
    <row r="41" spans="1:35" s="280" customFormat="1" x14ac:dyDescent="0.2">
      <c r="B41" s="280">
        <v>2012</v>
      </c>
      <c r="C41" s="207">
        <v>52.8</v>
      </c>
      <c r="D41" s="207">
        <v>23.1</v>
      </c>
      <c r="E41" s="207">
        <v>29</v>
      </c>
      <c r="F41" s="207">
        <v>3.9</v>
      </c>
      <c r="G41" s="207">
        <v>1.6</v>
      </c>
      <c r="H41" s="207">
        <v>2.2999999999999998</v>
      </c>
      <c r="I41" s="207">
        <v>7.9</v>
      </c>
      <c r="J41" s="207">
        <v>4.3</v>
      </c>
      <c r="K41" s="207">
        <v>3.5</v>
      </c>
      <c r="L41" s="207">
        <v>34.4</v>
      </c>
      <c r="M41" s="207">
        <v>15</v>
      </c>
      <c r="N41" s="207">
        <v>19</v>
      </c>
      <c r="O41" s="207">
        <v>6.6</v>
      </c>
      <c r="P41" s="207">
        <v>2.1</v>
      </c>
      <c r="Q41" s="207">
        <v>4.3</v>
      </c>
      <c r="Z41" s="341">
        <f t="shared" si="12"/>
        <v>20790</v>
      </c>
      <c r="AA41" s="341">
        <f t="shared" si="13"/>
        <v>52200</v>
      </c>
      <c r="AB41" s="341">
        <f t="shared" si="2"/>
        <v>1382.3863636363637</v>
      </c>
      <c r="AC41" s="341">
        <f t="shared" si="3"/>
        <v>2012</v>
      </c>
      <c r="AD41" s="341">
        <f t="shared" si="4"/>
        <v>0.54924242424242431</v>
      </c>
      <c r="AE41" s="341">
        <f t="shared" si="11"/>
        <v>2012</v>
      </c>
      <c r="AF41" s="341">
        <f t="shared" si="14"/>
        <v>7.3863636363636367E-2</v>
      </c>
      <c r="AG41" s="341">
        <f t="shared" si="15"/>
        <v>0.14962121212121213</v>
      </c>
      <c r="AH41" s="341">
        <f t="shared" si="16"/>
        <v>0.65151515151515149</v>
      </c>
      <c r="AI41" s="341">
        <f t="shared" si="17"/>
        <v>0.125</v>
      </c>
    </row>
    <row r="42" spans="1:35" x14ac:dyDescent="0.2">
      <c r="A42">
        <f>A40/A38</f>
        <v>0.57173322993408293</v>
      </c>
      <c r="B42" s="399">
        <v>2013</v>
      </c>
      <c r="C42" s="400">
        <v>56.3</v>
      </c>
      <c r="D42" s="400">
        <v>26</v>
      </c>
      <c r="E42" s="207">
        <v>29.6</v>
      </c>
      <c r="F42" s="207">
        <v>4</v>
      </c>
      <c r="G42" s="207">
        <v>1.7</v>
      </c>
      <c r="H42" s="207">
        <v>2.2000000000000002</v>
      </c>
      <c r="I42" s="207">
        <v>7.5</v>
      </c>
      <c r="J42" s="207">
        <v>4.4000000000000004</v>
      </c>
      <c r="K42" s="207">
        <v>3.1</v>
      </c>
      <c r="L42" s="207">
        <v>37.4</v>
      </c>
      <c r="M42" s="207">
        <v>17.8</v>
      </c>
      <c r="N42" s="207">
        <v>19.3</v>
      </c>
      <c r="O42" s="207">
        <v>7.5</v>
      </c>
      <c r="P42" s="207">
        <v>2.2000000000000002</v>
      </c>
      <c r="Q42" s="207">
        <v>5</v>
      </c>
      <c r="Z42" s="341">
        <f t="shared" si="12"/>
        <v>23400</v>
      </c>
      <c r="AA42" s="341">
        <f t="shared" si="13"/>
        <v>53280</v>
      </c>
      <c r="AB42" s="341">
        <f t="shared" si="2"/>
        <v>1361.9893428063945</v>
      </c>
      <c r="AC42" s="341">
        <f t="shared" si="3"/>
        <v>2013</v>
      </c>
      <c r="AD42" s="341">
        <f t="shared" si="4"/>
        <v>0.52575488454706931</v>
      </c>
      <c r="AE42" s="341">
        <f t="shared" si="11"/>
        <v>2013</v>
      </c>
      <c r="AF42" s="341">
        <f t="shared" si="14"/>
        <v>7.1047957371225587E-2</v>
      </c>
      <c r="AG42" s="341">
        <f t="shared" si="15"/>
        <v>0.13321492007104796</v>
      </c>
      <c r="AH42" s="341">
        <f t="shared" si="16"/>
        <v>0.66429840142095919</v>
      </c>
      <c r="AI42" s="341">
        <f t="shared" si="17"/>
        <v>0.13321492007104796</v>
      </c>
    </row>
    <row r="43" spans="1:35" s="341" customFormat="1" x14ac:dyDescent="0.2">
      <c r="A43" s="341" t="s">
        <v>699</v>
      </c>
      <c r="B43" s="403">
        <v>2014</v>
      </c>
      <c r="C43" s="341">
        <f>'CIDR-1'!F8</f>
        <v>44</v>
      </c>
      <c r="D43" s="341">
        <f>'CIDR-1'!G8</f>
        <v>20.5</v>
      </c>
      <c r="E43" s="207">
        <f>C43-D43</f>
        <v>23.5</v>
      </c>
      <c r="Z43" s="341">
        <f t="shared" si="12"/>
        <v>18450</v>
      </c>
      <c r="AA43" s="341">
        <f t="shared" si="13"/>
        <v>42300</v>
      </c>
      <c r="AB43" s="341">
        <f t="shared" si="2"/>
        <v>1380.6818181818182</v>
      </c>
      <c r="AC43" s="341">
        <f t="shared" si="3"/>
        <v>2014</v>
      </c>
      <c r="AD43" s="341">
        <f t="shared" si="4"/>
        <v>0.53409090909090906</v>
      </c>
      <c r="AE43" s="341">
        <f t="shared" si="11"/>
        <v>2014</v>
      </c>
      <c r="AF43" s="341">
        <f t="shared" si="14"/>
        <v>0</v>
      </c>
      <c r="AG43" s="341">
        <f t="shared" si="15"/>
        <v>0</v>
      </c>
      <c r="AH43" s="341">
        <f t="shared" si="16"/>
        <v>0</v>
      </c>
      <c r="AI43" s="341">
        <f t="shared" si="17"/>
        <v>0</v>
      </c>
    </row>
    <row r="44" spans="1:35" x14ac:dyDescent="0.2">
      <c r="B44" s="403">
        <v>2015</v>
      </c>
      <c r="C44">
        <f>'CIDR-1'!F9</f>
        <v>45.6</v>
      </c>
      <c r="D44">
        <f>'CIDR-1'!G9</f>
        <v>20.300000000000004</v>
      </c>
      <c r="E44" s="207">
        <f t="shared" ref="E44:E47" si="18">C44-D44</f>
        <v>25.299999999999997</v>
      </c>
      <c r="Z44" s="341">
        <f t="shared" ref="Z44:Z47" si="19">D44*Z$8</f>
        <v>18270.000000000004</v>
      </c>
      <c r="AA44" s="341">
        <f t="shared" ref="AA44:AA47" si="20">E44*AA$8</f>
        <v>45539.999999999993</v>
      </c>
      <c r="AB44" s="341">
        <f t="shared" si="2"/>
        <v>1399.3421052631579</v>
      </c>
      <c r="AC44" s="341">
        <f t="shared" si="3"/>
        <v>2015</v>
      </c>
      <c r="AD44" s="341">
        <f t="shared" si="4"/>
        <v>0.55482456140350866</v>
      </c>
      <c r="AE44" s="341">
        <f t="shared" si="11"/>
        <v>2015</v>
      </c>
      <c r="AF44" s="341">
        <f t="shared" si="14"/>
        <v>0</v>
      </c>
      <c r="AG44" s="341">
        <f t="shared" si="15"/>
        <v>0</v>
      </c>
      <c r="AH44" s="341">
        <f t="shared" si="16"/>
        <v>0</v>
      </c>
      <c r="AI44" s="341">
        <f t="shared" si="17"/>
        <v>0</v>
      </c>
    </row>
    <row r="45" spans="1:35" x14ac:dyDescent="0.2">
      <c r="B45" s="403">
        <v>2016</v>
      </c>
      <c r="C45">
        <f>'CIDR-1'!F10</f>
        <v>51.599999999999994</v>
      </c>
      <c r="D45">
        <f>'CIDR-1'!G10</f>
        <v>22.8</v>
      </c>
      <c r="E45" s="207">
        <f t="shared" si="18"/>
        <v>28.799999999999994</v>
      </c>
      <c r="Z45" s="341">
        <f t="shared" si="19"/>
        <v>20520</v>
      </c>
      <c r="AA45" s="341">
        <f t="shared" si="20"/>
        <v>51839.999999999985</v>
      </c>
      <c r="AB45" s="341">
        <f t="shared" si="2"/>
        <v>1402.3255813953488</v>
      </c>
      <c r="AC45" s="341">
        <f t="shared" si="3"/>
        <v>2016</v>
      </c>
      <c r="AD45" s="341">
        <f t="shared" si="4"/>
        <v>0.55813953488372092</v>
      </c>
      <c r="AE45" s="341">
        <f t="shared" si="11"/>
        <v>2016</v>
      </c>
      <c r="AF45" s="341">
        <f t="shared" si="14"/>
        <v>0</v>
      </c>
      <c r="AG45" s="341">
        <f t="shared" si="15"/>
        <v>0</v>
      </c>
      <c r="AH45" s="341">
        <f t="shared" si="16"/>
        <v>0</v>
      </c>
      <c r="AI45" s="341">
        <f t="shared" si="17"/>
        <v>0</v>
      </c>
    </row>
    <row r="46" spans="1:35" x14ac:dyDescent="0.2">
      <c r="B46" s="403">
        <v>2017</v>
      </c>
      <c r="C46">
        <f>'CIDR-1'!F11</f>
        <v>53.899999999999991</v>
      </c>
      <c r="D46">
        <f>'CIDR-1'!G11</f>
        <v>23.700000000000003</v>
      </c>
      <c r="E46" s="207">
        <f t="shared" si="18"/>
        <v>30.199999999999989</v>
      </c>
      <c r="Z46" s="341">
        <f t="shared" si="19"/>
        <v>21330.000000000004</v>
      </c>
      <c r="AA46" s="341">
        <f t="shared" si="20"/>
        <v>54359.999999999978</v>
      </c>
      <c r="AB46" s="341">
        <f t="shared" si="2"/>
        <v>1404.2671614100186</v>
      </c>
      <c r="AC46" s="341">
        <f t="shared" si="3"/>
        <v>2017</v>
      </c>
      <c r="AD46" s="341">
        <f t="shared" si="4"/>
        <v>0.56029684601113161</v>
      </c>
      <c r="AE46" s="341">
        <f t="shared" si="11"/>
        <v>2017</v>
      </c>
      <c r="AF46" s="341">
        <f t="shared" si="14"/>
        <v>0</v>
      </c>
      <c r="AG46" s="341">
        <f t="shared" si="15"/>
        <v>0</v>
      </c>
      <c r="AH46" s="341">
        <f t="shared" si="16"/>
        <v>0</v>
      </c>
      <c r="AI46" s="341">
        <f t="shared" si="17"/>
        <v>0</v>
      </c>
    </row>
    <row r="47" spans="1:35" x14ac:dyDescent="0.2">
      <c r="B47" s="403">
        <v>2018</v>
      </c>
      <c r="C47">
        <f>'CIDR-1'!F12</f>
        <v>55.199999999999996</v>
      </c>
      <c r="D47">
        <f>'CIDR-1'!G12</f>
        <v>23.099999999999998</v>
      </c>
      <c r="E47" s="207">
        <f t="shared" si="18"/>
        <v>32.099999999999994</v>
      </c>
      <c r="Z47" s="341">
        <f t="shared" si="19"/>
        <v>20789.999999999996</v>
      </c>
      <c r="AA47" s="341">
        <f t="shared" si="20"/>
        <v>57779.999999999993</v>
      </c>
      <c r="AB47" s="341">
        <f t="shared" si="2"/>
        <v>1423.3695652173913</v>
      </c>
      <c r="AC47" s="341">
        <f t="shared" si="3"/>
        <v>2018</v>
      </c>
      <c r="AD47" s="341">
        <f t="shared" si="4"/>
        <v>0.5815217391304347</v>
      </c>
      <c r="AE47" s="341">
        <f t="shared" si="11"/>
        <v>2018</v>
      </c>
      <c r="AF47" s="341">
        <f t="shared" si="14"/>
        <v>0</v>
      </c>
      <c r="AG47" s="341">
        <f t="shared" si="15"/>
        <v>0</v>
      </c>
      <c r="AH47" s="341">
        <f t="shared" si="16"/>
        <v>0</v>
      </c>
      <c r="AI47" s="341">
        <f t="shared" si="17"/>
        <v>0</v>
      </c>
    </row>
    <row r="49" spans="2:4" x14ac:dyDescent="0.2">
      <c r="B49" t="s">
        <v>609</v>
      </c>
      <c r="D49" s="354" t="s">
        <v>610</v>
      </c>
    </row>
  </sheetData>
  <hyperlinks>
    <hyperlink ref="D49" r:id="rId1" xr:uid="{00000000-0004-0000-1100-000000000000}"/>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E7178-46CE-43A1-B532-F79B79C4B275}">
  <dimension ref="A1:G65536"/>
  <sheetViews>
    <sheetView showRuler="0" zoomScaleNormal="100" workbookViewId="0">
      <selection activeCell="I26" sqref="I26"/>
    </sheetView>
  </sheetViews>
  <sheetFormatPr defaultRowHeight="15" x14ac:dyDescent="0.25"/>
  <cols>
    <col min="1" max="3" width="12" style="395" customWidth="1"/>
    <col min="4" max="256" width="9.140625" style="395"/>
    <col min="257" max="259" width="12" style="395" customWidth="1"/>
    <col min="260" max="512" width="9.140625" style="395"/>
    <col min="513" max="515" width="12" style="395" customWidth="1"/>
    <col min="516" max="768" width="9.140625" style="395"/>
    <col min="769" max="771" width="12" style="395" customWidth="1"/>
    <col min="772" max="1024" width="9.140625" style="395"/>
    <col min="1025" max="1027" width="12" style="395" customWidth="1"/>
    <col min="1028" max="1280" width="9.140625" style="395"/>
    <col min="1281" max="1283" width="12" style="395" customWidth="1"/>
    <col min="1284" max="1536" width="9.140625" style="395"/>
    <col min="1537" max="1539" width="12" style="395" customWidth="1"/>
    <col min="1540" max="1792" width="9.140625" style="395"/>
    <col min="1793" max="1795" width="12" style="395" customWidth="1"/>
    <col min="1796" max="2048" width="9.140625" style="395"/>
    <col min="2049" max="2051" width="12" style="395" customWidth="1"/>
    <col min="2052" max="2304" width="9.140625" style="395"/>
    <col min="2305" max="2307" width="12" style="395" customWidth="1"/>
    <col min="2308" max="2560" width="9.140625" style="395"/>
    <col min="2561" max="2563" width="12" style="395" customWidth="1"/>
    <col min="2564" max="2816" width="9.140625" style="395"/>
    <col min="2817" max="2819" width="12" style="395" customWidth="1"/>
    <col min="2820" max="3072" width="9.140625" style="395"/>
    <col min="3073" max="3075" width="12" style="395" customWidth="1"/>
    <col min="3076" max="3328" width="9.140625" style="395"/>
    <col min="3329" max="3331" width="12" style="395" customWidth="1"/>
    <col min="3332" max="3584" width="9.140625" style="395"/>
    <col min="3585" max="3587" width="12" style="395" customWidth="1"/>
    <col min="3588" max="3840" width="9.140625" style="395"/>
    <col min="3841" max="3843" width="12" style="395" customWidth="1"/>
    <col min="3844" max="4096" width="9.140625" style="395"/>
    <col min="4097" max="4099" width="12" style="395" customWidth="1"/>
    <col min="4100" max="4352" width="9.140625" style="395"/>
    <col min="4353" max="4355" width="12" style="395" customWidth="1"/>
    <col min="4356" max="4608" width="9.140625" style="395"/>
    <col min="4609" max="4611" width="12" style="395" customWidth="1"/>
    <col min="4612" max="4864" width="9.140625" style="395"/>
    <col min="4865" max="4867" width="12" style="395" customWidth="1"/>
    <col min="4868" max="5120" width="9.140625" style="395"/>
    <col min="5121" max="5123" width="12" style="395" customWidth="1"/>
    <col min="5124" max="5376" width="9.140625" style="395"/>
    <col min="5377" max="5379" width="12" style="395" customWidth="1"/>
    <col min="5380" max="5632" width="9.140625" style="395"/>
    <col min="5633" max="5635" width="12" style="395" customWidth="1"/>
    <col min="5636" max="5888" width="9.140625" style="395"/>
    <col min="5889" max="5891" width="12" style="395" customWidth="1"/>
    <col min="5892" max="6144" width="9.140625" style="395"/>
    <col min="6145" max="6147" width="12" style="395" customWidth="1"/>
    <col min="6148" max="6400" width="9.140625" style="395"/>
    <col min="6401" max="6403" width="12" style="395" customWidth="1"/>
    <col min="6404" max="6656" width="9.140625" style="395"/>
    <col min="6657" max="6659" width="12" style="395" customWidth="1"/>
    <col min="6660" max="6912" width="9.140625" style="395"/>
    <col min="6913" max="6915" width="12" style="395" customWidth="1"/>
    <col min="6916" max="7168" width="9.140625" style="395"/>
    <col min="7169" max="7171" width="12" style="395" customWidth="1"/>
    <col min="7172" max="7424" width="9.140625" style="395"/>
    <col min="7425" max="7427" width="12" style="395" customWidth="1"/>
    <col min="7428" max="7680" width="9.140625" style="395"/>
    <col min="7681" max="7683" width="12" style="395" customWidth="1"/>
    <col min="7684" max="7936" width="9.140625" style="395"/>
    <col min="7937" max="7939" width="12" style="395" customWidth="1"/>
    <col min="7940" max="8192" width="9.140625" style="395"/>
    <col min="8193" max="8195" width="12" style="395" customWidth="1"/>
    <col min="8196" max="8448" width="9.140625" style="395"/>
    <col min="8449" max="8451" width="12" style="395" customWidth="1"/>
    <col min="8452" max="8704" width="9.140625" style="395"/>
    <col min="8705" max="8707" width="12" style="395" customWidth="1"/>
    <col min="8708" max="8960" width="9.140625" style="395"/>
    <col min="8961" max="8963" width="12" style="395" customWidth="1"/>
    <col min="8964" max="9216" width="9.140625" style="395"/>
    <col min="9217" max="9219" width="12" style="395" customWidth="1"/>
    <col min="9220" max="9472" width="9.140625" style="395"/>
    <col min="9473" max="9475" width="12" style="395" customWidth="1"/>
    <col min="9476" max="9728" width="9.140625" style="395"/>
    <col min="9729" max="9731" width="12" style="395" customWidth="1"/>
    <col min="9732" max="9984" width="9.140625" style="395"/>
    <col min="9985" max="9987" width="12" style="395" customWidth="1"/>
    <col min="9988" max="10240" width="9.140625" style="395"/>
    <col min="10241" max="10243" width="12" style="395" customWidth="1"/>
    <col min="10244" max="10496" width="9.140625" style="395"/>
    <col min="10497" max="10499" width="12" style="395" customWidth="1"/>
    <col min="10500" max="10752" width="9.140625" style="395"/>
    <col min="10753" max="10755" width="12" style="395" customWidth="1"/>
    <col min="10756" max="11008" width="9.140625" style="395"/>
    <col min="11009" max="11011" width="12" style="395" customWidth="1"/>
    <col min="11012" max="11264" width="9.140625" style="395"/>
    <col min="11265" max="11267" width="12" style="395" customWidth="1"/>
    <col min="11268" max="11520" width="9.140625" style="395"/>
    <col min="11521" max="11523" width="12" style="395" customWidth="1"/>
    <col min="11524" max="11776" width="9.140625" style="395"/>
    <col min="11777" max="11779" width="12" style="395" customWidth="1"/>
    <col min="11780" max="12032" width="9.140625" style="395"/>
    <col min="12033" max="12035" width="12" style="395" customWidth="1"/>
    <col min="12036" max="12288" width="9.140625" style="395"/>
    <col min="12289" max="12291" width="12" style="395" customWidth="1"/>
    <col min="12292" max="12544" width="9.140625" style="395"/>
    <col min="12545" max="12547" width="12" style="395" customWidth="1"/>
    <col min="12548" max="12800" width="9.140625" style="395"/>
    <col min="12801" max="12803" width="12" style="395" customWidth="1"/>
    <col min="12804" max="13056" width="9.140625" style="395"/>
    <col min="13057" max="13059" width="12" style="395" customWidth="1"/>
    <col min="13060" max="13312" width="9.140625" style="395"/>
    <col min="13313" max="13315" width="12" style="395" customWidth="1"/>
    <col min="13316" max="13568" width="9.140625" style="395"/>
    <col min="13569" max="13571" width="12" style="395" customWidth="1"/>
    <col min="13572" max="13824" width="9.140625" style="395"/>
    <col min="13825" max="13827" width="12" style="395" customWidth="1"/>
    <col min="13828" max="14080" width="9.140625" style="395"/>
    <col min="14081" max="14083" width="12" style="395" customWidth="1"/>
    <col min="14084" max="14336" width="9.140625" style="395"/>
    <col min="14337" max="14339" width="12" style="395" customWidth="1"/>
    <col min="14340" max="14592" width="9.140625" style="395"/>
    <col min="14593" max="14595" width="12" style="395" customWidth="1"/>
    <col min="14596" max="14848" width="9.140625" style="395"/>
    <col min="14849" max="14851" width="12" style="395" customWidth="1"/>
    <col min="14852" max="15104" width="9.140625" style="395"/>
    <col min="15105" max="15107" width="12" style="395" customWidth="1"/>
    <col min="15108" max="15360" width="9.140625" style="395"/>
    <col min="15361" max="15363" width="12" style="395" customWidth="1"/>
    <col min="15364" max="15616" width="9.140625" style="395"/>
    <col min="15617" max="15619" width="12" style="395" customWidth="1"/>
    <col min="15620" max="15872" width="9.140625" style="395"/>
    <col min="15873" max="15875" width="12" style="395" customWidth="1"/>
    <col min="15876" max="16128" width="9.140625" style="395"/>
    <col min="16129" max="16131" width="12" style="395" customWidth="1"/>
    <col min="16132" max="16384" width="9.140625" style="395"/>
  </cols>
  <sheetData>
    <row r="1" spans="1:7" s="393" customFormat="1" ht="16.5" x14ac:dyDescent="0.25">
      <c r="C1" s="393" t="s">
        <v>626</v>
      </c>
    </row>
    <row r="2" spans="1:7" s="393" customFormat="1" ht="16.5" x14ac:dyDescent="0.25">
      <c r="C2" s="393" t="s">
        <v>627</v>
      </c>
    </row>
    <row r="3" spans="1:7" s="393" customFormat="1" ht="16.5" x14ac:dyDescent="0.25">
      <c r="C3" s="393" t="s">
        <v>628</v>
      </c>
    </row>
    <row r="4" spans="1:7" s="393" customFormat="1" ht="16.5" x14ac:dyDescent="0.25">
      <c r="C4" s="393" t="s">
        <v>629</v>
      </c>
    </row>
    <row r="5" spans="1:7" s="393" customFormat="1" ht="16.5" x14ac:dyDescent="0.25">
      <c r="C5" s="393" t="s">
        <v>630</v>
      </c>
    </row>
    <row r="6" spans="1:7" s="393" customFormat="1" ht="16.5" x14ac:dyDescent="0.25">
      <c r="C6" s="393" t="s">
        <v>631</v>
      </c>
    </row>
    <row r="7" spans="1:7" s="393" customFormat="1" ht="16.5" x14ac:dyDescent="0.25"/>
    <row r="8" spans="1:7" x14ac:dyDescent="0.25">
      <c r="A8" s="394" t="s">
        <v>632</v>
      </c>
      <c r="B8" s="394" t="s">
        <v>633</v>
      </c>
      <c r="E8" s="395">
        <v>2014</v>
      </c>
      <c r="F8" s="398">
        <f>C20</f>
        <v>44</v>
      </c>
      <c r="G8" s="395">
        <f>'CIDR-single'!F8</f>
        <v>20.5</v>
      </c>
    </row>
    <row r="9" spans="1:7" x14ac:dyDescent="0.25">
      <c r="A9" s="396" t="s">
        <v>634</v>
      </c>
      <c r="B9" s="397">
        <v>3.4</v>
      </c>
      <c r="E9" s="395">
        <v>2015</v>
      </c>
      <c r="F9" s="395">
        <f>C32</f>
        <v>45.6</v>
      </c>
      <c r="G9" s="395">
        <f>'CIDR-single'!F9</f>
        <v>20.300000000000004</v>
      </c>
    </row>
    <row r="10" spans="1:7" x14ac:dyDescent="0.25">
      <c r="A10" s="396" t="s">
        <v>635</v>
      </c>
      <c r="B10" s="397">
        <v>3.3</v>
      </c>
      <c r="E10" s="395">
        <v>2016</v>
      </c>
      <c r="F10" s="395">
        <f>C44</f>
        <v>51.599999999999994</v>
      </c>
      <c r="G10" s="395">
        <f>'CIDR-single'!F10</f>
        <v>22.8</v>
      </c>
    </row>
    <row r="11" spans="1:7" x14ac:dyDescent="0.25">
      <c r="A11" s="396" t="s">
        <v>636</v>
      </c>
      <c r="B11" s="397">
        <v>3.8</v>
      </c>
      <c r="E11" s="395">
        <v>2017</v>
      </c>
      <c r="F11" s="395">
        <f>C56</f>
        <v>53.899999999999991</v>
      </c>
      <c r="G11" s="395">
        <f>'CIDR-single'!F11</f>
        <v>23.700000000000003</v>
      </c>
    </row>
    <row r="12" spans="1:7" x14ac:dyDescent="0.25">
      <c r="A12" s="396" t="s">
        <v>637</v>
      </c>
      <c r="B12" s="397">
        <v>4</v>
      </c>
      <c r="E12" s="395">
        <v>2018</v>
      </c>
      <c r="F12" s="395">
        <f>C68</f>
        <v>55.199999999999996</v>
      </c>
      <c r="G12" s="395">
        <f>'CIDR-single'!F12</f>
        <v>23.099999999999998</v>
      </c>
    </row>
    <row r="13" spans="1:7" x14ac:dyDescent="0.25">
      <c r="A13" s="396" t="s">
        <v>638</v>
      </c>
      <c r="B13" s="397">
        <v>4.7</v>
      </c>
    </row>
    <row r="14" spans="1:7" x14ac:dyDescent="0.25">
      <c r="A14" s="396" t="s">
        <v>639</v>
      </c>
      <c r="B14" s="397">
        <v>4.0999999999999996</v>
      </c>
    </row>
    <row r="15" spans="1:7" x14ac:dyDescent="0.25">
      <c r="A15" s="396" t="s">
        <v>640</v>
      </c>
      <c r="B15" s="397">
        <v>4</v>
      </c>
    </row>
    <row r="16" spans="1:7" x14ac:dyDescent="0.25">
      <c r="A16" s="396" t="s">
        <v>641</v>
      </c>
      <c r="B16" s="397">
        <v>3.7</v>
      </c>
    </row>
    <row r="17" spans="1:3" x14ac:dyDescent="0.25">
      <c r="A17" s="396" t="s">
        <v>642</v>
      </c>
      <c r="B17" s="397">
        <v>3.7</v>
      </c>
    </row>
    <row r="18" spans="1:3" x14ac:dyDescent="0.25">
      <c r="A18" s="396" t="s">
        <v>643</v>
      </c>
      <c r="B18" s="397">
        <v>4</v>
      </c>
    </row>
    <row r="19" spans="1:3" x14ac:dyDescent="0.25">
      <c r="A19" s="396" t="s">
        <v>644</v>
      </c>
      <c r="B19" s="397">
        <v>2.7</v>
      </c>
    </row>
    <row r="20" spans="1:3" x14ac:dyDescent="0.25">
      <c r="A20" s="396" t="s">
        <v>645</v>
      </c>
      <c r="B20" s="397">
        <v>2.6</v>
      </c>
      <c r="C20" s="398">
        <f>SUM(B9:B20)</f>
        <v>44</v>
      </c>
    </row>
    <row r="21" spans="1:3" x14ac:dyDescent="0.25">
      <c r="A21" s="396" t="s">
        <v>646</v>
      </c>
      <c r="B21" s="397">
        <v>3</v>
      </c>
    </row>
    <row r="22" spans="1:3" x14ac:dyDescent="0.25">
      <c r="A22" s="396" t="s">
        <v>647</v>
      </c>
      <c r="B22" s="397">
        <v>3</v>
      </c>
    </row>
    <row r="23" spans="1:3" x14ac:dyDescent="0.25">
      <c r="A23" s="396" t="s">
        <v>648</v>
      </c>
      <c r="B23" s="397">
        <v>3.4</v>
      </c>
    </row>
    <row r="24" spans="1:3" x14ac:dyDescent="0.25">
      <c r="A24" s="396" t="s">
        <v>649</v>
      </c>
      <c r="B24" s="397">
        <v>3.7</v>
      </c>
    </row>
    <row r="25" spans="1:3" x14ac:dyDescent="0.25">
      <c r="A25" s="396" t="s">
        <v>650</v>
      </c>
      <c r="B25" s="397">
        <v>3.6</v>
      </c>
    </row>
    <row r="26" spans="1:3" x14ac:dyDescent="0.25">
      <c r="A26" s="396" t="s">
        <v>651</v>
      </c>
      <c r="B26" s="397">
        <v>4.4000000000000004</v>
      </c>
    </row>
    <row r="27" spans="1:3" x14ac:dyDescent="0.25">
      <c r="A27" s="396" t="s">
        <v>652</v>
      </c>
      <c r="B27" s="397">
        <v>4</v>
      </c>
    </row>
    <row r="28" spans="1:3" x14ac:dyDescent="0.25">
      <c r="A28" s="396" t="s">
        <v>653</v>
      </c>
      <c r="B28" s="397">
        <v>4.4000000000000004</v>
      </c>
    </row>
    <row r="29" spans="1:3" x14ac:dyDescent="0.25">
      <c r="A29" s="396" t="s">
        <v>654</v>
      </c>
      <c r="B29" s="397">
        <v>4.3</v>
      </c>
    </row>
    <row r="30" spans="1:3" x14ac:dyDescent="0.25">
      <c r="A30" s="396" t="s">
        <v>655</v>
      </c>
      <c r="B30" s="397">
        <v>4.5999999999999996</v>
      </c>
    </row>
    <row r="31" spans="1:3" x14ac:dyDescent="0.25">
      <c r="A31" s="396" t="s">
        <v>656</v>
      </c>
      <c r="B31" s="397">
        <v>4</v>
      </c>
    </row>
    <row r="32" spans="1:3" x14ac:dyDescent="0.25">
      <c r="A32" s="396" t="s">
        <v>657</v>
      </c>
      <c r="B32" s="397">
        <v>3.2</v>
      </c>
      <c r="C32" s="395">
        <f>SUM(B21:B32)</f>
        <v>45.6</v>
      </c>
    </row>
    <row r="33" spans="1:3" x14ac:dyDescent="0.25">
      <c r="A33" s="396" t="s">
        <v>658</v>
      </c>
      <c r="B33" s="397">
        <v>3.2</v>
      </c>
    </row>
    <row r="34" spans="1:3" x14ac:dyDescent="0.25">
      <c r="A34" s="396" t="s">
        <v>659</v>
      </c>
      <c r="B34" s="397">
        <v>3.7</v>
      </c>
    </row>
    <row r="35" spans="1:3" x14ac:dyDescent="0.25">
      <c r="A35" s="396" t="s">
        <v>660</v>
      </c>
      <c r="B35" s="397">
        <v>4.8</v>
      </c>
    </row>
    <row r="36" spans="1:3" x14ac:dyDescent="0.25">
      <c r="A36" s="396" t="s">
        <v>661</v>
      </c>
      <c r="B36" s="397">
        <v>3.9</v>
      </c>
    </row>
    <row r="37" spans="1:3" x14ac:dyDescent="0.25">
      <c r="A37" s="396" t="s">
        <v>662</v>
      </c>
      <c r="B37" s="397">
        <v>4.5999999999999996</v>
      </c>
    </row>
    <row r="38" spans="1:3" x14ac:dyDescent="0.25">
      <c r="A38" s="396" t="s">
        <v>663</v>
      </c>
      <c r="B38" s="397">
        <v>5.2</v>
      </c>
    </row>
    <row r="39" spans="1:3" x14ac:dyDescent="0.25">
      <c r="A39" s="396" t="s">
        <v>664</v>
      </c>
      <c r="B39" s="397">
        <v>3.9</v>
      </c>
    </row>
    <row r="40" spans="1:3" x14ac:dyDescent="0.25">
      <c r="A40" s="396" t="s">
        <v>665</v>
      </c>
      <c r="B40" s="397">
        <v>5.6</v>
      </c>
    </row>
    <row r="41" spans="1:3" x14ac:dyDescent="0.25">
      <c r="A41" s="396" t="s">
        <v>666</v>
      </c>
      <c r="B41" s="397">
        <v>5.0999999999999996</v>
      </c>
    </row>
    <row r="42" spans="1:3" x14ac:dyDescent="0.25">
      <c r="A42" s="396" t="s">
        <v>667</v>
      </c>
      <c r="B42" s="397">
        <v>4.3</v>
      </c>
    </row>
    <row r="43" spans="1:3" x14ac:dyDescent="0.25">
      <c r="A43" s="396" t="s">
        <v>668</v>
      </c>
      <c r="B43" s="397">
        <v>4</v>
      </c>
    </row>
    <row r="44" spans="1:3" x14ac:dyDescent="0.25">
      <c r="A44" s="396" t="s">
        <v>669</v>
      </c>
      <c r="B44" s="397">
        <v>3.3</v>
      </c>
      <c r="C44" s="395">
        <f>SUM(B33:B44)</f>
        <v>51.599999999999994</v>
      </c>
    </row>
    <row r="45" spans="1:3" x14ac:dyDescent="0.25">
      <c r="A45" s="396" t="s">
        <v>670</v>
      </c>
      <c r="B45" s="397">
        <v>4.0999999999999996</v>
      </c>
    </row>
    <row r="46" spans="1:3" x14ac:dyDescent="0.25">
      <c r="A46" s="396" t="s">
        <v>671</v>
      </c>
      <c r="B46" s="397">
        <v>3.9</v>
      </c>
    </row>
    <row r="47" spans="1:3" x14ac:dyDescent="0.25">
      <c r="A47" s="396" t="s">
        <v>672</v>
      </c>
      <c r="B47" s="397">
        <v>5</v>
      </c>
    </row>
    <row r="48" spans="1:3" x14ac:dyDescent="0.25">
      <c r="A48" s="396" t="s">
        <v>673</v>
      </c>
      <c r="B48" s="397">
        <v>5.0999999999999996</v>
      </c>
    </row>
    <row r="49" spans="1:3" x14ac:dyDescent="0.25">
      <c r="A49" s="396" t="s">
        <v>674</v>
      </c>
      <c r="B49" s="397">
        <v>4.9000000000000004</v>
      </c>
    </row>
    <row r="50" spans="1:3" x14ac:dyDescent="0.25">
      <c r="A50" s="396" t="s">
        <v>675</v>
      </c>
      <c r="B50" s="397">
        <v>5.5</v>
      </c>
    </row>
    <row r="51" spans="1:3" x14ac:dyDescent="0.25">
      <c r="A51" s="396" t="s">
        <v>676</v>
      </c>
      <c r="B51" s="397">
        <v>3.8</v>
      </c>
    </row>
    <row r="52" spans="1:3" x14ac:dyDescent="0.25">
      <c r="A52" s="396" t="s">
        <v>677</v>
      </c>
      <c r="B52" s="397">
        <v>5</v>
      </c>
    </row>
    <row r="53" spans="1:3" x14ac:dyDescent="0.25">
      <c r="A53" s="396" t="s">
        <v>678</v>
      </c>
      <c r="B53" s="397">
        <v>4.8</v>
      </c>
    </row>
    <row r="54" spans="1:3" x14ac:dyDescent="0.25">
      <c r="A54" s="396" t="s">
        <v>679</v>
      </c>
      <c r="B54" s="397">
        <v>4.3</v>
      </c>
    </row>
    <row r="55" spans="1:3" x14ac:dyDescent="0.25">
      <c r="A55" s="396" t="s">
        <v>680</v>
      </c>
      <c r="B55" s="397">
        <v>4.2</v>
      </c>
    </row>
    <row r="56" spans="1:3" x14ac:dyDescent="0.25">
      <c r="A56" s="396" t="s">
        <v>681</v>
      </c>
      <c r="B56" s="397">
        <v>3.3</v>
      </c>
      <c r="C56" s="395">
        <f>SUM(B45:B56)</f>
        <v>53.899999999999991</v>
      </c>
    </row>
    <row r="57" spans="1:3" x14ac:dyDescent="0.25">
      <c r="A57" s="396" t="s">
        <v>682</v>
      </c>
      <c r="B57" s="397">
        <v>4.3</v>
      </c>
    </row>
    <row r="58" spans="1:3" x14ac:dyDescent="0.25">
      <c r="A58" s="396" t="s">
        <v>683</v>
      </c>
      <c r="B58" s="397">
        <v>4.5</v>
      </c>
    </row>
    <row r="59" spans="1:3" x14ac:dyDescent="0.25">
      <c r="A59" s="396" t="s">
        <v>684</v>
      </c>
      <c r="B59" s="397">
        <v>5.0999999999999996</v>
      </c>
    </row>
    <row r="60" spans="1:3" x14ac:dyDescent="0.25">
      <c r="A60" s="396" t="s">
        <v>685</v>
      </c>
      <c r="B60" s="397">
        <v>4.5999999999999996</v>
      </c>
    </row>
    <row r="61" spans="1:3" x14ac:dyDescent="0.25">
      <c r="A61" s="396" t="s">
        <v>686</v>
      </c>
      <c r="B61" s="397">
        <v>5.2</v>
      </c>
    </row>
    <row r="62" spans="1:3" x14ac:dyDescent="0.25">
      <c r="A62" s="396" t="s">
        <v>687</v>
      </c>
      <c r="B62" s="397">
        <v>4.5999999999999996</v>
      </c>
    </row>
    <row r="63" spans="1:3" x14ac:dyDescent="0.25">
      <c r="A63" s="396" t="s">
        <v>688</v>
      </c>
      <c r="B63" s="397">
        <v>4.0999999999999996</v>
      </c>
    </row>
    <row r="64" spans="1:3" x14ac:dyDescent="0.25">
      <c r="A64" s="396" t="s">
        <v>689</v>
      </c>
      <c r="B64" s="397">
        <v>4.8</v>
      </c>
    </row>
    <row r="65" spans="1:3" x14ac:dyDescent="0.25">
      <c r="A65" s="396" t="s">
        <v>690</v>
      </c>
      <c r="B65" s="397">
        <v>4.5</v>
      </c>
    </row>
    <row r="66" spans="1:3" x14ac:dyDescent="0.25">
      <c r="A66" s="396" t="s">
        <v>691</v>
      </c>
      <c r="B66" s="397">
        <v>5.5</v>
      </c>
    </row>
    <row r="67" spans="1:3" x14ac:dyDescent="0.25">
      <c r="A67" s="396" t="s">
        <v>692</v>
      </c>
      <c r="B67" s="397">
        <v>4.5</v>
      </c>
    </row>
    <row r="68" spans="1:3" x14ac:dyDescent="0.25">
      <c r="A68" s="396" t="s">
        <v>693</v>
      </c>
      <c r="B68" s="397">
        <v>3.5</v>
      </c>
      <c r="C68" s="395">
        <f>SUM(B57:B68)</f>
        <v>55.199999999999996</v>
      </c>
    </row>
    <row r="65536" s="393" customFormat="1" ht="16.5" x14ac:dyDescent="0.25"/>
  </sheetData>
  <sheetProtection formatCells="0" formatColumns="0" formatRows="0" insertColumns="0" insertRows="0" insertHyperlinks="0" deleteColumns="0" deleteRows="0" sort="0" autoFilter="0" pivotTables="0"/>
  <pageMargins left="0.7" right="0.7" top="0.75" bottom="0.75" header="0.3" footer="0.3"/>
  <pageSetup orientation="portrait"/>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A272-06C1-4446-A5DF-63743BC5BC35}">
  <dimension ref="A1:F65536"/>
  <sheetViews>
    <sheetView showRuler="0" zoomScaleNormal="100" workbookViewId="0">
      <selection activeCell="D28" sqref="D28"/>
    </sheetView>
  </sheetViews>
  <sheetFormatPr defaultRowHeight="15" x14ac:dyDescent="0.25"/>
  <cols>
    <col min="1" max="3" width="12" style="395" customWidth="1"/>
    <col min="4" max="256" width="9.140625" style="395"/>
    <col min="257" max="259" width="12" style="395" customWidth="1"/>
    <col min="260" max="512" width="9.140625" style="395"/>
    <col min="513" max="515" width="12" style="395" customWidth="1"/>
    <col min="516" max="768" width="9.140625" style="395"/>
    <col min="769" max="771" width="12" style="395" customWidth="1"/>
    <col min="772" max="1024" width="9.140625" style="395"/>
    <col min="1025" max="1027" width="12" style="395" customWidth="1"/>
    <col min="1028" max="1280" width="9.140625" style="395"/>
    <col min="1281" max="1283" width="12" style="395" customWidth="1"/>
    <col min="1284" max="1536" width="9.140625" style="395"/>
    <col min="1537" max="1539" width="12" style="395" customWidth="1"/>
    <col min="1540" max="1792" width="9.140625" style="395"/>
    <col min="1793" max="1795" width="12" style="395" customWidth="1"/>
    <col min="1796" max="2048" width="9.140625" style="395"/>
    <col min="2049" max="2051" width="12" style="395" customWidth="1"/>
    <col min="2052" max="2304" width="9.140625" style="395"/>
    <col min="2305" max="2307" width="12" style="395" customWidth="1"/>
    <col min="2308" max="2560" width="9.140625" style="395"/>
    <col min="2561" max="2563" width="12" style="395" customWidth="1"/>
    <col min="2564" max="2816" width="9.140625" style="395"/>
    <col min="2817" max="2819" width="12" style="395" customWidth="1"/>
    <col min="2820" max="3072" width="9.140625" style="395"/>
    <col min="3073" max="3075" width="12" style="395" customWidth="1"/>
    <col min="3076" max="3328" width="9.140625" style="395"/>
    <col min="3329" max="3331" width="12" style="395" customWidth="1"/>
    <col min="3332" max="3584" width="9.140625" style="395"/>
    <col min="3585" max="3587" width="12" style="395" customWidth="1"/>
    <col min="3588" max="3840" width="9.140625" style="395"/>
    <col min="3841" max="3843" width="12" style="395" customWidth="1"/>
    <col min="3844" max="4096" width="9.140625" style="395"/>
    <col min="4097" max="4099" width="12" style="395" customWidth="1"/>
    <col min="4100" max="4352" width="9.140625" style="395"/>
    <col min="4353" max="4355" width="12" style="395" customWidth="1"/>
    <col min="4356" max="4608" width="9.140625" style="395"/>
    <col min="4609" max="4611" width="12" style="395" customWidth="1"/>
    <col min="4612" max="4864" width="9.140625" style="395"/>
    <col min="4865" max="4867" width="12" style="395" customWidth="1"/>
    <col min="4868" max="5120" width="9.140625" style="395"/>
    <col min="5121" max="5123" width="12" style="395" customWidth="1"/>
    <col min="5124" max="5376" width="9.140625" style="395"/>
    <col min="5377" max="5379" width="12" style="395" customWidth="1"/>
    <col min="5380" max="5632" width="9.140625" style="395"/>
    <col min="5633" max="5635" width="12" style="395" customWidth="1"/>
    <col min="5636" max="5888" width="9.140625" style="395"/>
    <col min="5889" max="5891" width="12" style="395" customWidth="1"/>
    <col min="5892" max="6144" width="9.140625" style="395"/>
    <col min="6145" max="6147" width="12" style="395" customWidth="1"/>
    <col min="6148" max="6400" width="9.140625" style="395"/>
    <col min="6401" max="6403" width="12" style="395" customWidth="1"/>
    <col min="6404" max="6656" width="9.140625" style="395"/>
    <col min="6657" max="6659" width="12" style="395" customWidth="1"/>
    <col min="6660" max="6912" width="9.140625" style="395"/>
    <col min="6913" max="6915" width="12" style="395" customWidth="1"/>
    <col min="6916" max="7168" width="9.140625" style="395"/>
    <col min="7169" max="7171" width="12" style="395" customWidth="1"/>
    <col min="7172" max="7424" width="9.140625" style="395"/>
    <col min="7425" max="7427" width="12" style="395" customWidth="1"/>
    <col min="7428" max="7680" width="9.140625" style="395"/>
    <col min="7681" max="7683" width="12" style="395" customWidth="1"/>
    <col min="7684" max="7936" width="9.140625" style="395"/>
    <col min="7937" max="7939" width="12" style="395" customWidth="1"/>
    <col min="7940" max="8192" width="9.140625" style="395"/>
    <col min="8193" max="8195" width="12" style="395" customWidth="1"/>
    <col min="8196" max="8448" width="9.140625" style="395"/>
    <col min="8449" max="8451" width="12" style="395" customWidth="1"/>
    <col min="8452" max="8704" width="9.140625" style="395"/>
    <col min="8705" max="8707" width="12" style="395" customWidth="1"/>
    <col min="8708" max="8960" width="9.140625" style="395"/>
    <col min="8961" max="8963" width="12" style="395" customWidth="1"/>
    <col min="8964" max="9216" width="9.140625" style="395"/>
    <col min="9217" max="9219" width="12" style="395" customWidth="1"/>
    <col min="9220" max="9472" width="9.140625" style="395"/>
    <col min="9473" max="9475" width="12" style="395" customWidth="1"/>
    <col min="9476" max="9728" width="9.140625" style="395"/>
    <col min="9729" max="9731" width="12" style="395" customWidth="1"/>
    <col min="9732" max="9984" width="9.140625" style="395"/>
    <col min="9985" max="9987" width="12" style="395" customWidth="1"/>
    <col min="9988" max="10240" width="9.140625" style="395"/>
    <col min="10241" max="10243" width="12" style="395" customWidth="1"/>
    <col min="10244" max="10496" width="9.140625" style="395"/>
    <col min="10497" max="10499" width="12" style="395" customWidth="1"/>
    <col min="10500" max="10752" width="9.140625" style="395"/>
    <col min="10753" max="10755" width="12" style="395" customWidth="1"/>
    <col min="10756" max="11008" width="9.140625" style="395"/>
    <col min="11009" max="11011" width="12" style="395" customWidth="1"/>
    <col min="11012" max="11264" width="9.140625" style="395"/>
    <col min="11265" max="11267" width="12" style="395" customWidth="1"/>
    <col min="11268" max="11520" width="9.140625" style="395"/>
    <col min="11521" max="11523" width="12" style="395" customWidth="1"/>
    <col min="11524" max="11776" width="9.140625" style="395"/>
    <col min="11777" max="11779" width="12" style="395" customWidth="1"/>
    <col min="11780" max="12032" width="9.140625" style="395"/>
    <col min="12033" max="12035" width="12" style="395" customWidth="1"/>
    <col min="12036" max="12288" width="9.140625" style="395"/>
    <col min="12289" max="12291" width="12" style="395" customWidth="1"/>
    <col min="12292" max="12544" width="9.140625" style="395"/>
    <col min="12545" max="12547" width="12" style="395" customWidth="1"/>
    <col min="12548" max="12800" width="9.140625" style="395"/>
    <col min="12801" max="12803" width="12" style="395" customWidth="1"/>
    <col min="12804" max="13056" width="9.140625" style="395"/>
    <col min="13057" max="13059" width="12" style="395" customWidth="1"/>
    <col min="13060" max="13312" width="9.140625" style="395"/>
    <col min="13313" max="13315" width="12" style="395" customWidth="1"/>
    <col min="13316" max="13568" width="9.140625" style="395"/>
    <col min="13569" max="13571" width="12" style="395" customWidth="1"/>
    <col min="13572" max="13824" width="9.140625" style="395"/>
    <col min="13825" max="13827" width="12" style="395" customWidth="1"/>
    <col min="13828" max="14080" width="9.140625" style="395"/>
    <col min="14081" max="14083" width="12" style="395" customWidth="1"/>
    <col min="14084" max="14336" width="9.140625" style="395"/>
    <col min="14337" max="14339" width="12" style="395" customWidth="1"/>
    <col min="14340" max="14592" width="9.140625" style="395"/>
    <col min="14593" max="14595" width="12" style="395" customWidth="1"/>
    <col min="14596" max="14848" width="9.140625" style="395"/>
    <col min="14849" max="14851" width="12" style="395" customWidth="1"/>
    <col min="14852" max="15104" width="9.140625" style="395"/>
    <col min="15105" max="15107" width="12" style="395" customWidth="1"/>
    <col min="15108" max="15360" width="9.140625" style="395"/>
    <col min="15361" max="15363" width="12" style="395" customWidth="1"/>
    <col min="15364" max="15616" width="9.140625" style="395"/>
    <col min="15617" max="15619" width="12" style="395" customWidth="1"/>
    <col min="15620" max="15872" width="9.140625" style="395"/>
    <col min="15873" max="15875" width="12" style="395" customWidth="1"/>
    <col min="15876" max="16128" width="9.140625" style="395"/>
    <col min="16129" max="16131" width="12" style="395" customWidth="1"/>
    <col min="16132" max="16384" width="9.140625" style="395"/>
  </cols>
  <sheetData>
    <row r="1" spans="1:6" s="393" customFormat="1" ht="16.5" x14ac:dyDescent="0.25">
      <c r="C1" s="393" t="s">
        <v>626</v>
      </c>
    </row>
    <row r="2" spans="1:6" s="393" customFormat="1" ht="16.5" x14ac:dyDescent="0.25">
      <c r="C2" s="393" t="s">
        <v>627</v>
      </c>
    </row>
    <row r="3" spans="1:6" s="393" customFormat="1" ht="16.5" x14ac:dyDescent="0.25">
      <c r="C3" s="393" t="s">
        <v>694</v>
      </c>
    </row>
    <row r="4" spans="1:6" s="393" customFormat="1" ht="16.5" x14ac:dyDescent="0.25">
      <c r="C4" s="393" t="s">
        <v>629</v>
      </c>
    </row>
    <row r="5" spans="1:6" s="393" customFormat="1" ht="16.5" x14ac:dyDescent="0.25">
      <c r="C5" s="393" t="s">
        <v>630</v>
      </c>
    </row>
    <row r="6" spans="1:6" s="393" customFormat="1" ht="16.5" x14ac:dyDescent="0.25">
      <c r="C6" s="393" t="s">
        <v>695</v>
      </c>
    </row>
    <row r="7" spans="1:6" s="393" customFormat="1" ht="16.5" x14ac:dyDescent="0.25"/>
    <row r="8" spans="1:6" x14ac:dyDescent="0.25">
      <c r="A8" s="394" t="s">
        <v>632</v>
      </c>
      <c r="B8" s="394" t="s">
        <v>633</v>
      </c>
      <c r="E8" s="395">
        <v>2014</v>
      </c>
      <c r="F8" s="398">
        <f>C20</f>
        <v>20.5</v>
      </c>
    </row>
    <row r="9" spans="1:6" x14ac:dyDescent="0.25">
      <c r="A9" s="396" t="s">
        <v>634</v>
      </c>
      <c r="B9" s="397">
        <v>1.5</v>
      </c>
      <c r="E9" s="395">
        <v>2015</v>
      </c>
      <c r="F9" s="395">
        <f>C32</f>
        <v>20.300000000000004</v>
      </c>
    </row>
    <row r="10" spans="1:6" x14ac:dyDescent="0.25">
      <c r="A10" s="396" t="s">
        <v>635</v>
      </c>
      <c r="B10" s="397">
        <v>1.6</v>
      </c>
      <c r="E10" s="395">
        <v>2016</v>
      </c>
      <c r="F10" s="395">
        <f>C44</f>
        <v>22.8</v>
      </c>
    </row>
    <row r="11" spans="1:6" x14ac:dyDescent="0.25">
      <c r="A11" s="396" t="s">
        <v>636</v>
      </c>
      <c r="B11" s="397">
        <v>1.8</v>
      </c>
      <c r="E11" s="395">
        <v>2017</v>
      </c>
      <c r="F11" s="395">
        <f>C56</f>
        <v>23.700000000000003</v>
      </c>
    </row>
    <row r="12" spans="1:6" x14ac:dyDescent="0.25">
      <c r="A12" s="396" t="s">
        <v>637</v>
      </c>
      <c r="B12" s="397">
        <v>2</v>
      </c>
      <c r="E12" s="395">
        <v>2018</v>
      </c>
      <c r="F12" s="395">
        <f>C68</f>
        <v>23.099999999999998</v>
      </c>
    </row>
    <row r="13" spans="1:6" x14ac:dyDescent="0.25">
      <c r="A13" s="396" t="s">
        <v>638</v>
      </c>
      <c r="B13" s="397">
        <v>2.2999999999999998</v>
      </c>
    </row>
    <row r="14" spans="1:6" x14ac:dyDescent="0.25">
      <c r="A14" s="396" t="s">
        <v>639</v>
      </c>
      <c r="B14" s="397">
        <v>1.9</v>
      </c>
    </row>
    <row r="15" spans="1:6" x14ac:dyDescent="0.25">
      <c r="A15" s="396" t="s">
        <v>640</v>
      </c>
      <c r="B15" s="397">
        <v>1.9</v>
      </c>
    </row>
    <row r="16" spans="1:6" x14ac:dyDescent="0.25">
      <c r="A16" s="396" t="s">
        <v>641</v>
      </c>
      <c r="B16" s="397">
        <v>1.7</v>
      </c>
    </row>
    <row r="17" spans="1:3" x14ac:dyDescent="0.25">
      <c r="A17" s="396" t="s">
        <v>642</v>
      </c>
      <c r="B17" s="397">
        <v>1.5</v>
      </c>
    </row>
    <row r="18" spans="1:3" x14ac:dyDescent="0.25">
      <c r="A18" s="396" t="s">
        <v>643</v>
      </c>
      <c r="B18" s="397">
        <v>2</v>
      </c>
    </row>
    <row r="19" spans="1:3" x14ac:dyDescent="0.25">
      <c r="A19" s="396" t="s">
        <v>644</v>
      </c>
      <c r="B19" s="397">
        <v>1.2</v>
      </c>
    </row>
    <row r="20" spans="1:3" x14ac:dyDescent="0.25">
      <c r="A20" s="396" t="s">
        <v>645</v>
      </c>
      <c r="B20" s="397">
        <v>1.1000000000000001</v>
      </c>
      <c r="C20" s="398">
        <f>SUM(B9:B20)</f>
        <v>20.5</v>
      </c>
    </row>
    <row r="21" spans="1:3" x14ac:dyDescent="0.25">
      <c r="A21" s="396" t="s">
        <v>646</v>
      </c>
      <c r="B21" s="397">
        <v>1.3</v>
      </c>
    </row>
    <row r="22" spans="1:3" x14ac:dyDescent="0.25">
      <c r="A22" s="396" t="s">
        <v>647</v>
      </c>
      <c r="B22" s="397">
        <v>1.6</v>
      </c>
    </row>
    <row r="23" spans="1:3" x14ac:dyDescent="0.25">
      <c r="A23" s="396" t="s">
        <v>648</v>
      </c>
      <c r="B23" s="397">
        <v>1.6</v>
      </c>
    </row>
    <row r="24" spans="1:3" x14ac:dyDescent="0.25">
      <c r="A24" s="396" t="s">
        <v>649</v>
      </c>
      <c r="B24" s="397">
        <v>1.8</v>
      </c>
    </row>
    <row r="25" spans="1:3" x14ac:dyDescent="0.25">
      <c r="A25" s="396" t="s">
        <v>650</v>
      </c>
      <c r="B25" s="397">
        <v>1.6</v>
      </c>
    </row>
    <row r="26" spans="1:3" x14ac:dyDescent="0.25">
      <c r="A26" s="396" t="s">
        <v>651</v>
      </c>
      <c r="B26" s="397">
        <v>2.1</v>
      </c>
    </row>
    <row r="27" spans="1:3" x14ac:dyDescent="0.25">
      <c r="A27" s="396" t="s">
        <v>652</v>
      </c>
      <c r="B27" s="397">
        <v>1.8</v>
      </c>
    </row>
    <row r="28" spans="1:3" x14ac:dyDescent="0.25">
      <c r="A28" s="396" t="s">
        <v>653</v>
      </c>
      <c r="B28" s="397">
        <v>1.8</v>
      </c>
    </row>
    <row r="29" spans="1:3" x14ac:dyDescent="0.25">
      <c r="A29" s="396" t="s">
        <v>654</v>
      </c>
      <c r="B29" s="397">
        <v>1.9</v>
      </c>
    </row>
    <row r="30" spans="1:3" x14ac:dyDescent="0.25">
      <c r="A30" s="396" t="s">
        <v>655</v>
      </c>
      <c r="B30" s="397">
        <v>1.9</v>
      </c>
    </row>
    <row r="31" spans="1:3" x14ac:dyDescent="0.25">
      <c r="A31" s="396" t="s">
        <v>656</v>
      </c>
      <c r="B31" s="397">
        <v>1.8</v>
      </c>
    </row>
    <row r="32" spans="1:3" x14ac:dyDescent="0.25">
      <c r="A32" s="396" t="s">
        <v>657</v>
      </c>
      <c r="B32" s="397">
        <v>1.1000000000000001</v>
      </c>
      <c r="C32" s="395">
        <f>SUM(B21:B32)</f>
        <v>20.300000000000004</v>
      </c>
    </row>
    <row r="33" spans="1:3" x14ac:dyDescent="0.25">
      <c r="A33" s="396" t="s">
        <v>658</v>
      </c>
      <c r="B33" s="397">
        <v>1.6</v>
      </c>
    </row>
    <row r="34" spans="1:3" x14ac:dyDescent="0.25">
      <c r="A34" s="396" t="s">
        <v>659</v>
      </c>
      <c r="B34" s="397">
        <v>1.6</v>
      </c>
    </row>
    <row r="35" spans="1:3" x14ac:dyDescent="0.25">
      <c r="A35" s="396" t="s">
        <v>660</v>
      </c>
      <c r="B35" s="397">
        <v>2.2999999999999998</v>
      </c>
    </row>
    <row r="36" spans="1:3" x14ac:dyDescent="0.25">
      <c r="A36" s="396" t="s">
        <v>661</v>
      </c>
      <c r="B36" s="397">
        <v>1.6</v>
      </c>
    </row>
    <row r="37" spans="1:3" x14ac:dyDescent="0.25">
      <c r="A37" s="396" t="s">
        <v>662</v>
      </c>
      <c r="B37" s="397">
        <v>2</v>
      </c>
    </row>
    <row r="38" spans="1:3" x14ac:dyDescent="0.25">
      <c r="A38" s="396" t="s">
        <v>663</v>
      </c>
      <c r="B38" s="397">
        <v>2.2000000000000002</v>
      </c>
    </row>
    <row r="39" spans="1:3" x14ac:dyDescent="0.25">
      <c r="A39" s="396" t="s">
        <v>664</v>
      </c>
      <c r="B39" s="397">
        <v>1.8</v>
      </c>
    </row>
    <row r="40" spans="1:3" x14ac:dyDescent="0.25">
      <c r="A40" s="396" t="s">
        <v>665</v>
      </c>
      <c r="B40" s="397">
        <v>2.4</v>
      </c>
    </row>
    <row r="41" spans="1:3" x14ac:dyDescent="0.25">
      <c r="A41" s="396" t="s">
        <v>666</v>
      </c>
      <c r="B41" s="397">
        <v>2.5</v>
      </c>
    </row>
    <row r="42" spans="1:3" x14ac:dyDescent="0.25">
      <c r="A42" s="396" t="s">
        <v>667</v>
      </c>
      <c r="B42" s="397">
        <v>1.8</v>
      </c>
    </row>
    <row r="43" spans="1:3" x14ac:dyDescent="0.25">
      <c r="A43" s="396" t="s">
        <v>668</v>
      </c>
      <c r="B43" s="397">
        <v>1.7</v>
      </c>
    </row>
    <row r="44" spans="1:3" x14ac:dyDescent="0.25">
      <c r="A44" s="396" t="s">
        <v>669</v>
      </c>
      <c r="B44" s="397">
        <v>1.3</v>
      </c>
      <c r="C44" s="395">
        <f>SUM(B33:B44)</f>
        <v>22.8</v>
      </c>
    </row>
    <row r="45" spans="1:3" x14ac:dyDescent="0.25">
      <c r="A45" s="396" t="s">
        <v>670</v>
      </c>
      <c r="B45" s="397">
        <v>1.8</v>
      </c>
    </row>
    <row r="46" spans="1:3" x14ac:dyDescent="0.25">
      <c r="A46" s="396" t="s">
        <v>671</v>
      </c>
      <c r="B46" s="397">
        <v>1.7</v>
      </c>
    </row>
    <row r="47" spans="1:3" x14ac:dyDescent="0.25">
      <c r="A47" s="396" t="s">
        <v>672</v>
      </c>
      <c r="B47" s="397">
        <v>2.2999999999999998</v>
      </c>
    </row>
    <row r="48" spans="1:3" x14ac:dyDescent="0.25">
      <c r="A48" s="396" t="s">
        <v>673</v>
      </c>
      <c r="B48" s="397">
        <v>2.4</v>
      </c>
    </row>
    <row r="49" spans="1:3" x14ac:dyDescent="0.25">
      <c r="A49" s="396" t="s">
        <v>674</v>
      </c>
      <c r="B49" s="397">
        <v>2</v>
      </c>
    </row>
    <row r="50" spans="1:3" x14ac:dyDescent="0.25">
      <c r="A50" s="396" t="s">
        <v>675</v>
      </c>
      <c r="B50" s="397">
        <v>2.4</v>
      </c>
    </row>
    <row r="51" spans="1:3" x14ac:dyDescent="0.25">
      <c r="A51" s="396" t="s">
        <v>676</v>
      </c>
      <c r="B51" s="397">
        <v>1.7</v>
      </c>
    </row>
    <row r="52" spans="1:3" x14ac:dyDescent="0.25">
      <c r="A52" s="396" t="s">
        <v>677</v>
      </c>
      <c r="B52" s="397">
        <v>2.2000000000000002</v>
      </c>
    </row>
    <row r="53" spans="1:3" x14ac:dyDescent="0.25">
      <c r="A53" s="396" t="s">
        <v>678</v>
      </c>
      <c r="B53" s="397">
        <v>2.2999999999999998</v>
      </c>
    </row>
    <row r="54" spans="1:3" x14ac:dyDescent="0.25">
      <c r="A54" s="396" t="s">
        <v>679</v>
      </c>
      <c r="B54" s="397">
        <v>1.6</v>
      </c>
    </row>
    <row r="55" spans="1:3" x14ac:dyDescent="0.25">
      <c r="A55" s="396" t="s">
        <v>680</v>
      </c>
      <c r="B55" s="397">
        <v>1.8</v>
      </c>
    </row>
    <row r="56" spans="1:3" x14ac:dyDescent="0.25">
      <c r="A56" s="396" t="s">
        <v>681</v>
      </c>
      <c r="B56" s="397">
        <v>1.5</v>
      </c>
      <c r="C56" s="395">
        <f>SUM(B45:B56)</f>
        <v>23.700000000000003</v>
      </c>
    </row>
    <row r="57" spans="1:3" x14ac:dyDescent="0.25">
      <c r="A57" s="396" t="s">
        <v>682</v>
      </c>
      <c r="B57" s="397">
        <v>1.8</v>
      </c>
    </row>
    <row r="58" spans="1:3" x14ac:dyDescent="0.25">
      <c r="A58" s="396" t="s">
        <v>683</v>
      </c>
      <c r="B58" s="397">
        <v>1.6</v>
      </c>
    </row>
    <row r="59" spans="1:3" x14ac:dyDescent="0.25">
      <c r="A59" s="396" t="s">
        <v>684</v>
      </c>
      <c r="B59" s="397">
        <v>2.1</v>
      </c>
    </row>
    <row r="60" spans="1:3" x14ac:dyDescent="0.25">
      <c r="A60" s="396" t="s">
        <v>685</v>
      </c>
      <c r="B60" s="397">
        <v>2</v>
      </c>
    </row>
    <row r="61" spans="1:3" x14ac:dyDescent="0.25">
      <c r="A61" s="396" t="s">
        <v>686</v>
      </c>
      <c r="B61" s="397">
        <v>2.2999999999999998</v>
      </c>
    </row>
    <row r="62" spans="1:3" x14ac:dyDescent="0.25">
      <c r="A62" s="396" t="s">
        <v>687</v>
      </c>
      <c r="B62" s="397">
        <v>2.1</v>
      </c>
    </row>
    <row r="63" spans="1:3" x14ac:dyDescent="0.25">
      <c r="A63" s="396" t="s">
        <v>688</v>
      </c>
      <c r="B63" s="397">
        <v>1.8</v>
      </c>
    </row>
    <row r="64" spans="1:3" x14ac:dyDescent="0.25">
      <c r="A64" s="396" t="s">
        <v>689</v>
      </c>
      <c r="B64" s="397">
        <v>1.9</v>
      </c>
    </row>
    <row r="65" spans="1:3" x14ac:dyDescent="0.25">
      <c r="A65" s="396" t="s">
        <v>690</v>
      </c>
      <c r="B65" s="397">
        <v>1.9</v>
      </c>
    </row>
    <row r="66" spans="1:3" x14ac:dyDescent="0.25">
      <c r="A66" s="396" t="s">
        <v>691</v>
      </c>
      <c r="B66" s="397">
        <v>2.2000000000000002</v>
      </c>
    </row>
    <row r="67" spans="1:3" x14ac:dyDescent="0.25">
      <c r="A67" s="396" t="s">
        <v>692</v>
      </c>
      <c r="B67" s="397">
        <v>2</v>
      </c>
    </row>
    <row r="68" spans="1:3" x14ac:dyDescent="0.25">
      <c r="A68" s="396" t="s">
        <v>693</v>
      </c>
      <c r="B68" s="397">
        <v>1.4</v>
      </c>
      <c r="C68" s="395">
        <f>SUM(B57:B68)</f>
        <v>23.099999999999998</v>
      </c>
    </row>
    <row r="65536" s="393" customFormat="1" ht="16.5" x14ac:dyDescent="0.25"/>
  </sheetData>
  <sheetProtection formatCells="0" formatColumns="0" formatRows="0" insertColumns="0" insertRows="0" insertHyperlinks="0" deleteColumns="0" deleteRows="0" sort="0" autoFilter="0" pivotTables="0"/>
  <pageMargins left="0.7" right="0.7" top="0.75" bottom="0.75" header="0.3" footer="0.3"/>
  <pageSetup orientation="portrait"/>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E30C2-EEF7-406E-8955-5388905EF772}">
  <dimension ref="A1:C65536"/>
  <sheetViews>
    <sheetView showRuler="0" zoomScaleNormal="100" workbookViewId="0">
      <selection activeCell="B9" sqref="B9"/>
    </sheetView>
  </sheetViews>
  <sheetFormatPr defaultRowHeight="15" x14ac:dyDescent="0.25"/>
  <cols>
    <col min="1" max="3" width="12" style="395" customWidth="1"/>
    <col min="4" max="256" width="9.140625" style="395"/>
    <col min="257" max="259" width="12" style="395" customWidth="1"/>
    <col min="260" max="512" width="9.140625" style="395"/>
    <col min="513" max="515" width="12" style="395" customWidth="1"/>
    <col min="516" max="768" width="9.140625" style="395"/>
    <col min="769" max="771" width="12" style="395" customWidth="1"/>
    <col min="772" max="1024" width="9.140625" style="395"/>
    <col min="1025" max="1027" width="12" style="395" customWidth="1"/>
    <col min="1028" max="1280" width="9.140625" style="395"/>
    <col min="1281" max="1283" width="12" style="395" customWidth="1"/>
    <col min="1284" max="1536" width="9.140625" style="395"/>
    <col min="1537" max="1539" width="12" style="395" customWidth="1"/>
    <col min="1540" max="1792" width="9.140625" style="395"/>
    <col min="1793" max="1795" width="12" style="395" customWidth="1"/>
    <col min="1796" max="2048" width="9.140625" style="395"/>
    <col min="2049" max="2051" width="12" style="395" customWidth="1"/>
    <col min="2052" max="2304" width="9.140625" style="395"/>
    <col min="2305" max="2307" width="12" style="395" customWidth="1"/>
    <col min="2308" max="2560" width="9.140625" style="395"/>
    <col min="2561" max="2563" width="12" style="395" customWidth="1"/>
    <col min="2564" max="2816" width="9.140625" style="395"/>
    <col min="2817" max="2819" width="12" style="395" customWidth="1"/>
    <col min="2820" max="3072" width="9.140625" style="395"/>
    <col min="3073" max="3075" width="12" style="395" customWidth="1"/>
    <col min="3076" max="3328" width="9.140625" style="395"/>
    <col min="3329" max="3331" width="12" style="395" customWidth="1"/>
    <col min="3332" max="3584" width="9.140625" style="395"/>
    <col min="3585" max="3587" width="12" style="395" customWidth="1"/>
    <col min="3588" max="3840" width="9.140625" style="395"/>
    <col min="3841" max="3843" width="12" style="395" customWidth="1"/>
    <col min="3844" max="4096" width="9.140625" style="395"/>
    <col min="4097" max="4099" width="12" style="395" customWidth="1"/>
    <col min="4100" max="4352" width="9.140625" style="395"/>
    <col min="4353" max="4355" width="12" style="395" customWidth="1"/>
    <col min="4356" max="4608" width="9.140625" style="395"/>
    <col min="4609" max="4611" width="12" style="395" customWidth="1"/>
    <col min="4612" max="4864" width="9.140625" style="395"/>
    <col min="4865" max="4867" width="12" style="395" customWidth="1"/>
    <col min="4868" max="5120" width="9.140625" style="395"/>
    <col min="5121" max="5123" width="12" style="395" customWidth="1"/>
    <col min="5124" max="5376" width="9.140625" style="395"/>
    <col min="5377" max="5379" width="12" style="395" customWidth="1"/>
    <col min="5380" max="5632" width="9.140625" style="395"/>
    <col min="5633" max="5635" width="12" style="395" customWidth="1"/>
    <col min="5636" max="5888" width="9.140625" style="395"/>
    <col min="5889" max="5891" width="12" style="395" customWidth="1"/>
    <col min="5892" max="6144" width="9.140625" style="395"/>
    <col min="6145" max="6147" width="12" style="395" customWidth="1"/>
    <col min="6148" max="6400" width="9.140625" style="395"/>
    <col min="6401" max="6403" width="12" style="395" customWidth="1"/>
    <col min="6404" max="6656" width="9.140625" style="395"/>
    <col min="6657" max="6659" width="12" style="395" customWidth="1"/>
    <col min="6660" max="6912" width="9.140625" style="395"/>
    <col min="6913" max="6915" width="12" style="395" customWidth="1"/>
    <col min="6916" max="7168" width="9.140625" style="395"/>
    <col min="7169" max="7171" width="12" style="395" customWidth="1"/>
    <col min="7172" max="7424" width="9.140625" style="395"/>
    <col min="7425" max="7427" width="12" style="395" customWidth="1"/>
    <col min="7428" max="7680" width="9.140625" style="395"/>
    <col min="7681" max="7683" width="12" style="395" customWidth="1"/>
    <col min="7684" max="7936" width="9.140625" style="395"/>
    <col min="7937" max="7939" width="12" style="395" customWidth="1"/>
    <col min="7940" max="8192" width="9.140625" style="395"/>
    <col min="8193" max="8195" width="12" style="395" customWidth="1"/>
    <col min="8196" max="8448" width="9.140625" style="395"/>
    <col min="8449" max="8451" width="12" style="395" customWidth="1"/>
    <col min="8452" max="8704" width="9.140625" style="395"/>
    <col min="8705" max="8707" width="12" style="395" customWidth="1"/>
    <col min="8708" max="8960" width="9.140625" style="395"/>
    <col min="8961" max="8963" width="12" style="395" customWidth="1"/>
    <col min="8964" max="9216" width="9.140625" style="395"/>
    <col min="9217" max="9219" width="12" style="395" customWidth="1"/>
    <col min="9220" max="9472" width="9.140625" style="395"/>
    <col min="9473" max="9475" width="12" style="395" customWidth="1"/>
    <col min="9476" max="9728" width="9.140625" style="395"/>
    <col min="9729" max="9731" width="12" style="395" customWidth="1"/>
    <col min="9732" max="9984" width="9.140625" style="395"/>
    <col min="9985" max="9987" width="12" style="395" customWidth="1"/>
    <col min="9988" max="10240" width="9.140625" style="395"/>
    <col min="10241" max="10243" width="12" style="395" customWidth="1"/>
    <col min="10244" max="10496" width="9.140625" style="395"/>
    <col min="10497" max="10499" width="12" style="395" customWidth="1"/>
    <col min="10500" max="10752" width="9.140625" style="395"/>
    <col min="10753" max="10755" width="12" style="395" customWidth="1"/>
    <col min="10756" max="11008" width="9.140625" style="395"/>
    <col min="11009" max="11011" width="12" style="395" customWidth="1"/>
    <col min="11012" max="11264" width="9.140625" style="395"/>
    <col min="11265" max="11267" width="12" style="395" customWidth="1"/>
    <col min="11268" max="11520" width="9.140625" style="395"/>
    <col min="11521" max="11523" width="12" style="395" customWidth="1"/>
    <col min="11524" max="11776" width="9.140625" style="395"/>
    <col min="11777" max="11779" width="12" style="395" customWidth="1"/>
    <col min="11780" max="12032" width="9.140625" style="395"/>
    <col min="12033" max="12035" width="12" style="395" customWidth="1"/>
    <col min="12036" max="12288" width="9.140625" style="395"/>
    <col min="12289" max="12291" width="12" style="395" customWidth="1"/>
    <col min="12292" max="12544" width="9.140625" style="395"/>
    <col min="12545" max="12547" width="12" style="395" customWidth="1"/>
    <col min="12548" max="12800" width="9.140625" style="395"/>
    <col min="12801" max="12803" width="12" style="395" customWidth="1"/>
    <col min="12804" max="13056" width="9.140625" style="395"/>
    <col min="13057" max="13059" width="12" style="395" customWidth="1"/>
    <col min="13060" max="13312" width="9.140625" style="395"/>
    <col min="13313" max="13315" width="12" style="395" customWidth="1"/>
    <col min="13316" max="13568" width="9.140625" style="395"/>
    <col min="13569" max="13571" width="12" style="395" customWidth="1"/>
    <col min="13572" max="13824" width="9.140625" style="395"/>
    <col min="13825" max="13827" width="12" style="395" customWidth="1"/>
    <col min="13828" max="14080" width="9.140625" style="395"/>
    <col min="14081" max="14083" width="12" style="395" customWidth="1"/>
    <col min="14084" max="14336" width="9.140625" style="395"/>
    <col min="14337" max="14339" width="12" style="395" customWidth="1"/>
    <col min="14340" max="14592" width="9.140625" style="395"/>
    <col min="14593" max="14595" width="12" style="395" customWidth="1"/>
    <col min="14596" max="14848" width="9.140625" style="395"/>
    <col min="14849" max="14851" width="12" style="395" customWidth="1"/>
    <col min="14852" max="15104" width="9.140625" style="395"/>
    <col min="15105" max="15107" width="12" style="395" customWidth="1"/>
    <col min="15108" max="15360" width="9.140625" style="395"/>
    <col min="15361" max="15363" width="12" style="395" customWidth="1"/>
    <col min="15364" max="15616" width="9.140625" style="395"/>
    <col min="15617" max="15619" width="12" style="395" customWidth="1"/>
    <col min="15620" max="15872" width="9.140625" style="395"/>
    <col min="15873" max="15875" width="12" style="395" customWidth="1"/>
    <col min="15876" max="16128" width="9.140625" style="395"/>
    <col min="16129" max="16131" width="12" style="395" customWidth="1"/>
    <col min="16132" max="16384" width="9.140625" style="395"/>
  </cols>
  <sheetData>
    <row r="1" spans="1:3" s="393" customFormat="1" ht="16.5" x14ac:dyDescent="0.25">
      <c r="C1" s="393" t="s">
        <v>626</v>
      </c>
    </row>
    <row r="2" spans="1:3" s="393" customFormat="1" ht="16.5" x14ac:dyDescent="0.25">
      <c r="C2" s="393" t="s">
        <v>627</v>
      </c>
    </row>
    <row r="3" spans="1:3" s="393" customFormat="1" ht="16.5" x14ac:dyDescent="0.25">
      <c r="C3" s="393" t="s">
        <v>628</v>
      </c>
    </row>
    <row r="4" spans="1:3" s="393" customFormat="1" ht="16.5" x14ac:dyDescent="0.25">
      <c r="C4" s="393" t="s">
        <v>696</v>
      </c>
    </row>
    <row r="5" spans="1:3" s="393" customFormat="1" ht="16.5" x14ac:dyDescent="0.25">
      <c r="C5" s="393" t="s">
        <v>697</v>
      </c>
    </row>
    <row r="6" spans="1:3" s="393" customFormat="1" ht="16.5" x14ac:dyDescent="0.25">
      <c r="C6" s="393" t="s">
        <v>698</v>
      </c>
    </row>
    <row r="7" spans="1:3" s="393" customFormat="1" ht="16.5" x14ac:dyDescent="0.25"/>
    <row r="8" spans="1:3" x14ac:dyDescent="0.25">
      <c r="A8" s="394" t="s">
        <v>632</v>
      </c>
      <c r="B8" s="394" t="s">
        <v>633</v>
      </c>
    </row>
    <row r="9" spans="1:3" x14ac:dyDescent="0.25">
      <c r="A9" s="396" t="s">
        <v>634</v>
      </c>
      <c r="B9" s="397">
        <v>4.4000000000000004</v>
      </c>
    </row>
    <row r="10" spans="1:3" x14ac:dyDescent="0.25">
      <c r="A10" s="396" t="s">
        <v>635</v>
      </c>
      <c r="B10" s="397">
        <v>4.4000000000000004</v>
      </c>
    </row>
    <row r="11" spans="1:3" x14ac:dyDescent="0.25">
      <c r="A11" s="396" t="s">
        <v>636</v>
      </c>
      <c r="B11" s="397">
        <v>4.9000000000000004</v>
      </c>
    </row>
    <row r="12" spans="1:3" x14ac:dyDescent="0.25">
      <c r="A12" s="396" t="s">
        <v>637</v>
      </c>
      <c r="B12" s="397">
        <v>5.7</v>
      </c>
    </row>
    <row r="13" spans="1:3" x14ac:dyDescent="0.25">
      <c r="A13" s="396" t="s">
        <v>638</v>
      </c>
      <c r="B13" s="397">
        <v>5.7</v>
      </c>
    </row>
    <row r="14" spans="1:3" x14ac:dyDescent="0.25">
      <c r="A14" s="396" t="s">
        <v>639</v>
      </c>
      <c r="B14" s="397">
        <v>5.6</v>
      </c>
    </row>
    <row r="15" spans="1:3" x14ac:dyDescent="0.25">
      <c r="A15" s="396" t="s">
        <v>640</v>
      </c>
      <c r="B15" s="397">
        <v>5.7</v>
      </c>
    </row>
    <row r="16" spans="1:3" x14ac:dyDescent="0.25">
      <c r="A16" s="396" t="s">
        <v>641</v>
      </c>
      <c r="B16" s="397">
        <v>6</v>
      </c>
    </row>
    <row r="17" spans="1:2" x14ac:dyDescent="0.25">
      <c r="A17" s="396" t="s">
        <v>642</v>
      </c>
      <c r="B17" s="397">
        <v>5.9</v>
      </c>
    </row>
    <row r="18" spans="1:2" x14ac:dyDescent="0.25">
      <c r="A18" s="396" t="s">
        <v>643</v>
      </c>
      <c r="B18" s="397">
        <v>6.5</v>
      </c>
    </row>
    <row r="19" spans="1:2" x14ac:dyDescent="0.25">
      <c r="A19" s="396" t="s">
        <v>644</v>
      </c>
      <c r="B19" s="397">
        <v>5</v>
      </c>
    </row>
    <row r="20" spans="1:2" x14ac:dyDescent="0.25">
      <c r="A20" s="396" t="s">
        <v>645</v>
      </c>
      <c r="B20" s="397">
        <v>4.7</v>
      </c>
    </row>
    <row r="21" spans="1:2" x14ac:dyDescent="0.25">
      <c r="A21" s="396" t="s">
        <v>646</v>
      </c>
      <c r="B21" s="397">
        <v>5</v>
      </c>
    </row>
    <row r="22" spans="1:2" x14ac:dyDescent="0.25">
      <c r="A22" s="396" t="s">
        <v>647</v>
      </c>
      <c r="B22" s="397">
        <v>4.8</v>
      </c>
    </row>
    <row r="23" spans="1:2" x14ac:dyDescent="0.25">
      <c r="A23" s="396" t="s">
        <v>648</v>
      </c>
      <c r="B23" s="397">
        <v>5.6</v>
      </c>
    </row>
    <row r="24" spans="1:2" x14ac:dyDescent="0.25">
      <c r="A24" s="396" t="s">
        <v>649</v>
      </c>
      <c r="B24" s="397">
        <v>6.1</v>
      </c>
    </row>
    <row r="25" spans="1:2" x14ac:dyDescent="0.25">
      <c r="A25" s="396" t="s">
        <v>650</v>
      </c>
      <c r="B25" s="397">
        <v>5.8</v>
      </c>
    </row>
    <row r="26" spans="1:2" x14ac:dyDescent="0.25">
      <c r="A26" s="396" t="s">
        <v>651</v>
      </c>
      <c r="B26" s="397">
        <v>6.1</v>
      </c>
    </row>
    <row r="27" spans="1:2" x14ac:dyDescent="0.25">
      <c r="A27" s="396" t="s">
        <v>652</v>
      </c>
      <c r="B27" s="397">
        <v>6.1</v>
      </c>
    </row>
    <row r="28" spans="1:2" x14ac:dyDescent="0.25">
      <c r="A28" s="396" t="s">
        <v>653</v>
      </c>
      <c r="B28" s="397">
        <v>6.3</v>
      </c>
    </row>
    <row r="29" spans="1:2" x14ac:dyDescent="0.25">
      <c r="A29" s="396" t="s">
        <v>654</v>
      </c>
      <c r="B29" s="397">
        <v>6.3</v>
      </c>
    </row>
    <row r="30" spans="1:2" x14ac:dyDescent="0.25">
      <c r="A30" s="396" t="s">
        <v>655</v>
      </c>
      <c r="B30" s="397">
        <v>6.8</v>
      </c>
    </row>
    <row r="31" spans="1:2" x14ac:dyDescent="0.25">
      <c r="A31" s="396" t="s">
        <v>656</v>
      </c>
      <c r="B31" s="397">
        <v>6</v>
      </c>
    </row>
    <row r="32" spans="1:2" x14ac:dyDescent="0.25">
      <c r="A32" s="396" t="s">
        <v>657</v>
      </c>
      <c r="B32" s="397">
        <v>5.7</v>
      </c>
    </row>
    <row r="33" spans="1:2" x14ac:dyDescent="0.25">
      <c r="A33" s="396" t="s">
        <v>658</v>
      </c>
      <c r="B33" s="397">
        <v>5.9</v>
      </c>
    </row>
    <row r="34" spans="1:2" x14ac:dyDescent="0.25">
      <c r="A34" s="396" t="s">
        <v>659</v>
      </c>
      <c r="B34" s="397">
        <v>6.1</v>
      </c>
    </row>
    <row r="35" spans="1:2" x14ac:dyDescent="0.25">
      <c r="A35" s="396" t="s">
        <v>660</v>
      </c>
      <c r="B35" s="397">
        <v>7.1</v>
      </c>
    </row>
    <row r="36" spans="1:2" x14ac:dyDescent="0.25">
      <c r="A36" s="396" t="s">
        <v>661</v>
      </c>
      <c r="B36" s="397">
        <v>6.7</v>
      </c>
    </row>
    <row r="37" spans="1:2" x14ac:dyDescent="0.25">
      <c r="A37" s="396" t="s">
        <v>662</v>
      </c>
      <c r="B37" s="397">
        <v>6.8</v>
      </c>
    </row>
    <row r="38" spans="1:2" x14ac:dyDescent="0.25">
      <c r="A38" s="396" t="s">
        <v>663</v>
      </c>
      <c r="B38" s="397">
        <v>7.3</v>
      </c>
    </row>
    <row r="39" spans="1:2" x14ac:dyDescent="0.25">
      <c r="A39" s="396" t="s">
        <v>664</v>
      </c>
      <c r="B39" s="397">
        <v>5.3</v>
      </c>
    </row>
    <row r="40" spans="1:2" x14ac:dyDescent="0.25">
      <c r="A40" s="396" t="s">
        <v>665</v>
      </c>
      <c r="B40" s="397">
        <v>7.4</v>
      </c>
    </row>
    <row r="41" spans="1:2" x14ac:dyDescent="0.25">
      <c r="A41" s="396" t="s">
        <v>666</v>
      </c>
      <c r="B41" s="397">
        <v>7.3</v>
      </c>
    </row>
    <row r="42" spans="1:2" x14ac:dyDescent="0.25">
      <c r="A42" s="396" t="s">
        <v>667</v>
      </c>
      <c r="B42" s="397">
        <v>7.2</v>
      </c>
    </row>
    <row r="43" spans="1:2" x14ac:dyDescent="0.25">
      <c r="A43" s="396" t="s">
        <v>668</v>
      </c>
      <c r="B43" s="397">
        <v>7.1</v>
      </c>
    </row>
    <row r="44" spans="1:2" x14ac:dyDescent="0.25">
      <c r="A44" s="396" t="s">
        <v>669</v>
      </c>
      <c r="B44" s="397">
        <v>7</v>
      </c>
    </row>
    <row r="45" spans="1:2" x14ac:dyDescent="0.25">
      <c r="A45" s="396" t="s">
        <v>670</v>
      </c>
      <c r="B45" s="397">
        <v>7.8</v>
      </c>
    </row>
    <row r="46" spans="1:2" x14ac:dyDescent="0.25">
      <c r="A46" s="396" t="s">
        <v>671</v>
      </c>
      <c r="B46" s="397">
        <v>7.3</v>
      </c>
    </row>
    <row r="47" spans="1:2" x14ac:dyDescent="0.25">
      <c r="A47" s="396" t="s">
        <v>672</v>
      </c>
      <c r="B47" s="397">
        <v>8.1999999999999993</v>
      </c>
    </row>
    <row r="48" spans="1:2" x14ac:dyDescent="0.25">
      <c r="A48" s="396" t="s">
        <v>673</v>
      </c>
      <c r="B48" s="397">
        <v>7.2</v>
      </c>
    </row>
    <row r="49" spans="1:2" x14ac:dyDescent="0.25">
      <c r="A49" s="396" t="s">
        <v>674</v>
      </c>
      <c r="B49" s="397">
        <v>7.9</v>
      </c>
    </row>
    <row r="50" spans="1:2" x14ac:dyDescent="0.25">
      <c r="A50" s="396" t="s">
        <v>675</v>
      </c>
      <c r="B50" s="397">
        <v>8.1999999999999993</v>
      </c>
    </row>
    <row r="51" spans="1:2" x14ac:dyDescent="0.25">
      <c r="A51" s="396" t="s">
        <v>676</v>
      </c>
      <c r="B51" s="397">
        <v>5.8</v>
      </c>
    </row>
    <row r="52" spans="1:2" x14ac:dyDescent="0.25">
      <c r="A52" s="396" t="s">
        <v>677</v>
      </c>
      <c r="B52" s="397">
        <v>8.4</v>
      </c>
    </row>
    <row r="53" spans="1:2" x14ac:dyDescent="0.25">
      <c r="A53" s="396" t="s">
        <v>678</v>
      </c>
      <c r="B53" s="397">
        <v>7.6</v>
      </c>
    </row>
    <row r="54" spans="1:2" x14ac:dyDescent="0.25">
      <c r="A54" s="396" t="s">
        <v>679</v>
      </c>
      <c r="B54" s="397">
        <v>8.6</v>
      </c>
    </row>
    <row r="55" spans="1:2" x14ac:dyDescent="0.25">
      <c r="A55" s="396" t="s">
        <v>680</v>
      </c>
      <c r="B55" s="397">
        <v>8.6</v>
      </c>
    </row>
    <row r="56" spans="1:2" x14ac:dyDescent="0.25">
      <c r="A56" s="396" t="s">
        <v>681</v>
      </c>
      <c r="B56" s="397">
        <v>7.2</v>
      </c>
    </row>
    <row r="65536" s="393" customFormat="1" ht="16.5" x14ac:dyDescent="0.25"/>
  </sheetData>
  <sheetProtection formatCells="0" formatColumns="0" formatRows="0" insertColumns="0" insertRows="0" insertHyperlinks="0" deleteColumns="0" deleteRows="0" sort="0" autoFilter="0" pivotTables="0"/>
  <pageMargins left="0.7" right="0.7" top="0.75" bottom="0.75" header="0.3" footer="0.3"/>
  <pageSetup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Q606"/>
  <sheetViews>
    <sheetView zoomScaleNormal="100" zoomScaleSheetLayoutView="100" workbookViewId="0">
      <pane ySplit="5" topLeftCell="A7" activePane="bottomLeft" state="frozen"/>
      <selection activeCell="K21" sqref="K21"/>
      <selection pane="bottomLeft" activeCell="R23" sqref="R23"/>
    </sheetView>
  </sheetViews>
  <sheetFormatPr defaultColWidth="8.85546875" defaultRowHeight="15" x14ac:dyDescent="0.25"/>
  <cols>
    <col min="1" max="1" width="10.28515625" style="299" customWidth="1"/>
    <col min="2" max="2" width="8.7109375" style="319" customWidth="1"/>
    <col min="3" max="16" width="8.42578125" style="319" customWidth="1"/>
    <col min="17" max="256" width="8.85546875" style="320"/>
    <col min="257" max="257" width="10.28515625" style="320" customWidth="1"/>
    <col min="258" max="258" width="8.7109375" style="320" customWidth="1"/>
    <col min="259" max="272" width="8.42578125" style="320" customWidth="1"/>
    <col min="273" max="512" width="8.85546875" style="320"/>
    <col min="513" max="513" width="10.28515625" style="320" customWidth="1"/>
    <col min="514" max="514" width="8.7109375" style="320" customWidth="1"/>
    <col min="515" max="528" width="8.42578125" style="320" customWidth="1"/>
    <col min="529" max="768" width="8.85546875" style="320"/>
    <col min="769" max="769" width="10.28515625" style="320" customWidth="1"/>
    <col min="770" max="770" width="8.7109375" style="320" customWidth="1"/>
    <col min="771" max="784" width="8.42578125" style="320" customWidth="1"/>
    <col min="785" max="1024" width="8.85546875" style="320"/>
    <col min="1025" max="1025" width="10.28515625" style="320" customWidth="1"/>
    <col min="1026" max="1026" width="8.7109375" style="320" customWidth="1"/>
    <col min="1027" max="1040" width="8.42578125" style="320" customWidth="1"/>
    <col min="1041" max="1280" width="8.85546875" style="320"/>
    <col min="1281" max="1281" width="10.28515625" style="320" customWidth="1"/>
    <col min="1282" max="1282" width="8.7109375" style="320" customWidth="1"/>
    <col min="1283" max="1296" width="8.42578125" style="320" customWidth="1"/>
    <col min="1297" max="1536" width="8.85546875" style="320"/>
    <col min="1537" max="1537" width="10.28515625" style="320" customWidth="1"/>
    <col min="1538" max="1538" width="8.7109375" style="320" customWidth="1"/>
    <col min="1539" max="1552" width="8.42578125" style="320" customWidth="1"/>
    <col min="1553" max="1792" width="8.85546875" style="320"/>
    <col min="1793" max="1793" width="10.28515625" style="320" customWidth="1"/>
    <col min="1794" max="1794" width="8.7109375" style="320" customWidth="1"/>
    <col min="1795" max="1808" width="8.42578125" style="320" customWidth="1"/>
    <col min="1809" max="2048" width="8.85546875" style="320"/>
    <col min="2049" max="2049" width="10.28515625" style="320" customWidth="1"/>
    <col min="2050" max="2050" width="8.7109375" style="320" customWidth="1"/>
    <col min="2051" max="2064" width="8.42578125" style="320" customWidth="1"/>
    <col min="2065" max="2304" width="8.85546875" style="320"/>
    <col min="2305" max="2305" width="10.28515625" style="320" customWidth="1"/>
    <col min="2306" max="2306" width="8.7109375" style="320" customWidth="1"/>
    <col min="2307" max="2320" width="8.42578125" style="320" customWidth="1"/>
    <col min="2321" max="2560" width="8.85546875" style="320"/>
    <col min="2561" max="2561" width="10.28515625" style="320" customWidth="1"/>
    <col min="2562" max="2562" width="8.7109375" style="320" customWidth="1"/>
    <col min="2563" max="2576" width="8.42578125" style="320" customWidth="1"/>
    <col min="2577" max="2816" width="8.85546875" style="320"/>
    <col min="2817" max="2817" width="10.28515625" style="320" customWidth="1"/>
    <col min="2818" max="2818" width="8.7109375" style="320" customWidth="1"/>
    <col min="2819" max="2832" width="8.42578125" style="320" customWidth="1"/>
    <col min="2833" max="3072" width="8.85546875" style="320"/>
    <col min="3073" max="3073" width="10.28515625" style="320" customWidth="1"/>
    <col min="3074" max="3074" width="8.7109375" style="320" customWidth="1"/>
    <col min="3075" max="3088" width="8.42578125" style="320" customWidth="1"/>
    <col min="3089" max="3328" width="8.85546875" style="320"/>
    <col min="3329" max="3329" width="10.28515625" style="320" customWidth="1"/>
    <col min="3330" max="3330" width="8.7109375" style="320" customWidth="1"/>
    <col min="3331" max="3344" width="8.42578125" style="320" customWidth="1"/>
    <col min="3345" max="3584" width="8.85546875" style="320"/>
    <col min="3585" max="3585" width="10.28515625" style="320" customWidth="1"/>
    <col min="3586" max="3586" width="8.7109375" style="320" customWidth="1"/>
    <col min="3587" max="3600" width="8.42578125" style="320" customWidth="1"/>
    <col min="3601" max="3840" width="8.85546875" style="320"/>
    <col min="3841" max="3841" width="10.28515625" style="320" customWidth="1"/>
    <col min="3842" max="3842" width="8.7109375" style="320" customWidth="1"/>
    <col min="3843" max="3856" width="8.42578125" style="320" customWidth="1"/>
    <col min="3857" max="4096" width="8.85546875" style="320"/>
    <col min="4097" max="4097" width="10.28515625" style="320" customWidth="1"/>
    <col min="4098" max="4098" width="8.7109375" style="320" customWidth="1"/>
    <col min="4099" max="4112" width="8.42578125" style="320" customWidth="1"/>
    <col min="4113" max="4352" width="8.85546875" style="320"/>
    <col min="4353" max="4353" width="10.28515625" style="320" customWidth="1"/>
    <col min="4354" max="4354" width="8.7109375" style="320" customWidth="1"/>
    <col min="4355" max="4368" width="8.42578125" style="320" customWidth="1"/>
    <col min="4369" max="4608" width="8.85546875" style="320"/>
    <col min="4609" max="4609" width="10.28515625" style="320" customWidth="1"/>
    <col min="4610" max="4610" width="8.7109375" style="320" customWidth="1"/>
    <col min="4611" max="4624" width="8.42578125" style="320" customWidth="1"/>
    <col min="4625" max="4864" width="8.85546875" style="320"/>
    <col min="4865" max="4865" width="10.28515625" style="320" customWidth="1"/>
    <col min="4866" max="4866" width="8.7109375" style="320" customWidth="1"/>
    <col min="4867" max="4880" width="8.42578125" style="320" customWidth="1"/>
    <col min="4881" max="5120" width="8.85546875" style="320"/>
    <col min="5121" max="5121" width="10.28515625" style="320" customWidth="1"/>
    <col min="5122" max="5122" width="8.7109375" style="320" customWidth="1"/>
    <col min="5123" max="5136" width="8.42578125" style="320" customWidth="1"/>
    <col min="5137" max="5376" width="8.85546875" style="320"/>
    <col min="5377" max="5377" width="10.28515625" style="320" customWidth="1"/>
    <col min="5378" max="5378" width="8.7109375" style="320" customWidth="1"/>
    <col min="5379" max="5392" width="8.42578125" style="320" customWidth="1"/>
    <col min="5393" max="5632" width="8.85546875" style="320"/>
    <col min="5633" max="5633" width="10.28515625" style="320" customWidth="1"/>
    <col min="5634" max="5634" width="8.7109375" style="320" customWidth="1"/>
    <col min="5635" max="5648" width="8.42578125" style="320" customWidth="1"/>
    <col min="5649" max="5888" width="8.85546875" style="320"/>
    <col min="5889" max="5889" width="10.28515625" style="320" customWidth="1"/>
    <col min="5890" max="5890" width="8.7109375" style="320" customWidth="1"/>
    <col min="5891" max="5904" width="8.42578125" style="320" customWidth="1"/>
    <col min="5905" max="6144" width="8.85546875" style="320"/>
    <col min="6145" max="6145" width="10.28515625" style="320" customWidth="1"/>
    <col min="6146" max="6146" width="8.7109375" style="320" customWidth="1"/>
    <col min="6147" max="6160" width="8.42578125" style="320" customWidth="1"/>
    <col min="6161" max="6400" width="8.85546875" style="320"/>
    <col min="6401" max="6401" width="10.28515625" style="320" customWidth="1"/>
    <col min="6402" max="6402" width="8.7109375" style="320" customWidth="1"/>
    <col min="6403" max="6416" width="8.42578125" style="320" customWidth="1"/>
    <col min="6417" max="6656" width="8.85546875" style="320"/>
    <col min="6657" max="6657" width="10.28515625" style="320" customWidth="1"/>
    <col min="6658" max="6658" width="8.7109375" style="320" customWidth="1"/>
    <col min="6659" max="6672" width="8.42578125" style="320" customWidth="1"/>
    <col min="6673" max="6912" width="8.85546875" style="320"/>
    <col min="6913" max="6913" width="10.28515625" style="320" customWidth="1"/>
    <col min="6914" max="6914" width="8.7109375" style="320" customWidth="1"/>
    <col min="6915" max="6928" width="8.42578125" style="320" customWidth="1"/>
    <col min="6929" max="7168" width="8.85546875" style="320"/>
    <col min="7169" max="7169" width="10.28515625" style="320" customWidth="1"/>
    <col min="7170" max="7170" width="8.7109375" style="320" customWidth="1"/>
    <col min="7171" max="7184" width="8.42578125" style="320" customWidth="1"/>
    <col min="7185" max="7424" width="8.85546875" style="320"/>
    <col min="7425" max="7425" width="10.28515625" style="320" customWidth="1"/>
    <col min="7426" max="7426" width="8.7109375" style="320" customWidth="1"/>
    <col min="7427" max="7440" width="8.42578125" style="320" customWidth="1"/>
    <col min="7441" max="7680" width="8.85546875" style="320"/>
    <col min="7681" max="7681" width="10.28515625" style="320" customWidth="1"/>
    <col min="7682" max="7682" width="8.7109375" style="320" customWidth="1"/>
    <col min="7683" max="7696" width="8.42578125" style="320" customWidth="1"/>
    <col min="7697" max="7936" width="8.85546875" style="320"/>
    <col min="7937" max="7937" width="10.28515625" style="320" customWidth="1"/>
    <col min="7938" max="7938" width="8.7109375" style="320" customWidth="1"/>
    <col min="7939" max="7952" width="8.42578125" style="320" customWidth="1"/>
    <col min="7953" max="8192" width="8.85546875" style="320"/>
    <col min="8193" max="8193" width="10.28515625" style="320" customWidth="1"/>
    <col min="8194" max="8194" width="8.7109375" style="320" customWidth="1"/>
    <col min="8195" max="8208" width="8.42578125" style="320" customWidth="1"/>
    <col min="8209" max="8448" width="8.85546875" style="320"/>
    <col min="8449" max="8449" width="10.28515625" style="320" customWidth="1"/>
    <col min="8450" max="8450" width="8.7109375" style="320" customWidth="1"/>
    <col min="8451" max="8464" width="8.42578125" style="320" customWidth="1"/>
    <col min="8465" max="8704" width="8.85546875" style="320"/>
    <col min="8705" max="8705" width="10.28515625" style="320" customWidth="1"/>
    <col min="8706" max="8706" width="8.7109375" style="320" customWidth="1"/>
    <col min="8707" max="8720" width="8.42578125" style="320" customWidth="1"/>
    <col min="8721" max="8960" width="8.85546875" style="320"/>
    <col min="8961" max="8961" width="10.28515625" style="320" customWidth="1"/>
    <col min="8962" max="8962" width="8.7109375" style="320" customWidth="1"/>
    <col min="8963" max="8976" width="8.42578125" style="320" customWidth="1"/>
    <col min="8977" max="9216" width="8.85546875" style="320"/>
    <col min="9217" max="9217" width="10.28515625" style="320" customWidth="1"/>
    <col min="9218" max="9218" width="8.7109375" style="320" customWidth="1"/>
    <col min="9219" max="9232" width="8.42578125" style="320" customWidth="1"/>
    <col min="9233" max="9472" width="8.85546875" style="320"/>
    <col min="9473" max="9473" width="10.28515625" style="320" customWidth="1"/>
    <col min="9474" max="9474" width="8.7109375" style="320" customWidth="1"/>
    <col min="9475" max="9488" width="8.42578125" style="320" customWidth="1"/>
    <col min="9489" max="9728" width="8.85546875" style="320"/>
    <col min="9729" max="9729" width="10.28515625" style="320" customWidth="1"/>
    <col min="9730" max="9730" width="8.7109375" style="320" customWidth="1"/>
    <col min="9731" max="9744" width="8.42578125" style="320" customWidth="1"/>
    <col min="9745" max="9984" width="8.85546875" style="320"/>
    <col min="9985" max="9985" width="10.28515625" style="320" customWidth="1"/>
    <col min="9986" max="9986" width="8.7109375" style="320" customWidth="1"/>
    <col min="9987" max="10000" width="8.42578125" style="320" customWidth="1"/>
    <col min="10001" max="10240" width="8.85546875" style="320"/>
    <col min="10241" max="10241" width="10.28515625" style="320" customWidth="1"/>
    <col min="10242" max="10242" width="8.7109375" style="320" customWidth="1"/>
    <col min="10243" max="10256" width="8.42578125" style="320" customWidth="1"/>
    <col min="10257" max="10496" width="8.85546875" style="320"/>
    <col min="10497" max="10497" width="10.28515625" style="320" customWidth="1"/>
    <col min="10498" max="10498" width="8.7109375" style="320" customWidth="1"/>
    <col min="10499" max="10512" width="8.42578125" style="320" customWidth="1"/>
    <col min="10513" max="10752" width="8.85546875" style="320"/>
    <col min="10753" max="10753" width="10.28515625" style="320" customWidth="1"/>
    <col min="10754" max="10754" width="8.7109375" style="320" customWidth="1"/>
    <col min="10755" max="10768" width="8.42578125" style="320" customWidth="1"/>
    <col min="10769" max="11008" width="8.85546875" style="320"/>
    <col min="11009" max="11009" width="10.28515625" style="320" customWidth="1"/>
    <col min="11010" max="11010" width="8.7109375" style="320" customWidth="1"/>
    <col min="11011" max="11024" width="8.42578125" style="320" customWidth="1"/>
    <col min="11025" max="11264" width="8.85546875" style="320"/>
    <col min="11265" max="11265" width="10.28515625" style="320" customWidth="1"/>
    <col min="11266" max="11266" width="8.7109375" style="320" customWidth="1"/>
    <col min="11267" max="11280" width="8.42578125" style="320" customWidth="1"/>
    <col min="11281" max="11520" width="8.85546875" style="320"/>
    <col min="11521" max="11521" width="10.28515625" style="320" customWidth="1"/>
    <col min="11522" max="11522" width="8.7109375" style="320" customWidth="1"/>
    <col min="11523" max="11536" width="8.42578125" style="320" customWidth="1"/>
    <col min="11537" max="11776" width="8.85546875" style="320"/>
    <col min="11777" max="11777" width="10.28515625" style="320" customWidth="1"/>
    <col min="11778" max="11778" width="8.7109375" style="320" customWidth="1"/>
    <col min="11779" max="11792" width="8.42578125" style="320" customWidth="1"/>
    <col min="11793" max="12032" width="8.85546875" style="320"/>
    <col min="12033" max="12033" width="10.28515625" style="320" customWidth="1"/>
    <col min="12034" max="12034" width="8.7109375" style="320" customWidth="1"/>
    <col min="12035" max="12048" width="8.42578125" style="320" customWidth="1"/>
    <col min="12049" max="12288" width="8.85546875" style="320"/>
    <col min="12289" max="12289" width="10.28515625" style="320" customWidth="1"/>
    <col min="12290" max="12290" width="8.7109375" style="320" customWidth="1"/>
    <col min="12291" max="12304" width="8.42578125" style="320" customWidth="1"/>
    <col min="12305" max="12544" width="8.85546875" style="320"/>
    <col min="12545" max="12545" width="10.28515625" style="320" customWidth="1"/>
    <col min="12546" max="12546" width="8.7109375" style="320" customWidth="1"/>
    <col min="12547" max="12560" width="8.42578125" style="320" customWidth="1"/>
    <col min="12561" max="12800" width="8.85546875" style="320"/>
    <col min="12801" max="12801" width="10.28515625" style="320" customWidth="1"/>
    <col min="12802" max="12802" width="8.7109375" style="320" customWidth="1"/>
    <col min="12803" max="12816" width="8.42578125" style="320" customWidth="1"/>
    <col min="12817" max="13056" width="8.85546875" style="320"/>
    <col min="13057" max="13057" width="10.28515625" style="320" customWidth="1"/>
    <col min="13058" max="13058" width="8.7109375" style="320" customWidth="1"/>
    <col min="13059" max="13072" width="8.42578125" style="320" customWidth="1"/>
    <col min="13073" max="13312" width="8.85546875" style="320"/>
    <col min="13313" max="13313" width="10.28515625" style="320" customWidth="1"/>
    <col min="13314" max="13314" width="8.7109375" style="320" customWidth="1"/>
    <col min="13315" max="13328" width="8.42578125" style="320" customWidth="1"/>
    <col min="13329" max="13568" width="8.85546875" style="320"/>
    <col min="13569" max="13569" width="10.28515625" style="320" customWidth="1"/>
    <col min="13570" max="13570" width="8.7109375" style="320" customWidth="1"/>
    <col min="13571" max="13584" width="8.42578125" style="320" customWidth="1"/>
    <col min="13585" max="13824" width="8.85546875" style="320"/>
    <col min="13825" max="13825" width="10.28515625" style="320" customWidth="1"/>
    <col min="13826" max="13826" width="8.7109375" style="320" customWidth="1"/>
    <col min="13827" max="13840" width="8.42578125" style="320" customWidth="1"/>
    <col min="13841" max="14080" width="8.85546875" style="320"/>
    <col min="14081" max="14081" width="10.28515625" style="320" customWidth="1"/>
    <col min="14082" max="14082" width="8.7109375" style="320" customWidth="1"/>
    <col min="14083" max="14096" width="8.42578125" style="320" customWidth="1"/>
    <col min="14097" max="14336" width="8.85546875" style="320"/>
    <col min="14337" max="14337" width="10.28515625" style="320" customWidth="1"/>
    <col min="14338" max="14338" width="8.7109375" style="320" customWidth="1"/>
    <col min="14339" max="14352" width="8.42578125" style="320" customWidth="1"/>
    <col min="14353" max="14592" width="8.85546875" style="320"/>
    <col min="14593" max="14593" width="10.28515625" style="320" customWidth="1"/>
    <col min="14594" max="14594" width="8.7109375" style="320" customWidth="1"/>
    <col min="14595" max="14608" width="8.42578125" style="320" customWidth="1"/>
    <col min="14609" max="14848" width="8.85546875" style="320"/>
    <col min="14849" max="14849" width="10.28515625" style="320" customWidth="1"/>
    <col min="14850" max="14850" width="8.7109375" style="320" customWidth="1"/>
    <col min="14851" max="14864" width="8.42578125" style="320" customWidth="1"/>
    <col min="14865" max="15104" width="8.85546875" style="320"/>
    <col min="15105" max="15105" width="10.28515625" style="320" customWidth="1"/>
    <col min="15106" max="15106" width="8.7109375" style="320" customWidth="1"/>
    <col min="15107" max="15120" width="8.42578125" style="320" customWidth="1"/>
    <col min="15121" max="15360" width="8.85546875" style="320"/>
    <col min="15361" max="15361" width="10.28515625" style="320" customWidth="1"/>
    <col min="15362" max="15362" width="8.7109375" style="320" customWidth="1"/>
    <col min="15363" max="15376" width="8.42578125" style="320" customWidth="1"/>
    <col min="15377" max="15616" width="8.85546875" style="320"/>
    <col min="15617" max="15617" width="10.28515625" style="320" customWidth="1"/>
    <col min="15618" max="15618" width="8.7109375" style="320" customWidth="1"/>
    <col min="15619" max="15632" width="8.42578125" style="320" customWidth="1"/>
    <col min="15633" max="15872" width="8.85546875" style="320"/>
    <col min="15873" max="15873" width="10.28515625" style="320" customWidth="1"/>
    <col min="15874" max="15874" width="8.7109375" style="320" customWidth="1"/>
    <col min="15875" max="15888" width="8.42578125" style="320" customWidth="1"/>
    <col min="15889" max="16128" width="8.85546875" style="320"/>
    <col min="16129" max="16129" width="10.28515625" style="320" customWidth="1"/>
    <col min="16130" max="16130" width="8.7109375" style="320" customWidth="1"/>
    <col min="16131" max="16144" width="8.42578125" style="320" customWidth="1"/>
    <col min="16145" max="16384" width="8.85546875" style="320"/>
  </cols>
  <sheetData>
    <row r="1" spans="1:16" s="297" customFormat="1" ht="22.5" customHeight="1" x14ac:dyDescent="0.3">
      <c r="A1" s="460" t="s">
        <v>573</v>
      </c>
      <c r="B1" s="460"/>
      <c r="C1" s="460"/>
      <c r="D1" s="460"/>
      <c r="E1" s="460"/>
      <c r="F1" s="460"/>
      <c r="G1" s="460"/>
      <c r="H1" s="460"/>
      <c r="I1" s="460"/>
      <c r="J1" s="460"/>
      <c r="K1" s="460"/>
      <c r="L1" s="460"/>
      <c r="M1" s="460"/>
      <c r="N1" s="460"/>
      <c r="O1" s="460"/>
      <c r="P1" s="460"/>
    </row>
    <row r="2" spans="1:16" s="297" customFormat="1" ht="18" customHeight="1" x14ac:dyDescent="0.3">
      <c r="A2" s="461" t="s">
        <v>574</v>
      </c>
      <c r="B2" s="461"/>
      <c r="C2" s="461"/>
      <c r="D2" s="461"/>
      <c r="E2" s="461"/>
      <c r="F2" s="461"/>
      <c r="G2" s="461"/>
      <c r="H2" s="461"/>
      <c r="I2" s="461"/>
      <c r="J2" s="461"/>
      <c r="K2" s="461"/>
      <c r="L2" s="461"/>
      <c r="M2" s="461"/>
      <c r="N2" s="461"/>
      <c r="O2" s="461"/>
      <c r="P2" s="461"/>
    </row>
    <row r="3" spans="1:16" s="298" customFormat="1" ht="21" customHeight="1" x14ac:dyDescent="0.25">
      <c r="A3" s="462" t="s">
        <v>270</v>
      </c>
      <c r="B3" s="462"/>
      <c r="C3" s="462"/>
      <c r="D3" s="462"/>
      <c r="E3" s="462"/>
      <c r="F3" s="462"/>
      <c r="G3" s="462"/>
      <c r="H3" s="462"/>
      <c r="I3" s="462"/>
      <c r="J3" s="462"/>
      <c r="K3" s="462"/>
      <c r="L3" s="462"/>
      <c r="M3" s="462"/>
      <c r="N3" s="462"/>
      <c r="O3" s="462"/>
      <c r="P3" s="462"/>
    </row>
    <row r="4" spans="1:16" s="300" customFormat="1" ht="17.25" customHeight="1" x14ac:dyDescent="0.25">
      <c r="A4" s="299"/>
      <c r="B4" s="463" t="s">
        <v>271</v>
      </c>
      <c r="C4" s="463"/>
      <c r="D4" s="463"/>
      <c r="E4" s="463" t="s">
        <v>20</v>
      </c>
      <c r="F4" s="463"/>
      <c r="G4" s="463"/>
      <c r="H4" s="463" t="s">
        <v>21</v>
      </c>
      <c r="I4" s="463"/>
      <c r="J4" s="463"/>
      <c r="K4" s="463" t="s">
        <v>22</v>
      </c>
      <c r="L4" s="463"/>
      <c r="M4" s="463"/>
      <c r="N4" s="463" t="s">
        <v>23</v>
      </c>
      <c r="O4" s="463"/>
      <c r="P4" s="463"/>
    </row>
    <row r="5" spans="1:16" s="300" customFormat="1" ht="18.75" customHeight="1" x14ac:dyDescent="0.25">
      <c r="A5" s="301"/>
      <c r="B5" s="302" t="s">
        <v>575</v>
      </c>
      <c r="C5" s="302" t="s">
        <v>273</v>
      </c>
      <c r="D5" s="302" t="s">
        <v>274</v>
      </c>
      <c r="E5" s="302" t="s">
        <v>575</v>
      </c>
      <c r="F5" s="302" t="s">
        <v>273</v>
      </c>
      <c r="G5" s="302" t="s">
        <v>274</v>
      </c>
      <c r="H5" s="302" t="s">
        <v>575</v>
      </c>
      <c r="I5" s="302" t="s">
        <v>273</v>
      </c>
      <c r="J5" s="302" t="s">
        <v>274</v>
      </c>
      <c r="K5" s="302" t="s">
        <v>575</v>
      </c>
      <c r="L5" s="302" t="s">
        <v>273</v>
      </c>
      <c r="M5" s="302" t="s">
        <v>274</v>
      </c>
      <c r="N5" s="302" t="s">
        <v>575</v>
      </c>
      <c r="O5" s="302" t="s">
        <v>273</v>
      </c>
      <c r="P5" s="302" t="s">
        <v>274</v>
      </c>
    </row>
    <row r="6" spans="1:16" s="300" customFormat="1" ht="15" customHeight="1" x14ac:dyDescent="0.25">
      <c r="A6" s="301"/>
      <c r="B6" s="302"/>
      <c r="C6" s="302"/>
      <c r="D6" s="302"/>
      <c r="E6" s="302"/>
      <c r="F6" s="302"/>
      <c r="G6" s="302"/>
      <c r="H6" s="302"/>
      <c r="I6" s="302"/>
      <c r="J6" s="302"/>
      <c r="K6" s="302"/>
      <c r="L6" s="302"/>
      <c r="M6" s="302"/>
      <c r="N6" s="302"/>
      <c r="O6" s="302"/>
      <c r="P6" s="302"/>
    </row>
    <row r="7" spans="1:16" s="300" customFormat="1" ht="15" customHeight="1" x14ac:dyDescent="0.25">
      <c r="A7" s="303" t="s">
        <v>576</v>
      </c>
    </row>
    <row r="8" spans="1:16" s="300" customFormat="1" ht="10.5" customHeight="1" x14ac:dyDescent="0.25">
      <c r="A8" s="299"/>
      <c r="B8" s="302"/>
      <c r="C8" s="302"/>
      <c r="D8" s="302"/>
      <c r="E8" s="302"/>
      <c r="F8" s="302"/>
      <c r="G8" s="302"/>
      <c r="H8" s="302"/>
      <c r="I8" s="302"/>
      <c r="J8" s="302"/>
      <c r="K8" s="302"/>
      <c r="L8" s="302"/>
      <c r="M8" s="302"/>
      <c r="N8" s="302"/>
      <c r="O8" s="302"/>
      <c r="P8" s="302"/>
    </row>
    <row r="9" spans="1:16" s="300" customFormat="1" ht="15" customHeight="1" x14ac:dyDescent="0.25">
      <c r="A9" s="304" t="s">
        <v>91</v>
      </c>
      <c r="B9" s="305">
        <v>52.1</v>
      </c>
      <c r="C9" s="306">
        <v>23.1</v>
      </c>
      <c r="D9" s="306">
        <v>28.3</v>
      </c>
      <c r="E9" s="306">
        <v>3.8</v>
      </c>
      <c r="F9" s="306">
        <v>1.6</v>
      </c>
      <c r="G9" s="306">
        <v>2.2000000000000002</v>
      </c>
      <c r="H9" s="306">
        <v>7.8</v>
      </c>
      <c r="I9" s="306">
        <v>4.3</v>
      </c>
      <c r="J9" s="305">
        <v>3.5</v>
      </c>
      <c r="K9" s="306">
        <v>33.799999999999997</v>
      </c>
      <c r="L9" s="305">
        <v>15</v>
      </c>
      <c r="M9" s="305">
        <v>18.399999999999999</v>
      </c>
      <c r="N9" s="305">
        <v>6.6</v>
      </c>
      <c r="O9" s="305">
        <v>2.1</v>
      </c>
      <c r="P9" s="305">
        <v>4.2</v>
      </c>
    </row>
    <row r="10" spans="1:16" s="300" customFormat="1" ht="10.5" customHeight="1" x14ac:dyDescent="0.25">
      <c r="A10" s="299"/>
      <c r="B10" s="302"/>
      <c r="C10" s="302"/>
      <c r="D10" s="302"/>
      <c r="E10" s="302"/>
      <c r="F10" s="302"/>
      <c r="G10" s="302"/>
      <c r="H10" s="302"/>
      <c r="I10" s="302"/>
      <c r="J10" s="302"/>
      <c r="K10" s="302"/>
      <c r="L10" s="302"/>
      <c r="M10" s="302"/>
      <c r="N10" s="302"/>
      <c r="O10" s="302"/>
      <c r="P10" s="302"/>
    </row>
    <row r="11" spans="1:16" s="300" customFormat="1" ht="15" customHeight="1" x14ac:dyDescent="0.25">
      <c r="A11" s="299" t="s">
        <v>289</v>
      </c>
      <c r="B11" s="307">
        <v>3.1</v>
      </c>
      <c r="C11" s="307">
        <v>1.3</v>
      </c>
      <c r="D11" s="307">
        <v>1.7</v>
      </c>
      <c r="E11" s="307">
        <v>0.2</v>
      </c>
      <c r="F11" s="307">
        <v>0.1</v>
      </c>
      <c r="G11" s="307">
        <v>0.1</v>
      </c>
      <c r="H11" s="307">
        <v>0.5</v>
      </c>
      <c r="I11" s="307">
        <v>0.3</v>
      </c>
      <c r="J11" s="307">
        <v>0.2</v>
      </c>
      <c r="K11" s="307">
        <v>2.1</v>
      </c>
      <c r="L11" s="307">
        <v>0.9</v>
      </c>
      <c r="M11" s="307">
        <v>1.2</v>
      </c>
      <c r="N11" s="307">
        <v>0.3</v>
      </c>
      <c r="O11" s="307">
        <v>0.1</v>
      </c>
      <c r="P11" s="307">
        <v>0.2</v>
      </c>
    </row>
    <row r="12" spans="1:16" s="300" customFormat="1" ht="15" customHeight="1" x14ac:dyDescent="0.25">
      <c r="A12" s="299" t="s">
        <v>290</v>
      </c>
      <c r="B12" s="307">
        <v>3.3</v>
      </c>
      <c r="C12" s="307">
        <v>1.3</v>
      </c>
      <c r="D12" s="307">
        <v>2</v>
      </c>
      <c r="E12" s="307">
        <v>0.2</v>
      </c>
      <c r="F12" s="307">
        <v>0.1</v>
      </c>
      <c r="G12" s="307">
        <v>0.1</v>
      </c>
      <c r="H12" s="307">
        <v>0.4</v>
      </c>
      <c r="I12" s="307">
        <v>0.2</v>
      </c>
      <c r="J12" s="307">
        <v>0.2</v>
      </c>
      <c r="K12" s="307">
        <v>2.2999999999999998</v>
      </c>
      <c r="L12" s="307">
        <v>0.8</v>
      </c>
      <c r="M12" s="307">
        <v>1.4</v>
      </c>
      <c r="N12" s="307">
        <v>0.5</v>
      </c>
      <c r="O12" s="307">
        <v>0.2</v>
      </c>
      <c r="P12" s="307">
        <v>0.3</v>
      </c>
    </row>
    <row r="13" spans="1:16" s="300" customFormat="1" ht="15" customHeight="1" x14ac:dyDescent="0.25">
      <c r="A13" s="299" t="s">
        <v>291</v>
      </c>
      <c r="B13" s="307">
        <v>4.5</v>
      </c>
      <c r="C13" s="307">
        <v>2.2999999999999998</v>
      </c>
      <c r="D13" s="307">
        <v>2.2000000000000002</v>
      </c>
      <c r="E13" s="307">
        <v>0.2</v>
      </c>
      <c r="F13" s="307">
        <v>0.1</v>
      </c>
      <c r="G13" s="307">
        <v>0.1</v>
      </c>
      <c r="H13" s="300">
        <v>0.6</v>
      </c>
      <c r="I13" s="307">
        <v>0.3</v>
      </c>
      <c r="J13" s="307">
        <v>0.3</v>
      </c>
      <c r="K13" s="307">
        <v>3.3</v>
      </c>
      <c r="L13" s="307">
        <v>1.8</v>
      </c>
      <c r="M13" s="307">
        <v>1.5</v>
      </c>
      <c r="N13" s="307">
        <v>0.4</v>
      </c>
      <c r="O13" s="307">
        <v>0.2</v>
      </c>
      <c r="P13" s="307">
        <v>0.2</v>
      </c>
    </row>
    <row r="14" spans="1:16" s="300" customFormat="1" ht="15" customHeight="1" x14ac:dyDescent="0.25">
      <c r="A14" s="299" t="s">
        <v>292</v>
      </c>
      <c r="B14" s="307">
        <v>4.3</v>
      </c>
      <c r="C14" s="307">
        <v>1.9</v>
      </c>
      <c r="D14" s="307">
        <v>2.2999999999999998</v>
      </c>
      <c r="E14" s="307">
        <v>0.3</v>
      </c>
      <c r="F14" s="307">
        <v>0.1</v>
      </c>
      <c r="G14" s="307">
        <v>0.2</v>
      </c>
      <c r="H14" s="307">
        <v>0.5</v>
      </c>
      <c r="I14" s="307">
        <v>0.3</v>
      </c>
      <c r="J14" s="307">
        <v>0.2</v>
      </c>
      <c r="K14" s="307">
        <v>2.9</v>
      </c>
      <c r="L14" s="307">
        <v>1.2</v>
      </c>
      <c r="M14" s="307">
        <v>1.7</v>
      </c>
      <c r="N14" s="307">
        <v>0.6</v>
      </c>
      <c r="O14" s="307">
        <v>0.2</v>
      </c>
      <c r="P14" s="307">
        <v>0.3</v>
      </c>
    </row>
    <row r="15" spans="1:16" s="300" customFormat="1" ht="15" customHeight="1" x14ac:dyDescent="0.25">
      <c r="A15" s="299" t="s">
        <v>293</v>
      </c>
      <c r="B15" s="307">
        <v>5.0999999999999996</v>
      </c>
      <c r="C15" s="307">
        <v>2.4</v>
      </c>
      <c r="D15" s="307">
        <v>2.6</v>
      </c>
      <c r="E15" s="307">
        <v>0.3</v>
      </c>
      <c r="F15" s="307">
        <v>0.2</v>
      </c>
      <c r="G15" s="307">
        <v>0.2</v>
      </c>
      <c r="H15" s="307">
        <v>0.9</v>
      </c>
      <c r="I15" s="307">
        <v>0.5</v>
      </c>
      <c r="J15" s="307">
        <v>0.4</v>
      </c>
      <c r="K15" s="307">
        <v>3.2</v>
      </c>
      <c r="L15" s="307">
        <v>1.5</v>
      </c>
      <c r="M15" s="307">
        <v>1.7</v>
      </c>
      <c r="N15" s="307">
        <v>0.7</v>
      </c>
      <c r="O15" s="307">
        <v>0.2</v>
      </c>
      <c r="P15" s="307">
        <v>0.4</v>
      </c>
    </row>
    <row r="16" spans="1:16" s="300" customFormat="1" ht="15" customHeight="1" x14ac:dyDescent="0.25">
      <c r="A16" s="299" t="s">
        <v>282</v>
      </c>
      <c r="B16" s="307">
        <v>5</v>
      </c>
      <c r="C16" s="307">
        <v>2.2000000000000002</v>
      </c>
      <c r="D16" s="307">
        <v>2.6</v>
      </c>
      <c r="E16" s="307">
        <v>0.5</v>
      </c>
      <c r="F16" s="307">
        <v>0.2</v>
      </c>
      <c r="G16" s="307">
        <v>0.3</v>
      </c>
      <c r="H16" s="307">
        <v>0.8</v>
      </c>
      <c r="I16" s="307">
        <v>0.4</v>
      </c>
      <c r="J16" s="307">
        <v>0.3</v>
      </c>
      <c r="K16" s="307">
        <v>3</v>
      </c>
      <c r="L16" s="307">
        <v>1.3</v>
      </c>
      <c r="M16" s="307">
        <v>1.7</v>
      </c>
      <c r="N16" s="307">
        <v>0.7</v>
      </c>
      <c r="O16" s="307">
        <v>0.3</v>
      </c>
      <c r="P16" s="307">
        <v>0.4</v>
      </c>
    </row>
    <row r="17" spans="1:16" s="300" customFormat="1" ht="15" customHeight="1" x14ac:dyDescent="0.25">
      <c r="A17" s="299" t="s">
        <v>283</v>
      </c>
      <c r="B17" s="307">
        <v>4</v>
      </c>
      <c r="C17" s="307">
        <v>1.7</v>
      </c>
      <c r="D17" s="307">
        <v>2.2000000000000002</v>
      </c>
      <c r="E17" s="307">
        <v>0.3</v>
      </c>
      <c r="F17" s="307">
        <v>0.1</v>
      </c>
      <c r="G17" s="307">
        <v>0.2</v>
      </c>
      <c r="H17" s="307">
        <v>0.7</v>
      </c>
      <c r="I17" s="307">
        <v>0.4</v>
      </c>
      <c r="J17" s="307">
        <v>0.3</v>
      </c>
      <c r="K17" s="307">
        <v>2.4</v>
      </c>
      <c r="L17" s="307">
        <v>0.9</v>
      </c>
      <c r="M17" s="307">
        <v>1.4</v>
      </c>
      <c r="N17" s="307">
        <v>0.6</v>
      </c>
      <c r="O17" s="307">
        <v>0.2</v>
      </c>
      <c r="P17" s="307">
        <v>0.4</v>
      </c>
    </row>
    <row r="18" spans="1:16" s="300" customFormat="1" ht="15" customHeight="1" x14ac:dyDescent="0.25">
      <c r="A18" s="299" t="s">
        <v>284</v>
      </c>
      <c r="B18" s="307">
        <v>5.2</v>
      </c>
      <c r="C18" s="307">
        <v>2.2000000000000002</v>
      </c>
      <c r="D18" s="307">
        <v>2.9</v>
      </c>
      <c r="E18" s="307">
        <v>0.4</v>
      </c>
      <c r="F18" s="307">
        <v>0.2</v>
      </c>
      <c r="G18" s="308">
        <v>0.2</v>
      </c>
      <c r="H18" s="307">
        <v>0.9</v>
      </c>
      <c r="I18" s="307">
        <v>0.4</v>
      </c>
      <c r="J18" s="307">
        <v>0.4</v>
      </c>
      <c r="K18" s="307">
        <v>3.3</v>
      </c>
      <c r="L18" s="307">
        <v>1.4</v>
      </c>
      <c r="M18" s="307">
        <v>1.8</v>
      </c>
      <c r="N18" s="307">
        <v>0.7</v>
      </c>
      <c r="O18" s="307">
        <v>0.2</v>
      </c>
      <c r="P18" s="307">
        <v>0.4</v>
      </c>
    </row>
    <row r="19" spans="1:16" s="300" customFormat="1" ht="15" customHeight="1" x14ac:dyDescent="0.25">
      <c r="A19" s="299" t="s">
        <v>294</v>
      </c>
      <c r="B19" s="307">
        <v>4.4000000000000004</v>
      </c>
      <c r="C19" s="307">
        <v>1.7</v>
      </c>
      <c r="D19" s="307">
        <v>2.6</v>
      </c>
      <c r="E19" s="307">
        <v>0.4</v>
      </c>
      <c r="F19" s="307">
        <v>0.1</v>
      </c>
      <c r="G19" s="307">
        <v>0.3</v>
      </c>
      <c r="H19" s="307">
        <v>0.7</v>
      </c>
      <c r="I19" s="307">
        <v>0.3</v>
      </c>
      <c r="J19" s="307">
        <v>0.3</v>
      </c>
      <c r="K19" s="307">
        <v>2.7</v>
      </c>
      <c r="L19" s="307">
        <v>1.2</v>
      </c>
      <c r="M19" s="307">
        <v>1.5</v>
      </c>
      <c r="N19" s="307">
        <v>0.6</v>
      </c>
      <c r="O19" s="307">
        <v>0.1</v>
      </c>
      <c r="P19" s="307">
        <v>0.5</v>
      </c>
    </row>
    <row r="20" spans="1:16" s="300" customFormat="1" ht="15" customHeight="1" x14ac:dyDescent="0.25">
      <c r="A20" s="299" t="s">
        <v>295</v>
      </c>
      <c r="B20" s="307">
        <v>4.5999999999999996</v>
      </c>
      <c r="C20" s="307">
        <v>2</v>
      </c>
      <c r="D20" s="307">
        <v>2.6</v>
      </c>
      <c r="E20" s="307">
        <v>0.4</v>
      </c>
      <c r="F20" s="307">
        <v>0.1</v>
      </c>
      <c r="G20" s="307">
        <v>0.2</v>
      </c>
      <c r="H20" s="307">
        <v>0.8</v>
      </c>
      <c r="I20" s="307">
        <v>0.5</v>
      </c>
      <c r="J20" s="307">
        <v>0.3</v>
      </c>
      <c r="K20" s="307">
        <v>2.9</v>
      </c>
      <c r="L20" s="307">
        <v>1.2</v>
      </c>
      <c r="M20" s="307">
        <v>1.7</v>
      </c>
      <c r="N20" s="307">
        <v>0.5</v>
      </c>
      <c r="O20" s="307">
        <v>0.1</v>
      </c>
      <c r="P20" s="307">
        <v>0.4</v>
      </c>
    </row>
    <row r="21" spans="1:16" s="300" customFormat="1" ht="15" customHeight="1" x14ac:dyDescent="0.25">
      <c r="A21" s="299" t="s">
        <v>296</v>
      </c>
      <c r="B21" s="307">
        <v>4.7</v>
      </c>
      <c r="C21" s="307">
        <v>2.2000000000000002</v>
      </c>
      <c r="D21" s="307">
        <v>2.5</v>
      </c>
      <c r="E21" s="307">
        <v>0.4</v>
      </c>
      <c r="F21" s="307">
        <v>0.2</v>
      </c>
      <c r="G21" s="307">
        <v>0.2</v>
      </c>
      <c r="H21" s="307">
        <v>0.6</v>
      </c>
      <c r="I21" s="307">
        <v>0.3</v>
      </c>
      <c r="J21" s="307">
        <v>0.3</v>
      </c>
      <c r="K21" s="307">
        <v>3.2</v>
      </c>
      <c r="L21" s="307">
        <v>1.5</v>
      </c>
      <c r="M21" s="307">
        <v>1.7</v>
      </c>
      <c r="N21" s="307">
        <v>0.5</v>
      </c>
      <c r="O21" s="307">
        <v>0.2</v>
      </c>
      <c r="P21" s="307">
        <v>0.3</v>
      </c>
    </row>
    <row r="22" spans="1:16" s="300" customFormat="1" ht="15" customHeight="1" x14ac:dyDescent="0.25">
      <c r="A22" s="299" t="s">
        <v>297</v>
      </c>
      <c r="B22" s="307">
        <v>3.9</v>
      </c>
      <c r="C22" s="307">
        <v>1.8</v>
      </c>
      <c r="D22" s="307">
        <v>2</v>
      </c>
      <c r="E22" s="307">
        <v>0.3</v>
      </c>
      <c r="F22" s="307">
        <v>0.1</v>
      </c>
      <c r="G22" s="307">
        <v>0.2</v>
      </c>
      <c r="H22" s="307">
        <v>0.6</v>
      </c>
      <c r="I22" s="307">
        <v>0.4</v>
      </c>
      <c r="J22" s="307">
        <v>0.2</v>
      </c>
      <c r="K22" s="307">
        <v>2.4</v>
      </c>
      <c r="L22" s="307">
        <v>1.2</v>
      </c>
      <c r="M22" s="307">
        <v>1.2</v>
      </c>
      <c r="N22" s="307">
        <v>0.6</v>
      </c>
      <c r="O22" s="307">
        <v>0.2</v>
      </c>
      <c r="P22" s="307">
        <v>0.4</v>
      </c>
    </row>
    <row r="23" spans="1:16" s="300" customFormat="1" ht="15" customHeight="1" x14ac:dyDescent="0.25">
      <c r="A23" s="299"/>
      <c r="B23" s="307"/>
      <c r="C23" s="307"/>
      <c r="D23" s="307"/>
      <c r="E23" s="307"/>
      <c r="F23" s="307"/>
      <c r="G23" s="307"/>
      <c r="H23" s="307"/>
      <c r="I23" s="307"/>
      <c r="J23" s="307"/>
      <c r="K23" s="307"/>
      <c r="L23" s="307"/>
      <c r="M23" s="307"/>
      <c r="N23" s="307"/>
      <c r="O23" s="307"/>
      <c r="P23" s="307"/>
    </row>
    <row r="24" spans="1:16" s="300" customFormat="1" ht="15" customHeight="1" x14ac:dyDescent="0.25">
      <c r="A24" s="301"/>
      <c r="B24" s="302"/>
      <c r="C24" s="302"/>
      <c r="D24" s="302"/>
      <c r="E24" s="302"/>
      <c r="F24" s="302"/>
      <c r="G24" s="302"/>
      <c r="H24" s="302"/>
      <c r="I24" s="302"/>
      <c r="J24" s="302"/>
      <c r="K24" s="302"/>
      <c r="L24" s="302"/>
      <c r="M24" s="302"/>
      <c r="N24" s="302"/>
      <c r="O24" s="302"/>
      <c r="P24" s="302"/>
    </row>
    <row r="25" spans="1:16" s="300" customFormat="1" ht="15" customHeight="1" x14ac:dyDescent="0.25">
      <c r="A25" s="303" t="s">
        <v>577</v>
      </c>
    </row>
    <row r="26" spans="1:16" s="300" customFormat="1" ht="10.5" customHeight="1" x14ac:dyDescent="0.25">
      <c r="A26" s="299"/>
      <c r="B26" s="302"/>
      <c r="C26" s="302"/>
      <c r="D26" s="302"/>
      <c r="E26" s="302"/>
      <c r="F26" s="302"/>
      <c r="G26" s="302"/>
      <c r="H26" s="302"/>
      <c r="I26" s="302"/>
      <c r="J26" s="302"/>
      <c r="K26" s="302"/>
      <c r="L26" s="302"/>
      <c r="M26" s="302"/>
      <c r="N26" s="302"/>
      <c r="O26" s="302"/>
      <c r="P26" s="302"/>
    </row>
    <row r="27" spans="1:16" s="300" customFormat="1" ht="15" customHeight="1" x14ac:dyDescent="0.25">
      <c r="A27" s="304" t="s">
        <v>91</v>
      </c>
      <c r="B27" s="305">
        <v>47.6</v>
      </c>
      <c r="C27" s="306">
        <v>20.9</v>
      </c>
      <c r="D27" s="306">
        <v>26.1</v>
      </c>
      <c r="E27" s="306">
        <v>3.3</v>
      </c>
      <c r="F27" s="306">
        <v>1.5</v>
      </c>
      <c r="G27" s="306">
        <v>1.9</v>
      </c>
      <c r="H27" s="306">
        <v>6.3</v>
      </c>
      <c r="I27" s="306">
        <v>3.2</v>
      </c>
      <c r="J27" s="305">
        <v>3</v>
      </c>
      <c r="K27" s="306">
        <v>31.5</v>
      </c>
      <c r="L27" s="305">
        <v>14</v>
      </c>
      <c r="M27" s="305">
        <v>17.100000000000001</v>
      </c>
      <c r="N27" s="305">
        <v>6.5</v>
      </c>
      <c r="O27" s="305">
        <v>2.2000000000000002</v>
      </c>
      <c r="P27" s="305">
        <v>4</v>
      </c>
    </row>
    <row r="28" spans="1:16" s="300" customFormat="1" ht="10.5" customHeight="1" x14ac:dyDescent="0.25">
      <c r="A28" s="299"/>
      <c r="B28" s="309"/>
      <c r="C28" s="309"/>
      <c r="D28" s="309"/>
      <c r="E28" s="309"/>
      <c r="F28" s="309"/>
      <c r="G28" s="309"/>
      <c r="H28" s="309"/>
      <c r="I28" s="309"/>
      <c r="J28" s="309"/>
      <c r="K28" s="309"/>
      <c r="L28" s="309"/>
      <c r="M28" s="309"/>
      <c r="N28" s="309"/>
      <c r="O28" s="309"/>
      <c r="P28" s="309"/>
    </row>
    <row r="29" spans="1:16" s="300" customFormat="1" ht="15" customHeight="1" x14ac:dyDescent="0.25">
      <c r="A29" s="299" t="s">
        <v>289</v>
      </c>
      <c r="B29" s="307">
        <v>2.2999999999999998</v>
      </c>
      <c r="C29" s="307">
        <v>0.9</v>
      </c>
      <c r="D29" s="307">
        <v>1.4</v>
      </c>
      <c r="E29" s="307">
        <v>0.1</v>
      </c>
      <c r="F29" s="307">
        <v>0.1</v>
      </c>
      <c r="G29" s="307">
        <v>0.1</v>
      </c>
      <c r="H29" s="307">
        <v>0.2</v>
      </c>
      <c r="I29" s="307">
        <v>0.1</v>
      </c>
      <c r="J29" s="307">
        <v>0.1</v>
      </c>
      <c r="K29" s="307">
        <v>1.4</v>
      </c>
      <c r="L29" s="307">
        <v>0.6</v>
      </c>
      <c r="M29" s="307">
        <v>0.9</v>
      </c>
      <c r="N29" s="307">
        <v>0.5</v>
      </c>
      <c r="O29" s="307">
        <v>0.1</v>
      </c>
      <c r="P29" s="307">
        <v>0.3</v>
      </c>
    </row>
    <row r="30" spans="1:16" s="300" customFormat="1" ht="15" customHeight="1" x14ac:dyDescent="0.25">
      <c r="A30" s="299" t="s">
        <v>290</v>
      </c>
      <c r="B30" s="307">
        <v>2.8</v>
      </c>
      <c r="C30" s="307">
        <v>1.3</v>
      </c>
      <c r="D30" s="307">
        <v>1.4</v>
      </c>
      <c r="E30" s="307">
        <v>0.1</v>
      </c>
      <c r="F30" s="307" t="s">
        <v>330</v>
      </c>
      <c r="G30" s="307">
        <v>0.1</v>
      </c>
      <c r="H30" s="307">
        <v>0.2</v>
      </c>
      <c r="I30" s="307">
        <v>0.1</v>
      </c>
      <c r="J30" s="307">
        <v>0.1</v>
      </c>
      <c r="K30" s="307">
        <v>2.2000000000000002</v>
      </c>
      <c r="L30" s="307">
        <v>1.1000000000000001</v>
      </c>
      <c r="M30" s="307">
        <v>1</v>
      </c>
      <c r="N30" s="307">
        <v>0.4</v>
      </c>
      <c r="O30" s="307">
        <v>0.1</v>
      </c>
      <c r="P30" s="307">
        <v>0.2</v>
      </c>
    </row>
    <row r="31" spans="1:16" s="300" customFormat="1" ht="15" customHeight="1" x14ac:dyDescent="0.25">
      <c r="A31" s="299" t="s">
        <v>291</v>
      </c>
      <c r="B31" s="307">
        <v>3.7</v>
      </c>
      <c r="C31" s="307">
        <v>1.4</v>
      </c>
      <c r="D31" s="307">
        <v>2.2000000000000002</v>
      </c>
      <c r="E31" s="307">
        <v>0.2</v>
      </c>
      <c r="F31" s="307">
        <v>0.1</v>
      </c>
      <c r="G31" s="307">
        <v>0.1</v>
      </c>
      <c r="H31" s="307">
        <v>0.3</v>
      </c>
      <c r="I31" s="307">
        <v>0.2</v>
      </c>
      <c r="J31" s="307">
        <v>0.1</v>
      </c>
      <c r="K31" s="307">
        <v>2.7</v>
      </c>
      <c r="L31" s="307">
        <v>1</v>
      </c>
      <c r="M31" s="307">
        <v>1.7</v>
      </c>
      <c r="N31" s="307">
        <v>0.5</v>
      </c>
      <c r="O31" s="307">
        <v>0.1</v>
      </c>
      <c r="P31" s="307">
        <v>0.3</v>
      </c>
    </row>
    <row r="32" spans="1:16" s="300" customFormat="1" ht="15" customHeight="1" x14ac:dyDescent="0.25">
      <c r="A32" s="299" t="s">
        <v>292</v>
      </c>
      <c r="B32" s="307">
        <v>4.2</v>
      </c>
      <c r="C32" s="307">
        <v>2.1</v>
      </c>
      <c r="D32" s="307">
        <v>2.1</v>
      </c>
      <c r="E32" s="307">
        <v>0.2</v>
      </c>
      <c r="F32" s="307">
        <v>0.1</v>
      </c>
      <c r="G32" s="307">
        <v>0.1</v>
      </c>
      <c r="H32" s="307">
        <v>0.3</v>
      </c>
      <c r="I32" s="307">
        <v>0.2</v>
      </c>
      <c r="J32" s="307">
        <v>0.1</v>
      </c>
      <c r="K32" s="307">
        <v>3</v>
      </c>
      <c r="L32" s="307">
        <v>1.5</v>
      </c>
      <c r="M32" s="307">
        <v>1.5</v>
      </c>
      <c r="N32" s="307">
        <v>0.6</v>
      </c>
      <c r="O32" s="307">
        <v>0.2</v>
      </c>
      <c r="P32" s="307">
        <v>0.4</v>
      </c>
    </row>
    <row r="33" spans="1:16" s="300" customFormat="1" ht="15" customHeight="1" x14ac:dyDescent="0.25">
      <c r="A33" s="299" t="s">
        <v>293</v>
      </c>
      <c r="B33" s="307">
        <v>3.7</v>
      </c>
      <c r="C33" s="307">
        <v>1.5</v>
      </c>
      <c r="D33" s="307">
        <v>2.1</v>
      </c>
      <c r="E33" s="307">
        <v>0.3</v>
      </c>
      <c r="F33" s="307">
        <v>0.1</v>
      </c>
      <c r="G33" s="307">
        <v>0.2</v>
      </c>
      <c r="H33" s="307">
        <v>0.5</v>
      </c>
      <c r="I33" s="307">
        <v>0.3</v>
      </c>
      <c r="J33" s="307">
        <v>0.2</v>
      </c>
      <c r="K33" s="307">
        <v>2.2999999999999998</v>
      </c>
      <c r="L33" s="307">
        <v>1</v>
      </c>
      <c r="M33" s="307">
        <v>1.3</v>
      </c>
      <c r="N33" s="307">
        <v>0.6</v>
      </c>
      <c r="O33" s="307">
        <v>0.2</v>
      </c>
      <c r="P33" s="307">
        <v>0.4</v>
      </c>
    </row>
    <row r="34" spans="1:16" s="300" customFormat="1" ht="15" customHeight="1" x14ac:dyDescent="0.25">
      <c r="A34" s="299" t="s">
        <v>282</v>
      </c>
      <c r="B34" s="307">
        <v>5.0999999999999996</v>
      </c>
      <c r="C34" s="307">
        <v>2.4</v>
      </c>
      <c r="D34" s="307">
        <v>2.6</v>
      </c>
      <c r="E34" s="307">
        <v>0.4</v>
      </c>
      <c r="F34" s="307">
        <v>0.2</v>
      </c>
      <c r="G34" s="307">
        <v>0.2</v>
      </c>
      <c r="H34" s="307">
        <v>0.7</v>
      </c>
      <c r="I34" s="307">
        <v>0.4</v>
      </c>
      <c r="J34" s="307">
        <v>0.3</v>
      </c>
      <c r="K34" s="307">
        <v>3.4</v>
      </c>
      <c r="L34" s="307">
        <v>1.7</v>
      </c>
      <c r="M34" s="307">
        <v>1.7</v>
      </c>
      <c r="N34" s="307">
        <v>0.5</v>
      </c>
      <c r="O34" s="307">
        <v>0.1</v>
      </c>
      <c r="P34" s="307">
        <v>0.4</v>
      </c>
    </row>
    <row r="35" spans="1:16" s="300" customFormat="1" ht="15" customHeight="1" x14ac:dyDescent="0.25">
      <c r="A35" s="299" t="s">
        <v>283</v>
      </c>
      <c r="B35" s="307">
        <v>4</v>
      </c>
      <c r="C35" s="307">
        <v>1.6</v>
      </c>
      <c r="D35" s="307">
        <v>2.4</v>
      </c>
      <c r="E35" s="307">
        <v>0.3</v>
      </c>
      <c r="F35" s="307">
        <v>0.1</v>
      </c>
      <c r="G35" s="307">
        <v>0.1</v>
      </c>
      <c r="H35" s="307">
        <v>0.7</v>
      </c>
      <c r="I35" s="307">
        <v>0.3</v>
      </c>
      <c r="J35" s="307">
        <v>0.3</v>
      </c>
      <c r="K35" s="307">
        <v>2.5</v>
      </c>
      <c r="L35" s="307">
        <v>1</v>
      </c>
      <c r="M35" s="307">
        <v>1.5</v>
      </c>
      <c r="N35" s="307">
        <v>0.6</v>
      </c>
      <c r="O35" s="307">
        <v>0.2</v>
      </c>
      <c r="P35" s="307">
        <v>0.4</v>
      </c>
    </row>
    <row r="36" spans="1:16" s="300" customFormat="1" ht="15" customHeight="1" x14ac:dyDescent="0.25">
      <c r="A36" s="299" t="s">
        <v>284</v>
      </c>
      <c r="B36" s="307">
        <v>4.7</v>
      </c>
      <c r="C36" s="307">
        <v>1.8</v>
      </c>
      <c r="D36" s="307">
        <v>2.8</v>
      </c>
      <c r="E36" s="307">
        <v>0.4</v>
      </c>
      <c r="F36" s="307">
        <v>0.1</v>
      </c>
      <c r="G36" s="307">
        <v>0.2</v>
      </c>
      <c r="H36" s="307">
        <v>0.6</v>
      </c>
      <c r="I36" s="307">
        <v>0.3</v>
      </c>
      <c r="J36" s="307">
        <v>0.4</v>
      </c>
      <c r="K36" s="307">
        <v>3.1</v>
      </c>
      <c r="L36" s="307">
        <v>1.3</v>
      </c>
      <c r="M36" s="307">
        <v>1.8</v>
      </c>
      <c r="N36" s="307">
        <v>0.6</v>
      </c>
      <c r="O36" s="307">
        <v>0.2</v>
      </c>
      <c r="P36" s="307">
        <v>0.4</v>
      </c>
    </row>
    <row r="37" spans="1:16" s="300" customFormat="1" ht="15" customHeight="1" x14ac:dyDescent="0.25">
      <c r="A37" s="299" t="s">
        <v>294</v>
      </c>
      <c r="B37" s="307">
        <v>4</v>
      </c>
      <c r="C37" s="307">
        <v>1.6</v>
      </c>
      <c r="D37" s="307">
        <v>2.2999999999999998</v>
      </c>
      <c r="E37" s="307">
        <v>0.3</v>
      </c>
      <c r="F37" s="307">
        <v>0.1</v>
      </c>
      <c r="G37" s="307">
        <v>0.2</v>
      </c>
      <c r="H37" s="307">
        <v>0.6</v>
      </c>
      <c r="I37" s="307">
        <v>0.3</v>
      </c>
      <c r="J37" s="307">
        <v>0.3</v>
      </c>
      <c r="K37" s="307">
        <v>2.7</v>
      </c>
      <c r="L37" s="307">
        <v>1.2</v>
      </c>
      <c r="M37" s="307">
        <v>1.4</v>
      </c>
      <c r="N37" s="307">
        <v>0.4</v>
      </c>
      <c r="O37" s="307">
        <v>0.1</v>
      </c>
      <c r="P37" s="307">
        <v>0.3</v>
      </c>
    </row>
    <row r="38" spans="1:16" s="300" customFormat="1" ht="15" customHeight="1" x14ac:dyDescent="0.25">
      <c r="A38" s="299" t="s">
        <v>295</v>
      </c>
      <c r="B38" s="307">
        <v>4.3</v>
      </c>
      <c r="C38" s="307">
        <v>2.1</v>
      </c>
      <c r="D38" s="307">
        <v>2.2000000000000002</v>
      </c>
      <c r="E38" s="307">
        <v>0.4</v>
      </c>
      <c r="F38" s="307">
        <v>0.2</v>
      </c>
      <c r="G38" s="307">
        <v>0.2</v>
      </c>
      <c r="H38" s="307">
        <v>0.7</v>
      </c>
      <c r="I38" s="307">
        <v>0.4</v>
      </c>
      <c r="J38" s="307">
        <v>0.3</v>
      </c>
      <c r="K38" s="307">
        <v>2.7</v>
      </c>
      <c r="L38" s="307">
        <v>1.3</v>
      </c>
      <c r="M38" s="307">
        <v>1.3</v>
      </c>
      <c r="N38" s="307">
        <v>0.6</v>
      </c>
      <c r="O38" s="307">
        <v>0.2</v>
      </c>
      <c r="P38" s="307">
        <v>0.4</v>
      </c>
    </row>
    <row r="39" spans="1:16" s="300" customFormat="1" ht="15" customHeight="1" x14ac:dyDescent="0.25">
      <c r="A39" s="299" t="s">
        <v>296</v>
      </c>
      <c r="B39" s="307">
        <v>5.0999999999999996</v>
      </c>
      <c r="C39" s="307">
        <v>2.2999999999999998</v>
      </c>
      <c r="D39" s="307">
        <v>2.7</v>
      </c>
      <c r="E39" s="307">
        <v>0.5</v>
      </c>
      <c r="F39" s="307">
        <v>0.2</v>
      </c>
      <c r="G39" s="307">
        <v>0.3</v>
      </c>
      <c r="H39" s="307">
        <v>0.9</v>
      </c>
      <c r="I39" s="307">
        <v>0.4</v>
      </c>
      <c r="J39" s="307">
        <v>0.4</v>
      </c>
      <c r="K39" s="307">
        <v>2.9</v>
      </c>
      <c r="L39" s="307">
        <v>1.3</v>
      </c>
      <c r="M39" s="307">
        <v>1.6</v>
      </c>
      <c r="N39" s="307">
        <v>0.8</v>
      </c>
      <c r="O39" s="307">
        <v>0.4</v>
      </c>
      <c r="P39" s="307">
        <v>0.4</v>
      </c>
    </row>
    <row r="40" spans="1:16" s="300" customFormat="1" ht="15" customHeight="1" x14ac:dyDescent="0.25">
      <c r="A40" s="299" t="s">
        <v>297</v>
      </c>
      <c r="B40" s="307">
        <v>3.9</v>
      </c>
      <c r="C40" s="307">
        <v>1.7</v>
      </c>
      <c r="D40" s="307">
        <v>2.1</v>
      </c>
      <c r="E40" s="307">
        <v>0.3</v>
      </c>
      <c r="F40" s="307">
        <v>0.2</v>
      </c>
      <c r="G40" s="307">
        <v>0.1</v>
      </c>
      <c r="H40" s="307">
        <v>0.5</v>
      </c>
      <c r="I40" s="307">
        <v>0.3</v>
      </c>
      <c r="J40" s="307">
        <v>0.3</v>
      </c>
      <c r="K40" s="307">
        <v>2.5</v>
      </c>
      <c r="L40" s="307">
        <v>1</v>
      </c>
      <c r="M40" s="307">
        <v>1.4</v>
      </c>
      <c r="N40" s="307">
        <v>0.6</v>
      </c>
      <c r="O40" s="307">
        <v>0.3</v>
      </c>
      <c r="P40" s="307">
        <v>0.3</v>
      </c>
    </row>
    <row r="41" spans="1:16" s="300" customFormat="1" ht="15" customHeight="1" x14ac:dyDescent="0.25">
      <c r="A41" s="299"/>
      <c r="B41" s="307"/>
      <c r="C41" s="307"/>
      <c r="D41" s="307"/>
      <c r="E41" s="307"/>
      <c r="F41" s="307"/>
      <c r="G41" s="307"/>
      <c r="H41" s="307"/>
      <c r="I41" s="307"/>
      <c r="J41" s="307"/>
      <c r="K41" s="307"/>
      <c r="L41" s="307"/>
      <c r="M41" s="307"/>
      <c r="N41" s="307"/>
      <c r="O41" s="307"/>
      <c r="P41" s="307"/>
    </row>
    <row r="42" spans="1:16" s="300" customFormat="1" ht="15" customHeight="1" x14ac:dyDescent="0.25">
      <c r="A42" s="301"/>
      <c r="B42" s="306"/>
      <c r="C42" s="306"/>
      <c r="D42" s="306"/>
      <c r="E42" s="306"/>
      <c r="F42" s="306"/>
      <c r="G42" s="306"/>
      <c r="H42" s="306"/>
      <c r="I42" s="306"/>
      <c r="J42" s="306"/>
      <c r="K42" s="306"/>
      <c r="L42" s="306"/>
      <c r="M42" s="306"/>
      <c r="N42" s="306"/>
      <c r="O42" s="306"/>
      <c r="P42" s="306"/>
    </row>
    <row r="43" spans="1:16" s="300" customFormat="1" ht="15" customHeight="1" x14ac:dyDescent="0.25">
      <c r="A43" s="303" t="s">
        <v>578</v>
      </c>
    </row>
    <row r="44" spans="1:16" s="300" customFormat="1" ht="10.5" customHeight="1" x14ac:dyDescent="0.25">
      <c r="A44" s="299"/>
      <c r="B44" s="302"/>
      <c r="C44" s="302"/>
      <c r="D44" s="302"/>
      <c r="E44" s="302"/>
      <c r="F44" s="302"/>
      <c r="G44" s="302"/>
      <c r="H44" s="302"/>
      <c r="I44" s="302"/>
      <c r="J44" s="302"/>
      <c r="K44" s="302"/>
      <c r="L44" s="302"/>
      <c r="M44" s="302"/>
      <c r="N44" s="302"/>
      <c r="O44" s="302"/>
      <c r="P44" s="302"/>
    </row>
    <row r="45" spans="1:16" s="300" customFormat="1" ht="15" customHeight="1" x14ac:dyDescent="0.25">
      <c r="A45" s="304" t="s">
        <v>91</v>
      </c>
      <c r="B45" s="306">
        <v>50.7</v>
      </c>
      <c r="C45" s="306">
        <v>19.3</v>
      </c>
      <c r="D45" s="306">
        <v>30.4</v>
      </c>
      <c r="E45" s="306">
        <v>3.8</v>
      </c>
      <c r="F45" s="306">
        <v>1.5</v>
      </c>
      <c r="G45" s="306">
        <v>2.2999999999999998</v>
      </c>
      <c r="H45" s="306">
        <v>5.8</v>
      </c>
      <c r="I45" s="306">
        <v>2.6</v>
      </c>
      <c r="J45" s="306">
        <v>3.1</v>
      </c>
      <c r="K45" s="306">
        <v>34.6</v>
      </c>
      <c r="L45" s="306">
        <v>13.8</v>
      </c>
      <c r="M45" s="305">
        <v>20.3</v>
      </c>
      <c r="N45" s="305">
        <v>6.6</v>
      </c>
      <c r="O45" s="305">
        <v>1.4</v>
      </c>
      <c r="P45" s="305">
        <v>4.5999999999999996</v>
      </c>
    </row>
    <row r="46" spans="1:16" s="300" customFormat="1" ht="10.5" customHeight="1" x14ac:dyDescent="0.25">
      <c r="A46" s="299"/>
      <c r="B46" s="302"/>
      <c r="C46" s="302"/>
      <c r="D46" s="302"/>
      <c r="E46" s="302"/>
      <c r="F46" s="302"/>
      <c r="G46" s="302"/>
      <c r="H46" s="302"/>
      <c r="I46" s="302"/>
      <c r="J46" s="302"/>
      <c r="K46" s="302"/>
      <c r="L46" s="302"/>
      <c r="M46" s="302"/>
      <c r="N46" s="302"/>
      <c r="O46" s="302"/>
      <c r="P46" s="302"/>
    </row>
    <row r="47" spans="1:16" s="300" customFormat="1" ht="15" customHeight="1" x14ac:dyDescent="0.25">
      <c r="A47" s="299" t="s">
        <v>289</v>
      </c>
      <c r="B47" s="307">
        <v>2.8</v>
      </c>
      <c r="C47" s="307">
        <v>0.9</v>
      </c>
      <c r="D47" s="307">
        <v>1.9</v>
      </c>
      <c r="E47" s="307">
        <v>0.2</v>
      </c>
      <c r="F47" s="307" t="s">
        <v>330</v>
      </c>
      <c r="G47" s="307">
        <v>0.1</v>
      </c>
      <c r="H47" s="307">
        <v>0.1</v>
      </c>
      <c r="I47" s="307" t="s">
        <v>330</v>
      </c>
      <c r="J47" s="307">
        <v>0.1</v>
      </c>
      <c r="K47" s="307">
        <v>2.1</v>
      </c>
      <c r="L47" s="307">
        <v>0.7</v>
      </c>
      <c r="M47" s="307">
        <v>1.4</v>
      </c>
      <c r="N47" s="307">
        <v>0.5</v>
      </c>
      <c r="O47" s="307">
        <v>0.1</v>
      </c>
      <c r="P47" s="307">
        <v>0.3</v>
      </c>
    </row>
    <row r="48" spans="1:16" s="300" customFormat="1" ht="15" customHeight="1" x14ac:dyDescent="0.25">
      <c r="A48" s="299" t="s">
        <v>290</v>
      </c>
      <c r="B48" s="307">
        <v>2.8</v>
      </c>
      <c r="C48" s="307">
        <v>1.1000000000000001</v>
      </c>
      <c r="D48" s="307">
        <v>1.7</v>
      </c>
      <c r="E48" s="307">
        <v>0.1</v>
      </c>
      <c r="F48" s="307" t="s">
        <v>330</v>
      </c>
      <c r="G48" s="307">
        <v>0.1</v>
      </c>
      <c r="H48" s="307">
        <v>0.2</v>
      </c>
      <c r="I48" s="307">
        <v>0.1</v>
      </c>
      <c r="J48" s="307">
        <v>0.1</v>
      </c>
      <c r="K48" s="307">
        <v>2.1</v>
      </c>
      <c r="L48" s="307">
        <v>0.8</v>
      </c>
      <c r="M48" s="307">
        <v>1.2</v>
      </c>
      <c r="N48" s="307">
        <v>0.4</v>
      </c>
      <c r="O48" s="307">
        <v>0.1</v>
      </c>
      <c r="P48" s="307">
        <v>0.3</v>
      </c>
    </row>
    <row r="49" spans="1:16" s="300" customFormat="1" ht="15" customHeight="1" x14ac:dyDescent="0.25">
      <c r="A49" s="299" t="s">
        <v>291</v>
      </c>
      <c r="B49" s="307">
        <v>4</v>
      </c>
      <c r="C49" s="307">
        <v>1.4</v>
      </c>
      <c r="D49" s="307">
        <v>2.6</v>
      </c>
      <c r="E49" s="307">
        <v>0.2</v>
      </c>
      <c r="F49" s="307">
        <v>0.1</v>
      </c>
      <c r="G49" s="307">
        <v>0.1</v>
      </c>
      <c r="H49" s="307">
        <v>0.3</v>
      </c>
      <c r="I49" s="307">
        <v>0.1</v>
      </c>
      <c r="J49" s="307">
        <v>0.1</v>
      </c>
      <c r="K49" s="307">
        <v>3.1</v>
      </c>
      <c r="L49" s="307">
        <v>1</v>
      </c>
      <c r="M49" s="307">
        <v>2</v>
      </c>
      <c r="N49" s="307">
        <v>0.5</v>
      </c>
      <c r="O49" s="307">
        <v>0.1</v>
      </c>
      <c r="P49" s="307">
        <v>0.3</v>
      </c>
    </row>
    <row r="50" spans="1:16" s="300" customFormat="1" ht="15" customHeight="1" x14ac:dyDescent="0.25">
      <c r="A50" s="299" t="s">
        <v>292</v>
      </c>
      <c r="B50" s="307">
        <v>5</v>
      </c>
      <c r="C50" s="307">
        <v>2</v>
      </c>
      <c r="D50" s="307">
        <v>2.8</v>
      </c>
      <c r="E50" s="307">
        <v>0.2</v>
      </c>
      <c r="F50" s="307">
        <v>0.1</v>
      </c>
      <c r="G50" s="307">
        <v>0.1</v>
      </c>
      <c r="H50" s="307">
        <v>0.6</v>
      </c>
      <c r="I50" s="307">
        <v>0.4</v>
      </c>
      <c r="J50" s="307">
        <v>0.2</v>
      </c>
      <c r="K50" s="307">
        <v>3.5</v>
      </c>
      <c r="L50" s="307">
        <v>1.5</v>
      </c>
      <c r="M50" s="307">
        <v>2</v>
      </c>
      <c r="N50" s="307">
        <v>0.7</v>
      </c>
      <c r="O50" s="307">
        <v>0.2</v>
      </c>
      <c r="P50" s="307">
        <v>0.5</v>
      </c>
    </row>
    <row r="51" spans="1:16" s="300" customFormat="1" ht="15" customHeight="1" x14ac:dyDescent="0.25">
      <c r="A51" s="299" t="s">
        <v>293</v>
      </c>
      <c r="B51" s="307">
        <v>5.4</v>
      </c>
      <c r="C51" s="307">
        <v>2.1</v>
      </c>
      <c r="D51" s="307">
        <v>3.2</v>
      </c>
      <c r="E51" s="307">
        <v>0.4</v>
      </c>
      <c r="F51" s="307">
        <v>0.2</v>
      </c>
      <c r="G51" s="307">
        <v>0.2</v>
      </c>
      <c r="H51" s="307">
        <v>0.5</v>
      </c>
      <c r="I51" s="307">
        <v>0.2</v>
      </c>
      <c r="J51" s="307">
        <v>0.3</v>
      </c>
      <c r="K51" s="307">
        <v>3.9</v>
      </c>
      <c r="L51" s="307">
        <v>1.6</v>
      </c>
      <c r="M51" s="307">
        <v>2.2000000000000002</v>
      </c>
      <c r="N51" s="307">
        <v>0.7</v>
      </c>
      <c r="O51" s="307">
        <v>0.1</v>
      </c>
      <c r="P51" s="307">
        <v>0.5</v>
      </c>
    </row>
    <row r="52" spans="1:16" s="300" customFormat="1" ht="15" customHeight="1" x14ac:dyDescent="0.25">
      <c r="A52" s="299" t="s">
        <v>282</v>
      </c>
      <c r="B52" s="307">
        <v>5.9</v>
      </c>
      <c r="C52" s="307">
        <v>2.1</v>
      </c>
      <c r="D52" s="307">
        <v>3.7</v>
      </c>
      <c r="E52" s="307">
        <v>0.5</v>
      </c>
      <c r="F52" s="307">
        <v>0.2</v>
      </c>
      <c r="G52" s="307">
        <v>0.3</v>
      </c>
      <c r="H52" s="307">
        <v>0.7</v>
      </c>
      <c r="I52" s="307">
        <v>0.2</v>
      </c>
      <c r="J52" s="307">
        <v>0.4</v>
      </c>
      <c r="K52" s="307">
        <v>4</v>
      </c>
      <c r="L52" s="307">
        <v>1.5</v>
      </c>
      <c r="M52" s="307">
        <v>2.5</v>
      </c>
      <c r="N52" s="307">
        <v>0.8</v>
      </c>
      <c r="O52" s="307">
        <v>0.1</v>
      </c>
      <c r="P52" s="307">
        <v>0.6</v>
      </c>
    </row>
    <row r="53" spans="1:16" s="300" customFormat="1" ht="15" customHeight="1" x14ac:dyDescent="0.25">
      <c r="A53" s="299" t="s">
        <v>283</v>
      </c>
      <c r="B53" s="307">
        <v>4.7</v>
      </c>
      <c r="C53" s="307">
        <v>1.6</v>
      </c>
      <c r="D53" s="307">
        <v>3</v>
      </c>
      <c r="E53" s="307">
        <v>0.4</v>
      </c>
      <c r="F53" s="307">
        <v>0.2</v>
      </c>
      <c r="G53" s="307">
        <v>0.3</v>
      </c>
      <c r="H53" s="307">
        <v>0.6</v>
      </c>
      <c r="I53" s="307">
        <v>0.2</v>
      </c>
      <c r="J53" s="307">
        <v>0.4</v>
      </c>
      <c r="K53" s="307">
        <v>3.2</v>
      </c>
      <c r="L53" s="307">
        <v>1.1000000000000001</v>
      </c>
      <c r="M53" s="307">
        <v>2</v>
      </c>
      <c r="N53" s="307">
        <v>0.5</v>
      </c>
      <c r="O53" s="307" t="s">
        <v>330</v>
      </c>
      <c r="P53" s="307">
        <v>0.4</v>
      </c>
    </row>
    <row r="54" spans="1:16" s="300" customFormat="1" ht="15" customHeight="1" x14ac:dyDescent="0.25">
      <c r="A54" s="299" t="s">
        <v>284</v>
      </c>
      <c r="B54" s="307">
        <v>4.8</v>
      </c>
      <c r="C54" s="307">
        <v>2.2000000000000002</v>
      </c>
      <c r="D54" s="307">
        <v>2.6</v>
      </c>
      <c r="E54" s="307">
        <v>0.4</v>
      </c>
      <c r="F54" s="307">
        <v>0.2</v>
      </c>
      <c r="G54" s="307">
        <v>0.2</v>
      </c>
      <c r="H54" s="307">
        <v>0.7</v>
      </c>
      <c r="I54" s="307">
        <v>0.3</v>
      </c>
      <c r="J54" s="307">
        <v>0.4</v>
      </c>
      <c r="K54" s="307">
        <v>3.1</v>
      </c>
      <c r="L54" s="307">
        <v>1.5</v>
      </c>
      <c r="M54" s="307">
        <v>1.6</v>
      </c>
      <c r="N54" s="307">
        <v>0.6</v>
      </c>
      <c r="O54" s="307">
        <v>0.1</v>
      </c>
      <c r="P54" s="307">
        <v>0.4</v>
      </c>
    </row>
    <row r="55" spans="1:16" s="300" customFormat="1" ht="15" customHeight="1" x14ac:dyDescent="0.25">
      <c r="A55" s="299" t="s">
        <v>294</v>
      </c>
      <c r="B55" s="307">
        <v>3.8</v>
      </c>
      <c r="C55" s="307">
        <v>1.6</v>
      </c>
      <c r="D55" s="307">
        <v>2.2000000000000002</v>
      </c>
      <c r="E55" s="307">
        <v>0.4</v>
      </c>
      <c r="F55" s="307">
        <v>0.2</v>
      </c>
      <c r="G55" s="307">
        <v>0.2</v>
      </c>
      <c r="H55" s="307">
        <v>0.5</v>
      </c>
      <c r="I55" s="307">
        <v>0.2</v>
      </c>
      <c r="J55" s="307">
        <v>0.3</v>
      </c>
      <c r="K55" s="307">
        <v>2.4</v>
      </c>
      <c r="L55" s="307">
        <v>1.1000000000000001</v>
      </c>
      <c r="M55" s="307">
        <v>1.3</v>
      </c>
      <c r="N55" s="307">
        <v>0.6</v>
      </c>
      <c r="O55" s="307">
        <v>0.1</v>
      </c>
      <c r="P55" s="307">
        <v>0.4</v>
      </c>
    </row>
    <row r="56" spans="1:16" s="300" customFormat="1" ht="15" customHeight="1" x14ac:dyDescent="0.25">
      <c r="A56" s="299" t="s">
        <v>295</v>
      </c>
      <c r="B56" s="307">
        <v>4.4000000000000004</v>
      </c>
      <c r="C56" s="307">
        <v>1.6</v>
      </c>
      <c r="D56" s="307">
        <v>2.6</v>
      </c>
      <c r="E56" s="307">
        <v>0.4</v>
      </c>
      <c r="F56" s="307">
        <v>0.1</v>
      </c>
      <c r="G56" s="307">
        <v>0.3</v>
      </c>
      <c r="H56" s="307">
        <v>0.7</v>
      </c>
      <c r="I56" s="307">
        <v>0.3</v>
      </c>
      <c r="J56" s="307">
        <v>0.4</v>
      </c>
      <c r="K56" s="307">
        <v>2.8</v>
      </c>
      <c r="L56" s="307">
        <v>1.1000000000000001</v>
      </c>
      <c r="M56" s="307">
        <v>1.6</v>
      </c>
      <c r="N56" s="307">
        <v>0.5</v>
      </c>
      <c r="O56" s="307">
        <v>0.1</v>
      </c>
      <c r="P56" s="307">
        <v>0.3</v>
      </c>
    </row>
    <row r="57" spans="1:16" s="300" customFormat="1" ht="15" customHeight="1" x14ac:dyDescent="0.25">
      <c r="A57" s="299" t="s">
        <v>296</v>
      </c>
      <c r="B57" s="307">
        <v>3.4</v>
      </c>
      <c r="C57" s="307">
        <v>1.3</v>
      </c>
      <c r="D57" s="307">
        <v>2.1</v>
      </c>
      <c r="E57" s="307">
        <v>0.4</v>
      </c>
      <c r="F57" s="307">
        <v>0.1</v>
      </c>
      <c r="G57" s="307">
        <v>0.3</v>
      </c>
      <c r="H57" s="307">
        <v>0.5</v>
      </c>
      <c r="I57" s="307">
        <v>0.3</v>
      </c>
      <c r="J57" s="307">
        <v>0.2</v>
      </c>
      <c r="K57" s="307">
        <v>2.1</v>
      </c>
      <c r="L57" s="307">
        <v>0.8</v>
      </c>
      <c r="M57" s="307">
        <v>1.2</v>
      </c>
      <c r="N57" s="307">
        <v>0.4</v>
      </c>
      <c r="O57" s="307">
        <v>0.1</v>
      </c>
      <c r="P57" s="307">
        <v>0.3</v>
      </c>
    </row>
    <row r="58" spans="1:16" s="300" customFormat="1" ht="15" customHeight="1" x14ac:dyDescent="0.25">
      <c r="A58" s="299" t="s">
        <v>297</v>
      </c>
      <c r="B58" s="307">
        <v>3.6</v>
      </c>
      <c r="C58" s="307">
        <v>1.5</v>
      </c>
      <c r="D58" s="307">
        <v>2</v>
      </c>
      <c r="E58" s="307">
        <v>0.3</v>
      </c>
      <c r="F58" s="307">
        <v>0.1</v>
      </c>
      <c r="G58" s="307">
        <v>0.2</v>
      </c>
      <c r="H58" s="307">
        <v>0.5</v>
      </c>
      <c r="I58" s="307">
        <v>0.2</v>
      </c>
      <c r="J58" s="307">
        <v>0.2</v>
      </c>
      <c r="K58" s="307">
        <v>2.2999999999999998</v>
      </c>
      <c r="L58" s="307">
        <v>1</v>
      </c>
      <c r="M58" s="307">
        <v>1.2</v>
      </c>
      <c r="N58" s="307">
        <v>0.5</v>
      </c>
      <c r="O58" s="307">
        <v>0.1</v>
      </c>
      <c r="P58" s="307">
        <v>0.3</v>
      </c>
    </row>
    <row r="59" spans="1:16" s="300" customFormat="1" ht="15" customHeight="1" x14ac:dyDescent="0.25">
      <c r="A59" s="299"/>
      <c r="B59" s="310"/>
      <c r="C59" s="310"/>
      <c r="D59" s="311"/>
      <c r="E59" s="310"/>
      <c r="F59" s="307"/>
      <c r="G59" s="310"/>
      <c r="H59" s="310"/>
      <c r="I59" s="310"/>
      <c r="J59" s="310"/>
      <c r="K59" s="310"/>
      <c r="L59" s="310"/>
      <c r="M59" s="310"/>
      <c r="N59" s="310"/>
      <c r="O59" s="307"/>
      <c r="P59" s="310"/>
    </row>
    <row r="60" spans="1:16" s="300" customFormat="1" ht="15" customHeight="1" x14ac:dyDescent="0.25">
      <c r="A60" s="301"/>
      <c r="B60" s="306"/>
      <c r="C60" s="306"/>
      <c r="D60" s="306"/>
      <c r="E60" s="306"/>
      <c r="F60" s="306"/>
      <c r="G60" s="306"/>
      <c r="H60" s="306"/>
      <c r="I60" s="306"/>
      <c r="J60" s="306"/>
      <c r="K60" s="306"/>
      <c r="L60" s="306"/>
      <c r="M60" s="306"/>
      <c r="N60" s="306"/>
      <c r="O60" s="306"/>
      <c r="P60" s="306"/>
    </row>
    <row r="61" spans="1:16" s="300" customFormat="1" ht="15" customHeight="1" x14ac:dyDescent="0.25">
      <c r="A61" s="303" t="s">
        <v>579</v>
      </c>
      <c r="B61" s="306"/>
      <c r="C61" s="306"/>
      <c r="D61" s="306"/>
      <c r="E61" s="306"/>
      <c r="F61" s="306"/>
      <c r="G61" s="306"/>
      <c r="H61" s="306"/>
      <c r="I61" s="306"/>
      <c r="J61" s="306"/>
      <c r="K61" s="306"/>
      <c r="L61" s="306"/>
      <c r="M61" s="305"/>
      <c r="N61" s="305"/>
      <c r="O61" s="305"/>
      <c r="P61" s="305"/>
    </row>
    <row r="62" spans="1:16" s="300" customFormat="1" ht="10.5" customHeight="1" x14ac:dyDescent="0.25">
      <c r="A62" s="299"/>
      <c r="B62" s="306"/>
      <c r="C62" s="306"/>
      <c r="D62" s="306"/>
      <c r="E62" s="306"/>
      <c r="F62" s="306"/>
      <c r="G62" s="306"/>
      <c r="H62" s="306"/>
      <c r="I62" s="306"/>
      <c r="J62" s="306"/>
      <c r="K62" s="306"/>
      <c r="L62" s="306"/>
      <c r="M62" s="306"/>
      <c r="N62" s="306"/>
      <c r="O62" s="306"/>
      <c r="P62" s="306"/>
    </row>
    <row r="63" spans="1:16" s="300" customFormat="1" ht="15" customHeight="1" x14ac:dyDescent="0.25">
      <c r="A63" s="304" t="s">
        <v>91</v>
      </c>
      <c r="B63" s="305">
        <v>54.5</v>
      </c>
      <c r="C63" s="305">
        <v>20.2</v>
      </c>
      <c r="D63" s="305">
        <v>33.1</v>
      </c>
      <c r="E63" s="305">
        <v>3.5</v>
      </c>
      <c r="F63" s="305">
        <v>1.2</v>
      </c>
      <c r="G63" s="305">
        <v>2.2999999999999998</v>
      </c>
      <c r="H63" s="305">
        <v>5.3</v>
      </c>
      <c r="I63" s="305">
        <v>1.8</v>
      </c>
      <c r="J63" s="305">
        <v>3.5</v>
      </c>
      <c r="K63" s="305">
        <v>37.799999999999997</v>
      </c>
      <c r="L63" s="305">
        <v>15.7</v>
      </c>
      <c r="M63" s="305">
        <v>21.7</v>
      </c>
      <c r="N63" s="305">
        <v>7.9</v>
      </c>
      <c r="O63" s="305">
        <v>1.5</v>
      </c>
      <c r="P63" s="305">
        <v>5.7</v>
      </c>
    </row>
    <row r="64" spans="1:16" s="300" customFormat="1" ht="10.5" customHeight="1" x14ac:dyDescent="0.25">
      <c r="A64" s="299"/>
      <c r="B64" s="302"/>
      <c r="C64" s="302"/>
      <c r="D64" s="302"/>
      <c r="E64" s="302"/>
      <c r="F64" s="302"/>
      <c r="G64" s="302"/>
      <c r="H64" s="302"/>
      <c r="I64" s="302"/>
      <c r="J64" s="302"/>
      <c r="K64" s="302"/>
      <c r="L64" s="302"/>
      <c r="M64" s="302"/>
      <c r="N64" s="302"/>
      <c r="O64" s="302"/>
      <c r="P64" s="302"/>
    </row>
    <row r="65" spans="1:16" s="300" customFormat="1" ht="15" customHeight="1" x14ac:dyDescent="0.25">
      <c r="A65" s="299" t="s">
        <v>289</v>
      </c>
      <c r="B65" s="307">
        <v>4</v>
      </c>
      <c r="C65" s="307">
        <v>1.4</v>
      </c>
      <c r="D65" s="307">
        <v>2.5</v>
      </c>
      <c r="E65" s="307">
        <v>0.2</v>
      </c>
      <c r="F65" s="307" t="s">
        <v>330</v>
      </c>
      <c r="G65" s="307">
        <v>0.1</v>
      </c>
      <c r="H65" s="307">
        <v>0.3</v>
      </c>
      <c r="I65" s="307">
        <v>0.1</v>
      </c>
      <c r="J65" s="307">
        <v>0.2</v>
      </c>
      <c r="K65" s="307">
        <v>3</v>
      </c>
      <c r="L65" s="307">
        <v>1.1000000000000001</v>
      </c>
      <c r="M65" s="307">
        <v>1.8</v>
      </c>
      <c r="N65" s="307">
        <v>0.5</v>
      </c>
      <c r="O65" s="307">
        <v>0.1</v>
      </c>
      <c r="P65" s="307">
        <v>0.3</v>
      </c>
    </row>
    <row r="66" spans="1:16" s="300" customFormat="1" ht="15" customHeight="1" x14ac:dyDescent="0.25">
      <c r="A66" s="299" t="s">
        <v>290</v>
      </c>
      <c r="B66" s="307">
        <v>3.2</v>
      </c>
      <c r="C66" s="307">
        <v>1.3</v>
      </c>
      <c r="D66" s="307">
        <v>1.9</v>
      </c>
      <c r="E66" s="307" t="s">
        <v>330</v>
      </c>
      <c r="F66" s="307" t="s">
        <v>330</v>
      </c>
      <c r="G66" s="307" t="s">
        <v>330</v>
      </c>
      <c r="H66" s="307">
        <v>0.1</v>
      </c>
      <c r="I66" s="307" t="s">
        <v>330</v>
      </c>
      <c r="J66" s="307">
        <v>0.1</v>
      </c>
      <c r="K66" s="307">
        <v>2.7</v>
      </c>
      <c r="L66" s="307">
        <v>1.2</v>
      </c>
      <c r="M66" s="307">
        <v>1.5</v>
      </c>
      <c r="N66" s="307">
        <v>0.4</v>
      </c>
      <c r="O66" s="307" t="s">
        <v>330</v>
      </c>
      <c r="P66" s="307">
        <v>0.3</v>
      </c>
    </row>
    <row r="67" spans="1:16" s="300" customFormat="1" ht="15" customHeight="1" x14ac:dyDescent="0.25">
      <c r="A67" s="299" t="s">
        <v>291</v>
      </c>
      <c r="B67" s="307">
        <v>4.7</v>
      </c>
      <c r="C67" s="307">
        <v>1.8</v>
      </c>
      <c r="D67" s="307">
        <v>2.8</v>
      </c>
      <c r="E67" s="307">
        <v>0.1</v>
      </c>
      <c r="F67" s="307" t="s">
        <v>330</v>
      </c>
      <c r="G67" s="307">
        <v>0.1</v>
      </c>
      <c r="H67" s="307">
        <v>0.5</v>
      </c>
      <c r="I67" s="307">
        <v>0.2</v>
      </c>
      <c r="J67" s="307">
        <v>0.3</v>
      </c>
      <c r="K67" s="307">
        <v>3.3</v>
      </c>
      <c r="L67" s="307">
        <v>1.5</v>
      </c>
      <c r="M67" s="307">
        <v>1.8</v>
      </c>
      <c r="N67" s="307">
        <v>0.8</v>
      </c>
      <c r="O67" s="307" t="s">
        <v>330</v>
      </c>
      <c r="P67" s="307">
        <v>0.5</v>
      </c>
    </row>
    <row r="68" spans="1:16" s="300" customFormat="1" ht="15" customHeight="1" x14ac:dyDescent="0.25">
      <c r="A68" s="299" t="s">
        <v>292</v>
      </c>
      <c r="B68" s="307">
        <v>4.8</v>
      </c>
      <c r="C68" s="307">
        <v>2</v>
      </c>
      <c r="D68" s="307">
        <v>2.8</v>
      </c>
      <c r="E68" s="307">
        <v>0.2</v>
      </c>
      <c r="F68" s="307" t="s">
        <v>330</v>
      </c>
      <c r="G68" s="307">
        <v>0.1</v>
      </c>
      <c r="H68" s="307">
        <v>0.4</v>
      </c>
      <c r="I68" s="307">
        <v>0.2</v>
      </c>
      <c r="J68" s="307">
        <v>0.2</v>
      </c>
      <c r="K68" s="307">
        <v>3.5</v>
      </c>
      <c r="L68" s="307">
        <v>1.5</v>
      </c>
      <c r="M68" s="307">
        <v>1.9</v>
      </c>
      <c r="N68" s="307">
        <v>0.7</v>
      </c>
      <c r="O68" s="307">
        <v>0.2</v>
      </c>
      <c r="P68" s="307">
        <v>0.5</v>
      </c>
    </row>
    <row r="69" spans="1:16" s="300" customFormat="1" ht="15" customHeight="1" x14ac:dyDescent="0.25">
      <c r="A69" s="299" t="s">
        <v>293</v>
      </c>
      <c r="B69" s="307">
        <v>4.7</v>
      </c>
      <c r="C69" s="307">
        <v>2</v>
      </c>
      <c r="D69" s="307">
        <v>2.6</v>
      </c>
      <c r="E69" s="307">
        <v>0.2</v>
      </c>
      <c r="F69" s="307">
        <v>0.1</v>
      </c>
      <c r="G69" s="307">
        <v>0.1</v>
      </c>
      <c r="H69" s="307">
        <v>0.5</v>
      </c>
      <c r="I69" s="307">
        <v>0.1</v>
      </c>
      <c r="J69" s="307">
        <v>0.3</v>
      </c>
      <c r="K69" s="307">
        <v>3.3</v>
      </c>
      <c r="L69" s="307">
        <v>1.6</v>
      </c>
      <c r="M69" s="307">
        <v>1.7</v>
      </c>
      <c r="N69" s="307">
        <v>0.7</v>
      </c>
      <c r="O69" s="307" t="s">
        <v>330</v>
      </c>
      <c r="P69" s="307">
        <v>0.5</v>
      </c>
    </row>
    <row r="70" spans="1:16" s="300" customFormat="1" ht="15" customHeight="1" x14ac:dyDescent="0.25">
      <c r="A70" s="299" t="s">
        <v>282</v>
      </c>
      <c r="B70" s="307">
        <v>4.7</v>
      </c>
      <c r="C70" s="307">
        <v>1.8</v>
      </c>
      <c r="D70" s="307">
        <v>2.8</v>
      </c>
      <c r="E70" s="307">
        <v>0.4</v>
      </c>
      <c r="F70" s="307" t="s">
        <v>330</v>
      </c>
      <c r="G70" s="307">
        <v>0.3</v>
      </c>
      <c r="H70" s="307">
        <v>0.3</v>
      </c>
      <c r="I70" s="307" t="s">
        <v>330</v>
      </c>
      <c r="J70" s="307">
        <v>0.3</v>
      </c>
      <c r="K70" s="307">
        <v>3.3</v>
      </c>
      <c r="L70" s="307">
        <v>1.5</v>
      </c>
      <c r="M70" s="307">
        <v>1.8</v>
      </c>
      <c r="N70" s="307">
        <v>0.7</v>
      </c>
      <c r="O70" s="307">
        <v>0.2</v>
      </c>
      <c r="P70" s="307">
        <v>0.4</v>
      </c>
    </row>
    <row r="71" spans="1:16" s="300" customFormat="1" ht="15" customHeight="1" x14ac:dyDescent="0.25">
      <c r="A71" s="299" t="s">
        <v>283</v>
      </c>
      <c r="B71" s="307">
        <v>4.5999999999999996</v>
      </c>
      <c r="C71" s="307">
        <v>1.5</v>
      </c>
      <c r="D71" s="307">
        <v>3</v>
      </c>
      <c r="E71" s="307">
        <v>0.6</v>
      </c>
      <c r="F71" s="307">
        <v>0.2</v>
      </c>
      <c r="G71" s="307">
        <v>0.4</v>
      </c>
      <c r="H71" s="307">
        <v>0.4</v>
      </c>
      <c r="I71" s="307">
        <v>0.2</v>
      </c>
      <c r="J71" s="307">
        <v>0.2</v>
      </c>
      <c r="K71" s="307">
        <v>2.9</v>
      </c>
      <c r="L71" s="307">
        <v>1</v>
      </c>
      <c r="M71" s="307">
        <v>1.8</v>
      </c>
      <c r="N71" s="307">
        <v>0.7</v>
      </c>
      <c r="O71" s="307" t="s">
        <v>330</v>
      </c>
      <c r="P71" s="307">
        <v>0.6</v>
      </c>
    </row>
    <row r="72" spans="1:16" s="300" customFormat="1" ht="15" customHeight="1" x14ac:dyDescent="0.25">
      <c r="A72" s="299" t="s">
        <v>284</v>
      </c>
      <c r="B72" s="307">
        <v>4.2</v>
      </c>
      <c r="C72" s="307">
        <v>1.2</v>
      </c>
      <c r="D72" s="307">
        <v>3</v>
      </c>
      <c r="E72" s="307">
        <v>0.2</v>
      </c>
      <c r="F72" s="307" t="s">
        <v>330</v>
      </c>
      <c r="G72" s="307">
        <v>0.1</v>
      </c>
      <c r="H72" s="307">
        <v>0.5</v>
      </c>
      <c r="I72" s="307">
        <v>0.2</v>
      </c>
      <c r="J72" s="307">
        <v>0.3</v>
      </c>
      <c r="K72" s="307">
        <v>2.7</v>
      </c>
      <c r="L72" s="307">
        <v>1</v>
      </c>
      <c r="M72" s="307">
        <v>1.8</v>
      </c>
      <c r="N72" s="307">
        <v>0.8</v>
      </c>
      <c r="O72" s="307" t="s">
        <v>330</v>
      </c>
      <c r="P72" s="307">
        <v>0.7</v>
      </c>
    </row>
    <row r="73" spans="1:16" s="300" customFormat="1" ht="15" customHeight="1" x14ac:dyDescent="0.25">
      <c r="A73" s="299" t="s">
        <v>294</v>
      </c>
      <c r="B73" s="307">
        <v>4.9000000000000004</v>
      </c>
      <c r="C73" s="307">
        <v>1.8</v>
      </c>
      <c r="D73" s="307">
        <v>3</v>
      </c>
      <c r="E73" s="307">
        <v>0.5</v>
      </c>
      <c r="F73" s="307">
        <v>0.2</v>
      </c>
      <c r="G73" s="307">
        <v>0.3</v>
      </c>
      <c r="H73" s="307">
        <v>0.7</v>
      </c>
      <c r="I73" s="307">
        <v>0.2</v>
      </c>
      <c r="J73" s="307">
        <v>0.5</v>
      </c>
      <c r="K73" s="307">
        <v>3.1</v>
      </c>
      <c r="L73" s="307">
        <v>1.2</v>
      </c>
      <c r="M73" s="307">
        <v>1.9</v>
      </c>
      <c r="N73" s="307">
        <v>0.6</v>
      </c>
      <c r="O73" s="307">
        <v>0.2</v>
      </c>
      <c r="P73" s="307">
        <v>0.4</v>
      </c>
    </row>
    <row r="74" spans="1:16" s="300" customFormat="1" ht="15" customHeight="1" x14ac:dyDescent="0.25">
      <c r="A74" s="299" t="s">
        <v>295</v>
      </c>
      <c r="B74" s="307">
        <v>5.2</v>
      </c>
      <c r="C74" s="307">
        <v>1.7</v>
      </c>
      <c r="D74" s="307">
        <v>3.3</v>
      </c>
      <c r="E74" s="307">
        <v>0.4</v>
      </c>
      <c r="F74" s="307">
        <v>0.2</v>
      </c>
      <c r="G74" s="307">
        <v>0.3</v>
      </c>
      <c r="H74" s="307">
        <v>0.7</v>
      </c>
      <c r="I74" s="307">
        <v>0.1</v>
      </c>
      <c r="J74" s="307">
        <v>0.6</v>
      </c>
      <c r="K74" s="307">
        <v>3.3</v>
      </c>
      <c r="L74" s="307">
        <v>1.2</v>
      </c>
      <c r="M74" s="307">
        <v>2</v>
      </c>
      <c r="N74" s="307">
        <v>0.8</v>
      </c>
      <c r="O74" s="307">
        <v>0.2</v>
      </c>
      <c r="P74" s="307">
        <v>0.5</v>
      </c>
    </row>
    <row r="75" spans="1:16" s="300" customFormat="1" ht="15" customHeight="1" x14ac:dyDescent="0.25">
      <c r="A75" s="299" t="s">
        <v>296</v>
      </c>
      <c r="B75" s="307">
        <v>5.4</v>
      </c>
      <c r="C75" s="307">
        <v>2</v>
      </c>
      <c r="D75" s="307">
        <v>3.3</v>
      </c>
      <c r="E75" s="307">
        <v>0.4</v>
      </c>
      <c r="F75" s="307">
        <v>0.1</v>
      </c>
      <c r="G75" s="307">
        <v>0.3</v>
      </c>
      <c r="H75" s="307">
        <v>0.5</v>
      </c>
      <c r="I75" s="307">
        <v>0.2</v>
      </c>
      <c r="J75" s="307">
        <v>0.3</v>
      </c>
      <c r="K75" s="307">
        <v>3.8</v>
      </c>
      <c r="L75" s="307">
        <v>1.6</v>
      </c>
      <c r="M75" s="307">
        <v>2.2000000000000002</v>
      </c>
      <c r="N75" s="307">
        <v>0.8</v>
      </c>
      <c r="O75" s="307" t="s">
        <v>330</v>
      </c>
      <c r="P75" s="307">
        <v>0.6</v>
      </c>
    </row>
    <row r="76" spans="1:16" s="300" customFormat="1" ht="15" customHeight="1" x14ac:dyDescent="0.25">
      <c r="A76" s="299" t="s">
        <v>297</v>
      </c>
      <c r="B76" s="307">
        <v>4</v>
      </c>
      <c r="C76" s="307">
        <v>1.7</v>
      </c>
      <c r="D76" s="307">
        <v>2.2000000000000002</v>
      </c>
      <c r="E76" s="307">
        <v>0.2</v>
      </c>
      <c r="F76" s="307" t="s">
        <v>330</v>
      </c>
      <c r="G76" s="307">
        <v>0.1</v>
      </c>
      <c r="H76" s="307">
        <v>0.4</v>
      </c>
      <c r="I76" s="307">
        <v>0.2</v>
      </c>
      <c r="J76" s="307">
        <v>0.2</v>
      </c>
      <c r="K76" s="307">
        <v>2.9</v>
      </c>
      <c r="L76" s="307">
        <v>1.4</v>
      </c>
      <c r="M76" s="307">
        <v>1.5</v>
      </c>
      <c r="N76" s="307">
        <v>0.4</v>
      </c>
      <c r="O76" s="307" t="s">
        <v>330</v>
      </c>
      <c r="P76" s="307">
        <v>0.3</v>
      </c>
    </row>
    <row r="77" spans="1:16" s="300" customFormat="1" ht="15" customHeight="1" x14ac:dyDescent="0.25">
      <c r="A77" s="301"/>
      <c r="B77" s="306"/>
      <c r="C77" s="306"/>
      <c r="D77" s="306"/>
      <c r="E77" s="306"/>
      <c r="F77" s="306"/>
      <c r="G77" s="306"/>
      <c r="H77" s="306"/>
      <c r="I77" s="306"/>
      <c r="J77" s="306"/>
      <c r="K77" s="306"/>
      <c r="L77" s="306"/>
      <c r="M77" s="306"/>
      <c r="N77" s="306"/>
      <c r="O77" s="306"/>
      <c r="P77" s="310"/>
    </row>
    <row r="78" spans="1:16" s="300" customFormat="1" ht="15" customHeight="1" x14ac:dyDescent="0.25">
      <c r="A78" s="301"/>
      <c r="B78" s="306"/>
      <c r="C78" s="306"/>
      <c r="D78" s="306"/>
      <c r="E78" s="306"/>
      <c r="F78" s="306"/>
      <c r="G78" s="306"/>
      <c r="H78" s="306"/>
      <c r="I78" s="306"/>
      <c r="J78" s="306"/>
      <c r="K78" s="306"/>
      <c r="L78" s="306"/>
      <c r="M78" s="306"/>
      <c r="N78" s="306"/>
      <c r="O78" s="306"/>
      <c r="P78" s="306"/>
    </row>
    <row r="79" spans="1:16" s="300" customFormat="1" ht="15" customHeight="1" x14ac:dyDescent="0.25">
      <c r="A79" s="312">
        <v>2008</v>
      </c>
      <c r="B79" s="306"/>
      <c r="C79" s="306"/>
      <c r="D79" s="306"/>
      <c r="E79" s="305"/>
      <c r="F79" s="306"/>
      <c r="G79" s="306"/>
      <c r="H79" s="306"/>
      <c r="I79" s="306"/>
      <c r="J79" s="306"/>
      <c r="K79" s="305"/>
      <c r="L79" s="305"/>
      <c r="M79" s="306"/>
      <c r="N79" s="306"/>
      <c r="O79" s="306"/>
      <c r="P79" s="306"/>
    </row>
    <row r="80" spans="1:16" s="300" customFormat="1" ht="10.5" customHeight="1" x14ac:dyDescent="0.25">
      <c r="A80" s="299"/>
      <c r="B80" s="302"/>
      <c r="C80" s="302"/>
      <c r="D80" s="302"/>
      <c r="E80" s="302"/>
      <c r="F80" s="302"/>
      <c r="G80" s="302"/>
      <c r="H80" s="302"/>
      <c r="I80" s="302"/>
      <c r="J80" s="302"/>
      <c r="K80" s="302"/>
      <c r="L80" s="302"/>
      <c r="M80" s="302"/>
      <c r="N80" s="302"/>
      <c r="O80" s="302"/>
      <c r="P80" s="302"/>
    </row>
    <row r="81" spans="1:16" s="300" customFormat="1" ht="15" customHeight="1" x14ac:dyDescent="0.25">
      <c r="A81" s="304" t="s">
        <v>91</v>
      </c>
      <c r="B81" s="306">
        <v>80.5</v>
      </c>
      <c r="C81" s="306">
        <v>27.8</v>
      </c>
      <c r="D81" s="306">
        <v>50.8</v>
      </c>
      <c r="E81" s="305">
        <v>5</v>
      </c>
      <c r="F81" s="306">
        <v>1.6</v>
      </c>
      <c r="G81" s="306">
        <v>3.3</v>
      </c>
      <c r="H81" s="306">
        <v>8.1999999999999993</v>
      </c>
      <c r="I81" s="306">
        <v>2.7</v>
      </c>
      <c r="J81" s="306">
        <v>5.4</v>
      </c>
      <c r="K81" s="305">
        <v>54</v>
      </c>
      <c r="L81" s="305">
        <v>21</v>
      </c>
      <c r="M81" s="306">
        <v>32.4</v>
      </c>
      <c r="N81" s="306">
        <v>13.3</v>
      </c>
      <c r="O81" s="306">
        <v>2.4</v>
      </c>
      <c r="P81" s="306">
        <v>9.6999999999999993</v>
      </c>
    </row>
    <row r="82" spans="1:16" s="300" customFormat="1" ht="10.5" customHeight="1" x14ac:dyDescent="0.25">
      <c r="A82" s="299"/>
      <c r="B82" s="302"/>
      <c r="C82" s="302"/>
      <c r="D82" s="302"/>
      <c r="E82" s="302"/>
      <c r="F82" s="302"/>
      <c r="G82" s="302"/>
      <c r="H82" s="302"/>
      <c r="I82" s="302"/>
      <c r="J82" s="302"/>
      <c r="K82" s="302"/>
      <c r="L82" s="302"/>
      <c r="M82" s="302"/>
      <c r="N82" s="302"/>
      <c r="O82" s="302"/>
      <c r="P82" s="302"/>
    </row>
    <row r="83" spans="1:16" s="300" customFormat="1" ht="15" customHeight="1" x14ac:dyDescent="0.25">
      <c r="A83" s="299" t="s">
        <v>289</v>
      </c>
      <c r="B83" s="307">
        <v>4.8</v>
      </c>
      <c r="C83" s="307">
        <v>1.2</v>
      </c>
      <c r="D83" s="307">
        <v>3.3</v>
      </c>
      <c r="E83" s="307">
        <v>0.3</v>
      </c>
      <c r="F83" s="307" t="s">
        <v>330</v>
      </c>
      <c r="G83" s="307">
        <v>0.2</v>
      </c>
      <c r="H83" s="307">
        <v>0.4</v>
      </c>
      <c r="I83" s="307">
        <v>0.1</v>
      </c>
      <c r="J83" s="307">
        <v>0.3</v>
      </c>
      <c r="K83" s="307">
        <v>3</v>
      </c>
      <c r="L83" s="307">
        <v>1</v>
      </c>
      <c r="M83" s="307">
        <v>2</v>
      </c>
      <c r="N83" s="307">
        <v>1.1000000000000001</v>
      </c>
      <c r="O83" s="307">
        <v>0.1</v>
      </c>
      <c r="P83" s="307">
        <v>0.8</v>
      </c>
    </row>
    <row r="84" spans="1:16" s="300" customFormat="1" ht="15" customHeight="1" x14ac:dyDescent="0.25">
      <c r="A84" s="299" t="s">
        <v>290</v>
      </c>
      <c r="B84" s="307">
        <v>5.9</v>
      </c>
      <c r="C84" s="307">
        <v>2.2000000000000002</v>
      </c>
      <c r="D84" s="307">
        <v>3.6</v>
      </c>
      <c r="E84" s="307">
        <v>0.1</v>
      </c>
      <c r="F84" s="307" t="s">
        <v>330</v>
      </c>
      <c r="G84" s="307">
        <v>0.1</v>
      </c>
      <c r="H84" s="307">
        <v>0.4</v>
      </c>
      <c r="I84" s="307">
        <v>0.1</v>
      </c>
      <c r="J84" s="307">
        <v>0.3</v>
      </c>
      <c r="K84" s="307">
        <v>4.5999999999999996</v>
      </c>
      <c r="L84" s="307">
        <v>2.1</v>
      </c>
      <c r="M84" s="307">
        <v>2.5</v>
      </c>
      <c r="N84" s="307">
        <v>0.8</v>
      </c>
      <c r="O84" s="307" t="s">
        <v>330</v>
      </c>
      <c r="P84" s="307">
        <v>0.7</v>
      </c>
    </row>
    <row r="85" spans="1:16" s="300" customFormat="1" ht="15" customHeight="1" x14ac:dyDescent="0.25">
      <c r="A85" s="299" t="s">
        <v>291</v>
      </c>
      <c r="B85" s="313">
        <v>6.7</v>
      </c>
      <c r="C85" s="313">
        <v>2.2999999999999998</v>
      </c>
      <c r="D85" s="313">
        <v>4.3</v>
      </c>
      <c r="E85" s="313">
        <v>0.2</v>
      </c>
      <c r="F85" s="307" t="s">
        <v>330</v>
      </c>
      <c r="G85" s="313">
        <v>0.2</v>
      </c>
      <c r="H85" s="307">
        <v>0.5</v>
      </c>
      <c r="I85" s="307" t="s">
        <v>330</v>
      </c>
      <c r="J85" s="313">
        <v>0.4</v>
      </c>
      <c r="K85" s="307">
        <v>5</v>
      </c>
      <c r="L85" s="307">
        <v>2</v>
      </c>
      <c r="M85" s="307">
        <v>2.9</v>
      </c>
      <c r="N85" s="307">
        <v>1</v>
      </c>
      <c r="O85" s="307">
        <v>0.2</v>
      </c>
      <c r="P85" s="314">
        <v>0.8</v>
      </c>
    </row>
    <row r="86" spans="1:16" s="300" customFormat="1" ht="15" customHeight="1" x14ac:dyDescent="0.25">
      <c r="A86" s="299" t="s">
        <v>292</v>
      </c>
      <c r="B86" s="307">
        <v>7.1</v>
      </c>
      <c r="C86" s="307">
        <v>2.4</v>
      </c>
      <c r="D86" s="307">
        <v>4.5</v>
      </c>
      <c r="E86" s="307">
        <v>0.4</v>
      </c>
      <c r="F86" s="307">
        <v>0.1</v>
      </c>
      <c r="G86" s="307">
        <v>0.3</v>
      </c>
      <c r="H86" s="307">
        <v>0.6</v>
      </c>
      <c r="I86" s="307">
        <v>0.2</v>
      </c>
      <c r="J86" s="307">
        <v>0.4</v>
      </c>
      <c r="K86" s="307">
        <v>5</v>
      </c>
      <c r="L86" s="307">
        <v>2</v>
      </c>
      <c r="M86" s="307">
        <v>2.9</v>
      </c>
      <c r="N86" s="307">
        <v>1.1000000000000001</v>
      </c>
      <c r="O86" s="307">
        <v>0.1</v>
      </c>
      <c r="P86" s="307">
        <v>0.8</v>
      </c>
    </row>
    <row r="87" spans="1:16" s="300" customFormat="1" ht="15" customHeight="1" x14ac:dyDescent="0.25">
      <c r="A87" s="299" t="s">
        <v>293</v>
      </c>
      <c r="B87" s="307">
        <v>7.9</v>
      </c>
      <c r="C87" s="307">
        <v>2.8</v>
      </c>
      <c r="D87" s="307">
        <v>4.9000000000000004</v>
      </c>
      <c r="E87" s="307">
        <v>0.5</v>
      </c>
      <c r="F87" s="307">
        <v>0.2</v>
      </c>
      <c r="G87" s="307">
        <v>0.2</v>
      </c>
      <c r="H87" s="307">
        <v>0.8</v>
      </c>
      <c r="I87" s="307">
        <v>0.3</v>
      </c>
      <c r="J87" s="307">
        <v>0.5</v>
      </c>
      <c r="K87" s="307">
        <v>5.3</v>
      </c>
      <c r="L87" s="307">
        <v>2</v>
      </c>
      <c r="M87" s="307">
        <v>3.2</v>
      </c>
      <c r="N87" s="307">
        <v>1.4</v>
      </c>
      <c r="O87" s="307">
        <v>0.3</v>
      </c>
      <c r="P87" s="307">
        <v>1</v>
      </c>
    </row>
    <row r="88" spans="1:16" s="300" customFormat="1" ht="15" customHeight="1" x14ac:dyDescent="0.25">
      <c r="A88" s="299" t="s">
        <v>282</v>
      </c>
      <c r="B88" s="307">
        <v>7.9</v>
      </c>
      <c r="C88" s="307">
        <v>2.9</v>
      </c>
      <c r="D88" s="307">
        <v>4.8</v>
      </c>
      <c r="E88" s="307">
        <v>0.8</v>
      </c>
      <c r="F88" s="307">
        <v>0.2</v>
      </c>
      <c r="G88" s="307">
        <v>0.6</v>
      </c>
      <c r="H88" s="307">
        <v>0.7</v>
      </c>
      <c r="I88" s="307">
        <v>0.3</v>
      </c>
      <c r="J88" s="307">
        <v>0.4</v>
      </c>
      <c r="K88" s="307">
        <v>5.0999999999999996</v>
      </c>
      <c r="L88" s="307">
        <v>2.1</v>
      </c>
      <c r="M88" s="307">
        <v>3</v>
      </c>
      <c r="N88" s="307">
        <v>1.2</v>
      </c>
      <c r="O88" s="307">
        <v>0.3</v>
      </c>
      <c r="P88" s="307">
        <v>0.8</v>
      </c>
    </row>
    <row r="89" spans="1:16" s="300" customFormat="1" ht="15" customHeight="1" x14ac:dyDescent="0.25">
      <c r="A89" s="299" t="s">
        <v>283</v>
      </c>
      <c r="B89" s="307">
        <v>7.6</v>
      </c>
      <c r="C89" s="307">
        <v>2.4</v>
      </c>
      <c r="D89" s="307">
        <v>4.9000000000000004</v>
      </c>
      <c r="E89" s="307">
        <v>0.3</v>
      </c>
      <c r="F89" s="307">
        <v>0.1</v>
      </c>
      <c r="G89" s="307">
        <v>0.2</v>
      </c>
      <c r="H89" s="307">
        <v>1</v>
      </c>
      <c r="I89" s="307">
        <v>0.4</v>
      </c>
      <c r="J89" s="307">
        <v>0.5</v>
      </c>
      <c r="K89" s="307">
        <v>4.8</v>
      </c>
      <c r="L89" s="307">
        <v>1.6</v>
      </c>
      <c r="M89" s="307">
        <v>3.2</v>
      </c>
      <c r="N89" s="307">
        <v>1.4</v>
      </c>
      <c r="O89" s="307">
        <v>0.3</v>
      </c>
      <c r="P89" s="307">
        <v>1</v>
      </c>
    </row>
    <row r="90" spans="1:16" s="300" customFormat="1" ht="15" customHeight="1" x14ac:dyDescent="0.25">
      <c r="A90" s="299" t="s">
        <v>284</v>
      </c>
      <c r="B90" s="307">
        <v>7.6</v>
      </c>
      <c r="C90" s="307">
        <v>2.7</v>
      </c>
      <c r="D90" s="307">
        <v>4.7</v>
      </c>
      <c r="E90" s="307">
        <v>0.7</v>
      </c>
      <c r="F90" s="307">
        <v>0.2</v>
      </c>
      <c r="G90" s="307">
        <v>0.4</v>
      </c>
      <c r="H90" s="307">
        <v>0.7</v>
      </c>
      <c r="I90" s="307">
        <v>0.3</v>
      </c>
      <c r="J90" s="307">
        <v>0.5</v>
      </c>
      <c r="K90" s="307">
        <v>4.8</v>
      </c>
      <c r="L90" s="307">
        <v>1.9</v>
      </c>
      <c r="M90" s="307">
        <v>2.8</v>
      </c>
      <c r="N90" s="307">
        <v>1.5</v>
      </c>
      <c r="O90" s="307">
        <v>0.3</v>
      </c>
      <c r="P90" s="307">
        <v>1</v>
      </c>
    </row>
    <row r="91" spans="1:16" s="300" customFormat="1" ht="15" customHeight="1" x14ac:dyDescent="0.25">
      <c r="A91" s="299" t="s">
        <v>294</v>
      </c>
      <c r="B91" s="307">
        <v>7.2</v>
      </c>
      <c r="C91" s="307">
        <v>2.5</v>
      </c>
      <c r="D91" s="307">
        <v>4.5999999999999996</v>
      </c>
      <c r="E91" s="307">
        <v>0.4</v>
      </c>
      <c r="F91" s="307">
        <v>0.2</v>
      </c>
      <c r="G91" s="307">
        <v>0.2</v>
      </c>
      <c r="H91" s="307">
        <v>1</v>
      </c>
      <c r="I91" s="307">
        <v>0.5</v>
      </c>
      <c r="J91" s="307">
        <v>0.6</v>
      </c>
      <c r="K91" s="307">
        <v>4.7</v>
      </c>
      <c r="L91" s="307">
        <v>1.6</v>
      </c>
      <c r="M91" s="307">
        <v>3</v>
      </c>
      <c r="N91" s="307">
        <v>1.2</v>
      </c>
      <c r="O91" s="307">
        <v>0.2</v>
      </c>
      <c r="P91" s="307">
        <v>0.8</v>
      </c>
    </row>
    <row r="92" spans="1:16" s="300" customFormat="1" ht="15" customHeight="1" x14ac:dyDescent="0.25">
      <c r="A92" s="299" t="s">
        <v>295</v>
      </c>
      <c r="B92" s="307">
        <v>7.2</v>
      </c>
      <c r="C92" s="307">
        <v>2.5</v>
      </c>
      <c r="D92" s="307">
        <v>4.5</v>
      </c>
      <c r="E92" s="307">
        <v>0.8</v>
      </c>
      <c r="F92" s="307">
        <v>0.3</v>
      </c>
      <c r="G92" s="307">
        <v>0.5</v>
      </c>
      <c r="H92" s="307">
        <v>0.8</v>
      </c>
      <c r="I92" s="307">
        <v>0.2</v>
      </c>
      <c r="J92" s="307">
        <v>0.6</v>
      </c>
      <c r="K92" s="307">
        <v>4.5999999999999996</v>
      </c>
      <c r="L92" s="307">
        <v>1.8</v>
      </c>
      <c r="M92" s="307">
        <v>2.7</v>
      </c>
      <c r="N92" s="307">
        <v>1</v>
      </c>
      <c r="O92" s="307">
        <v>0.2</v>
      </c>
      <c r="P92" s="307">
        <v>0.7</v>
      </c>
    </row>
    <row r="93" spans="1:16" s="300" customFormat="1" ht="15" customHeight="1" x14ac:dyDescent="0.25">
      <c r="A93" s="299" t="s">
        <v>296</v>
      </c>
      <c r="B93" s="307">
        <v>5.4</v>
      </c>
      <c r="C93" s="307">
        <v>2</v>
      </c>
      <c r="D93" s="307">
        <v>3.3</v>
      </c>
      <c r="E93" s="307">
        <v>0.2</v>
      </c>
      <c r="F93" s="307" t="s">
        <v>330</v>
      </c>
      <c r="G93" s="307">
        <v>0.2</v>
      </c>
      <c r="H93" s="307">
        <v>0.8</v>
      </c>
      <c r="I93" s="307">
        <v>0.3</v>
      </c>
      <c r="J93" s="307">
        <v>0.5</v>
      </c>
      <c r="K93" s="307">
        <v>3.7</v>
      </c>
      <c r="L93" s="307">
        <v>1.5</v>
      </c>
      <c r="M93" s="307">
        <v>2.1</v>
      </c>
      <c r="N93" s="307">
        <v>0.7</v>
      </c>
      <c r="O93" s="307">
        <v>0.1</v>
      </c>
      <c r="P93" s="307">
        <v>0.5</v>
      </c>
    </row>
    <row r="94" spans="1:16" s="300" customFormat="1" ht="15" customHeight="1" x14ac:dyDescent="0.25">
      <c r="A94" s="299" t="s">
        <v>297</v>
      </c>
      <c r="B94" s="307">
        <v>5.3</v>
      </c>
      <c r="C94" s="307">
        <v>1.8</v>
      </c>
      <c r="D94" s="307">
        <v>3.3</v>
      </c>
      <c r="E94" s="307">
        <v>0.3</v>
      </c>
      <c r="F94" s="307">
        <v>0.1</v>
      </c>
      <c r="G94" s="307">
        <v>0.3</v>
      </c>
      <c r="H94" s="307">
        <v>0.5</v>
      </c>
      <c r="I94" s="307">
        <v>0.1</v>
      </c>
      <c r="J94" s="307">
        <v>0.4</v>
      </c>
      <c r="K94" s="307">
        <v>3.4</v>
      </c>
      <c r="L94" s="307">
        <v>1.4</v>
      </c>
      <c r="M94" s="307">
        <v>1.9</v>
      </c>
      <c r="N94" s="307">
        <v>1</v>
      </c>
      <c r="O94" s="307">
        <v>0.2</v>
      </c>
      <c r="P94" s="307">
        <v>0.7</v>
      </c>
    </row>
    <row r="95" spans="1:16" s="300" customFormat="1" ht="15" customHeight="1" x14ac:dyDescent="0.3">
      <c r="A95" s="301"/>
      <c r="B95" s="315"/>
      <c r="C95" s="315"/>
      <c r="D95" s="315"/>
      <c r="E95" s="315"/>
      <c r="F95" s="315"/>
      <c r="G95" s="315"/>
      <c r="H95" s="315"/>
      <c r="I95" s="315"/>
      <c r="J95" s="315"/>
      <c r="K95" s="315"/>
      <c r="L95" s="315"/>
      <c r="M95" s="315"/>
      <c r="N95" s="315"/>
      <c r="O95" s="315"/>
      <c r="P95" s="315"/>
    </row>
    <row r="96" spans="1:16" s="300" customFormat="1" ht="15" customHeight="1" x14ac:dyDescent="0.25">
      <c r="A96" s="301"/>
      <c r="B96" s="306"/>
      <c r="C96" s="306"/>
      <c r="D96" s="306"/>
      <c r="E96" s="306"/>
      <c r="F96" s="306"/>
      <c r="G96" s="306"/>
      <c r="H96" s="306"/>
      <c r="I96" s="306"/>
      <c r="J96" s="306"/>
      <c r="K96" s="306"/>
      <c r="L96" s="306"/>
      <c r="M96" s="306"/>
      <c r="N96" s="306"/>
      <c r="O96" s="306"/>
      <c r="P96" s="306"/>
    </row>
    <row r="97" spans="1:16" s="298" customFormat="1" ht="15" customHeight="1" x14ac:dyDescent="0.25">
      <c r="A97" s="312">
        <v>2007</v>
      </c>
      <c r="B97" s="302"/>
      <c r="C97" s="302"/>
      <c r="D97" s="302"/>
      <c r="E97" s="302"/>
      <c r="F97" s="302"/>
      <c r="G97" s="302"/>
      <c r="H97" s="302"/>
      <c r="I97" s="302"/>
      <c r="J97" s="309"/>
      <c r="K97" s="302"/>
      <c r="L97" s="302"/>
      <c r="M97" s="302"/>
      <c r="N97" s="309"/>
      <c r="O97" s="302"/>
      <c r="P97" s="302"/>
    </row>
    <row r="98" spans="1:16" s="300" customFormat="1" ht="10.5" customHeight="1" x14ac:dyDescent="0.25">
      <c r="A98" s="299"/>
      <c r="B98" s="302"/>
      <c r="C98" s="302"/>
      <c r="D98" s="302"/>
      <c r="E98" s="302"/>
      <c r="F98" s="302"/>
      <c r="G98" s="302"/>
      <c r="H98" s="302"/>
      <c r="I98" s="302"/>
      <c r="J98" s="302"/>
      <c r="K98" s="302"/>
      <c r="L98" s="302"/>
      <c r="M98" s="302"/>
      <c r="N98" s="302"/>
      <c r="O98" s="302"/>
      <c r="P98" s="302"/>
    </row>
    <row r="99" spans="1:16" s="300" customFormat="1" ht="15" customHeight="1" x14ac:dyDescent="0.25">
      <c r="A99" s="304" t="s">
        <v>91</v>
      </c>
      <c r="B99" s="305">
        <v>94.8</v>
      </c>
      <c r="C99" s="305">
        <v>28.6</v>
      </c>
      <c r="D99" s="305">
        <v>63.1</v>
      </c>
      <c r="E99" s="305">
        <v>7</v>
      </c>
      <c r="F99" s="305">
        <v>2.4</v>
      </c>
      <c r="G99" s="305">
        <v>4.5</v>
      </c>
      <c r="H99" s="305">
        <v>10.8</v>
      </c>
      <c r="I99" s="305">
        <v>3.4</v>
      </c>
      <c r="J99" s="305">
        <v>7.3</v>
      </c>
      <c r="K99" s="305">
        <v>59.4</v>
      </c>
      <c r="L99" s="305">
        <v>20.6</v>
      </c>
      <c r="M99" s="305">
        <v>38.1</v>
      </c>
      <c r="N99" s="305">
        <v>17.7</v>
      </c>
      <c r="O99" s="305">
        <v>2.2999999999999998</v>
      </c>
      <c r="P99" s="305">
        <v>13.3</v>
      </c>
    </row>
    <row r="100" spans="1:16" s="300" customFormat="1" ht="10.5" customHeight="1" x14ac:dyDescent="0.25">
      <c r="A100" s="299"/>
      <c r="B100" s="302"/>
      <c r="C100" s="302"/>
      <c r="D100" s="302"/>
      <c r="E100" s="302"/>
      <c r="F100" s="302"/>
      <c r="G100" s="302"/>
      <c r="H100" s="302"/>
      <c r="I100" s="302"/>
      <c r="J100" s="302"/>
      <c r="K100" s="302"/>
      <c r="L100" s="302"/>
      <c r="M100" s="302"/>
      <c r="N100" s="302"/>
      <c r="O100" s="302"/>
      <c r="P100" s="302"/>
    </row>
    <row r="101" spans="1:16" s="300" customFormat="1" ht="15" customHeight="1" x14ac:dyDescent="0.25">
      <c r="A101" s="299" t="s">
        <v>289</v>
      </c>
      <c r="B101" s="307">
        <v>5.6</v>
      </c>
      <c r="C101" s="307">
        <v>1.5</v>
      </c>
      <c r="D101" s="307">
        <v>3.9</v>
      </c>
      <c r="E101" s="316">
        <v>0.2</v>
      </c>
      <c r="F101" s="316">
        <v>0.1</v>
      </c>
      <c r="G101" s="316">
        <v>0.1</v>
      </c>
      <c r="H101" s="316">
        <v>0.4</v>
      </c>
      <c r="I101" s="316" t="s">
        <v>330</v>
      </c>
      <c r="J101" s="316">
        <v>0.3</v>
      </c>
      <c r="K101" s="307">
        <v>3.7</v>
      </c>
      <c r="L101" s="307">
        <v>1.2</v>
      </c>
      <c r="M101" s="307">
        <v>2.4</v>
      </c>
      <c r="N101" s="307">
        <v>1.3</v>
      </c>
      <c r="O101" s="316">
        <v>0.2</v>
      </c>
      <c r="P101" s="307">
        <v>1</v>
      </c>
    </row>
    <row r="102" spans="1:16" s="300" customFormat="1" ht="15" customHeight="1" x14ac:dyDescent="0.25">
      <c r="A102" s="299" t="s">
        <v>290</v>
      </c>
      <c r="B102" s="307">
        <v>5.3</v>
      </c>
      <c r="C102" s="307">
        <v>1.4</v>
      </c>
      <c r="D102" s="307">
        <v>3.8</v>
      </c>
      <c r="E102" s="307">
        <v>0.4</v>
      </c>
      <c r="F102" s="307">
        <v>0.2</v>
      </c>
      <c r="G102" s="307">
        <v>0.3</v>
      </c>
      <c r="H102" s="307">
        <v>0.2</v>
      </c>
      <c r="I102" s="316" t="s">
        <v>330</v>
      </c>
      <c r="J102" s="307">
        <v>0.2</v>
      </c>
      <c r="K102" s="307">
        <v>3.6</v>
      </c>
      <c r="L102" s="307">
        <v>1.1000000000000001</v>
      </c>
      <c r="M102" s="307">
        <v>2.4</v>
      </c>
      <c r="N102" s="307">
        <v>1.1000000000000001</v>
      </c>
      <c r="O102" s="316">
        <v>0.1</v>
      </c>
      <c r="P102" s="307">
        <v>1</v>
      </c>
    </row>
    <row r="103" spans="1:16" s="300" customFormat="1" ht="15" customHeight="1" x14ac:dyDescent="0.25">
      <c r="A103" s="299" t="s">
        <v>291</v>
      </c>
      <c r="B103" s="307">
        <v>8.1</v>
      </c>
      <c r="C103" s="307">
        <v>2.5</v>
      </c>
      <c r="D103" s="307">
        <v>5.3</v>
      </c>
      <c r="E103" s="307">
        <v>0.4</v>
      </c>
      <c r="F103" s="307">
        <v>0.1</v>
      </c>
      <c r="G103" s="307">
        <v>0.3</v>
      </c>
      <c r="H103" s="307">
        <v>0.9</v>
      </c>
      <c r="I103" s="307">
        <v>0.4</v>
      </c>
      <c r="J103" s="307">
        <v>0.5</v>
      </c>
      <c r="K103" s="307">
        <v>5.5</v>
      </c>
      <c r="L103" s="307">
        <v>1.8</v>
      </c>
      <c r="M103" s="307">
        <v>3.6</v>
      </c>
      <c r="N103" s="307">
        <v>1.3</v>
      </c>
      <c r="O103" s="307">
        <v>0.2</v>
      </c>
      <c r="P103" s="307">
        <v>0.9</v>
      </c>
    </row>
    <row r="104" spans="1:16" s="300" customFormat="1" ht="15" customHeight="1" x14ac:dyDescent="0.25">
      <c r="A104" s="299" t="s">
        <v>292</v>
      </c>
      <c r="B104" s="307">
        <v>7.2</v>
      </c>
      <c r="C104" s="307">
        <v>2.1</v>
      </c>
      <c r="D104" s="307">
        <v>4.8</v>
      </c>
      <c r="E104" s="307">
        <v>0.4</v>
      </c>
      <c r="F104" s="307">
        <v>0.2</v>
      </c>
      <c r="G104" s="307">
        <v>0.1</v>
      </c>
      <c r="H104" s="307">
        <v>0.9</v>
      </c>
      <c r="I104" s="307">
        <v>0.4</v>
      </c>
      <c r="J104" s="307">
        <v>0.5</v>
      </c>
      <c r="K104" s="307">
        <v>4.5999999999999996</v>
      </c>
      <c r="L104" s="307">
        <v>1.4</v>
      </c>
      <c r="M104" s="307">
        <v>3.1</v>
      </c>
      <c r="N104" s="307">
        <v>1.3</v>
      </c>
      <c r="O104" s="316" t="s">
        <v>330</v>
      </c>
      <c r="P104" s="307">
        <v>1.1000000000000001</v>
      </c>
    </row>
    <row r="105" spans="1:16" s="300" customFormat="1" ht="15" customHeight="1" x14ac:dyDescent="0.25">
      <c r="A105" s="299" t="s">
        <v>293</v>
      </c>
      <c r="B105" s="307">
        <v>9.1</v>
      </c>
      <c r="C105" s="307">
        <v>2.9</v>
      </c>
      <c r="D105" s="307">
        <v>6</v>
      </c>
      <c r="E105" s="307">
        <v>0.5</v>
      </c>
      <c r="F105" s="307">
        <v>0.3</v>
      </c>
      <c r="G105" s="307">
        <v>0.2</v>
      </c>
      <c r="H105" s="307">
        <v>1.1000000000000001</v>
      </c>
      <c r="I105" s="307">
        <v>0.5</v>
      </c>
      <c r="J105" s="307">
        <v>0.6</v>
      </c>
      <c r="K105" s="307">
        <v>5.5</v>
      </c>
      <c r="L105" s="307">
        <v>2</v>
      </c>
      <c r="M105" s="307">
        <v>3.5</v>
      </c>
      <c r="N105" s="307">
        <v>2</v>
      </c>
      <c r="O105" s="307">
        <v>0.2</v>
      </c>
      <c r="P105" s="307">
        <v>1.6</v>
      </c>
    </row>
    <row r="106" spans="1:16" s="300" customFormat="1" ht="15" customHeight="1" x14ac:dyDescent="0.25">
      <c r="A106" s="299" t="s">
        <v>282</v>
      </c>
      <c r="B106" s="307">
        <v>10</v>
      </c>
      <c r="C106" s="307">
        <v>3.4</v>
      </c>
      <c r="D106" s="313">
        <v>6.4</v>
      </c>
      <c r="E106" s="307">
        <v>1.1000000000000001</v>
      </c>
      <c r="F106" s="307">
        <v>0.4</v>
      </c>
      <c r="G106" s="307">
        <v>0.8</v>
      </c>
      <c r="H106" s="307">
        <v>1.4</v>
      </c>
      <c r="I106" s="307">
        <v>0.6</v>
      </c>
      <c r="J106" s="307">
        <v>0.8</v>
      </c>
      <c r="K106" s="307">
        <v>5.8</v>
      </c>
      <c r="L106" s="307">
        <v>2.2000000000000002</v>
      </c>
      <c r="M106" s="307">
        <v>3.6</v>
      </c>
      <c r="N106" s="307">
        <v>1.7</v>
      </c>
      <c r="O106" s="307">
        <v>0.3</v>
      </c>
      <c r="P106" s="307">
        <v>1.2</v>
      </c>
    </row>
    <row r="107" spans="1:16" s="300" customFormat="1" ht="15" customHeight="1" x14ac:dyDescent="0.25">
      <c r="A107" s="299" t="s">
        <v>283</v>
      </c>
      <c r="B107" s="307">
        <v>8.9</v>
      </c>
      <c r="C107" s="307">
        <v>3</v>
      </c>
      <c r="D107" s="307">
        <v>5.6</v>
      </c>
      <c r="E107" s="313">
        <v>0.7</v>
      </c>
      <c r="F107" s="313">
        <v>0.1</v>
      </c>
      <c r="G107" s="313">
        <v>0.6</v>
      </c>
      <c r="H107" s="313">
        <v>1.1000000000000001</v>
      </c>
      <c r="I107" s="313">
        <v>0.3</v>
      </c>
      <c r="J107" s="313">
        <v>0.7</v>
      </c>
      <c r="K107" s="313">
        <v>5.5</v>
      </c>
      <c r="L107" s="307">
        <v>2.2999999999999998</v>
      </c>
      <c r="M107" s="307">
        <v>3.1</v>
      </c>
      <c r="N107" s="307">
        <v>1.7</v>
      </c>
      <c r="O107" s="313">
        <v>0.2</v>
      </c>
      <c r="P107" s="313">
        <v>1.2</v>
      </c>
    </row>
    <row r="108" spans="1:16" s="300" customFormat="1" ht="15" customHeight="1" x14ac:dyDescent="0.25">
      <c r="A108" s="299" t="s">
        <v>284</v>
      </c>
      <c r="B108" s="307">
        <v>9</v>
      </c>
      <c r="C108" s="307">
        <v>2.4</v>
      </c>
      <c r="D108" s="307">
        <v>6.1</v>
      </c>
      <c r="E108" s="307">
        <v>0.8</v>
      </c>
      <c r="F108" s="307">
        <v>0.2</v>
      </c>
      <c r="G108" s="307">
        <v>0.6</v>
      </c>
      <c r="H108" s="307">
        <v>0.7</v>
      </c>
      <c r="I108" s="307">
        <v>0.2</v>
      </c>
      <c r="J108" s="317">
        <v>0.5</v>
      </c>
      <c r="K108" s="307">
        <v>5.6</v>
      </c>
      <c r="L108" s="307">
        <v>1.8</v>
      </c>
      <c r="M108" s="307">
        <v>3.8</v>
      </c>
      <c r="N108" s="307">
        <v>1.8</v>
      </c>
      <c r="O108" s="307">
        <v>0.3</v>
      </c>
      <c r="P108" s="307">
        <v>1.2</v>
      </c>
    </row>
    <row r="109" spans="1:16" s="300" customFormat="1" ht="15" customHeight="1" x14ac:dyDescent="0.25">
      <c r="A109" s="299" t="s">
        <v>294</v>
      </c>
      <c r="B109" s="307">
        <v>8.3000000000000007</v>
      </c>
      <c r="C109" s="307">
        <v>2.4</v>
      </c>
      <c r="D109" s="307">
        <v>5.7</v>
      </c>
      <c r="E109" s="307">
        <v>1</v>
      </c>
      <c r="F109" s="307">
        <v>0.4</v>
      </c>
      <c r="G109" s="307">
        <v>0.6</v>
      </c>
      <c r="H109" s="307">
        <v>1.3</v>
      </c>
      <c r="I109" s="307">
        <v>0.4</v>
      </c>
      <c r="J109" s="317">
        <v>0.9</v>
      </c>
      <c r="K109" s="307">
        <v>4.7</v>
      </c>
      <c r="L109" s="307">
        <v>1.4</v>
      </c>
      <c r="M109" s="307">
        <v>3.2</v>
      </c>
      <c r="N109" s="307">
        <v>1.3</v>
      </c>
      <c r="O109" s="307">
        <v>0.2</v>
      </c>
      <c r="P109" s="307">
        <v>1</v>
      </c>
    </row>
    <row r="110" spans="1:16" s="300" customFormat="1" ht="15" customHeight="1" x14ac:dyDescent="0.25">
      <c r="A110" s="299" t="s">
        <v>295</v>
      </c>
      <c r="B110" s="313">
        <v>8.6999999999999993</v>
      </c>
      <c r="C110" s="313">
        <v>2.5</v>
      </c>
      <c r="D110" s="307">
        <v>5.9</v>
      </c>
      <c r="E110" s="313">
        <v>0.5</v>
      </c>
      <c r="F110" s="313">
        <v>0.1</v>
      </c>
      <c r="G110" s="313">
        <v>0.4</v>
      </c>
      <c r="H110" s="313">
        <v>1.3</v>
      </c>
      <c r="I110" s="313">
        <v>0.3</v>
      </c>
      <c r="J110" s="307">
        <v>0.9</v>
      </c>
      <c r="K110" s="307">
        <v>5.5</v>
      </c>
      <c r="L110" s="307">
        <v>2</v>
      </c>
      <c r="M110" s="307">
        <v>3.4</v>
      </c>
      <c r="N110" s="313">
        <v>1.5</v>
      </c>
      <c r="O110" s="313">
        <v>0.1</v>
      </c>
      <c r="P110" s="313">
        <v>1.2</v>
      </c>
    </row>
    <row r="111" spans="1:16" s="300" customFormat="1" ht="15" customHeight="1" x14ac:dyDescent="0.25">
      <c r="A111" s="299" t="s">
        <v>296</v>
      </c>
      <c r="B111" s="307">
        <v>8.5</v>
      </c>
      <c r="C111" s="307">
        <v>2.9</v>
      </c>
      <c r="D111" s="307">
        <v>5.3</v>
      </c>
      <c r="E111" s="307">
        <v>0.8</v>
      </c>
      <c r="F111" s="307">
        <v>0.4</v>
      </c>
      <c r="G111" s="307">
        <v>0.4</v>
      </c>
      <c r="H111" s="307">
        <v>1.1000000000000001</v>
      </c>
      <c r="I111" s="307">
        <v>0.2</v>
      </c>
      <c r="J111" s="307">
        <v>0.9</v>
      </c>
      <c r="K111" s="307">
        <v>5.0999999999999996</v>
      </c>
      <c r="L111" s="307">
        <v>2</v>
      </c>
      <c r="M111" s="307">
        <v>3</v>
      </c>
      <c r="N111" s="307">
        <v>1.5</v>
      </c>
      <c r="O111" s="307">
        <v>0.2</v>
      </c>
      <c r="P111" s="307">
        <v>1.1000000000000001</v>
      </c>
    </row>
    <row r="112" spans="1:16" s="300" customFormat="1" ht="15" customHeight="1" x14ac:dyDescent="0.25">
      <c r="A112" s="299" t="s">
        <v>297</v>
      </c>
      <c r="B112" s="307">
        <v>6.1</v>
      </c>
      <c r="C112" s="307">
        <v>1.6</v>
      </c>
      <c r="D112" s="307">
        <v>4.2</v>
      </c>
      <c r="E112" s="307">
        <v>0.2</v>
      </c>
      <c r="F112" s="307">
        <v>0.1</v>
      </c>
      <c r="G112" s="307">
        <v>0.2</v>
      </c>
      <c r="H112" s="307">
        <v>0.5</v>
      </c>
      <c r="I112" s="307">
        <v>0.1</v>
      </c>
      <c r="J112" s="307">
        <v>0.4</v>
      </c>
      <c r="K112" s="307">
        <v>4.3</v>
      </c>
      <c r="L112" s="307">
        <v>1.3</v>
      </c>
      <c r="M112" s="307">
        <v>3</v>
      </c>
      <c r="N112" s="307">
        <v>1.1000000000000001</v>
      </c>
      <c r="O112" s="307">
        <v>0.2</v>
      </c>
      <c r="P112" s="307">
        <v>0.8</v>
      </c>
    </row>
    <row r="113" spans="1:16" s="300" customFormat="1" ht="15" customHeight="1" x14ac:dyDescent="0.25">
      <c r="A113" s="299"/>
      <c r="B113" s="306"/>
      <c r="C113" s="306"/>
      <c r="D113" s="306"/>
      <c r="E113" s="306"/>
      <c r="F113" s="306"/>
      <c r="G113" s="306"/>
      <c r="H113" s="306"/>
      <c r="I113" s="306"/>
      <c r="J113" s="306"/>
      <c r="K113" s="306"/>
      <c r="L113" s="306"/>
      <c r="M113" s="306"/>
      <c r="N113" s="306"/>
      <c r="O113" s="306"/>
      <c r="P113" s="306"/>
    </row>
    <row r="114" spans="1:16" s="300" customFormat="1" ht="15" customHeight="1" x14ac:dyDescent="0.25">
      <c r="A114" s="299"/>
      <c r="B114" s="306"/>
      <c r="C114" s="306"/>
      <c r="D114" s="306"/>
      <c r="E114" s="306"/>
      <c r="F114" s="306"/>
      <c r="G114" s="306"/>
      <c r="H114" s="306"/>
      <c r="I114" s="306"/>
      <c r="J114" s="306"/>
      <c r="K114" s="306"/>
      <c r="L114" s="306"/>
      <c r="M114" s="306"/>
      <c r="N114" s="306"/>
      <c r="O114" s="306"/>
      <c r="P114" s="306"/>
    </row>
    <row r="115" spans="1:16" s="300" customFormat="1" ht="15" customHeight="1" x14ac:dyDescent="0.25">
      <c r="A115" s="312">
        <v>2006</v>
      </c>
      <c r="B115" s="306"/>
      <c r="C115" s="306"/>
      <c r="D115" s="306"/>
      <c r="E115" s="306"/>
      <c r="F115" s="306"/>
      <c r="G115" s="305"/>
      <c r="H115" s="306"/>
      <c r="I115" s="305"/>
      <c r="J115" s="306"/>
      <c r="K115" s="306"/>
      <c r="L115" s="305"/>
      <c r="M115" s="306"/>
      <c r="N115" s="306"/>
      <c r="O115" s="305"/>
      <c r="P115" s="306"/>
    </row>
    <row r="116" spans="1:16" s="300" customFormat="1" ht="10.5" customHeight="1" x14ac:dyDescent="0.25">
      <c r="A116" s="299"/>
      <c r="B116" s="302"/>
      <c r="C116" s="302"/>
      <c r="D116" s="302"/>
      <c r="E116" s="302"/>
      <c r="F116" s="302"/>
      <c r="G116" s="302"/>
      <c r="H116" s="302"/>
      <c r="I116" s="302"/>
      <c r="J116" s="302"/>
      <c r="K116" s="302"/>
      <c r="L116" s="302"/>
      <c r="M116" s="302"/>
      <c r="N116" s="302"/>
      <c r="O116" s="302"/>
      <c r="P116" s="302"/>
    </row>
    <row r="117" spans="1:16" s="300" customFormat="1" ht="15" customHeight="1" x14ac:dyDescent="0.25">
      <c r="A117" s="304" t="s">
        <v>91</v>
      </c>
      <c r="B117" s="306">
        <v>112.4</v>
      </c>
      <c r="C117" s="306">
        <v>28.9</v>
      </c>
      <c r="D117" s="306">
        <v>79.2</v>
      </c>
      <c r="E117" s="306">
        <v>7.9</v>
      </c>
      <c r="F117" s="306">
        <v>1.9</v>
      </c>
      <c r="G117" s="305">
        <v>6</v>
      </c>
      <c r="H117" s="306">
        <v>14.5</v>
      </c>
      <c r="I117" s="305">
        <v>4</v>
      </c>
      <c r="J117" s="306">
        <v>10.4</v>
      </c>
      <c r="K117" s="306">
        <v>66.099999999999994</v>
      </c>
      <c r="L117" s="305">
        <v>21</v>
      </c>
      <c r="M117" s="306">
        <v>43.9</v>
      </c>
      <c r="N117" s="306">
        <v>23.9</v>
      </c>
      <c r="O117" s="305">
        <v>2</v>
      </c>
      <c r="P117" s="306">
        <v>18.899999999999999</v>
      </c>
    </row>
    <row r="118" spans="1:16" s="300" customFormat="1" ht="10.5" customHeight="1" x14ac:dyDescent="0.25">
      <c r="A118" s="299"/>
      <c r="B118" s="302"/>
      <c r="C118" s="302"/>
      <c r="D118" s="302"/>
      <c r="E118" s="302"/>
      <c r="F118" s="302"/>
      <c r="G118" s="302"/>
      <c r="H118" s="302"/>
      <c r="I118" s="302"/>
      <c r="J118" s="302"/>
      <c r="K118" s="302"/>
      <c r="L118" s="302"/>
      <c r="M118" s="302"/>
      <c r="N118" s="302"/>
      <c r="O118" s="302"/>
      <c r="P118" s="302"/>
    </row>
    <row r="119" spans="1:16" s="300" customFormat="1" ht="15" customHeight="1" x14ac:dyDescent="0.25">
      <c r="A119" s="299" t="s">
        <v>289</v>
      </c>
      <c r="B119" s="316">
        <v>8.3000000000000007</v>
      </c>
      <c r="C119" s="316">
        <v>1.8</v>
      </c>
      <c r="D119" s="316">
        <v>6.1</v>
      </c>
      <c r="E119" s="316">
        <v>0.4</v>
      </c>
      <c r="F119" s="316" t="s">
        <v>330</v>
      </c>
      <c r="G119" s="316">
        <v>0.3</v>
      </c>
      <c r="H119" s="316">
        <v>1.1000000000000001</v>
      </c>
      <c r="I119" s="316">
        <v>0.2</v>
      </c>
      <c r="J119" s="316">
        <v>0.8</v>
      </c>
      <c r="K119" s="316">
        <v>4.9000000000000004</v>
      </c>
      <c r="L119" s="316">
        <v>1.4</v>
      </c>
      <c r="M119" s="316">
        <v>3.4</v>
      </c>
      <c r="N119" s="316">
        <v>1.9</v>
      </c>
      <c r="O119" s="316">
        <v>0.1</v>
      </c>
      <c r="P119" s="316">
        <v>1.5</v>
      </c>
    </row>
    <row r="120" spans="1:16" s="300" customFormat="1" ht="15" customHeight="1" x14ac:dyDescent="0.25">
      <c r="A120" s="299" t="s">
        <v>290</v>
      </c>
      <c r="B120" s="316">
        <v>7.6</v>
      </c>
      <c r="C120" s="316">
        <v>1.7</v>
      </c>
      <c r="D120" s="316">
        <v>5.5</v>
      </c>
      <c r="E120" s="316">
        <v>0.4</v>
      </c>
      <c r="F120" s="316">
        <v>0.1</v>
      </c>
      <c r="G120" s="316">
        <v>0.3</v>
      </c>
      <c r="H120" s="316">
        <v>0.9</v>
      </c>
      <c r="I120" s="316">
        <v>0.2</v>
      </c>
      <c r="J120" s="316">
        <v>0.7</v>
      </c>
      <c r="K120" s="316">
        <v>4.7</v>
      </c>
      <c r="L120" s="316">
        <v>1.5</v>
      </c>
      <c r="M120" s="316">
        <v>3.1</v>
      </c>
      <c r="N120" s="316">
        <v>1.6</v>
      </c>
      <c r="O120" s="307" t="s">
        <v>330</v>
      </c>
      <c r="P120" s="316">
        <v>1.3</v>
      </c>
    </row>
    <row r="121" spans="1:16" s="300" customFormat="1" ht="15" customHeight="1" x14ac:dyDescent="0.25">
      <c r="A121" s="299" t="s">
        <v>291</v>
      </c>
      <c r="B121" s="316">
        <v>9.4</v>
      </c>
      <c r="C121" s="316">
        <v>2.2000000000000002</v>
      </c>
      <c r="D121" s="316">
        <v>6.8</v>
      </c>
      <c r="E121" s="316">
        <v>0.5</v>
      </c>
      <c r="F121" s="316">
        <v>0.1</v>
      </c>
      <c r="G121" s="316">
        <v>0.4</v>
      </c>
      <c r="H121" s="317">
        <v>1</v>
      </c>
      <c r="I121" s="316">
        <v>0.2</v>
      </c>
      <c r="J121" s="316">
        <v>0.8</v>
      </c>
      <c r="K121" s="316">
        <v>5.9</v>
      </c>
      <c r="L121" s="316">
        <v>1.8</v>
      </c>
      <c r="M121" s="316">
        <v>3.9</v>
      </c>
      <c r="N121" s="316">
        <v>2.1</v>
      </c>
      <c r="O121" s="316">
        <v>0.2</v>
      </c>
      <c r="P121" s="316">
        <v>1.7</v>
      </c>
    </row>
    <row r="122" spans="1:16" s="300" customFormat="1" ht="15" customHeight="1" x14ac:dyDescent="0.25">
      <c r="A122" s="299" t="s">
        <v>292</v>
      </c>
      <c r="B122" s="317">
        <v>9</v>
      </c>
      <c r="C122" s="316">
        <v>2.6</v>
      </c>
      <c r="D122" s="316">
        <v>6.2</v>
      </c>
      <c r="E122" s="316">
        <v>0.6</v>
      </c>
      <c r="F122" s="316">
        <v>0.2</v>
      </c>
      <c r="G122" s="316">
        <v>0.3</v>
      </c>
      <c r="H122" s="316">
        <v>0.8</v>
      </c>
      <c r="I122" s="316">
        <v>0.3</v>
      </c>
      <c r="J122" s="316">
        <v>0.5</v>
      </c>
      <c r="K122" s="316">
        <v>5.6</v>
      </c>
      <c r="L122" s="316">
        <v>1.9</v>
      </c>
      <c r="M122" s="316">
        <v>3.6</v>
      </c>
      <c r="N122" s="316">
        <v>2.1</v>
      </c>
      <c r="O122" s="316">
        <v>0.2</v>
      </c>
      <c r="P122" s="316">
        <v>1.7</v>
      </c>
    </row>
    <row r="123" spans="1:16" s="300" customFormat="1" ht="15" customHeight="1" x14ac:dyDescent="0.25">
      <c r="A123" s="299" t="s">
        <v>293</v>
      </c>
      <c r="B123" s="317">
        <v>11</v>
      </c>
      <c r="C123" s="316">
        <v>3.4</v>
      </c>
      <c r="D123" s="316">
        <v>7.2</v>
      </c>
      <c r="E123" s="316">
        <v>0.5</v>
      </c>
      <c r="F123" s="316">
        <v>0.1</v>
      </c>
      <c r="G123" s="316">
        <v>0.4</v>
      </c>
      <c r="H123" s="316">
        <v>1.5</v>
      </c>
      <c r="I123" s="316">
        <v>0.5</v>
      </c>
      <c r="J123" s="317">
        <v>1</v>
      </c>
      <c r="K123" s="316">
        <v>6.4</v>
      </c>
      <c r="L123" s="316">
        <v>2.4</v>
      </c>
      <c r="M123" s="316">
        <v>3.9</v>
      </c>
      <c r="N123" s="316">
        <v>2.6</v>
      </c>
      <c r="O123" s="316">
        <v>0.4</v>
      </c>
      <c r="P123" s="317">
        <v>2</v>
      </c>
    </row>
    <row r="124" spans="1:16" s="300" customFormat="1" ht="15" customHeight="1" x14ac:dyDescent="0.25">
      <c r="A124" s="299" t="s">
        <v>282</v>
      </c>
      <c r="B124" s="316">
        <v>11.8</v>
      </c>
      <c r="C124" s="316">
        <v>3.4</v>
      </c>
      <c r="D124" s="317">
        <v>8</v>
      </c>
      <c r="E124" s="316">
        <v>0.8</v>
      </c>
      <c r="F124" s="316">
        <v>0.3</v>
      </c>
      <c r="G124" s="316">
        <v>0.5</v>
      </c>
      <c r="H124" s="317">
        <v>2</v>
      </c>
      <c r="I124" s="316">
        <v>0.6</v>
      </c>
      <c r="J124" s="316">
        <v>1.3</v>
      </c>
      <c r="K124" s="316">
        <v>6.9</v>
      </c>
      <c r="L124" s="316">
        <v>2.4</v>
      </c>
      <c r="M124" s="316">
        <v>4.4000000000000004</v>
      </c>
      <c r="N124" s="316">
        <v>2.1</v>
      </c>
      <c r="O124" s="307">
        <v>0.1</v>
      </c>
      <c r="P124" s="316">
        <v>1.7</v>
      </c>
    </row>
    <row r="125" spans="1:16" s="300" customFormat="1" ht="15" customHeight="1" x14ac:dyDescent="0.25">
      <c r="A125" s="299" t="s">
        <v>283</v>
      </c>
      <c r="B125" s="316">
        <v>9.9</v>
      </c>
      <c r="C125" s="316">
        <v>2.6</v>
      </c>
      <c r="D125" s="316">
        <v>6.8</v>
      </c>
      <c r="E125" s="316">
        <v>0.7</v>
      </c>
      <c r="F125" s="316">
        <v>0.1</v>
      </c>
      <c r="G125" s="316">
        <v>0.6</v>
      </c>
      <c r="H125" s="316">
        <v>1.2</v>
      </c>
      <c r="I125" s="316">
        <v>0.4</v>
      </c>
      <c r="J125" s="316">
        <v>0.8</v>
      </c>
      <c r="K125" s="317">
        <v>6</v>
      </c>
      <c r="L125" s="317">
        <v>2</v>
      </c>
      <c r="M125" s="317">
        <v>3.9</v>
      </c>
      <c r="N125" s="317">
        <v>2</v>
      </c>
      <c r="O125" s="317">
        <v>0.1</v>
      </c>
      <c r="P125" s="317">
        <v>1.6</v>
      </c>
    </row>
    <row r="126" spans="1:16" s="300" customFormat="1" ht="15" customHeight="1" x14ac:dyDescent="0.25">
      <c r="A126" s="299" t="s">
        <v>284</v>
      </c>
      <c r="B126" s="316">
        <v>10.5</v>
      </c>
      <c r="C126" s="316">
        <v>2.6</v>
      </c>
      <c r="D126" s="316">
        <v>7.5</v>
      </c>
      <c r="E126" s="316">
        <v>0.9</v>
      </c>
      <c r="F126" s="316">
        <v>0.2</v>
      </c>
      <c r="G126" s="316">
        <v>0.7</v>
      </c>
      <c r="H126" s="316">
        <v>1.5</v>
      </c>
      <c r="I126" s="316">
        <v>0.4</v>
      </c>
      <c r="J126" s="317">
        <v>1</v>
      </c>
      <c r="K126" s="316">
        <v>5.8</v>
      </c>
      <c r="L126" s="316">
        <v>1.7</v>
      </c>
      <c r="M126" s="316">
        <v>3.9</v>
      </c>
      <c r="N126" s="316">
        <v>2.4</v>
      </c>
      <c r="O126" s="316">
        <v>0.2</v>
      </c>
      <c r="P126" s="316">
        <v>1.8</v>
      </c>
    </row>
    <row r="127" spans="1:16" s="300" customFormat="1" ht="15" customHeight="1" x14ac:dyDescent="0.25">
      <c r="A127" s="299" t="s">
        <v>294</v>
      </c>
      <c r="B127" s="316">
        <v>9.6</v>
      </c>
      <c r="C127" s="316">
        <v>2.4</v>
      </c>
      <c r="D127" s="316">
        <v>6.8</v>
      </c>
      <c r="E127" s="316">
        <v>0.7</v>
      </c>
      <c r="F127" s="316">
        <v>0.2</v>
      </c>
      <c r="G127" s="316">
        <v>0.5</v>
      </c>
      <c r="H127" s="316">
        <v>1.2</v>
      </c>
      <c r="I127" s="316">
        <v>0.2</v>
      </c>
      <c r="J127" s="316">
        <v>0.9</v>
      </c>
      <c r="K127" s="316">
        <v>5.4</v>
      </c>
      <c r="L127" s="316">
        <v>1.7</v>
      </c>
      <c r="M127" s="316">
        <v>3.7</v>
      </c>
      <c r="N127" s="316">
        <v>2.2999999999999998</v>
      </c>
      <c r="O127" s="316">
        <v>0.3</v>
      </c>
      <c r="P127" s="316">
        <v>1.7</v>
      </c>
    </row>
    <row r="128" spans="1:16" s="300" customFormat="1" ht="15" customHeight="1" x14ac:dyDescent="0.25">
      <c r="A128" s="299" t="s">
        <v>295</v>
      </c>
      <c r="B128" s="316">
        <v>8.8000000000000007</v>
      </c>
      <c r="C128" s="316">
        <v>2.5</v>
      </c>
      <c r="D128" s="317">
        <v>6</v>
      </c>
      <c r="E128" s="316">
        <v>0.8</v>
      </c>
      <c r="F128" s="316">
        <v>0.3</v>
      </c>
      <c r="G128" s="316">
        <v>0.5</v>
      </c>
      <c r="H128" s="316">
        <v>1.2</v>
      </c>
      <c r="I128" s="316">
        <v>0.3</v>
      </c>
      <c r="J128" s="316">
        <v>0.9</v>
      </c>
      <c r="K128" s="316">
        <v>5.0999999999999996</v>
      </c>
      <c r="L128" s="316">
        <v>1.7</v>
      </c>
      <c r="M128" s="316">
        <v>3.3</v>
      </c>
      <c r="N128" s="316">
        <v>1.7</v>
      </c>
      <c r="O128" s="316">
        <v>0.2</v>
      </c>
      <c r="P128" s="316">
        <v>1.3</v>
      </c>
    </row>
    <row r="129" spans="1:16" s="300" customFormat="1" ht="15" customHeight="1" x14ac:dyDescent="0.25">
      <c r="A129" s="299" t="s">
        <v>296</v>
      </c>
      <c r="B129" s="316">
        <v>8.6999999999999993</v>
      </c>
      <c r="C129" s="316">
        <v>2.2000000000000002</v>
      </c>
      <c r="D129" s="316">
        <v>6.2</v>
      </c>
      <c r="E129" s="316">
        <v>1.1000000000000001</v>
      </c>
      <c r="F129" s="316">
        <v>0.3</v>
      </c>
      <c r="G129" s="316">
        <v>0.8</v>
      </c>
      <c r="H129" s="316">
        <v>1.3</v>
      </c>
      <c r="I129" s="316">
        <v>0.5</v>
      </c>
      <c r="J129" s="316">
        <v>0.8</v>
      </c>
      <c r="K129" s="316">
        <v>4.8</v>
      </c>
      <c r="L129" s="316">
        <v>1.4</v>
      </c>
      <c r="M129" s="316">
        <v>3.4</v>
      </c>
      <c r="N129" s="316">
        <v>1.5</v>
      </c>
      <c r="O129" s="316">
        <v>0.1</v>
      </c>
      <c r="P129" s="316">
        <v>1.2</v>
      </c>
    </row>
    <row r="130" spans="1:16" s="300" customFormat="1" ht="15" customHeight="1" x14ac:dyDescent="0.25">
      <c r="A130" s="299" t="s">
        <v>297</v>
      </c>
      <c r="B130" s="316">
        <v>7.8</v>
      </c>
      <c r="C130" s="316">
        <v>1.6</v>
      </c>
      <c r="D130" s="317">
        <v>6</v>
      </c>
      <c r="E130" s="316">
        <v>0.5</v>
      </c>
      <c r="F130" s="316">
        <v>0.1</v>
      </c>
      <c r="G130" s="316">
        <v>0.4</v>
      </c>
      <c r="H130" s="317">
        <v>1</v>
      </c>
      <c r="I130" s="316">
        <v>0.2</v>
      </c>
      <c r="J130" s="316">
        <v>0.9</v>
      </c>
      <c r="K130" s="316">
        <v>4.7</v>
      </c>
      <c r="L130" s="316">
        <v>1.2</v>
      </c>
      <c r="M130" s="316">
        <v>3.4</v>
      </c>
      <c r="N130" s="316">
        <v>1.5</v>
      </c>
      <c r="O130" s="316">
        <v>0.1</v>
      </c>
      <c r="P130" s="316">
        <v>1.3</v>
      </c>
    </row>
    <row r="131" spans="1:16" s="300" customFormat="1" ht="15" customHeight="1" x14ac:dyDescent="0.25">
      <c r="A131" s="299"/>
      <c r="B131" s="318"/>
      <c r="C131" s="318"/>
      <c r="D131" s="318"/>
      <c r="E131" s="318"/>
      <c r="F131" s="318"/>
      <c r="G131" s="318"/>
      <c r="H131" s="318"/>
      <c r="I131" s="318"/>
      <c r="J131" s="318"/>
      <c r="K131" s="318"/>
      <c r="L131" s="318"/>
      <c r="M131" s="318"/>
      <c r="N131" s="318"/>
      <c r="O131" s="318"/>
      <c r="P131" s="318"/>
    </row>
    <row r="132" spans="1:16" s="300" customFormat="1" ht="15" customHeight="1" x14ac:dyDescent="0.25">
      <c r="A132" s="299"/>
      <c r="B132" s="306"/>
      <c r="C132" s="306"/>
      <c r="D132" s="306"/>
      <c r="E132" s="306"/>
      <c r="F132" s="306"/>
      <c r="G132" s="306"/>
      <c r="H132" s="306"/>
      <c r="I132" s="306"/>
      <c r="J132" s="306"/>
      <c r="K132" s="306"/>
      <c r="L132" s="306"/>
      <c r="M132" s="306"/>
      <c r="N132" s="306"/>
      <c r="O132" s="306"/>
      <c r="P132" s="306"/>
    </row>
    <row r="133" spans="1:16" ht="15" customHeight="1" x14ac:dyDescent="0.25">
      <c r="A133" s="312">
        <v>2005</v>
      </c>
    </row>
    <row r="134" spans="1:16" s="300" customFormat="1" ht="10.5" customHeight="1" x14ac:dyDescent="0.25">
      <c r="A134" s="299"/>
      <c r="B134" s="302"/>
      <c r="C134" s="302"/>
      <c r="D134" s="302"/>
      <c r="E134" s="302"/>
      <c r="F134" s="302"/>
      <c r="G134" s="302"/>
      <c r="H134" s="302"/>
      <c r="I134" s="302"/>
      <c r="J134" s="302"/>
      <c r="K134" s="302"/>
      <c r="L134" s="302"/>
      <c r="M134" s="302"/>
      <c r="N134" s="302"/>
      <c r="O134" s="302"/>
      <c r="P134" s="302"/>
    </row>
    <row r="135" spans="1:16" ht="15" customHeight="1" x14ac:dyDescent="0.25">
      <c r="A135" s="304" t="s">
        <v>91</v>
      </c>
      <c r="B135" s="306">
        <v>122.9</v>
      </c>
      <c r="C135" s="306">
        <v>28.7</v>
      </c>
      <c r="D135" s="306">
        <v>89.4</v>
      </c>
      <c r="E135" s="306">
        <v>9.1999999999999993</v>
      </c>
      <c r="F135" s="306">
        <v>2.4</v>
      </c>
      <c r="G135" s="306">
        <v>6.8</v>
      </c>
      <c r="H135" s="306">
        <v>17.100000000000001</v>
      </c>
      <c r="I135" s="309">
        <v>3.8</v>
      </c>
      <c r="J135" s="306">
        <v>13.2</v>
      </c>
      <c r="K135" s="306">
        <v>68.099999999999994</v>
      </c>
      <c r="L135" s="306">
        <v>20.399999999999999</v>
      </c>
      <c r="M135" s="309">
        <v>46.5</v>
      </c>
      <c r="N135" s="306">
        <v>28.5</v>
      </c>
      <c r="O135" s="306">
        <v>2.2000000000000002</v>
      </c>
      <c r="P135" s="306">
        <v>22.9</v>
      </c>
    </row>
    <row r="136" spans="1:16" s="300" customFormat="1" ht="10.5" customHeight="1" x14ac:dyDescent="0.25">
      <c r="A136" s="299"/>
      <c r="B136" s="302"/>
      <c r="C136" s="302"/>
      <c r="D136" s="302"/>
      <c r="E136" s="302"/>
      <c r="F136" s="302"/>
      <c r="G136" s="302"/>
      <c r="H136" s="302"/>
      <c r="I136" s="302"/>
      <c r="J136" s="302"/>
      <c r="K136" s="302"/>
      <c r="L136" s="302"/>
      <c r="M136" s="302"/>
      <c r="N136" s="302"/>
      <c r="O136" s="302"/>
      <c r="P136" s="302"/>
    </row>
    <row r="137" spans="1:16" ht="15" customHeight="1" x14ac:dyDescent="0.25">
      <c r="A137" s="299" t="s">
        <v>289</v>
      </c>
      <c r="B137" s="307">
        <v>8.6999999999999993</v>
      </c>
      <c r="C137" s="307">
        <v>1.5</v>
      </c>
      <c r="D137" s="307">
        <v>6.9</v>
      </c>
      <c r="E137" s="307">
        <v>0.3</v>
      </c>
      <c r="F137" s="307" t="s">
        <v>330</v>
      </c>
      <c r="G137" s="307">
        <v>0.3</v>
      </c>
      <c r="H137" s="307">
        <v>0.8</v>
      </c>
      <c r="I137" s="307">
        <v>0.1</v>
      </c>
      <c r="J137" s="307">
        <v>0.7</v>
      </c>
      <c r="K137" s="307">
        <v>5.5</v>
      </c>
      <c r="L137" s="307">
        <v>1.3</v>
      </c>
      <c r="M137" s="307">
        <v>4.0999999999999996</v>
      </c>
      <c r="N137" s="307">
        <v>2.2000000000000002</v>
      </c>
      <c r="O137" s="307" t="s">
        <v>330</v>
      </c>
      <c r="P137" s="307">
        <v>1.9</v>
      </c>
    </row>
    <row r="138" spans="1:16" ht="15" customHeight="1" x14ac:dyDescent="0.25">
      <c r="A138" s="299" t="s">
        <v>290</v>
      </c>
      <c r="B138" s="307">
        <v>8</v>
      </c>
      <c r="C138" s="307">
        <v>2.4</v>
      </c>
      <c r="D138" s="307">
        <v>5.3</v>
      </c>
      <c r="E138" s="307">
        <v>0.4</v>
      </c>
      <c r="F138" s="307">
        <v>0.1</v>
      </c>
      <c r="G138" s="307">
        <v>0.3</v>
      </c>
      <c r="H138" s="307">
        <v>0.9</v>
      </c>
      <c r="I138" s="307">
        <v>0.2</v>
      </c>
      <c r="J138" s="307">
        <v>0.7</v>
      </c>
      <c r="K138" s="307">
        <v>5</v>
      </c>
      <c r="L138" s="307">
        <v>2</v>
      </c>
      <c r="M138" s="307">
        <v>3</v>
      </c>
      <c r="N138" s="307">
        <v>1.7</v>
      </c>
      <c r="O138" s="307">
        <v>0.2</v>
      </c>
      <c r="P138" s="307">
        <v>1.3</v>
      </c>
    </row>
    <row r="139" spans="1:16" ht="15" customHeight="1" x14ac:dyDescent="0.25">
      <c r="A139" s="299" t="s">
        <v>291</v>
      </c>
      <c r="B139" s="307">
        <v>9.1999999999999993</v>
      </c>
      <c r="C139" s="307">
        <v>1.9</v>
      </c>
      <c r="D139" s="307">
        <v>7</v>
      </c>
      <c r="E139" s="307">
        <v>0.3</v>
      </c>
      <c r="F139" s="307" t="s">
        <v>330</v>
      </c>
      <c r="G139" s="307">
        <v>0.3</v>
      </c>
      <c r="H139" s="307">
        <v>0.9</v>
      </c>
      <c r="I139" s="307">
        <v>0.2</v>
      </c>
      <c r="J139" s="307">
        <v>0.7</v>
      </c>
      <c r="K139" s="307">
        <v>5.7</v>
      </c>
      <c r="L139" s="307">
        <v>1.6</v>
      </c>
      <c r="M139" s="307">
        <v>4</v>
      </c>
      <c r="N139" s="307">
        <v>2.2999999999999998</v>
      </c>
      <c r="O139" s="307">
        <v>0.2</v>
      </c>
      <c r="P139" s="307">
        <v>1.9</v>
      </c>
    </row>
    <row r="140" spans="1:16" ht="15" customHeight="1" x14ac:dyDescent="0.25">
      <c r="A140" s="299" t="s">
        <v>292</v>
      </c>
      <c r="B140" s="307">
        <v>9.6</v>
      </c>
      <c r="C140" s="307">
        <v>2.4</v>
      </c>
      <c r="D140" s="307">
        <v>6.9</v>
      </c>
      <c r="E140" s="307">
        <v>0.5</v>
      </c>
      <c r="F140" s="307">
        <v>0.1</v>
      </c>
      <c r="G140" s="307">
        <v>0.4</v>
      </c>
      <c r="H140" s="307">
        <v>1.2</v>
      </c>
      <c r="I140" s="307">
        <v>0.4</v>
      </c>
      <c r="J140" s="307">
        <v>0.8</v>
      </c>
      <c r="K140" s="307">
        <v>5.9</v>
      </c>
      <c r="L140" s="307">
        <v>1.7</v>
      </c>
      <c r="M140" s="307">
        <v>4.0999999999999996</v>
      </c>
      <c r="N140" s="307">
        <v>2</v>
      </c>
      <c r="O140" s="307">
        <v>0.2</v>
      </c>
      <c r="P140" s="307">
        <v>1.6</v>
      </c>
    </row>
    <row r="141" spans="1:16" ht="15" customHeight="1" x14ac:dyDescent="0.25">
      <c r="A141" s="299" t="s">
        <v>293</v>
      </c>
      <c r="B141" s="307">
        <v>11.3</v>
      </c>
      <c r="C141" s="307">
        <v>2.8</v>
      </c>
      <c r="D141" s="307">
        <v>8.1</v>
      </c>
      <c r="E141" s="307">
        <v>0.9</v>
      </c>
      <c r="F141" s="307">
        <v>0.4</v>
      </c>
      <c r="G141" s="307">
        <v>0.4</v>
      </c>
      <c r="H141" s="307">
        <v>1.7</v>
      </c>
      <c r="I141" s="307">
        <v>0.4</v>
      </c>
      <c r="J141" s="307">
        <v>1.3</v>
      </c>
      <c r="K141" s="307">
        <v>6.4</v>
      </c>
      <c r="L141" s="307">
        <v>1.8</v>
      </c>
      <c r="M141" s="307">
        <v>4.5</v>
      </c>
      <c r="N141" s="307">
        <v>2.4</v>
      </c>
      <c r="O141" s="307">
        <v>0.2</v>
      </c>
      <c r="P141" s="307">
        <v>1.9</v>
      </c>
    </row>
    <row r="142" spans="1:16" ht="15" customHeight="1" x14ac:dyDescent="0.25">
      <c r="A142" s="299" t="s">
        <v>282</v>
      </c>
      <c r="B142" s="307">
        <v>12.3</v>
      </c>
      <c r="C142" s="307">
        <v>2.9</v>
      </c>
      <c r="D142" s="307">
        <v>8.9</v>
      </c>
      <c r="E142" s="307">
        <v>1.1000000000000001</v>
      </c>
      <c r="F142" s="307">
        <v>0.3</v>
      </c>
      <c r="G142" s="307">
        <v>0.8</v>
      </c>
      <c r="H142" s="307">
        <v>2.1</v>
      </c>
      <c r="I142" s="307">
        <v>0.4</v>
      </c>
      <c r="J142" s="307">
        <v>1.7</v>
      </c>
      <c r="K142" s="307">
        <v>6.2</v>
      </c>
      <c r="L142" s="307">
        <v>2</v>
      </c>
      <c r="M142" s="307">
        <v>4.0999999999999996</v>
      </c>
      <c r="N142" s="307">
        <v>2.9</v>
      </c>
      <c r="O142" s="307">
        <v>0.2</v>
      </c>
      <c r="P142" s="307">
        <v>2.4</v>
      </c>
    </row>
    <row r="143" spans="1:16" ht="15" customHeight="1" x14ac:dyDescent="0.25">
      <c r="A143" s="299" t="s">
        <v>283</v>
      </c>
      <c r="B143" s="307">
        <v>11.3</v>
      </c>
      <c r="C143" s="307">
        <v>3.1</v>
      </c>
      <c r="D143" s="307">
        <v>7.8</v>
      </c>
      <c r="E143" s="307">
        <v>1</v>
      </c>
      <c r="F143" s="307">
        <v>0.4</v>
      </c>
      <c r="G143" s="307">
        <v>0.6</v>
      </c>
      <c r="H143" s="307">
        <v>1.8</v>
      </c>
      <c r="I143" s="307">
        <v>0.5</v>
      </c>
      <c r="J143" s="307">
        <v>1.3</v>
      </c>
      <c r="K143" s="307">
        <v>6</v>
      </c>
      <c r="L143" s="307">
        <v>1.9</v>
      </c>
      <c r="M143" s="307">
        <v>3.9</v>
      </c>
      <c r="N143" s="307">
        <v>2.6</v>
      </c>
      <c r="O143" s="307">
        <v>0.4</v>
      </c>
      <c r="P143" s="307">
        <v>2</v>
      </c>
    </row>
    <row r="144" spans="1:16" ht="15" customHeight="1" x14ac:dyDescent="0.25">
      <c r="A144" s="299" t="s">
        <v>284</v>
      </c>
      <c r="B144" s="307">
        <v>11.9</v>
      </c>
      <c r="C144" s="307">
        <v>2.4</v>
      </c>
      <c r="D144" s="307">
        <v>8.9</v>
      </c>
      <c r="E144" s="307">
        <v>1</v>
      </c>
      <c r="F144" s="307">
        <v>0.2</v>
      </c>
      <c r="G144" s="307">
        <v>0.8</v>
      </c>
      <c r="H144" s="307">
        <v>2</v>
      </c>
      <c r="I144" s="307">
        <v>0.5</v>
      </c>
      <c r="J144" s="307">
        <v>1.5</v>
      </c>
      <c r="K144" s="307">
        <v>6</v>
      </c>
      <c r="L144" s="307">
        <v>1.4</v>
      </c>
      <c r="M144" s="307">
        <v>4.5</v>
      </c>
      <c r="N144" s="307">
        <v>2.9</v>
      </c>
      <c r="O144" s="307">
        <v>0.2</v>
      </c>
      <c r="P144" s="307">
        <v>2.2000000000000002</v>
      </c>
    </row>
    <row r="145" spans="1:16" ht="15" customHeight="1" x14ac:dyDescent="0.25">
      <c r="A145" s="299" t="s">
        <v>294</v>
      </c>
      <c r="B145" s="307">
        <v>10.6</v>
      </c>
      <c r="C145" s="307">
        <v>2.1</v>
      </c>
      <c r="D145" s="307">
        <v>8</v>
      </c>
      <c r="E145" s="307">
        <v>0.9</v>
      </c>
      <c r="F145" s="307">
        <v>0.2</v>
      </c>
      <c r="G145" s="307">
        <v>0.7</v>
      </c>
      <c r="H145" s="307">
        <v>1.6</v>
      </c>
      <c r="I145" s="307">
        <v>0.4</v>
      </c>
      <c r="J145" s="307">
        <v>1.3</v>
      </c>
      <c r="K145" s="307">
        <v>5.7</v>
      </c>
      <c r="L145" s="307">
        <v>1.3</v>
      </c>
      <c r="M145" s="307">
        <v>4.2</v>
      </c>
      <c r="N145" s="307">
        <v>2.2999999999999998</v>
      </c>
      <c r="O145" s="307">
        <v>0.2</v>
      </c>
      <c r="P145" s="307">
        <v>1.8</v>
      </c>
    </row>
    <row r="146" spans="1:16" ht="15" customHeight="1" x14ac:dyDescent="0.25">
      <c r="A146" s="299" t="s">
        <v>295</v>
      </c>
      <c r="B146" s="307">
        <v>11.5</v>
      </c>
      <c r="C146" s="307">
        <v>3.1</v>
      </c>
      <c r="D146" s="307">
        <v>7.9</v>
      </c>
      <c r="E146" s="307">
        <v>1.2</v>
      </c>
      <c r="F146" s="307">
        <v>0.4</v>
      </c>
      <c r="G146" s="307">
        <v>0.8</v>
      </c>
      <c r="H146" s="307">
        <v>1.6</v>
      </c>
      <c r="I146" s="307">
        <v>0.4</v>
      </c>
      <c r="J146" s="307">
        <v>1.2</v>
      </c>
      <c r="K146" s="307">
        <v>5.9</v>
      </c>
      <c r="L146" s="307">
        <v>2.2000000000000002</v>
      </c>
      <c r="M146" s="307">
        <v>3.5</v>
      </c>
      <c r="N146" s="307">
        <v>2.9</v>
      </c>
      <c r="O146" s="307">
        <v>0.1</v>
      </c>
      <c r="P146" s="307">
        <v>2.4</v>
      </c>
    </row>
    <row r="147" spans="1:16" ht="15" customHeight="1" x14ac:dyDescent="0.25">
      <c r="A147" s="299" t="s">
        <v>296</v>
      </c>
      <c r="B147" s="307">
        <v>10</v>
      </c>
      <c r="C147" s="307">
        <v>2.5</v>
      </c>
      <c r="D147" s="307">
        <v>7.2</v>
      </c>
      <c r="E147" s="307">
        <v>0.8</v>
      </c>
      <c r="F147" s="307">
        <v>0.1</v>
      </c>
      <c r="G147" s="307">
        <v>0.7</v>
      </c>
      <c r="H147" s="307">
        <v>1.4</v>
      </c>
      <c r="I147" s="307">
        <v>0.2</v>
      </c>
      <c r="J147" s="307">
        <v>1.2</v>
      </c>
      <c r="K147" s="307">
        <v>5.7</v>
      </c>
      <c r="L147" s="307">
        <v>1.9</v>
      </c>
      <c r="M147" s="307">
        <v>3.7</v>
      </c>
      <c r="N147" s="307">
        <v>2</v>
      </c>
      <c r="O147" s="307">
        <v>0.2</v>
      </c>
      <c r="P147" s="307">
        <v>1.6</v>
      </c>
    </row>
    <row r="148" spans="1:16" ht="15" customHeight="1" x14ac:dyDescent="0.25">
      <c r="A148" s="299" t="s">
        <v>297</v>
      </c>
      <c r="B148" s="307">
        <v>8.6</v>
      </c>
      <c r="C148" s="307">
        <v>1.6</v>
      </c>
      <c r="D148" s="307">
        <v>6.5</v>
      </c>
      <c r="E148" s="307">
        <v>0.8</v>
      </c>
      <c r="F148" s="307">
        <v>0.2</v>
      </c>
      <c r="G148" s="307">
        <v>0.7</v>
      </c>
      <c r="H148" s="307">
        <v>1.2</v>
      </c>
      <c r="I148" s="307">
        <v>0.2</v>
      </c>
      <c r="J148" s="307">
        <v>0.9</v>
      </c>
      <c r="K148" s="307">
        <v>4.2</v>
      </c>
      <c r="L148" s="307">
        <v>1.2</v>
      </c>
      <c r="M148" s="307">
        <v>2.9</v>
      </c>
      <c r="N148" s="307">
        <v>2.4</v>
      </c>
      <c r="O148" s="307">
        <v>0.1</v>
      </c>
      <c r="P148" s="307">
        <v>2</v>
      </c>
    </row>
    <row r="149" spans="1:16" ht="15" customHeight="1" x14ac:dyDescent="0.25">
      <c r="B149" s="307"/>
      <c r="C149" s="307"/>
      <c r="D149" s="307"/>
      <c r="E149" s="307"/>
      <c r="F149" s="307"/>
      <c r="G149" s="307"/>
      <c r="H149" s="307"/>
      <c r="I149" s="307"/>
      <c r="J149" s="307"/>
      <c r="K149" s="307"/>
      <c r="L149" s="307"/>
      <c r="M149" s="307"/>
      <c r="N149" s="307"/>
      <c r="O149" s="307"/>
      <c r="P149" s="307"/>
    </row>
    <row r="150" spans="1:16" ht="15" customHeight="1" x14ac:dyDescent="0.25">
      <c r="B150" s="307"/>
      <c r="C150" s="307"/>
      <c r="D150" s="307"/>
      <c r="E150" s="321"/>
      <c r="F150" s="307"/>
      <c r="G150" s="307"/>
      <c r="H150" s="307"/>
      <c r="I150" s="307"/>
      <c r="J150" s="307"/>
      <c r="K150" s="307"/>
      <c r="L150" s="307"/>
      <c r="M150" s="307"/>
      <c r="N150" s="307"/>
      <c r="O150" s="307"/>
      <c r="P150" s="307"/>
    </row>
    <row r="151" spans="1:16" ht="15" customHeight="1" x14ac:dyDescent="0.25">
      <c r="A151" s="312">
        <v>2004</v>
      </c>
    </row>
    <row r="152" spans="1:16" s="300" customFormat="1" ht="10.5" customHeight="1" x14ac:dyDescent="0.25">
      <c r="A152" s="299"/>
      <c r="B152" s="302"/>
      <c r="C152" s="302"/>
      <c r="D152" s="302"/>
      <c r="E152" s="302"/>
      <c r="F152" s="302"/>
      <c r="G152" s="302"/>
      <c r="H152" s="302"/>
      <c r="I152" s="302"/>
      <c r="J152" s="302"/>
      <c r="K152" s="302"/>
      <c r="L152" s="302"/>
      <c r="M152" s="302"/>
      <c r="N152" s="302"/>
      <c r="O152" s="302"/>
      <c r="P152" s="302"/>
    </row>
    <row r="153" spans="1:16" ht="15" customHeight="1" x14ac:dyDescent="0.25">
      <c r="A153" s="304" t="s">
        <v>91</v>
      </c>
      <c r="B153" s="306">
        <v>124.4</v>
      </c>
      <c r="C153" s="306">
        <v>28.2</v>
      </c>
      <c r="D153" s="306">
        <v>91.7</v>
      </c>
      <c r="E153" s="322">
        <v>11</v>
      </c>
      <c r="F153" s="322">
        <v>3.1</v>
      </c>
      <c r="G153" s="322">
        <v>7.8</v>
      </c>
      <c r="H153" s="306">
        <v>20.6</v>
      </c>
      <c r="I153" s="306">
        <v>3.7</v>
      </c>
      <c r="J153" s="306">
        <v>16.600000000000001</v>
      </c>
      <c r="K153" s="306">
        <v>67.400000000000006</v>
      </c>
      <c r="L153" s="306">
        <v>19.399999999999999</v>
      </c>
      <c r="M153" s="306">
        <v>46.8</v>
      </c>
      <c r="N153" s="306">
        <v>25.5</v>
      </c>
      <c r="O153" s="309">
        <v>2</v>
      </c>
      <c r="P153" s="306">
        <v>20.5</v>
      </c>
    </row>
    <row r="154" spans="1:16" s="300" customFormat="1" ht="10.5" customHeight="1" x14ac:dyDescent="0.25">
      <c r="A154" s="299"/>
      <c r="B154" s="302"/>
      <c r="C154" s="302"/>
      <c r="D154" s="302"/>
      <c r="E154" s="302"/>
      <c r="F154" s="302"/>
      <c r="G154" s="302"/>
      <c r="H154" s="302"/>
      <c r="I154" s="302"/>
      <c r="J154" s="302"/>
      <c r="K154" s="302"/>
      <c r="L154" s="302"/>
      <c r="M154" s="302"/>
      <c r="N154" s="302"/>
      <c r="O154" s="302"/>
      <c r="P154" s="302"/>
    </row>
    <row r="155" spans="1:16" ht="15" customHeight="1" x14ac:dyDescent="0.25">
      <c r="A155" s="299" t="s">
        <v>289</v>
      </c>
      <c r="B155" s="307">
        <v>8.1999999999999993</v>
      </c>
      <c r="C155" s="307">
        <v>2</v>
      </c>
      <c r="D155" s="307">
        <v>6</v>
      </c>
      <c r="E155" s="307">
        <v>0.5</v>
      </c>
      <c r="F155" s="307">
        <v>0.2</v>
      </c>
      <c r="G155" s="307">
        <v>0.4</v>
      </c>
      <c r="H155" s="307">
        <v>1.7</v>
      </c>
      <c r="I155" s="307">
        <v>0.4</v>
      </c>
      <c r="J155" s="307">
        <v>1.3</v>
      </c>
      <c r="K155" s="307">
        <v>4.5</v>
      </c>
      <c r="L155" s="307">
        <v>1.3</v>
      </c>
      <c r="M155" s="307">
        <v>3.1</v>
      </c>
      <c r="N155" s="307">
        <v>1.5</v>
      </c>
      <c r="O155" s="307">
        <v>0.1</v>
      </c>
      <c r="P155" s="307">
        <v>1.2</v>
      </c>
    </row>
    <row r="156" spans="1:16" ht="15" customHeight="1" x14ac:dyDescent="0.25">
      <c r="A156" s="299" t="s">
        <v>290</v>
      </c>
      <c r="B156" s="307">
        <v>7.4</v>
      </c>
      <c r="C156" s="307">
        <v>1.5</v>
      </c>
      <c r="D156" s="307">
        <v>5.6</v>
      </c>
      <c r="E156" s="307">
        <v>0.4</v>
      </c>
      <c r="F156" s="307">
        <v>0.1</v>
      </c>
      <c r="G156" s="307">
        <v>0.4</v>
      </c>
      <c r="H156" s="307">
        <v>1</v>
      </c>
      <c r="I156" s="307">
        <v>0.2</v>
      </c>
      <c r="J156" s="307">
        <v>0.8</v>
      </c>
      <c r="K156" s="307">
        <v>4.2</v>
      </c>
      <c r="L156" s="307">
        <v>1.1000000000000001</v>
      </c>
      <c r="M156" s="307">
        <v>3</v>
      </c>
      <c r="N156" s="307">
        <v>1.7</v>
      </c>
      <c r="O156" s="307">
        <v>0.1</v>
      </c>
      <c r="P156" s="307">
        <v>1.4</v>
      </c>
    </row>
    <row r="157" spans="1:16" ht="15" customHeight="1" x14ac:dyDescent="0.25">
      <c r="A157" s="299" t="s">
        <v>291</v>
      </c>
      <c r="B157" s="307">
        <v>9.8000000000000007</v>
      </c>
      <c r="C157" s="307">
        <v>2.2000000000000002</v>
      </c>
      <c r="D157" s="321">
        <v>7.3</v>
      </c>
      <c r="E157" s="307">
        <v>0.7</v>
      </c>
      <c r="F157" s="307">
        <v>0.3</v>
      </c>
      <c r="G157" s="307">
        <v>0.4</v>
      </c>
      <c r="H157" s="307">
        <v>1.2</v>
      </c>
      <c r="I157" s="307">
        <v>0.2</v>
      </c>
      <c r="J157" s="307">
        <v>0.9</v>
      </c>
      <c r="K157" s="307">
        <v>6</v>
      </c>
      <c r="L157" s="307">
        <v>1.4</v>
      </c>
      <c r="M157" s="307">
        <v>4.4000000000000004</v>
      </c>
      <c r="N157" s="307">
        <v>1.9</v>
      </c>
      <c r="O157" s="307">
        <v>0.2</v>
      </c>
      <c r="P157" s="307">
        <v>1.5</v>
      </c>
    </row>
    <row r="158" spans="1:16" ht="15" customHeight="1" x14ac:dyDescent="0.25">
      <c r="A158" s="299" t="s">
        <v>292</v>
      </c>
      <c r="B158" s="307">
        <v>11.4</v>
      </c>
      <c r="C158" s="307">
        <v>2.8</v>
      </c>
      <c r="D158" s="307">
        <v>8.1</v>
      </c>
      <c r="E158" s="307">
        <v>0.7</v>
      </c>
      <c r="F158" s="307">
        <v>0.3</v>
      </c>
      <c r="G158" s="307">
        <v>0.4</v>
      </c>
      <c r="H158" s="307">
        <v>1.6</v>
      </c>
      <c r="I158" s="307">
        <v>0.2</v>
      </c>
      <c r="J158" s="307">
        <v>1.4</v>
      </c>
      <c r="K158" s="307">
        <v>6.6</v>
      </c>
      <c r="L158" s="307">
        <v>2.1</v>
      </c>
      <c r="M158" s="307">
        <v>4.4000000000000004</v>
      </c>
      <c r="N158" s="307">
        <v>2.5</v>
      </c>
      <c r="O158" s="307">
        <v>0.1</v>
      </c>
      <c r="P158" s="307">
        <v>2</v>
      </c>
    </row>
    <row r="159" spans="1:16" ht="15" customHeight="1" x14ac:dyDescent="0.25">
      <c r="A159" s="299" t="s">
        <v>293</v>
      </c>
      <c r="B159" s="307">
        <v>11.6</v>
      </c>
      <c r="C159" s="307">
        <v>2.7</v>
      </c>
      <c r="D159" s="307">
        <v>8.4</v>
      </c>
      <c r="E159" s="307">
        <v>1.2</v>
      </c>
      <c r="F159" s="307">
        <v>0.5</v>
      </c>
      <c r="G159" s="307">
        <v>0.6</v>
      </c>
      <c r="H159" s="307">
        <v>2</v>
      </c>
      <c r="I159" s="307">
        <v>0.2</v>
      </c>
      <c r="J159" s="307">
        <v>1.7</v>
      </c>
      <c r="K159" s="307">
        <v>6.3</v>
      </c>
      <c r="L159" s="307">
        <v>1.8</v>
      </c>
      <c r="M159" s="307">
        <v>4.4000000000000004</v>
      </c>
      <c r="N159" s="307">
        <v>2.1</v>
      </c>
      <c r="O159" s="307">
        <v>0.2</v>
      </c>
      <c r="P159" s="307">
        <v>1.7</v>
      </c>
    </row>
    <row r="160" spans="1:16" ht="15" customHeight="1" x14ac:dyDescent="0.25">
      <c r="A160" s="299" t="s">
        <v>282</v>
      </c>
      <c r="B160" s="307">
        <v>12.7</v>
      </c>
      <c r="C160" s="307">
        <v>3.3</v>
      </c>
      <c r="D160" s="307">
        <v>9</v>
      </c>
      <c r="E160" s="307">
        <v>1.2</v>
      </c>
      <c r="F160" s="307">
        <v>0.3</v>
      </c>
      <c r="G160" s="307">
        <v>0.9</v>
      </c>
      <c r="H160" s="307">
        <v>1.9</v>
      </c>
      <c r="I160" s="307">
        <v>0.4</v>
      </c>
      <c r="J160" s="307">
        <v>1.6</v>
      </c>
      <c r="K160" s="307">
        <v>7.4</v>
      </c>
      <c r="L160" s="307">
        <v>2.4</v>
      </c>
      <c r="M160" s="307">
        <v>4.9000000000000004</v>
      </c>
      <c r="N160" s="307">
        <v>2.2999999999999998</v>
      </c>
      <c r="O160" s="307">
        <v>0.2</v>
      </c>
      <c r="P160" s="307">
        <v>1.7</v>
      </c>
    </row>
    <row r="161" spans="1:16" ht="15" customHeight="1" x14ac:dyDescent="0.25">
      <c r="A161" s="299" t="s">
        <v>283</v>
      </c>
      <c r="B161" s="307">
        <v>12.2</v>
      </c>
      <c r="C161" s="307">
        <v>2.6</v>
      </c>
      <c r="D161" s="307">
        <v>9.1</v>
      </c>
      <c r="E161" s="307">
        <v>1</v>
      </c>
      <c r="F161" s="307">
        <v>0.2</v>
      </c>
      <c r="G161" s="307">
        <v>0.8</v>
      </c>
      <c r="H161" s="307">
        <v>2.2999999999999998</v>
      </c>
      <c r="I161" s="307">
        <v>0.2</v>
      </c>
      <c r="J161" s="307">
        <v>2.1</v>
      </c>
      <c r="K161" s="307">
        <v>6.3</v>
      </c>
      <c r="L161" s="307">
        <v>1.8</v>
      </c>
      <c r="M161" s="307">
        <v>4.4000000000000004</v>
      </c>
      <c r="N161" s="307">
        <v>2.6</v>
      </c>
      <c r="O161" s="307">
        <v>0.4</v>
      </c>
      <c r="P161" s="307">
        <v>1.9</v>
      </c>
    </row>
    <row r="162" spans="1:16" ht="15" customHeight="1" x14ac:dyDescent="0.25">
      <c r="A162" s="299" t="s">
        <v>284</v>
      </c>
      <c r="B162" s="307">
        <v>10.7</v>
      </c>
      <c r="C162" s="307">
        <v>2.2000000000000002</v>
      </c>
      <c r="D162" s="307">
        <v>8.1</v>
      </c>
      <c r="E162" s="307">
        <v>1.4</v>
      </c>
      <c r="F162" s="307">
        <v>0.3</v>
      </c>
      <c r="G162" s="307">
        <v>1.1000000000000001</v>
      </c>
      <c r="H162" s="307">
        <v>1.9</v>
      </c>
      <c r="I162" s="307">
        <v>0.3</v>
      </c>
      <c r="J162" s="307">
        <v>1.6</v>
      </c>
      <c r="K162" s="307">
        <v>5.5</v>
      </c>
      <c r="L162" s="307">
        <v>1.6</v>
      </c>
      <c r="M162" s="321">
        <v>3.8</v>
      </c>
      <c r="N162" s="307">
        <v>1.9</v>
      </c>
      <c r="O162" s="307">
        <v>0.1</v>
      </c>
      <c r="P162" s="307">
        <v>1.6</v>
      </c>
    </row>
    <row r="163" spans="1:16" ht="15" customHeight="1" x14ac:dyDescent="0.25">
      <c r="A163" s="299" t="s">
        <v>294</v>
      </c>
      <c r="B163" s="307">
        <v>10.7</v>
      </c>
      <c r="C163" s="307">
        <v>2.7</v>
      </c>
      <c r="D163" s="307">
        <v>7.6</v>
      </c>
      <c r="E163" s="307">
        <v>1.1000000000000001</v>
      </c>
      <c r="F163" s="307">
        <v>0.3</v>
      </c>
      <c r="G163" s="307">
        <v>0.8</v>
      </c>
      <c r="H163" s="307">
        <v>1.8</v>
      </c>
      <c r="I163" s="307">
        <v>0.3</v>
      </c>
      <c r="J163" s="307">
        <v>1.4</v>
      </c>
      <c r="K163" s="307">
        <v>5.6</v>
      </c>
      <c r="L163" s="307">
        <v>1.9</v>
      </c>
      <c r="M163" s="307">
        <v>3.6</v>
      </c>
      <c r="N163" s="307">
        <v>2.2000000000000002</v>
      </c>
      <c r="O163" s="307">
        <v>0.2</v>
      </c>
      <c r="P163" s="307">
        <v>1.8</v>
      </c>
    </row>
    <row r="164" spans="1:16" ht="15" customHeight="1" x14ac:dyDescent="0.25">
      <c r="A164" s="299" t="s">
        <v>295</v>
      </c>
      <c r="B164" s="307">
        <v>10.9</v>
      </c>
      <c r="C164" s="307">
        <v>2.2000000000000002</v>
      </c>
      <c r="D164" s="307">
        <v>8.3000000000000007</v>
      </c>
      <c r="E164" s="307">
        <v>1.1000000000000001</v>
      </c>
      <c r="F164" s="307">
        <v>0.3</v>
      </c>
      <c r="G164" s="307">
        <v>0.8</v>
      </c>
      <c r="H164" s="307">
        <v>1.9</v>
      </c>
      <c r="I164" s="307">
        <v>0.5</v>
      </c>
      <c r="J164" s="307">
        <v>1.4</v>
      </c>
      <c r="K164" s="307">
        <v>5.5</v>
      </c>
      <c r="L164" s="307">
        <v>1.4</v>
      </c>
      <c r="M164" s="307">
        <v>4</v>
      </c>
      <c r="N164" s="307">
        <v>2.4</v>
      </c>
      <c r="O164" s="307" t="s">
        <v>330</v>
      </c>
      <c r="P164" s="307">
        <v>2.2000000000000002</v>
      </c>
    </row>
    <row r="165" spans="1:16" ht="15" customHeight="1" x14ac:dyDescent="0.25">
      <c r="A165" s="299" t="s">
        <v>296</v>
      </c>
      <c r="B165" s="307">
        <v>8.8000000000000007</v>
      </c>
      <c r="C165" s="307">
        <v>1.7</v>
      </c>
      <c r="D165" s="307">
        <v>6.9</v>
      </c>
      <c r="E165" s="307">
        <v>0.8</v>
      </c>
      <c r="F165" s="307">
        <v>0.2</v>
      </c>
      <c r="G165" s="307">
        <v>0.6</v>
      </c>
      <c r="H165" s="307">
        <v>1.6</v>
      </c>
      <c r="I165" s="307">
        <v>0.4</v>
      </c>
      <c r="J165" s="307">
        <v>1.2</v>
      </c>
      <c r="K165" s="307">
        <v>4.5</v>
      </c>
      <c r="L165" s="307">
        <v>1.1000000000000001</v>
      </c>
      <c r="M165" s="307">
        <v>3.4</v>
      </c>
      <c r="N165" s="307">
        <v>1.9</v>
      </c>
      <c r="O165" s="307">
        <v>0.1</v>
      </c>
      <c r="P165" s="307">
        <v>1.6</v>
      </c>
    </row>
    <row r="166" spans="1:16" ht="15" customHeight="1" x14ac:dyDescent="0.25">
      <c r="A166" s="299" t="s">
        <v>297</v>
      </c>
      <c r="B166" s="307">
        <v>9.9</v>
      </c>
      <c r="C166" s="307">
        <v>2.2999999999999998</v>
      </c>
      <c r="D166" s="307">
        <v>7.3</v>
      </c>
      <c r="E166" s="307">
        <v>0.9</v>
      </c>
      <c r="F166" s="307">
        <v>0.2</v>
      </c>
      <c r="G166" s="307">
        <v>0.8</v>
      </c>
      <c r="H166" s="307">
        <v>1.6</v>
      </c>
      <c r="I166" s="307">
        <v>0.4</v>
      </c>
      <c r="J166" s="307">
        <v>1.2</v>
      </c>
      <c r="K166" s="307">
        <v>5</v>
      </c>
      <c r="L166" s="307">
        <v>1.5</v>
      </c>
      <c r="M166" s="307">
        <v>3.4</v>
      </c>
      <c r="N166" s="307">
        <v>2.2999999999999998</v>
      </c>
      <c r="O166" s="307">
        <v>0.3</v>
      </c>
      <c r="P166" s="307">
        <v>1.8</v>
      </c>
    </row>
    <row r="167" spans="1:16" ht="15" customHeight="1" x14ac:dyDescent="0.25"/>
    <row r="168" spans="1:16" ht="15" customHeight="1" x14ac:dyDescent="0.25"/>
    <row r="169" spans="1:16" ht="15" customHeight="1" x14ac:dyDescent="0.25">
      <c r="A169" s="312">
        <v>2003</v>
      </c>
      <c r="B169" s="312"/>
      <c r="C169" s="312"/>
      <c r="D169" s="312"/>
      <c r="E169" s="312"/>
      <c r="F169" s="312"/>
      <c r="G169" s="312"/>
      <c r="H169" s="312"/>
      <c r="I169" s="312"/>
      <c r="J169" s="312"/>
      <c r="K169" s="312"/>
      <c r="L169" s="312"/>
      <c r="M169" s="312"/>
      <c r="N169" s="312"/>
      <c r="O169" s="312"/>
      <c r="P169" s="312"/>
    </row>
    <row r="170" spans="1:16" s="300" customFormat="1" ht="10.5" customHeight="1" x14ac:dyDescent="0.25">
      <c r="A170" s="299"/>
      <c r="B170" s="302"/>
      <c r="C170" s="302"/>
      <c r="D170" s="302"/>
      <c r="E170" s="302"/>
      <c r="F170" s="302"/>
      <c r="G170" s="302"/>
      <c r="H170" s="302"/>
      <c r="I170" s="302"/>
      <c r="J170" s="302"/>
      <c r="K170" s="302"/>
      <c r="L170" s="302"/>
      <c r="M170" s="302"/>
      <c r="N170" s="302"/>
      <c r="O170" s="302"/>
      <c r="P170" s="302"/>
    </row>
    <row r="171" spans="1:16" ht="15" customHeight="1" x14ac:dyDescent="0.2">
      <c r="A171" s="304" t="s">
        <v>91</v>
      </c>
      <c r="B171" s="323">
        <v>139.80000000000001</v>
      </c>
      <c r="C171" s="323">
        <v>29.4</v>
      </c>
      <c r="D171" s="323">
        <v>106</v>
      </c>
      <c r="E171" s="323">
        <v>11.2</v>
      </c>
      <c r="F171" s="323">
        <v>3.4</v>
      </c>
      <c r="G171" s="323">
        <v>7.8</v>
      </c>
      <c r="H171" s="323">
        <v>25.2</v>
      </c>
      <c r="I171" s="323">
        <v>4.9000000000000004</v>
      </c>
      <c r="J171" s="323">
        <v>20</v>
      </c>
      <c r="K171" s="323">
        <v>77.2</v>
      </c>
      <c r="L171" s="323">
        <v>19.100000000000001</v>
      </c>
      <c r="M171" s="323">
        <v>57</v>
      </c>
      <c r="N171" s="323">
        <v>26.1</v>
      </c>
      <c r="O171" s="323">
        <v>1.9</v>
      </c>
      <c r="P171" s="323">
        <v>21.3</v>
      </c>
    </row>
    <row r="172" spans="1:16" s="300" customFormat="1" ht="10.5" customHeight="1" x14ac:dyDescent="0.25">
      <c r="A172" s="299"/>
      <c r="B172" s="302"/>
      <c r="C172" s="302"/>
      <c r="D172" s="302"/>
      <c r="E172" s="302"/>
      <c r="F172" s="302"/>
      <c r="G172" s="302"/>
      <c r="H172" s="302"/>
      <c r="I172" s="302"/>
      <c r="J172" s="302"/>
      <c r="K172" s="302"/>
      <c r="L172" s="302"/>
      <c r="M172" s="302"/>
      <c r="N172" s="302"/>
      <c r="O172" s="302"/>
      <c r="P172" s="302"/>
    </row>
    <row r="173" spans="1:16" ht="15" customHeight="1" x14ac:dyDescent="0.25">
      <c r="A173" s="299" t="s">
        <v>289</v>
      </c>
      <c r="B173" s="318">
        <v>9.5</v>
      </c>
      <c r="C173" s="318">
        <v>1.8</v>
      </c>
      <c r="D173" s="318">
        <v>7.4</v>
      </c>
      <c r="E173" s="318">
        <v>0.7</v>
      </c>
      <c r="F173" s="318">
        <v>0.2</v>
      </c>
      <c r="G173" s="318">
        <v>0.6</v>
      </c>
      <c r="H173" s="318">
        <v>1.5</v>
      </c>
      <c r="I173" s="318">
        <v>0.2</v>
      </c>
      <c r="J173" s="318">
        <v>1.3</v>
      </c>
      <c r="K173" s="318">
        <v>5.5</v>
      </c>
      <c r="L173" s="318">
        <v>1.4</v>
      </c>
      <c r="M173" s="318">
        <v>4.0999999999999996</v>
      </c>
      <c r="N173" s="318">
        <v>1.7</v>
      </c>
      <c r="O173" s="307">
        <v>0.1</v>
      </c>
      <c r="P173" s="318">
        <v>1.4</v>
      </c>
    </row>
    <row r="174" spans="1:16" ht="15" customHeight="1" x14ac:dyDescent="0.25">
      <c r="A174" s="299" t="s">
        <v>290</v>
      </c>
      <c r="B174" s="318">
        <v>7.5</v>
      </c>
      <c r="C174" s="318">
        <v>1.4</v>
      </c>
      <c r="D174" s="318">
        <v>5.8</v>
      </c>
      <c r="E174" s="318">
        <v>0.2</v>
      </c>
      <c r="F174" s="307">
        <v>0.1</v>
      </c>
      <c r="G174" s="318">
        <v>0.2</v>
      </c>
      <c r="H174" s="318">
        <v>1.1000000000000001</v>
      </c>
      <c r="I174" s="318">
        <v>0.2</v>
      </c>
      <c r="J174" s="318">
        <v>0.8</v>
      </c>
      <c r="K174" s="318">
        <v>4.5</v>
      </c>
      <c r="L174" s="318">
        <v>1</v>
      </c>
      <c r="M174" s="318">
        <v>3.4</v>
      </c>
      <c r="N174" s="307">
        <v>1.8</v>
      </c>
      <c r="O174" s="307">
        <v>0.1</v>
      </c>
      <c r="P174" s="318">
        <v>1.5</v>
      </c>
    </row>
    <row r="175" spans="1:16" ht="15" customHeight="1" x14ac:dyDescent="0.25">
      <c r="A175" s="299" t="s">
        <v>291</v>
      </c>
      <c r="B175" s="318">
        <v>11.5</v>
      </c>
      <c r="C175" s="318">
        <v>3.2</v>
      </c>
      <c r="D175" s="318">
        <v>7.9</v>
      </c>
      <c r="E175" s="318">
        <v>0.5</v>
      </c>
      <c r="F175" s="307">
        <v>0.1</v>
      </c>
      <c r="G175" s="318">
        <v>0.4</v>
      </c>
      <c r="H175" s="318">
        <v>1.3</v>
      </c>
      <c r="I175" s="318">
        <v>0.4</v>
      </c>
      <c r="J175" s="318">
        <v>1</v>
      </c>
      <c r="K175" s="318">
        <v>7.3</v>
      </c>
      <c r="L175" s="318">
        <v>2.4</v>
      </c>
      <c r="M175" s="318">
        <v>4.8</v>
      </c>
      <c r="N175" s="318">
        <v>2.2999999999999998</v>
      </c>
      <c r="O175" s="318">
        <v>0.4</v>
      </c>
      <c r="P175" s="318">
        <v>1.8</v>
      </c>
    </row>
    <row r="176" spans="1:16" ht="15" customHeight="1" x14ac:dyDescent="0.25">
      <c r="A176" s="299" t="s">
        <v>292</v>
      </c>
      <c r="B176" s="318">
        <v>11.9</v>
      </c>
      <c r="C176" s="318">
        <v>2.2000000000000002</v>
      </c>
      <c r="D176" s="318">
        <v>9.3000000000000007</v>
      </c>
      <c r="E176" s="318">
        <v>0.7</v>
      </c>
      <c r="F176" s="318">
        <v>0.2</v>
      </c>
      <c r="G176" s="318">
        <v>0.5</v>
      </c>
      <c r="H176" s="318">
        <v>1.8</v>
      </c>
      <c r="I176" s="318">
        <v>0.4</v>
      </c>
      <c r="J176" s="318">
        <v>1.4</v>
      </c>
      <c r="K176" s="318">
        <v>7.5</v>
      </c>
      <c r="L176" s="318">
        <v>1.6</v>
      </c>
      <c r="M176" s="318">
        <v>5.8</v>
      </c>
      <c r="N176" s="318">
        <v>2</v>
      </c>
      <c r="O176" s="324" t="s">
        <v>330</v>
      </c>
      <c r="P176" s="318">
        <v>1.7</v>
      </c>
    </row>
    <row r="177" spans="1:32" ht="15" customHeight="1" x14ac:dyDescent="0.25">
      <c r="A177" s="299" t="s">
        <v>293</v>
      </c>
      <c r="B177" s="318">
        <v>13</v>
      </c>
      <c r="C177" s="318">
        <v>2.7</v>
      </c>
      <c r="D177" s="318">
        <v>10</v>
      </c>
      <c r="E177" s="318">
        <v>1.1000000000000001</v>
      </c>
      <c r="F177" s="318">
        <v>0.3</v>
      </c>
      <c r="G177" s="318">
        <v>0.8</v>
      </c>
      <c r="H177" s="318">
        <v>2.1</v>
      </c>
      <c r="I177" s="318">
        <v>0.3</v>
      </c>
      <c r="J177" s="318">
        <v>1.7</v>
      </c>
      <c r="K177" s="318">
        <v>7.6</v>
      </c>
      <c r="L177" s="318">
        <v>1.8</v>
      </c>
      <c r="M177" s="318">
        <v>5.7</v>
      </c>
      <c r="N177" s="318">
        <v>2.1</v>
      </c>
      <c r="O177" s="318">
        <v>0.3</v>
      </c>
      <c r="P177" s="318">
        <v>1.7</v>
      </c>
    </row>
    <row r="178" spans="1:32" ht="15" customHeight="1" x14ac:dyDescent="0.25">
      <c r="A178" s="299" t="s">
        <v>282</v>
      </c>
      <c r="B178" s="318">
        <v>12.3</v>
      </c>
      <c r="C178" s="318">
        <v>2.8</v>
      </c>
      <c r="D178" s="318">
        <v>9.1</v>
      </c>
      <c r="E178" s="318">
        <v>0.9</v>
      </c>
      <c r="F178" s="318">
        <v>0.4</v>
      </c>
      <c r="G178" s="318">
        <v>0.5</v>
      </c>
      <c r="H178" s="318">
        <v>2.1</v>
      </c>
      <c r="I178" s="318">
        <v>0.4</v>
      </c>
      <c r="J178" s="318">
        <v>1.7</v>
      </c>
      <c r="K178" s="318">
        <v>7.1</v>
      </c>
      <c r="L178" s="318">
        <v>2</v>
      </c>
      <c r="M178" s="318">
        <v>4.9000000000000004</v>
      </c>
      <c r="N178" s="318">
        <v>2.2000000000000002</v>
      </c>
      <c r="O178" s="324" t="s">
        <v>330</v>
      </c>
      <c r="P178" s="318">
        <v>2</v>
      </c>
    </row>
    <row r="179" spans="1:32" ht="15" customHeight="1" x14ac:dyDescent="0.25">
      <c r="A179" s="299" t="s">
        <v>283</v>
      </c>
      <c r="B179" s="318">
        <v>11.8</v>
      </c>
      <c r="C179" s="318">
        <v>2.4</v>
      </c>
      <c r="D179" s="318">
        <v>9.1</v>
      </c>
      <c r="E179" s="318">
        <v>1</v>
      </c>
      <c r="F179" s="318">
        <v>0.4</v>
      </c>
      <c r="G179" s="318">
        <v>0.6</v>
      </c>
      <c r="H179" s="318">
        <v>2.6</v>
      </c>
      <c r="I179" s="318">
        <v>0.4</v>
      </c>
      <c r="J179" s="318">
        <v>2.1</v>
      </c>
      <c r="K179" s="318">
        <v>6.1</v>
      </c>
      <c r="L179" s="318">
        <v>1.3</v>
      </c>
      <c r="M179" s="318">
        <v>4.7</v>
      </c>
      <c r="N179" s="318">
        <v>2.1</v>
      </c>
      <c r="O179" s="318">
        <v>0.2</v>
      </c>
      <c r="P179" s="318">
        <v>1.6</v>
      </c>
      <c r="Q179" s="299"/>
      <c r="R179" s="325"/>
      <c r="S179" s="318"/>
      <c r="T179" s="318"/>
      <c r="U179" s="325"/>
      <c r="V179" s="318"/>
      <c r="W179" s="318"/>
      <c r="X179" s="325"/>
      <c r="Y179" s="318"/>
      <c r="Z179" s="318"/>
      <c r="AA179" s="325"/>
      <c r="AB179" s="318"/>
      <c r="AC179" s="318"/>
      <c r="AD179" s="325"/>
      <c r="AE179" s="318"/>
      <c r="AF179" s="318"/>
    </row>
    <row r="180" spans="1:32" ht="15" customHeight="1" x14ac:dyDescent="0.25">
      <c r="A180" s="299" t="s">
        <v>284</v>
      </c>
      <c r="B180" s="318">
        <v>12.8</v>
      </c>
      <c r="C180" s="318">
        <v>2.9</v>
      </c>
      <c r="D180" s="318">
        <v>9.5</v>
      </c>
      <c r="E180" s="318">
        <v>1.5</v>
      </c>
      <c r="F180" s="318">
        <v>0.5</v>
      </c>
      <c r="G180" s="318">
        <v>0.9</v>
      </c>
      <c r="H180" s="318">
        <v>3</v>
      </c>
      <c r="I180" s="318">
        <v>0.7</v>
      </c>
      <c r="J180" s="318">
        <v>2.2999999999999998</v>
      </c>
      <c r="K180" s="318">
        <v>6.2</v>
      </c>
      <c r="L180" s="318">
        <v>1.6</v>
      </c>
      <c r="M180" s="318">
        <v>4.5</v>
      </c>
      <c r="N180" s="318">
        <v>2.2000000000000002</v>
      </c>
      <c r="O180" s="307">
        <v>0.1</v>
      </c>
      <c r="P180" s="318">
        <v>1.9</v>
      </c>
    </row>
    <row r="181" spans="1:32" ht="15" customHeight="1" x14ac:dyDescent="0.25">
      <c r="A181" s="299" t="s">
        <v>294</v>
      </c>
      <c r="B181" s="318">
        <v>13</v>
      </c>
      <c r="C181" s="318">
        <v>3</v>
      </c>
      <c r="D181" s="318">
        <v>9.5</v>
      </c>
      <c r="E181" s="318">
        <v>1.2</v>
      </c>
      <c r="F181" s="318">
        <v>0.5</v>
      </c>
      <c r="G181" s="318">
        <v>0.7</v>
      </c>
      <c r="H181" s="318">
        <v>2.6</v>
      </c>
      <c r="I181" s="318">
        <v>0.5</v>
      </c>
      <c r="J181" s="318">
        <v>2</v>
      </c>
      <c r="K181" s="318">
        <v>6.7</v>
      </c>
      <c r="L181" s="318">
        <v>1.7</v>
      </c>
      <c r="M181" s="318">
        <v>4.9000000000000004</v>
      </c>
      <c r="N181" s="318">
        <v>2.5</v>
      </c>
      <c r="O181" s="318">
        <v>0.2</v>
      </c>
      <c r="P181" s="318">
        <v>1.9</v>
      </c>
    </row>
    <row r="182" spans="1:32" ht="15" customHeight="1" x14ac:dyDescent="0.25">
      <c r="A182" s="299" t="s">
        <v>295</v>
      </c>
      <c r="B182" s="318">
        <v>14.6</v>
      </c>
      <c r="C182" s="318">
        <v>3</v>
      </c>
      <c r="D182" s="318">
        <v>11.2</v>
      </c>
      <c r="E182" s="318">
        <v>1.3</v>
      </c>
      <c r="F182" s="318">
        <v>0.5</v>
      </c>
      <c r="G182" s="318">
        <v>0.8</v>
      </c>
      <c r="H182" s="318">
        <v>3</v>
      </c>
      <c r="I182" s="318">
        <v>0.8</v>
      </c>
      <c r="J182" s="318">
        <v>2.2000000000000002</v>
      </c>
      <c r="K182" s="318">
        <v>7.5</v>
      </c>
      <c r="L182" s="318">
        <v>1.6</v>
      </c>
      <c r="M182" s="318">
        <v>5.7</v>
      </c>
      <c r="N182" s="318">
        <v>2.9</v>
      </c>
      <c r="O182" s="307">
        <v>0.1</v>
      </c>
      <c r="P182" s="318">
        <v>2.4</v>
      </c>
    </row>
    <row r="183" spans="1:32" ht="15" customHeight="1" x14ac:dyDescent="0.25">
      <c r="A183" s="299" t="s">
        <v>296</v>
      </c>
      <c r="B183" s="318">
        <v>11.4</v>
      </c>
      <c r="C183" s="318">
        <v>2.2999999999999998</v>
      </c>
      <c r="D183" s="318">
        <v>8.6999999999999993</v>
      </c>
      <c r="E183" s="318">
        <v>1.1000000000000001</v>
      </c>
      <c r="F183" s="318">
        <v>0.2</v>
      </c>
      <c r="G183" s="318">
        <v>0.9</v>
      </c>
      <c r="H183" s="318">
        <v>2.2000000000000002</v>
      </c>
      <c r="I183" s="318">
        <v>0.4</v>
      </c>
      <c r="J183" s="318">
        <v>1.8</v>
      </c>
      <c r="K183" s="318">
        <v>5.7</v>
      </c>
      <c r="L183" s="318">
        <v>1.4</v>
      </c>
      <c r="M183" s="318">
        <v>4.3</v>
      </c>
      <c r="N183" s="318">
        <v>2.4</v>
      </c>
      <c r="O183" s="318">
        <v>0.3</v>
      </c>
      <c r="P183" s="318">
        <v>1.7</v>
      </c>
    </row>
    <row r="184" spans="1:32" ht="15" customHeight="1" x14ac:dyDescent="0.25">
      <c r="A184" s="299" t="s">
        <v>297</v>
      </c>
      <c r="B184" s="318">
        <v>10.5</v>
      </c>
      <c r="C184" s="318">
        <v>1.6</v>
      </c>
      <c r="D184" s="318">
        <v>8.5</v>
      </c>
      <c r="E184" s="318">
        <v>1</v>
      </c>
      <c r="F184" s="318">
        <v>0.1</v>
      </c>
      <c r="G184" s="318">
        <v>0.9</v>
      </c>
      <c r="H184" s="318">
        <v>2</v>
      </c>
      <c r="I184" s="318">
        <v>0.2</v>
      </c>
      <c r="J184" s="318">
        <v>1.7</v>
      </c>
      <c r="K184" s="318">
        <v>5.5</v>
      </c>
      <c r="L184" s="318">
        <v>1.1000000000000001</v>
      </c>
      <c r="M184" s="318">
        <v>4.3</v>
      </c>
      <c r="N184" s="318">
        <v>2</v>
      </c>
      <c r="O184" s="318">
        <v>0.2</v>
      </c>
      <c r="P184" s="318">
        <v>1.6</v>
      </c>
    </row>
    <row r="185" spans="1:32" ht="15" customHeight="1" x14ac:dyDescent="0.25"/>
    <row r="186" spans="1:32" ht="15" customHeight="1" x14ac:dyDescent="0.25"/>
    <row r="187" spans="1:32" ht="15" customHeight="1" x14ac:dyDescent="0.25">
      <c r="A187" s="312">
        <v>2002</v>
      </c>
      <c r="B187" s="312"/>
      <c r="C187" s="312"/>
      <c r="D187" s="312"/>
      <c r="E187" s="312"/>
      <c r="F187" s="312"/>
      <c r="G187" s="312"/>
      <c r="H187" s="312"/>
      <c r="I187" s="312"/>
      <c r="J187" s="312"/>
      <c r="K187" s="312"/>
      <c r="L187" s="312"/>
      <c r="M187" s="312"/>
      <c r="N187" s="312"/>
      <c r="O187" s="312"/>
      <c r="P187" s="312"/>
    </row>
    <row r="188" spans="1:32" s="300" customFormat="1" ht="10.5" customHeight="1" x14ac:dyDescent="0.25">
      <c r="A188" s="299"/>
      <c r="B188" s="302"/>
      <c r="C188" s="302"/>
      <c r="D188" s="302"/>
      <c r="E188" s="302"/>
      <c r="F188" s="302"/>
      <c r="G188" s="302"/>
      <c r="H188" s="302"/>
      <c r="I188" s="302"/>
      <c r="J188" s="302"/>
      <c r="K188" s="302"/>
      <c r="L188" s="302"/>
      <c r="M188" s="302"/>
      <c r="N188" s="302"/>
      <c r="O188" s="302"/>
      <c r="P188" s="302"/>
    </row>
    <row r="189" spans="1:32" ht="15" customHeight="1" x14ac:dyDescent="0.2">
      <c r="A189" s="304" t="s">
        <v>91</v>
      </c>
      <c r="B189" s="323">
        <v>174.3</v>
      </c>
      <c r="C189" s="323">
        <v>41.1</v>
      </c>
      <c r="D189" s="323">
        <v>128.69999999999999</v>
      </c>
      <c r="E189" s="323">
        <v>11.8</v>
      </c>
      <c r="F189" s="323">
        <v>3.1</v>
      </c>
      <c r="G189" s="323">
        <v>8.6999999999999993</v>
      </c>
      <c r="H189" s="323">
        <v>34.200000000000003</v>
      </c>
      <c r="I189" s="323">
        <v>8.1</v>
      </c>
      <c r="J189" s="323">
        <v>25.7</v>
      </c>
      <c r="K189" s="323">
        <v>101</v>
      </c>
      <c r="L189" s="323">
        <v>27.6</v>
      </c>
      <c r="M189" s="323">
        <v>72</v>
      </c>
      <c r="N189" s="323">
        <v>27.2</v>
      </c>
      <c r="O189" s="323">
        <v>2.4</v>
      </c>
      <c r="P189" s="323">
        <v>22.2</v>
      </c>
    </row>
    <row r="190" spans="1:32" s="300" customFormat="1" ht="10.5" customHeight="1" x14ac:dyDescent="0.25">
      <c r="A190" s="299"/>
      <c r="B190" s="302"/>
      <c r="C190" s="302"/>
      <c r="D190" s="302"/>
      <c r="E190" s="302"/>
      <c r="F190" s="302"/>
      <c r="G190" s="302"/>
      <c r="H190" s="302"/>
      <c r="I190" s="302"/>
      <c r="J190" s="302"/>
      <c r="K190" s="302"/>
      <c r="L190" s="302"/>
      <c r="M190" s="302"/>
      <c r="N190" s="302"/>
      <c r="O190" s="302"/>
      <c r="P190" s="302"/>
    </row>
    <row r="191" spans="1:32" ht="15" customHeight="1" x14ac:dyDescent="0.25">
      <c r="A191" s="299" t="s">
        <v>289</v>
      </c>
      <c r="B191" s="318">
        <v>11.4</v>
      </c>
      <c r="C191" s="318">
        <v>2.6</v>
      </c>
      <c r="D191" s="318">
        <v>8.6</v>
      </c>
      <c r="E191" s="318">
        <v>0.8</v>
      </c>
      <c r="F191" s="318">
        <v>0.2</v>
      </c>
      <c r="G191" s="318">
        <v>0.6</v>
      </c>
      <c r="H191" s="318">
        <v>2.1</v>
      </c>
      <c r="I191" s="318">
        <v>0.4</v>
      </c>
      <c r="J191" s="318">
        <v>1.7</v>
      </c>
      <c r="K191" s="318">
        <v>6.9</v>
      </c>
      <c r="L191" s="318">
        <v>1.9</v>
      </c>
      <c r="M191" s="318">
        <v>4.9000000000000004</v>
      </c>
      <c r="N191" s="318">
        <v>1.7</v>
      </c>
      <c r="O191" s="318">
        <v>0.1</v>
      </c>
      <c r="P191" s="318">
        <v>1.5</v>
      </c>
    </row>
    <row r="192" spans="1:32" ht="15" customHeight="1" x14ac:dyDescent="0.25">
      <c r="A192" s="299" t="s">
        <v>290</v>
      </c>
      <c r="B192" s="318">
        <v>12</v>
      </c>
      <c r="C192" s="318">
        <v>3.4</v>
      </c>
      <c r="D192" s="318">
        <v>8.3000000000000007</v>
      </c>
      <c r="E192" s="318">
        <v>0.5</v>
      </c>
      <c r="F192" s="318">
        <v>0.2</v>
      </c>
      <c r="G192" s="318">
        <v>0.3</v>
      </c>
      <c r="H192" s="318">
        <v>2.2000000000000002</v>
      </c>
      <c r="I192" s="318">
        <v>0.7</v>
      </c>
      <c r="J192" s="318">
        <v>1.5</v>
      </c>
      <c r="K192" s="318">
        <v>7.3</v>
      </c>
      <c r="L192" s="318">
        <v>2.2000000000000002</v>
      </c>
      <c r="M192" s="318">
        <v>5</v>
      </c>
      <c r="N192" s="318">
        <v>2.1</v>
      </c>
      <c r="O192" s="318">
        <v>0.4</v>
      </c>
      <c r="P192" s="318">
        <v>1.5</v>
      </c>
    </row>
    <row r="193" spans="1:32" ht="15" customHeight="1" x14ac:dyDescent="0.25">
      <c r="A193" s="299" t="s">
        <v>291</v>
      </c>
      <c r="B193" s="318">
        <v>13.2</v>
      </c>
      <c r="C193" s="318">
        <v>3.1</v>
      </c>
      <c r="D193" s="318">
        <v>9.6999999999999993</v>
      </c>
      <c r="E193" s="318">
        <v>0.6</v>
      </c>
      <c r="F193" s="318">
        <v>0.1</v>
      </c>
      <c r="G193" s="318">
        <v>0.6</v>
      </c>
      <c r="H193" s="318">
        <v>2.1</v>
      </c>
      <c r="I193" s="318">
        <v>0.4</v>
      </c>
      <c r="J193" s="318">
        <v>1.6</v>
      </c>
      <c r="K193" s="318">
        <v>8.5</v>
      </c>
      <c r="L193" s="318">
        <v>2.4</v>
      </c>
      <c r="M193" s="318">
        <v>6</v>
      </c>
      <c r="N193" s="318">
        <v>2</v>
      </c>
      <c r="O193" s="318">
        <v>0.2</v>
      </c>
      <c r="P193" s="318">
        <v>1.6</v>
      </c>
    </row>
    <row r="194" spans="1:32" ht="15" customHeight="1" x14ac:dyDescent="0.25">
      <c r="A194" s="299" t="s">
        <v>292</v>
      </c>
      <c r="B194" s="318">
        <v>14.8</v>
      </c>
      <c r="C194" s="318">
        <v>3.5</v>
      </c>
      <c r="D194" s="318">
        <v>10.9</v>
      </c>
      <c r="E194" s="318">
        <v>0.8</v>
      </c>
      <c r="F194" s="318">
        <v>0.3</v>
      </c>
      <c r="G194" s="318">
        <v>0.6</v>
      </c>
      <c r="H194" s="318">
        <v>2.7</v>
      </c>
      <c r="I194" s="318">
        <v>0.7</v>
      </c>
      <c r="J194" s="318">
        <v>2</v>
      </c>
      <c r="K194" s="318">
        <v>9.3000000000000007</v>
      </c>
      <c r="L194" s="318">
        <v>2.5</v>
      </c>
      <c r="M194" s="318">
        <v>6.7</v>
      </c>
      <c r="N194" s="318">
        <v>1.9</v>
      </c>
      <c r="O194" s="307" t="s">
        <v>330</v>
      </c>
      <c r="P194" s="318">
        <v>1.6</v>
      </c>
    </row>
    <row r="195" spans="1:32" ht="15" customHeight="1" x14ac:dyDescent="0.25">
      <c r="A195" s="299" t="s">
        <v>293</v>
      </c>
      <c r="B195" s="318">
        <v>18.899999999999999</v>
      </c>
      <c r="C195" s="318">
        <v>4.5999999999999996</v>
      </c>
      <c r="D195" s="318">
        <v>13.8</v>
      </c>
      <c r="E195" s="318">
        <v>1.3</v>
      </c>
      <c r="F195" s="318">
        <v>0.3</v>
      </c>
      <c r="G195" s="318">
        <v>1</v>
      </c>
      <c r="H195" s="318">
        <v>3</v>
      </c>
      <c r="I195" s="318">
        <v>0.5</v>
      </c>
      <c r="J195" s="318">
        <v>2.4</v>
      </c>
      <c r="K195" s="318">
        <v>11.5</v>
      </c>
      <c r="L195" s="318">
        <v>3.4</v>
      </c>
      <c r="M195" s="318">
        <v>8</v>
      </c>
      <c r="N195" s="318">
        <v>3.1</v>
      </c>
      <c r="O195" s="318">
        <v>0.5</v>
      </c>
      <c r="P195" s="318">
        <v>2.4</v>
      </c>
    </row>
    <row r="196" spans="1:32" ht="15" customHeight="1" x14ac:dyDescent="0.25">
      <c r="A196" s="299" t="s">
        <v>282</v>
      </c>
      <c r="B196" s="318">
        <v>16.399999999999999</v>
      </c>
      <c r="C196" s="318">
        <v>3.8</v>
      </c>
      <c r="D196" s="318">
        <v>12.3</v>
      </c>
      <c r="E196" s="318">
        <v>1.1000000000000001</v>
      </c>
      <c r="F196" s="318">
        <v>0.2</v>
      </c>
      <c r="G196" s="318">
        <v>0.9</v>
      </c>
      <c r="H196" s="318">
        <v>3.5</v>
      </c>
      <c r="I196" s="318">
        <v>0.9</v>
      </c>
      <c r="J196" s="318">
        <v>2.6</v>
      </c>
      <c r="K196" s="318">
        <v>9.1999999999999993</v>
      </c>
      <c r="L196" s="318">
        <v>2.4</v>
      </c>
      <c r="M196" s="318">
        <v>6.7</v>
      </c>
      <c r="N196" s="318">
        <v>2.5</v>
      </c>
      <c r="O196" s="318">
        <v>0.2</v>
      </c>
      <c r="P196" s="318">
        <v>2.1</v>
      </c>
    </row>
    <row r="197" spans="1:32" ht="15" customHeight="1" x14ac:dyDescent="0.25">
      <c r="A197" s="299" t="s">
        <v>283</v>
      </c>
      <c r="B197" s="318">
        <v>15.5</v>
      </c>
      <c r="C197" s="318">
        <v>3.7</v>
      </c>
      <c r="D197" s="318">
        <v>11.4</v>
      </c>
      <c r="E197" s="318">
        <v>1.2</v>
      </c>
      <c r="F197" s="318">
        <v>0.4</v>
      </c>
      <c r="G197" s="318">
        <v>0.8</v>
      </c>
      <c r="H197" s="318">
        <v>3.2</v>
      </c>
      <c r="I197" s="318">
        <v>1</v>
      </c>
      <c r="J197" s="318">
        <v>2.1</v>
      </c>
      <c r="K197" s="318">
        <v>8.6999999999999993</v>
      </c>
      <c r="L197" s="318">
        <v>2.2000000000000002</v>
      </c>
      <c r="M197" s="318">
        <v>6.4</v>
      </c>
      <c r="N197" s="318">
        <v>2.5</v>
      </c>
      <c r="O197" s="318">
        <v>0.2</v>
      </c>
      <c r="P197" s="318">
        <v>2.1</v>
      </c>
      <c r="Q197" s="299"/>
      <c r="R197" s="318"/>
      <c r="S197" s="326"/>
      <c r="T197" s="326"/>
      <c r="U197" s="318"/>
      <c r="V197" s="326"/>
      <c r="W197" s="326"/>
      <c r="X197" s="318"/>
      <c r="Y197" s="326"/>
      <c r="Z197" s="326"/>
      <c r="AA197" s="318"/>
      <c r="AB197" s="326"/>
      <c r="AC197" s="326"/>
      <c r="AD197" s="318"/>
      <c r="AE197" s="326"/>
      <c r="AF197" s="326"/>
    </row>
    <row r="198" spans="1:32" ht="15" customHeight="1" x14ac:dyDescent="0.25">
      <c r="A198" s="299" t="s">
        <v>284</v>
      </c>
      <c r="B198" s="318">
        <v>16.899999999999999</v>
      </c>
      <c r="C198" s="318">
        <v>4.5999999999999996</v>
      </c>
      <c r="D198" s="318">
        <v>11.9</v>
      </c>
      <c r="E198" s="318">
        <v>1.3</v>
      </c>
      <c r="F198" s="318">
        <v>0.5</v>
      </c>
      <c r="G198" s="318">
        <v>0.8</v>
      </c>
      <c r="H198" s="318">
        <v>3.3</v>
      </c>
      <c r="I198" s="318">
        <v>0.8</v>
      </c>
      <c r="J198" s="318">
        <v>2.4</v>
      </c>
      <c r="K198" s="318">
        <v>10</v>
      </c>
      <c r="L198" s="318">
        <v>3</v>
      </c>
      <c r="M198" s="318">
        <v>6.8</v>
      </c>
      <c r="N198" s="318">
        <v>2.2999999999999998</v>
      </c>
      <c r="O198" s="318">
        <v>0.2</v>
      </c>
      <c r="P198" s="318">
        <v>1.9</v>
      </c>
    </row>
    <row r="199" spans="1:32" ht="15" customHeight="1" x14ac:dyDescent="0.25">
      <c r="A199" s="299" t="s">
        <v>294</v>
      </c>
      <c r="B199" s="318">
        <v>14.6</v>
      </c>
      <c r="C199" s="318">
        <v>3.5</v>
      </c>
      <c r="D199" s="318">
        <v>10.8</v>
      </c>
      <c r="E199" s="318">
        <v>1.1000000000000001</v>
      </c>
      <c r="F199" s="318">
        <v>0.3</v>
      </c>
      <c r="G199" s="318">
        <v>0.8</v>
      </c>
      <c r="H199" s="318">
        <v>3.4</v>
      </c>
      <c r="I199" s="318">
        <v>0.9</v>
      </c>
      <c r="J199" s="318">
        <v>2.5</v>
      </c>
      <c r="K199" s="318">
        <v>7.9</v>
      </c>
      <c r="L199" s="318">
        <v>2.2000000000000002</v>
      </c>
      <c r="M199" s="318">
        <v>5.6</v>
      </c>
      <c r="N199" s="318">
        <v>2.2000000000000002</v>
      </c>
      <c r="O199" s="318">
        <v>0.1</v>
      </c>
      <c r="P199" s="318">
        <v>1.9</v>
      </c>
    </row>
    <row r="200" spans="1:32" ht="15" customHeight="1" x14ac:dyDescent="0.25">
      <c r="A200" s="299" t="s">
        <v>295</v>
      </c>
      <c r="B200" s="318">
        <v>15.9</v>
      </c>
      <c r="C200" s="318">
        <v>3.6</v>
      </c>
      <c r="D200" s="318">
        <v>11.8</v>
      </c>
      <c r="E200" s="318">
        <v>1.2</v>
      </c>
      <c r="F200" s="318">
        <v>0.4</v>
      </c>
      <c r="G200" s="318">
        <v>0.9</v>
      </c>
      <c r="H200" s="318">
        <v>3.6</v>
      </c>
      <c r="I200" s="318">
        <v>0.8</v>
      </c>
      <c r="J200" s="318">
        <v>2.8</v>
      </c>
      <c r="K200" s="318">
        <v>8.1999999999999993</v>
      </c>
      <c r="L200" s="318">
        <v>2.2000000000000002</v>
      </c>
      <c r="M200" s="318">
        <v>5.9</v>
      </c>
      <c r="N200" s="318">
        <v>2.9</v>
      </c>
      <c r="O200" s="318">
        <v>0.3</v>
      </c>
      <c r="P200" s="318">
        <v>2.2999999999999998</v>
      </c>
    </row>
    <row r="201" spans="1:32" ht="15" customHeight="1" x14ac:dyDescent="0.25">
      <c r="A201" s="299" t="s">
        <v>296</v>
      </c>
      <c r="B201" s="318">
        <v>12.6</v>
      </c>
      <c r="C201" s="318">
        <v>2.2000000000000002</v>
      </c>
      <c r="D201" s="318">
        <v>10</v>
      </c>
      <c r="E201" s="318">
        <v>1.1000000000000001</v>
      </c>
      <c r="F201" s="318">
        <v>0.2</v>
      </c>
      <c r="G201" s="318">
        <v>0.9</v>
      </c>
      <c r="H201" s="318">
        <v>2.9</v>
      </c>
      <c r="I201" s="318">
        <v>0.5</v>
      </c>
      <c r="J201" s="318">
        <v>2.4</v>
      </c>
      <c r="K201" s="318">
        <v>6.3</v>
      </c>
      <c r="L201" s="318">
        <v>1.4</v>
      </c>
      <c r="M201" s="318">
        <v>4.8</v>
      </c>
      <c r="N201" s="318">
        <v>2.2999999999999998</v>
      </c>
      <c r="O201" s="318">
        <v>0.1</v>
      </c>
      <c r="P201" s="318">
        <v>1.9</v>
      </c>
    </row>
    <row r="202" spans="1:32" ht="15" customHeight="1" x14ac:dyDescent="0.25">
      <c r="A202" s="299" t="s">
        <v>297</v>
      </c>
      <c r="B202" s="318">
        <v>12</v>
      </c>
      <c r="C202" s="318">
        <v>2.5</v>
      </c>
      <c r="D202" s="318">
        <v>9.1</v>
      </c>
      <c r="E202" s="318">
        <v>0.8</v>
      </c>
      <c r="F202" s="318">
        <v>0.2</v>
      </c>
      <c r="G202" s="318">
        <v>0.6</v>
      </c>
      <c r="H202" s="318">
        <v>2.2000000000000002</v>
      </c>
      <c r="I202" s="318">
        <v>0.3</v>
      </c>
      <c r="J202" s="318">
        <v>1.8</v>
      </c>
      <c r="K202" s="318">
        <v>7.2</v>
      </c>
      <c r="L202" s="318">
        <v>1.9</v>
      </c>
      <c r="M202" s="318">
        <v>5.0999999999999996</v>
      </c>
      <c r="N202" s="318">
        <v>1.9</v>
      </c>
      <c r="O202" s="318">
        <v>0.1</v>
      </c>
      <c r="P202" s="318">
        <v>1.6</v>
      </c>
    </row>
    <row r="203" spans="1:32" ht="15" customHeight="1" x14ac:dyDescent="0.25"/>
    <row r="204" spans="1:32" ht="15" customHeight="1" x14ac:dyDescent="0.25"/>
    <row r="205" spans="1:32" ht="15" customHeight="1" x14ac:dyDescent="0.25">
      <c r="A205" s="312">
        <v>2001</v>
      </c>
      <c r="B205" s="312"/>
      <c r="C205" s="312"/>
      <c r="D205" s="312"/>
      <c r="E205" s="312"/>
      <c r="F205" s="312"/>
      <c r="G205" s="312"/>
      <c r="H205" s="312"/>
      <c r="I205" s="312"/>
      <c r="J205" s="312"/>
      <c r="K205" s="312"/>
      <c r="L205" s="312"/>
      <c r="M205" s="312"/>
      <c r="N205" s="312"/>
      <c r="O205" s="312"/>
      <c r="P205" s="312"/>
    </row>
    <row r="206" spans="1:32" s="300" customFormat="1" ht="10.5" customHeight="1" x14ac:dyDescent="0.25">
      <c r="A206" s="299"/>
      <c r="B206" s="302"/>
      <c r="C206" s="302"/>
      <c r="D206" s="302"/>
      <c r="E206" s="302"/>
      <c r="F206" s="302"/>
      <c r="G206" s="302"/>
      <c r="H206" s="302"/>
      <c r="I206" s="302"/>
      <c r="J206" s="302"/>
      <c r="K206" s="302"/>
      <c r="L206" s="302"/>
      <c r="M206" s="302"/>
      <c r="N206" s="302"/>
      <c r="O206" s="302"/>
      <c r="P206" s="302"/>
    </row>
    <row r="207" spans="1:32" ht="15" customHeight="1" x14ac:dyDescent="0.2">
      <c r="A207" s="304" t="s">
        <v>91</v>
      </c>
      <c r="B207" s="323">
        <v>196.2</v>
      </c>
      <c r="C207" s="323">
        <v>53.3</v>
      </c>
      <c r="D207" s="323">
        <v>139.30000000000001</v>
      </c>
      <c r="E207" s="323">
        <v>12.2</v>
      </c>
      <c r="F207" s="323">
        <v>3.9</v>
      </c>
      <c r="G207" s="323">
        <v>8.3000000000000007</v>
      </c>
      <c r="H207" s="323">
        <v>37.6</v>
      </c>
      <c r="I207" s="323">
        <v>10.4</v>
      </c>
      <c r="J207" s="323">
        <v>27</v>
      </c>
      <c r="K207" s="323">
        <v>116.4</v>
      </c>
      <c r="L207" s="323">
        <v>35.200000000000003</v>
      </c>
      <c r="M207" s="323">
        <v>80</v>
      </c>
      <c r="N207" s="323">
        <v>30</v>
      </c>
      <c r="O207" s="323">
        <v>3.8</v>
      </c>
      <c r="P207" s="323">
        <v>24</v>
      </c>
    </row>
    <row r="208" spans="1:32" s="300" customFormat="1" ht="10.5" customHeight="1" x14ac:dyDescent="0.25">
      <c r="A208" s="299"/>
      <c r="B208" s="302"/>
      <c r="C208" s="302"/>
      <c r="D208" s="302"/>
      <c r="E208" s="302"/>
      <c r="F208" s="302"/>
      <c r="G208" s="302"/>
      <c r="H208" s="302"/>
      <c r="I208" s="302"/>
      <c r="J208" s="302"/>
      <c r="K208" s="302"/>
      <c r="L208" s="302"/>
      <c r="M208" s="302"/>
      <c r="N208" s="302"/>
      <c r="O208" s="302"/>
      <c r="P208" s="302"/>
    </row>
    <row r="209" spans="1:32" ht="15" customHeight="1" x14ac:dyDescent="0.25">
      <c r="A209" s="299" t="s">
        <v>289</v>
      </c>
      <c r="B209" s="318">
        <v>12.9</v>
      </c>
      <c r="C209" s="318">
        <v>3.3</v>
      </c>
      <c r="D209" s="318">
        <v>9.5</v>
      </c>
      <c r="E209" s="318">
        <v>0.4</v>
      </c>
      <c r="F209" s="318">
        <v>0.1</v>
      </c>
      <c r="G209" s="318">
        <v>0.3</v>
      </c>
      <c r="H209" s="318">
        <v>2.4</v>
      </c>
      <c r="I209" s="318">
        <v>0.6</v>
      </c>
      <c r="J209" s="318">
        <v>1.8</v>
      </c>
      <c r="K209" s="318">
        <v>7.8</v>
      </c>
      <c r="L209" s="318">
        <v>2.4</v>
      </c>
      <c r="M209" s="318">
        <v>5.4</v>
      </c>
      <c r="N209" s="318">
        <v>2.2000000000000002</v>
      </c>
      <c r="O209" s="318">
        <v>0.2</v>
      </c>
      <c r="P209" s="318">
        <v>2</v>
      </c>
      <c r="Q209" s="299"/>
      <c r="R209" s="318"/>
      <c r="S209" s="318"/>
      <c r="T209" s="318"/>
      <c r="U209" s="318"/>
      <c r="V209" s="318"/>
      <c r="W209" s="318"/>
      <c r="X209" s="318"/>
      <c r="Y209" s="318"/>
      <c r="Z209" s="318"/>
      <c r="AA209" s="318"/>
      <c r="AB209" s="318"/>
      <c r="AC209" s="318"/>
      <c r="AD209" s="318"/>
      <c r="AE209" s="318"/>
      <c r="AF209" s="318"/>
    </row>
    <row r="210" spans="1:32" ht="15" customHeight="1" x14ac:dyDescent="0.25">
      <c r="A210" s="299" t="s">
        <v>290</v>
      </c>
      <c r="B210" s="318">
        <v>14.1</v>
      </c>
      <c r="C210" s="318">
        <v>4.2</v>
      </c>
      <c r="D210" s="318">
        <v>9.6999999999999993</v>
      </c>
      <c r="E210" s="318">
        <v>0.6</v>
      </c>
      <c r="F210" s="318">
        <v>0.2</v>
      </c>
      <c r="G210" s="318">
        <v>0.4</v>
      </c>
      <c r="H210" s="318">
        <v>1.8</v>
      </c>
      <c r="I210" s="318">
        <v>0.6</v>
      </c>
      <c r="J210" s="318">
        <v>1.2</v>
      </c>
      <c r="K210" s="318">
        <v>9.6</v>
      </c>
      <c r="L210" s="318">
        <v>3.3</v>
      </c>
      <c r="M210" s="318">
        <v>6.3</v>
      </c>
      <c r="N210" s="318">
        <v>2.2000000000000002</v>
      </c>
      <c r="O210" s="318">
        <v>0.2</v>
      </c>
      <c r="P210" s="318">
        <v>1.9</v>
      </c>
    </row>
    <row r="211" spans="1:32" ht="15" customHeight="1" x14ac:dyDescent="0.25">
      <c r="A211" s="299" t="s">
        <v>291</v>
      </c>
      <c r="B211" s="318">
        <v>15.5</v>
      </c>
      <c r="C211" s="318">
        <v>4.8</v>
      </c>
      <c r="D211" s="318">
        <v>10.6</v>
      </c>
      <c r="E211" s="318">
        <v>0.8</v>
      </c>
      <c r="F211" s="318">
        <v>0.2</v>
      </c>
      <c r="G211" s="318">
        <v>0.5</v>
      </c>
      <c r="H211" s="318">
        <v>2.2999999999999998</v>
      </c>
      <c r="I211" s="318">
        <v>0.8</v>
      </c>
      <c r="J211" s="318">
        <v>1.4</v>
      </c>
      <c r="K211" s="318">
        <v>10.4</v>
      </c>
      <c r="L211" s="318">
        <v>3.3</v>
      </c>
      <c r="M211" s="318">
        <v>7</v>
      </c>
      <c r="N211" s="318">
        <v>2.1</v>
      </c>
      <c r="O211" s="318">
        <v>0.4</v>
      </c>
      <c r="P211" s="318">
        <v>1.6</v>
      </c>
    </row>
    <row r="212" spans="1:32" ht="15" customHeight="1" x14ac:dyDescent="0.25">
      <c r="A212" s="299" t="s">
        <v>292</v>
      </c>
      <c r="B212" s="318">
        <v>15</v>
      </c>
      <c r="C212" s="318">
        <v>4.3</v>
      </c>
      <c r="D212" s="318">
        <v>10.4</v>
      </c>
      <c r="E212" s="318">
        <v>0.8</v>
      </c>
      <c r="F212" s="318">
        <v>0.3</v>
      </c>
      <c r="G212" s="318">
        <v>0.5</v>
      </c>
      <c r="H212" s="318">
        <v>2.2999999999999998</v>
      </c>
      <c r="I212" s="318">
        <v>0.6</v>
      </c>
      <c r="J212" s="318">
        <v>1.7</v>
      </c>
      <c r="K212" s="318">
        <v>9.6999999999999993</v>
      </c>
      <c r="L212" s="318">
        <v>3.1</v>
      </c>
      <c r="M212" s="318">
        <v>6.5</v>
      </c>
      <c r="N212" s="318">
        <v>2.2000000000000002</v>
      </c>
      <c r="O212" s="318">
        <v>0.4</v>
      </c>
      <c r="P212" s="318">
        <v>1.7</v>
      </c>
    </row>
    <row r="213" spans="1:32" ht="15" customHeight="1" x14ac:dyDescent="0.25">
      <c r="A213" s="299" t="s">
        <v>293</v>
      </c>
      <c r="B213" s="318">
        <v>16.8</v>
      </c>
      <c r="C213" s="318">
        <v>4.9000000000000004</v>
      </c>
      <c r="D213" s="318">
        <v>11.5</v>
      </c>
      <c r="E213" s="318">
        <v>0.9</v>
      </c>
      <c r="F213" s="318">
        <v>0.2</v>
      </c>
      <c r="G213" s="318">
        <v>0.7</v>
      </c>
      <c r="H213" s="318">
        <v>2.8</v>
      </c>
      <c r="I213" s="318">
        <v>0.9</v>
      </c>
      <c r="J213" s="318">
        <v>1.9</v>
      </c>
      <c r="K213" s="318">
        <v>10.4</v>
      </c>
      <c r="L213" s="318">
        <v>3.3</v>
      </c>
      <c r="M213" s="318">
        <v>7</v>
      </c>
      <c r="N213" s="318">
        <v>2.7</v>
      </c>
      <c r="O213" s="318">
        <v>0.5</v>
      </c>
      <c r="P213" s="318">
        <v>2</v>
      </c>
    </row>
    <row r="214" spans="1:32" ht="15" customHeight="1" x14ac:dyDescent="0.25">
      <c r="A214" s="299" t="s">
        <v>282</v>
      </c>
      <c r="B214" s="318">
        <v>18.399999999999999</v>
      </c>
      <c r="C214" s="318">
        <v>4.5</v>
      </c>
      <c r="D214" s="318">
        <v>13.5</v>
      </c>
      <c r="E214" s="318">
        <v>1.3</v>
      </c>
      <c r="F214" s="318">
        <v>0.5</v>
      </c>
      <c r="G214" s="318">
        <v>0.8</v>
      </c>
      <c r="H214" s="318">
        <v>4.0999999999999996</v>
      </c>
      <c r="I214" s="318">
        <v>1</v>
      </c>
      <c r="J214" s="318">
        <v>3</v>
      </c>
      <c r="K214" s="318">
        <v>10.199999999999999</v>
      </c>
      <c r="L214" s="318">
        <v>2.7</v>
      </c>
      <c r="M214" s="318">
        <v>7.3</v>
      </c>
      <c r="N214" s="318">
        <v>2.9</v>
      </c>
      <c r="O214" s="318">
        <v>0.3</v>
      </c>
      <c r="P214" s="318">
        <v>2.2999999999999998</v>
      </c>
    </row>
    <row r="215" spans="1:32" ht="15" customHeight="1" x14ac:dyDescent="0.25">
      <c r="A215" s="299" t="s">
        <v>283</v>
      </c>
      <c r="B215" s="318">
        <v>17.399999999999999</v>
      </c>
      <c r="C215" s="318">
        <v>4.9000000000000004</v>
      </c>
      <c r="D215" s="318">
        <v>12.1</v>
      </c>
      <c r="E215" s="318">
        <v>1.8</v>
      </c>
      <c r="F215" s="318">
        <v>0.9</v>
      </c>
      <c r="G215" s="318">
        <v>0.8</v>
      </c>
      <c r="H215" s="318">
        <v>3.6</v>
      </c>
      <c r="I215" s="318">
        <v>1</v>
      </c>
      <c r="J215" s="318">
        <v>2.6</v>
      </c>
      <c r="K215" s="318">
        <v>9.4</v>
      </c>
      <c r="L215" s="318">
        <v>2.7</v>
      </c>
      <c r="M215" s="318">
        <v>6.6</v>
      </c>
      <c r="N215" s="318">
        <v>2.7</v>
      </c>
      <c r="O215" s="318">
        <v>0.3</v>
      </c>
      <c r="P215" s="318">
        <v>2.2000000000000002</v>
      </c>
    </row>
    <row r="216" spans="1:32" ht="15" customHeight="1" x14ac:dyDescent="0.25">
      <c r="A216" s="299" t="s">
        <v>284</v>
      </c>
      <c r="B216" s="318">
        <v>19</v>
      </c>
      <c r="C216" s="318">
        <v>5.0999999999999996</v>
      </c>
      <c r="D216" s="318">
        <v>13.4</v>
      </c>
      <c r="E216" s="318">
        <v>0.9</v>
      </c>
      <c r="F216" s="318">
        <v>0.2</v>
      </c>
      <c r="G216" s="318">
        <v>0.7</v>
      </c>
      <c r="H216" s="318">
        <v>4.0999999999999996</v>
      </c>
      <c r="I216" s="318">
        <v>1.1000000000000001</v>
      </c>
      <c r="J216" s="318">
        <v>3</v>
      </c>
      <c r="K216" s="318">
        <v>11</v>
      </c>
      <c r="L216" s="318">
        <v>3.5</v>
      </c>
      <c r="M216" s="318">
        <v>7.3</v>
      </c>
      <c r="N216" s="318">
        <v>3.1</v>
      </c>
      <c r="O216" s="318">
        <v>0.4</v>
      </c>
      <c r="P216" s="318">
        <v>2.5</v>
      </c>
    </row>
    <row r="217" spans="1:32" ht="15" customHeight="1" x14ac:dyDescent="0.25">
      <c r="A217" s="299" t="s">
        <v>294</v>
      </c>
      <c r="B217" s="318">
        <v>18.5</v>
      </c>
      <c r="C217" s="318">
        <v>4.5999999999999996</v>
      </c>
      <c r="D217" s="318">
        <v>13.5</v>
      </c>
      <c r="E217" s="318">
        <v>1.4</v>
      </c>
      <c r="F217" s="318">
        <v>0.2</v>
      </c>
      <c r="G217" s="318">
        <v>1.1000000000000001</v>
      </c>
      <c r="H217" s="318">
        <v>3.7</v>
      </c>
      <c r="I217" s="318">
        <v>0.9</v>
      </c>
      <c r="J217" s="318">
        <v>2.8</v>
      </c>
      <c r="K217" s="318">
        <v>10.8</v>
      </c>
      <c r="L217" s="318">
        <v>3.2</v>
      </c>
      <c r="M217" s="318">
        <v>7.5</v>
      </c>
      <c r="N217" s="318">
        <v>2.6</v>
      </c>
      <c r="O217" s="318">
        <v>0.2</v>
      </c>
      <c r="P217" s="318">
        <v>2.1</v>
      </c>
    </row>
    <row r="218" spans="1:32" ht="15" customHeight="1" x14ac:dyDescent="0.25">
      <c r="A218" s="299" t="s">
        <v>295</v>
      </c>
      <c r="B218" s="318">
        <v>18.600000000000001</v>
      </c>
      <c r="C218" s="318">
        <v>5</v>
      </c>
      <c r="D218" s="318">
        <v>13.4</v>
      </c>
      <c r="E218" s="318">
        <v>1.3</v>
      </c>
      <c r="F218" s="318">
        <v>0.4</v>
      </c>
      <c r="G218" s="318">
        <v>1</v>
      </c>
      <c r="H218" s="318">
        <v>4.5</v>
      </c>
      <c r="I218" s="318">
        <v>1.2</v>
      </c>
      <c r="J218" s="318">
        <v>3.3</v>
      </c>
      <c r="K218" s="318">
        <v>10.199999999999999</v>
      </c>
      <c r="L218" s="318">
        <v>3</v>
      </c>
      <c r="M218" s="318">
        <v>7.2</v>
      </c>
      <c r="N218" s="318">
        <v>2.5</v>
      </c>
      <c r="O218" s="318">
        <v>0.4</v>
      </c>
      <c r="P218" s="318">
        <v>1.9</v>
      </c>
    </row>
    <row r="219" spans="1:32" ht="15" customHeight="1" x14ac:dyDescent="0.25">
      <c r="A219" s="299" t="s">
        <v>296</v>
      </c>
      <c r="B219" s="318">
        <v>15.6</v>
      </c>
      <c r="C219" s="318">
        <v>4</v>
      </c>
      <c r="D219" s="318">
        <v>11.2</v>
      </c>
      <c r="E219" s="318">
        <v>1.1000000000000001</v>
      </c>
      <c r="F219" s="318">
        <v>0.2</v>
      </c>
      <c r="G219" s="318">
        <v>0.8</v>
      </c>
      <c r="H219" s="318">
        <v>3.7</v>
      </c>
      <c r="I219" s="318">
        <v>1.2</v>
      </c>
      <c r="J219" s="318">
        <v>2.4</v>
      </c>
      <c r="K219" s="318">
        <v>8.1999999999999993</v>
      </c>
      <c r="L219" s="318">
        <v>2.1</v>
      </c>
      <c r="M219" s="318">
        <v>6</v>
      </c>
      <c r="N219" s="318">
        <v>2.7</v>
      </c>
      <c r="O219" s="318">
        <v>0.4</v>
      </c>
      <c r="P219" s="318">
        <v>1.9</v>
      </c>
    </row>
    <row r="220" spans="1:32" ht="15" customHeight="1" x14ac:dyDescent="0.25">
      <c r="A220" s="299" t="s">
        <v>297</v>
      </c>
      <c r="B220" s="318">
        <v>14.4</v>
      </c>
      <c r="C220" s="318">
        <v>3.7</v>
      </c>
      <c r="D220" s="318">
        <v>10.4</v>
      </c>
      <c r="E220" s="318">
        <v>1.1000000000000001</v>
      </c>
      <c r="F220" s="318">
        <v>0.4</v>
      </c>
      <c r="G220" s="318">
        <v>0.6</v>
      </c>
      <c r="H220" s="318">
        <v>2.2999999999999998</v>
      </c>
      <c r="I220" s="318">
        <v>0.4</v>
      </c>
      <c r="J220" s="318">
        <v>1.9</v>
      </c>
      <c r="K220" s="318">
        <v>8.6999999999999993</v>
      </c>
      <c r="L220" s="318">
        <v>2.6</v>
      </c>
      <c r="M220" s="318">
        <v>6</v>
      </c>
      <c r="N220" s="318">
        <v>2.2999999999999998</v>
      </c>
      <c r="O220" s="318">
        <v>0.2</v>
      </c>
      <c r="P220" s="318">
        <v>1.9</v>
      </c>
    </row>
    <row r="221" spans="1:32" ht="15" customHeight="1" x14ac:dyDescent="0.25"/>
    <row r="222" spans="1:32" ht="15" customHeight="1" x14ac:dyDescent="0.25"/>
    <row r="223" spans="1:32" ht="15" customHeight="1" x14ac:dyDescent="0.25">
      <c r="A223" s="312">
        <v>2000</v>
      </c>
      <c r="B223" s="312"/>
      <c r="C223" s="312"/>
      <c r="D223" s="312"/>
      <c r="E223" s="312"/>
      <c r="F223" s="312"/>
      <c r="G223" s="312"/>
      <c r="H223" s="312"/>
      <c r="I223" s="312"/>
      <c r="J223" s="312"/>
      <c r="K223" s="312"/>
      <c r="L223" s="312"/>
      <c r="M223" s="312"/>
      <c r="N223" s="312"/>
      <c r="O223" s="312"/>
      <c r="P223" s="312"/>
    </row>
    <row r="224" spans="1:32" s="300" customFormat="1" ht="10.5" customHeight="1" x14ac:dyDescent="0.25">
      <c r="A224" s="299"/>
      <c r="B224" s="302"/>
      <c r="C224" s="302"/>
      <c r="D224" s="302"/>
      <c r="E224" s="302"/>
      <c r="F224" s="302"/>
      <c r="G224" s="302"/>
      <c r="H224" s="302"/>
      <c r="I224" s="302"/>
      <c r="J224" s="302"/>
      <c r="K224" s="302"/>
      <c r="L224" s="302"/>
      <c r="M224" s="302"/>
      <c r="N224" s="302"/>
      <c r="O224" s="302"/>
      <c r="P224" s="302"/>
    </row>
    <row r="225" spans="1:32" ht="15" customHeight="1" x14ac:dyDescent="0.2">
      <c r="A225" s="304" t="s">
        <v>91</v>
      </c>
      <c r="B225" s="323">
        <v>280.89999999999998</v>
      </c>
      <c r="C225" s="327">
        <v>88.3</v>
      </c>
      <c r="D225" s="327">
        <v>190.3</v>
      </c>
      <c r="E225" s="327">
        <v>14.9</v>
      </c>
      <c r="F225" s="327">
        <v>4.2</v>
      </c>
      <c r="G225" s="327">
        <v>10.6</v>
      </c>
      <c r="H225" s="327">
        <v>48.7</v>
      </c>
      <c r="I225" s="327">
        <v>14.2</v>
      </c>
      <c r="J225" s="327">
        <v>34.4</v>
      </c>
      <c r="K225" s="327">
        <v>178.7</v>
      </c>
      <c r="L225" s="327">
        <v>64.3</v>
      </c>
      <c r="M225" s="327">
        <v>113.4</v>
      </c>
      <c r="N225" s="327">
        <v>38.6</v>
      </c>
      <c r="O225" s="327">
        <v>5.6</v>
      </c>
      <c r="P225" s="327">
        <v>31.9</v>
      </c>
    </row>
    <row r="226" spans="1:32" s="300" customFormat="1" ht="10.5" customHeight="1" x14ac:dyDescent="0.25">
      <c r="A226" s="299"/>
      <c r="B226" s="302"/>
      <c r="C226" s="302"/>
      <c r="D226" s="302"/>
      <c r="E226" s="302"/>
      <c r="F226" s="302"/>
      <c r="G226" s="302"/>
      <c r="H226" s="302"/>
      <c r="I226" s="302"/>
      <c r="J226" s="302"/>
      <c r="K226" s="302"/>
      <c r="L226" s="302"/>
      <c r="M226" s="302"/>
      <c r="N226" s="302"/>
      <c r="O226" s="302"/>
      <c r="P226" s="302"/>
    </row>
    <row r="227" spans="1:32" ht="15" customHeight="1" x14ac:dyDescent="0.25">
      <c r="A227" s="299" t="s">
        <v>289</v>
      </c>
      <c r="B227" s="318">
        <v>18.5</v>
      </c>
      <c r="C227" s="318">
        <v>5.6</v>
      </c>
      <c r="D227" s="318">
        <v>12.8</v>
      </c>
      <c r="E227" s="318">
        <v>0.4</v>
      </c>
      <c r="F227" s="307" t="s">
        <v>330</v>
      </c>
      <c r="G227" s="318">
        <v>0.3</v>
      </c>
      <c r="H227" s="318">
        <v>2.5</v>
      </c>
      <c r="I227" s="318">
        <v>0.6</v>
      </c>
      <c r="J227" s="318">
        <v>1.9</v>
      </c>
      <c r="K227" s="318">
        <v>12.3</v>
      </c>
      <c r="L227" s="318">
        <v>4.4000000000000004</v>
      </c>
      <c r="M227" s="318">
        <v>7.7</v>
      </c>
      <c r="N227" s="318">
        <v>3.4</v>
      </c>
      <c r="O227" s="318">
        <v>0.6</v>
      </c>
      <c r="P227" s="318">
        <v>2.7</v>
      </c>
      <c r="Q227" s="299"/>
      <c r="R227" s="318"/>
      <c r="S227" s="326"/>
      <c r="T227" s="326"/>
      <c r="U227" s="318"/>
      <c r="V227" s="326"/>
      <c r="W227" s="326"/>
      <c r="X227" s="318"/>
      <c r="Y227" s="326"/>
      <c r="Z227" s="326"/>
      <c r="AA227" s="318"/>
      <c r="AB227" s="326"/>
      <c r="AC227" s="326"/>
      <c r="AD227" s="318"/>
      <c r="AE227" s="326"/>
      <c r="AF227" s="326"/>
    </row>
    <row r="228" spans="1:32" ht="15" customHeight="1" x14ac:dyDescent="0.25">
      <c r="A228" s="299" t="s">
        <v>290</v>
      </c>
      <c r="B228" s="318">
        <v>23.6</v>
      </c>
      <c r="C228" s="318">
        <v>8</v>
      </c>
      <c r="D228" s="318">
        <v>15.4</v>
      </c>
      <c r="E228" s="318">
        <v>0.6</v>
      </c>
      <c r="F228" s="318">
        <v>0.2</v>
      </c>
      <c r="G228" s="318">
        <v>0.4</v>
      </c>
      <c r="H228" s="318">
        <v>2.8</v>
      </c>
      <c r="I228" s="318">
        <v>0.8</v>
      </c>
      <c r="J228" s="318">
        <v>2</v>
      </c>
      <c r="K228" s="318">
        <v>17</v>
      </c>
      <c r="L228" s="318">
        <v>6.8</v>
      </c>
      <c r="M228" s="318">
        <v>10.199999999999999</v>
      </c>
      <c r="N228" s="318">
        <v>3.1</v>
      </c>
      <c r="O228" s="318">
        <v>0.2</v>
      </c>
      <c r="P228" s="318">
        <v>2.8</v>
      </c>
    </row>
    <row r="229" spans="1:32" ht="15" customHeight="1" x14ac:dyDescent="0.25">
      <c r="A229" s="299" t="s">
        <v>291</v>
      </c>
      <c r="B229" s="318">
        <v>30.4</v>
      </c>
      <c r="C229" s="318">
        <v>10.4</v>
      </c>
      <c r="D229" s="318">
        <v>19.8</v>
      </c>
      <c r="E229" s="318">
        <v>1</v>
      </c>
      <c r="F229" s="318">
        <v>0.3</v>
      </c>
      <c r="G229" s="318">
        <v>0.7</v>
      </c>
      <c r="H229" s="318">
        <v>3.8</v>
      </c>
      <c r="I229" s="318">
        <v>1.3</v>
      </c>
      <c r="J229" s="318">
        <v>2.5</v>
      </c>
      <c r="K229" s="318">
        <v>22.2</v>
      </c>
      <c r="L229" s="318">
        <v>8.1999999999999993</v>
      </c>
      <c r="M229" s="318">
        <v>13.9</v>
      </c>
      <c r="N229" s="318">
        <v>3.4</v>
      </c>
      <c r="O229" s="318">
        <v>0.6</v>
      </c>
      <c r="P229" s="318">
        <v>2.7</v>
      </c>
    </row>
    <row r="230" spans="1:32" ht="15" customHeight="1" x14ac:dyDescent="0.25">
      <c r="A230" s="299" t="s">
        <v>292</v>
      </c>
      <c r="B230" s="318">
        <v>25.3</v>
      </c>
      <c r="C230" s="318">
        <v>9.1</v>
      </c>
      <c r="D230" s="318">
        <v>16</v>
      </c>
      <c r="E230" s="318">
        <v>1.2</v>
      </c>
      <c r="F230" s="318">
        <v>0.6</v>
      </c>
      <c r="G230" s="318">
        <v>0.6</v>
      </c>
      <c r="H230" s="318">
        <v>4.5999999999999996</v>
      </c>
      <c r="I230" s="318">
        <v>1.4</v>
      </c>
      <c r="J230" s="318">
        <v>3.1</v>
      </c>
      <c r="K230" s="318">
        <v>16.100000000000001</v>
      </c>
      <c r="L230" s="318">
        <v>6.4</v>
      </c>
      <c r="M230" s="318">
        <v>9.6</v>
      </c>
      <c r="N230" s="318">
        <v>3.6</v>
      </c>
      <c r="O230" s="318">
        <v>0.7</v>
      </c>
      <c r="P230" s="318">
        <v>2.7</v>
      </c>
    </row>
    <row r="231" spans="1:32" ht="15" customHeight="1" x14ac:dyDescent="0.25">
      <c r="A231" s="299" t="s">
        <v>293</v>
      </c>
      <c r="B231" s="318">
        <v>28.7</v>
      </c>
      <c r="C231" s="318">
        <v>9.9</v>
      </c>
      <c r="D231" s="318">
        <v>18.600000000000001</v>
      </c>
      <c r="E231" s="318">
        <v>1.4</v>
      </c>
      <c r="F231" s="318">
        <v>0.3</v>
      </c>
      <c r="G231" s="318">
        <v>1.2</v>
      </c>
      <c r="H231" s="318">
        <v>5.2</v>
      </c>
      <c r="I231" s="318">
        <v>1.8</v>
      </c>
      <c r="J231" s="318">
        <v>3.3</v>
      </c>
      <c r="K231" s="318">
        <v>18.2</v>
      </c>
      <c r="L231" s="318">
        <v>7.2</v>
      </c>
      <c r="M231" s="318">
        <v>10.9</v>
      </c>
      <c r="N231" s="318">
        <v>3.9</v>
      </c>
      <c r="O231" s="318">
        <v>0.6</v>
      </c>
      <c r="P231" s="318">
        <v>3.2</v>
      </c>
    </row>
    <row r="232" spans="1:32" ht="15" customHeight="1" x14ac:dyDescent="0.25">
      <c r="A232" s="299" t="s">
        <v>282</v>
      </c>
      <c r="B232" s="318">
        <v>27</v>
      </c>
      <c r="C232" s="318">
        <v>8.3000000000000007</v>
      </c>
      <c r="D232" s="318">
        <v>18.5</v>
      </c>
      <c r="E232" s="318">
        <v>1.6</v>
      </c>
      <c r="F232" s="318">
        <v>0.5</v>
      </c>
      <c r="G232" s="318">
        <v>1.1000000000000001</v>
      </c>
      <c r="H232" s="318">
        <v>4.7</v>
      </c>
      <c r="I232" s="318">
        <v>1.3</v>
      </c>
      <c r="J232" s="318">
        <v>3.4</v>
      </c>
      <c r="K232" s="318">
        <v>16.399999999999999</v>
      </c>
      <c r="L232" s="318">
        <v>5.9</v>
      </c>
      <c r="M232" s="318">
        <v>10.5</v>
      </c>
      <c r="N232" s="318">
        <v>4.3</v>
      </c>
      <c r="O232" s="318">
        <v>0.6</v>
      </c>
      <c r="P232" s="318">
        <v>3.6</v>
      </c>
    </row>
    <row r="233" spans="1:32" ht="15" customHeight="1" x14ac:dyDescent="0.25">
      <c r="A233" s="299" t="s">
        <v>283</v>
      </c>
      <c r="B233" s="318">
        <v>23.7</v>
      </c>
      <c r="C233" s="318">
        <v>7.5</v>
      </c>
      <c r="D233" s="318">
        <v>16</v>
      </c>
      <c r="E233" s="318">
        <v>1.7</v>
      </c>
      <c r="F233" s="318">
        <v>0.5</v>
      </c>
      <c r="G233" s="318">
        <v>1.2</v>
      </c>
      <c r="H233" s="318">
        <v>4.7</v>
      </c>
      <c r="I233" s="318">
        <v>1.1000000000000001</v>
      </c>
      <c r="J233" s="318">
        <v>3.6</v>
      </c>
      <c r="K233" s="318">
        <v>14.8</v>
      </c>
      <c r="L233" s="318">
        <v>5.7</v>
      </c>
      <c r="M233" s="318">
        <v>9</v>
      </c>
      <c r="N233" s="318">
        <v>2.6</v>
      </c>
      <c r="O233" s="318">
        <v>0.2</v>
      </c>
      <c r="P233" s="318">
        <v>2.2999999999999998</v>
      </c>
    </row>
    <row r="234" spans="1:32" ht="15" customHeight="1" x14ac:dyDescent="0.25">
      <c r="A234" s="299" t="s">
        <v>284</v>
      </c>
      <c r="B234" s="318">
        <v>25.9</v>
      </c>
      <c r="C234" s="318">
        <v>7.4</v>
      </c>
      <c r="D234" s="318">
        <v>18.3</v>
      </c>
      <c r="E234" s="318">
        <v>1.5</v>
      </c>
      <c r="F234" s="318">
        <v>0.4</v>
      </c>
      <c r="G234" s="318">
        <v>1</v>
      </c>
      <c r="H234" s="318">
        <v>5</v>
      </c>
      <c r="I234" s="318">
        <v>1.3</v>
      </c>
      <c r="J234" s="318">
        <v>3.6</v>
      </c>
      <c r="K234" s="318">
        <v>15.7</v>
      </c>
      <c r="L234" s="318">
        <v>5.0999999999999996</v>
      </c>
      <c r="M234" s="318">
        <v>10.6</v>
      </c>
      <c r="N234" s="318">
        <v>3.8</v>
      </c>
      <c r="O234" s="318">
        <v>0.6</v>
      </c>
      <c r="P234" s="318">
        <v>3.1</v>
      </c>
    </row>
    <row r="235" spans="1:32" ht="15" customHeight="1" x14ac:dyDescent="0.25">
      <c r="A235" s="299" t="s">
        <v>294</v>
      </c>
      <c r="B235" s="318">
        <v>22.9</v>
      </c>
      <c r="C235" s="318">
        <v>6.8</v>
      </c>
      <c r="D235" s="318">
        <v>15.9</v>
      </c>
      <c r="E235" s="318">
        <v>1.5</v>
      </c>
      <c r="F235" s="318">
        <v>0.4</v>
      </c>
      <c r="G235" s="318">
        <v>1.2</v>
      </c>
      <c r="H235" s="318">
        <v>4.4000000000000004</v>
      </c>
      <c r="I235" s="318">
        <v>1.3</v>
      </c>
      <c r="J235" s="318">
        <v>3</v>
      </c>
      <c r="K235" s="318">
        <v>14</v>
      </c>
      <c r="L235" s="318">
        <v>4.7</v>
      </c>
      <c r="M235" s="318">
        <v>9.1999999999999993</v>
      </c>
      <c r="N235" s="318">
        <v>3</v>
      </c>
      <c r="O235" s="318">
        <v>0.4</v>
      </c>
      <c r="P235" s="318">
        <v>2.5</v>
      </c>
    </row>
    <row r="236" spans="1:32" ht="15" customHeight="1" x14ac:dyDescent="0.25">
      <c r="A236" s="299" t="s">
        <v>295</v>
      </c>
      <c r="B236" s="318">
        <v>22</v>
      </c>
      <c r="C236" s="318">
        <v>6.9</v>
      </c>
      <c r="D236" s="318">
        <v>14.9</v>
      </c>
      <c r="E236" s="318">
        <v>1.3</v>
      </c>
      <c r="F236" s="318">
        <v>0.3</v>
      </c>
      <c r="G236" s="318">
        <v>1</v>
      </c>
      <c r="H236" s="318">
        <v>5.3</v>
      </c>
      <c r="I236" s="318">
        <v>1.7</v>
      </c>
      <c r="J236" s="318">
        <v>3.6</v>
      </c>
      <c r="K236" s="318">
        <v>13.3</v>
      </c>
      <c r="L236" s="318">
        <v>4.7</v>
      </c>
      <c r="M236" s="318">
        <v>8.6</v>
      </c>
      <c r="N236" s="318">
        <v>2.1</v>
      </c>
      <c r="O236" s="318">
        <v>0.2</v>
      </c>
      <c r="P236" s="318">
        <v>1.8</v>
      </c>
    </row>
    <row r="237" spans="1:32" ht="15" customHeight="1" x14ac:dyDescent="0.25">
      <c r="A237" s="299" t="s">
        <v>296</v>
      </c>
      <c r="B237" s="318">
        <v>17.3</v>
      </c>
      <c r="C237" s="318">
        <v>4.4000000000000004</v>
      </c>
      <c r="D237" s="318">
        <v>12.6</v>
      </c>
      <c r="E237" s="318">
        <v>1.4</v>
      </c>
      <c r="F237" s="318">
        <v>0.4</v>
      </c>
      <c r="G237" s="318">
        <v>1</v>
      </c>
      <c r="H237" s="318">
        <v>3.2</v>
      </c>
      <c r="I237" s="318">
        <v>0.8</v>
      </c>
      <c r="J237" s="318">
        <v>2.4</v>
      </c>
      <c r="K237" s="318">
        <v>9.6</v>
      </c>
      <c r="L237" s="318">
        <v>2.8</v>
      </c>
      <c r="M237" s="318">
        <v>6.7</v>
      </c>
      <c r="N237" s="318">
        <v>3.1</v>
      </c>
      <c r="O237" s="318">
        <v>0.4</v>
      </c>
      <c r="P237" s="318">
        <v>2.6</v>
      </c>
    </row>
    <row r="238" spans="1:32" ht="15" customHeight="1" x14ac:dyDescent="0.25">
      <c r="A238" s="299" t="s">
        <v>297</v>
      </c>
      <c r="B238" s="318">
        <v>15.5</v>
      </c>
      <c r="C238" s="318">
        <v>3.9</v>
      </c>
      <c r="D238" s="318">
        <v>11.4</v>
      </c>
      <c r="E238" s="318">
        <v>1.3</v>
      </c>
      <c r="F238" s="318">
        <v>0.4</v>
      </c>
      <c r="G238" s="318">
        <v>0.9</v>
      </c>
      <c r="H238" s="318">
        <v>2.7</v>
      </c>
      <c r="I238" s="318">
        <v>0.7</v>
      </c>
      <c r="J238" s="318">
        <v>2</v>
      </c>
      <c r="K238" s="318">
        <v>9.1</v>
      </c>
      <c r="L238" s="318">
        <v>2.4</v>
      </c>
      <c r="M238" s="318">
        <v>6.6</v>
      </c>
      <c r="N238" s="318">
        <v>2.4</v>
      </c>
      <c r="O238" s="318">
        <v>0.4</v>
      </c>
      <c r="P238" s="318">
        <v>1.9</v>
      </c>
    </row>
    <row r="239" spans="1:32" ht="15" customHeight="1" x14ac:dyDescent="0.25">
      <c r="Q239" s="299"/>
      <c r="R239" s="318"/>
      <c r="S239" s="318"/>
      <c r="T239" s="318"/>
      <c r="U239" s="318"/>
      <c r="V239" s="318"/>
      <c r="W239" s="318"/>
      <c r="X239" s="318"/>
      <c r="Y239" s="318"/>
      <c r="Z239" s="318"/>
      <c r="AA239" s="318"/>
      <c r="AB239" s="318"/>
      <c r="AC239" s="318"/>
      <c r="AD239" s="318"/>
      <c r="AE239" s="318"/>
      <c r="AF239" s="318"/>
    </row>
    <row r="240" spans="1:32" ht="15" customHeight="1" x14ac:dyDescent="0.25"/>
    <row r="241" spans="1:32" ht="15" customHeight="1" x14ac:dyDescent="0.25">
      <c r="A241" s="312">
        <v>1999</v>
      </c>
      <c r="B241" s="312"/>
      <c r="C241" s="312"/>
      <c r="D241" s="312"/>
      <c r="E241" s="312"/>
      <c r="F241" s="312"/>
      <c r="G241" s="312"/>
      <c r="H241" s="312"/>
      <c r="I241" s="312"/>
      <c r="J241" s="312"/>
      <c r="K241" s="312"/>
      <c r="L241" s="312"/>
      <c r="M241" s="312"/>
      <c r="N241" s="312"/>
      <c r="O241" s="312"/>
      <c r="P241" s="312"/>
    </row>
    <row r="242" spans="1:32" s="300" customFormat="1" ht="10.5" customHeight="1" x14ac:dyDescent="0.25">
      <c r="A242" s="299"/>
      <c r="B242" s="302"/>
      <c r="C242" s="302"/>
      <c r="D242" s="302"/>
      <c r="E242" s="302"/>
      <c r="F242" s="302"/>
      <c r="G242" s="302"/>
      <c r="H242" s="302"/>
      <c r="I242" s="302"/>
      <c r="J242" s="302"/>
      <c r="K242" s="302"/>
      <c r="L242" s="302"/>
      <c r="M242" s="302"/>
      <c r="N242" s="302"/>
      <c r="O242" s="302"/>
      <c r="P242" s="302"/>
    </row>
    <row r="243" spans="1:32" ht="15" customHeight="1" x14ac:dyDescent="0.2">
      <c r="A243" s="304" t="s">
        <v>580</v>
      </c>
      <c r="B243" s="323">
        <v>338.3</v>
      </c>
      <c r="C243" s="323">
        <v>122.5</v>
      </c>
      <c r="D243" s="323">
        <v>213</v>
      </c>
      <c r="E243" s="323">
        <v>14.1</v>
      </c>
      <c r="F243" s="323">
        <v>4.4000000000000004</v>
      </c>
      <c r="G243" s="323">
        <v>9.6999999999999993</v>
      </c>
      <c r="H243" s="323">
        <v>53.6</v>
      </c>
      <c r="I243" s="323">
        <v>18.3</v>
      </c>
      <c r="J243" s="323">
        <v>35.200000000000003</v>
      </c>
      <c r="K243" s="323">
        <v>227.2</v>
      </c>
      <c r="L243" s="323">
        <v>92.3</v>
      </c>
      <c r="M243" s="323">
        <v>133.30000000000001</v>
      </c>
      <c r="N243" s="323">
        <v>43.5</v>
      </c>
      <c r="O243" s="323">
        <v>7.6</v>
      </c>
      <c r="P243" s="323">
        <v>34.9</v>
      </c>
    </row>
    <row r="244" spans="1:32" s="300" customFormat="1" ht="10.5" customHeight="1" x14ac:dyDescent="0.25">
      <c r="A244" s="299"/>
      <c r="B244" s="302"/>
      <c r="C244" s="302"/>
      <c r="D244" s="302"/>
      <c r="E244" s="302"/>
      <c r="F244" s="302"/>
      <c r="G244" s="302"/>
      <c r="H244" s="302"/>
      <c r="I244" s="302"/>
      <c r="J244" s="302"/>
      <c r="K244" s="302"/>
      <c r="L244" s="302"/>
      <c r="M244" s="302"/>
      <c r="N244" s="302"/>
      <c r="O244" s="302"/>
      <c r="P244" s="302"/>
    </row>
    <row r="245" spans="1:32" ht="15" customHeight="1" x14ac:dyDescent="0.25">
      <c r="A245" s="299" t="s">
        <v>289</v>
      </c>
      <c r="B245" s="318">
        <v>23.8</v>
      </c>
      <c r="C245" s="318">
        <v>8.6999999999999993</v>
      </c>
      <c r="D245" s="318">
        <v>14.8</v>
      </c>
      <c r="E245" s="318">
        <v>0.7</v>
      </c>
      <c r="F245" s="318">
        <v>0.3</v>
      </c>
      <c r="G245" s="318">
        <v>0.4</v>
      </c>
      <c r="H245" s="318">
        <v>2.7</v>
      </c>
      <c r="I245" s="318">
        <v>1.2</v>
      </c>
      <c r="J245" s="318">
        <v>1.5</v>
      </c>
      <c r="K245" s="318">
        <v>17.3</v>
      </c>
      <c r="L245" s="318">
        <v>6.9</v>
      </c>
      <c r="M245" s="318">
        <v>10.199999999999999</v>
      </c>
      <c r="N245" s="318">
        <v>3.1</v>
      </c>
      <c r="O245" s="318">
        <v>0.4</v>
      </c>
      <c r="P245" s="318">
        <v>2.7</v>
      </c>
    </row>
    <row r="246" spans="1:32" ht="15" customHeight="1" x14ac:dyDescent="0.25">
      <c r="A246" s="299" t="s">
        <v>290</v>
      </c>
      <c r="B246" s="318">
        <v>28.8</v>
      </c>
      <c r="C246" s="318">
        <v>11.3</v>
      </c>
      <c r="D246" s="318">
        <v>17.3</v>
      </c>
      <c r="E246" s="318">
        <v>1</v>
      </c>
      <c r="F246" s="318">
        <v>0.4</v>
      </c>
      <c r="G246" s="318">
        <v>0.7</v>
      </c>
      <c r="H246" s="318">
        <v>3.9</v>
      </c>
      <c r="I246" s="318">
        <v>1.4</v>
      </c>
      <c r="J246" s="318">
        <v>2.4</v>
      </c>
      <c r="K246" s="318">
        <v>20</v>
      </c>
      <c r="L246" s="318">
        <v>8.8000000000000007</v>
      </c>
      <c r="M246" s="318">
        <v>11.2</v>
      </c>
      <c r="N246" s="318">
        <v>3.8</v>
      </c>
      <c r="O246" s="318">
        <v>0.7</v>
      </c>
      <c r="P246" s="318">
        <v>3</v>
      </c>
    </row>
    <row r="247" spans="1:32" ht="15" customHeight="1" x14ac:dyDescent="0.25">
      <c r="A247" s="299" t="s">
        <v>291</v>
      </c>
      <c r="B247" s="318">
        <v>33.5</v>
      </c>
      <c r="C247" s="318">
        <v>13.9</v>
      </c>
      <c r="D247" s="318">
        <v>19.2</v>
      </c>
      <c r="E247" s="318">
        <v>0.9</v>
      </c>
      <c r="F247" s="318">
        <v>0.2</v>
      </c>
      <c r="G247" s="318">
        <v>0.6</v>
      </c>
      <c r="H247" s="318">
        <v>4.0999999999999996</v>
      </c>
      <c r="I247" s="318">
        <v>1.4</v>
      </c>
      <c r="J247" s="318">
        <v>2.6</v>
      </c>
      <c r="K247" s="318">
        <v>24.4</v>
      </c>
      <c r="L247" s="318">
        <v>11.3</v>
      </c>
      <c r="M247" s="318">
        <v>13</v>
      </c>
      <c r="N247" s="318">
        <v>4.0999999999999996</v>
      </c>
      <c r="O247" s="318">
        <v>1</v>
      </c>
      <c r="P247" s="318">
        <v>3.1</v>
      </c>
    </row>
    <row r="248" spans="1:32" ht="15" customHeight="1" x14ac:dyDescent="0.25">
      <c r="A248" s="299" t="s">
        <v>292</v>
      </c>
      <c r="B248" s="318">
        <v>30.6</v>
      </c>
      <c r="C248" s="318">
        <v>12</v>
      </c>
      <c r="D248" s="318">
        <v>18.2</v>
      </c>
      <c r="E248" s="318">
        <v>0.9</v>
      </c>
      <c r="F248" s="318">
        <v>0.4</v>
      </c>
      <c r="G248" s="318">
        <v>0.5</v>
      </c>
      <c r="H248" s="318">
        <v>4.4000000000000004</v>
      </c>
      <c r="I248" s="318">
        <v>1.8</v>
      </c>
      <c r="J248" s="318">
        <v>2.6</v>
      </c>
      <c r="K248" s="318">
        <v>21.6</v>
      </c>
      <c r="L248" s="318">
        <v>9.1999999999999993</v>
      </c>
      <c r="M248" s="318">
        <v>12.2</v>
      </c>
      <c r="N248" s="318">
        <v>3.7</v>
      </c>
      <c r="O248" s="318">
        <v>0.6</v>
      </c>
      <c r="P248" s="318">
        <v>2.9</v>
      </c>
    </row>
    <row r="249" spans="1:32" ht="15" customHeight="1" x14ac:dyDescent="0.25">
      <c r="A249" s="299" t="s">
        <v>293</v>
      </c>
      <c r="B249" s="318">
        <v>29.7</v>
      </c>
      <c r="C249" s="318">
        <v>11.3</v>
      </c>
      <c r="D249" s="318">
        <v>18.2</v>
      </c>
      <c r="E249" s="318">
        <v>1.5</v>
      </c>
      <c r="F249" s="318">
        <v>0.7</v>
      </c>
      <c r="G249" s="318">
        <v>0.8</v>
      </c>
      <c r="H249" s="318">
        <v>5.2</v>
      </c>
      <c r="I249" s="318">
        <v>1.9</v>
      </c>
      <c r="J249" s="318">
        <v>3.3</v>
      </c>
      <c r="K249" s="318">
        <v>19.7</v>
      </c>
      <c r="L249" s="318">
        <v>8.3000000000000007</v>
      </c>
      <c r="M249" s="318">
        <v>11.3</v>
      </c>
      <c r="N249" s="318">
        <v>3.3</v>
      </c>
      <c r="O249" s="318">
        <v>0.5</v>
      </c>
      <c r="P249" s="318">
        <v>2.8</v>
      </c>
    </row>
    <row r="250" spans="1:32" ht="15" customHeight="1" x14ac:dyDescent="0.25">
      <c r="A250" s="299" t="s">
        <v>282</v>
      </c>
      <c r="B250" s="318">
        <v>29.5</v>
      </c>
      <c r="C250" s="318">
        <v>10.4</v>
      </c>
      <c r="D250" s="318">
        <v>18.899999999999999</v>
      </c>
      <c r="E250" s="318">
        <v>1.3</v>
      </c>
      <c r="F250" s="318">
        <v>0.3</v>
      </c>
      <c r="G250" s="318">
        <v>0.9</v>
      </c>
      <c r="H250" s="318">
        <v>4.5</v>
      </c>
      <c r="I250" s="318">
        <v>1.6</v>
      </c>
      <c r="J250" s="318">
        <v>2.9</v>
      </c>
      <c r="K250" s="318">
        <v>19.399999999999999</v>
      </c>
      <c r="L250" s="318">
        <v>7.7</v>
      </c>
      <c r="M250" s="318">
        <v>11.6</v>
      </c>
      <c r="N250" s="318">
        <v>4.4000000000000004</v>
      </c>
      <c r="O250" s="318">
        <v>0.8</v>
      </c>
      <c r="P250" s="318">
        <v>3.5</v>
      </c>
    </row>
    <row r="251" spans="1:32" ht="15" customHeight="1" x14ac:dyDescent="0.25">
      <c r="A251" s="299" t="s">
        <v>283</v>
      </c>
      <c r="B251" s="318">
        <v>26.2</v>
      </c>
      <c r="C251" s="318">
        <v>9.1999999999999993</v>
      </c>
      <c r="D251" s="318">
        <v>16.899999999999999</v>
      </c>
      <c r="E251" s="318">
        <v>1</v>
      </c>
      <c r="F251" s="318">
        <v>0.2</v>
      </c>
      <c r="G251" s="318">
        <v>0.8</v>
      </c>
      <c r="H251" s="318">
        <v>4.3</v>
      </c>
      <c r="I251" s="318">
        <v>1.3</v>
      </c>
      <c r="J251" s="318">
        <v>2.9</v>
      </c>
      <c r="K251" s="318">
        <v>17.399999999999999</v>
      </c>
      <c r="L251" s="318">
        <v>6.9</v>
      </c>
      <c r="M251" s="318">
        <v>10.3</v>
      </c>
      <c r="N251" s="318">
        <v>3.6</v>
      </c>
      <c r="O251" s="318">
        <v>0.7</v>
      </c>
      <c r="P251" s="318">
        <v>2.8</v>
      </c>
    </row>
    <row r="252" spans="1:32" ht="15" customHeight="1" x14ac:dyDescent="0.25">
      <c r="A252" s="299" t="s">
        <v>284</v>
      </c>
      <c r="B252" s="318">
        <v>29.5</v>
      </c>
      <c r="C252" s="318">
        <v>10.5</v>
      </c>
      <c r="D252" s="318">
        <v>18.8</v>
      </c>
      <c r="E252" s="318">
        <v>1.6</v>
      </c>
      <c r="F252" s="318">
        <v>0.5</v>
      </c>
      <c r="G252" s="318">
        <v>1.1000000000000001</v>
      </c>
      <c r="H252" s="318">
        <v>5.2</v>
      </c>
      <c r="I252" s="318">
        <v>1.6</v>
      </c>
      <c r="J252" s="318">
        <v>3.6</v>
      </c>
      <c r="K252" s="318">
        <v>18.899999999999999</v>
      </c>
      <c r="L252" s="318">
        <v>7.7</v>
      </c>
      <c r="M252" s="318">
        <v>11.1</v>
      </c>
      <c r="N252" s="318">
        <v>3.8</v>
      </c>
      <c r="O252" s="318">
        <v>0.7</v>
      </c>
      <c r="P252" s="318">
        <v>3</v>
      </c>
    </row>
    <row r="253" spans="1:32" ht="15" customHeight="1" x14ac:dyDescent="0.25">
      <c r="A253" s="299" t="s">
        <v>294</v>
      </c>
      <c r="B253" s="318">
        <v>29.2</v>
      </c>
      <c r="C253" s="318">
        <v>10.199999999999999</v>
      </c>
      <c r="D253" s="318">
        <v>18.8</v>
      </c>
      <c r="E253" s="318">
        <v>1.2</v>
      </c>
      <c r="F253" s="318">
        <v>0.3</v>
      </c>
      <c r="G253" s="318">
        <v>0.9</v>
      </c>
      <c r="H253" s="318">
        <v>5.2</v>
      </c>
      <c r="I253" s="318">
        <v>2</v>
      </c>
      <c r="J253" s="318">
        <v>3.3</v>
      </c>
      <c r="K253" s="318">
        <v>19.3</v>
      </c>
      <c r="L253" s="318">
        <v>7.4</v>
      </c>
      <c r="M253" s="318">
        <v>11.7</v>
      </c>
      <c r="N253" s="318">
        <v>3.5</v>
      </c>
      <c r="O253" s="318">
        <v>0.6</v>
      </c>
      <c r="P253" s="318">
        <v>2.9</v>
      </c>
    </row>
    <row r="254" spans="1:32" ht="15" customHeight="1" x14ac:dyDescent="0.25">
      <c r="A254" s="299" t="s">
        <v>295</v>
      </c>
      <c r="B254" s="318">
        <v>29</v>
      </c>
      <c r="C254" s="318">
        <v>9.4</v>
      </c>
      <c r="D254" s="318">
        <v>19.399999999999999</v>
      </c>
      <c r="E254" s="318">
        <v>1.4</v>
      </c>
      <c r="F254" s="318">
        <v>0.4</v>
      </c>
      <c r="G254" s="318">
        <v>1.1000000000000001</v>
      </c>
      <c r="H254" s="318">
        <v>5.5</v>
      </c>
      <c r="I254" s="318">
        <v>1.8</v>
      </c>
      <c r="J254" s="318">
        <v>3.8</v>
      </c>
      <c r="K254" s="318">
        <v>18.100000000000001</v>
      </c>
      <c r="L254" s="318">
        <v>6.5</v>
      </c>
      <c r="M254" s="318">
        <v>11.5</v>
      </c>
      <c r="N254" s="318">
        <v>3.9</v>
      </c>
      <c r="O254" s="318">
        <v>0.7</v>
      </c>
      <c r="P254" s="318">
        <v>3.1</v>
      </c>
    </row>
    <row r="255" spans="1:32" ht="15" customHeight="1" x14ac:dyDescent="0.25">
      <c r="A255" s="299" t="s">
        <v>296</v>
      </c>
      <c r="B255" s="318">
        <v>25.4</v>
      </c>
      <c r="C255" s="318">
        <v>8.5</v>
      </c>
      <c r="D255" s="318">
        <v>16.7</v>
      </c>
      <c r="E255" s="318">
        <v>1.6</v>
      </c>
      <c r="F255" s="318">
        <v>0.5</v>
      </c>
      <c r="G255" s="318">
        <v>1.1000000000000001</v>
      </c>
      <c r="H255" s="318">
        <v>4.5</v>
      </c>
      <c r="I255" s="318">
        <v>1.2</v>
      </c>
      <c r="J255" s="318">
        <v>3.3</v>
      </c>
      <c r="K255" s="318">
        <v>16</v>
      </c>
      <c r="L255" s="318">
        <v>6.2</v>
      </c>
      <c r="M255" s="318">
        <v>9.6999999999999993</v>
      </c>
      <c r="N255" s="318">
        <v>3.3</v>
      </c>
      <c r="O255" s="318">
        <v>0.6</v>
      </c>
      <c r="P255" s="318">
        <v>2.7</v>
      </c>
    </row>
    <row r="256" spans="1:32" ht="15" customHeight="1" x14ac:dyDescent="0.25">
      <c r="A256" s="299" t="s">
        <v>297</v>
      </c>
      <c r="B256" s="318">
        <v>23.1</v>
      </c>
      <c r="C256" s="318">
        <v>7.1</v>
      </c>
      <c r="D256" s="318">
        <v>15.8</v>
      </c>
      <c r="E256" s="318">
        <v>1.1000000000000001</v>
      </c>
      <c r="F256" s="318">
        <v>0.2</v>
      </c>
      <c r="G256" s="318">
        <v>0.9</v>
      </c>
      <c r="H256" s="318">
        <v>4.0999999999999996</v>
      </c>
      <c r="I256" s="318">
        <v>1.1000000000000001</v>
      </c>
      <c r="J256" s="318">
        <v>3</v>
      </c>
      <c r="K256" s="318">
        <v>15.1</v>
      </c>
      <c r="L256" s="318">
        <v>5.4</v>
      </c>
      <c r="M256" s="318">
        <v>9.6</v>
      </c>
      <c r="N256" s="318">
        <v>2.8</v>
      </c>
      <c r="O256" s="318">
        <v>0.4</v>
      </c>
      <c r="P256" s="318">
        <v>2.4</v>
      </c>
      <c r="Q256" s="299"/>
      <c r="R256" s="318"/>
      <c r="S256" s="326"/>
      <c r="T256" s="326"/>
      <c r="U256" s="318"/>
      <c r="V256" s="326"/>
      <c r="W256" s="326"/>
      <c r="X256" s="318"/>
      <c r="Y256" s="326"/>
      <c r="Z256" s="326"/>
      <c r="AA256" s="318"/>
      <c r="AB256" s="326"/>
      <c r="AC256" s="326"/>
      <c r="AD256" s="318"/>
      <c r="AE256" s="326"/>
      <c r="AF256" s="326"/>
    </row>
    <row r="257" spans="1:16" ht="15" customHeight="1" x14ac:dyDescent="0.25"/>
    <row r="258" spans="1:16" ht="15" customHeight="1" x14ac:dyDescent="0.25"/>
    <row r="259" spans="1:16" ht="15" customHeight="1" x14ac:dyDescent="0.25">
      <c r="A259" s="312">
        <v>1998</v>
      </c>
      <c r="B259" s="312"/>
      <c r="C259" s="328"/>
      <c r="D259" s="328"/>
      <c r="E259" s="328"/>
      <c r="F259" s="328"/>
      <c r="G259" s="328"/>
      <c r="H259" s="328"/>
      <c r="I259" s="328"/>
      <c r="J259" s="328"/>
      <c r="K259" s="328"/>
      <c r="L259" s="328"/>
      <c r="M259" s="328"/>
      <c r="N259" s="328"/>
      <c r="O259" s="328"/>
      <c r="P259" s="328"/>
    </row>
    <row r="260" spans="1:16" s="300" customFormat="1" ht="10.5" customHeight="1" x14ac:dyDescent="0.25">
      <c r="A260" s="299"/>
      <c r="B260" s="302"/>
      <c r="C260" s="302"/>
      <c r="D260" s="302"/>
      <c r="E260" s="302"/>
      <c r="F260" s="302"/>
      <c r="G260" s="302"/>
      <c r="H260" s="302"/>
      <c r="I260" s="302"/>
      <c r="J260" s="302"/>
      <c r="K260" s="302"/>
      <c r="L260" s="302"/>
      <c r="M260" s="302"/>
      <c r="N260" s="302"/>
      <c r="O260" s="302"/>
      <c r="P260" s="302"/>
    </row>
    <row r="261" spans="1:16" ht="15" customHeight="1" x14ac:dyDescent="0.2">
      <c r="A261" s="304" t="s">
        <v>91</v>
      </c>
      <c r="B261" s="323">
        <v>373.69200000000001</v>
      </c>
      <c r="C261" s="323">
        <v>149.63999999999999</v>
      </c>
      <c r="D261" s="323">
        <v>218.14</v>
      </c>
      <c r="E261" s="323">
        <v>14.739000000000001</v>
      </c>
      <c r="F261" s="323">
        <v>5.6</v>
      </c>
      <c r="G261" s="323">
        <v>9.06</v>
      </c>
      <c r="H261" s="323">
        <v>58.292000000000002</v>
      </c>
      <c r="I261" s="323">
        <v>22.16</v>
      </c>
      <c r="J261" s="323">
        <v>35.840000000000003</v>
      </c>
      <c r="K261" s="323">
        <v>250.26599999999999</v>
      </c>
      <c r="L261" s="323">
        <v>111.8</v>
      </c>
      <c r="M261" s="323">
        <v>135.38</v>
      </c>
      <c r="N261" s="323">
        <v>50.393999999999998</v>
      </c>
      <c r="O261" s="323">
        <v>10.08</v>
      </c>
      <c r="P261" s="323">
        <v>37.86</v>
      </c>
    </row>
    <row r="262" spans="1:16" s="300" customFormat="1" ht="10.5" customHeight="1" x14ac:dyDescent="0.25">
      <c r="A262" s="299"/>
      <c r="B262" s="302"/>
      <c r="C262" s="302"/>
      <c r="D262" s="302"/>
      <c r="E262" s="302"/>
      <c r="F262" s="302"/>
      <c r="G262" s="302"/>
      <c r="H262" s="302"/>
      <c r="I262" s="302"/>
      <c r="J262" s="302"/>
      <c r="K262" s="302"/>
      <c r="L262" s="302"/>
      <c r="M262" s="302"/>
      <c r="N262" s="302"/>
      <c r="O262" s="302"/>
      <c r="P262" s="302"/>
    </row>
    <row r="263" spans="1:16" ht="15" customHeight="1" x14ac:dyDescent="0.25">
      <c r="A263" s="299" t="s">
        <v>289</v>
      </c>
      <c r="B263" s="318">
        <v>22.42</v>
      </c>
      <c r="C263" s="318">
        <v>9.2799999999999994</v>
      </c>
      <c r="D263" s="318">
        <v>12.64</v>
      </c>
      <c r="E263" s="318">
        <v>0.83299999999999996</v>
      </c>
      <c r="F263" s="318">
        <v>0.44</v>
      </c>
      <c r="G263" s="318">
        <v>0.38</v>
      </c>
      <c r="H263" s="318">
        <v>2.8929999999999998</v>
      </c>
      <c r="I263" s="318">
        <v>1.08</v>
      </c>
      <c r="J263" s="318">
        <v>1.8</v>
      </c>
      <c r="K263" s="318">
        <v>15.153</v>
      </c>
      <c r="L263" s="318">
        <v>7.04</v>
      </c>
      <c r="M263" s="318">
        <v>7.8</v>
      </c>
      <c r="N263" s="318">
        <v>3.54</v>
      </c>
      <c r="O263" s="318">
        <v>0.72</v>
      </c>
      <c r="P263" s="318">
        <v>2.66</v>
      </c>
    </row>
    <row r="264" spans="1:16" ht="15" customHeight="1" x14ac:dyDescent="0.25">
      <c r="A264" s="299" t="s">
        <v>290</v>
      </c>
      <c r="B264" s="318">
        <v>24.713000000000001</v>
      </c>
      <c r="C264" s="318">
        <v>11.12</v>
      </c>
      <c r="D264" s="318">
        <v>13.22</v>
      </c>
      <c r="E264" s="318">
        <v>0.46</v>
      </c>
      <c r="F264" s="318">
        <v>0.12</v>
      </c>
      <c r="G264" s="318">
        <v>0.34</v>
      </c>
      <c r="H264" s="318">
        <v>3.22</v>
      </c>
      <c r="I264" s="318">
        <v>1.32</v>
      </c>
      <c r="J264" s="318">
        <v>1.9</v>
      </c>
      <c r="K264" s="318">
        <v>17.72</v>
      </c>
      <c r="L264" s="318">
        <v>8.64</v>
      </c>
      <c r="M264" s="318">
        <v>8.8800000000000008</v>
      </c>
      <c r="N264" s="318">
        <v>3.3130000000000002</v>
      </c>
      <c r="O264" s="318">
        <v>1.04</v>
      </c>
      <c r="P264" s="318">
        <v>2.1</v>
      </c>
    </row>
    <row r="265" spans="1:16" ht="15" customHeight="1" x14ac:dyDescent="0.25">
      <c r="A265" s="299" t="s">
        <v>291</v>
      </c>
      <c r="B265" s="318">
        <v>30.12</v>
      </c>
      <c r="C265" s="318">
        <v>13.52</v>
      </c>
      <c r="D265" s="318">
        <v>15.88</v>
      </c>
      <c r="E265" s="318">
        <v>0.86</v>
      </c>
      <c r="F265" s="318">
        <v>0.4</v>
      </c>
      <c r="G265" s="318">
        <v>0.46</v>
      </c>
      <c r="H265" s="318">
        <v>3.573</v>
      </c>
      <c r="I265" s="318">
        <v>1.68</v>
      </c>
      <c r="J265" s="318">
        <v>1.88</v>
      </c>
      <c r="K265" s="318">
        <v>21.29</v>
      </c>
      <c r="L265" s="318">
        <v>10.6</v>
      </c>
      <c r="M265" s="318">
        <v>10.26</v>
      </c>
      <c r="N265" s="318">
        <v>4.3970000000000002</v>
      </c>
      <c r="O265" s="318">
        <v>0.84</v>
      </c>
      <c r="P265" s="318">
        <v>3.28</v>
      </c>
    </row>
    <row r="266" spans="1:16" ht="15" customHeight="1" x14ac:dyDescent="0.25">
      <c r="A266" s="299" t="s">
        <v>292</v>
      </c>
      <c r="B266" s="318">
        <v>30.382999999999999</v>
      </c>
      <c r="C266" s="318">
        <v>12.12</v>
      </c>
      <c r="D266" s="318">
        <v>17.760000000000002</v>
      </c>
      <c r="E266" s="318">
        <v>1.08</v>
      </c>
      <c r="F266" s="318">
        <v>0.4</v>
      </c>
      <c r="G266" s="318">
        <v>0.68</v>
      </c>
      <c r="H266" s="318">
        <v>4.2869999999999999</v>
      </c>
      <c r="I266" s="318">
        <v>1.64</v>
      </c>
      <c r="J266" s="318">
        <v>2.62</v>
      </c>
      <c r="K266" s="318">
        <v>20.95</v>
      </c>
      <c r="L266" s="318">
        <v>9.24</v>
      </c>
      <c r="M266" s="318">
        <v>11.46</v>
      </c>
      <c r="N266" s="318">
        <v>4.0670000000000002</v>
      </c>
      <c r="O266" s="318">
        <v>0.84</v>
      </c>
      <c r="P266" s="318">
        <v>3</v>
      </c>
    </row>
    <row r="267" spans="1:16" ht="15" customHeight="1" x14ac:dyDescent="0.25">
      <c r="A267" s="299" t="s">
        <v>293</v>
      </c>
      <c r="B267" s="318">
        <v>32.216999999999999</v>
      </c>
      <c r="C267" s="318">
        <v>13.36</v>
      </c>
      <c r="D267" s="318">
        <v>18.16</v>
      </c>
      <c r="E267" s="318">
        <v>1.1870000000000001</v>
      </c>
      <c r="F267" s="318">
        <v>0.44</v>
      </c>
      <c r="G267" s="318">
        <v>0.72</v>
      </c>
      <c r="H267" s="318">
        <v>4.8869999999999996</v>
      </c>
      <c r="I267" s="318">
        <v>1.88</v>
      </c>
      <c r="J267" s="318">
        <v>2.94</v>
      </c>
      <c r="K267" s="318">
        <v>21.863</v>
      </c>
      <c r="L267" s="318">
        <v>10.199999999999999</v>
      </c>
      <c r="M267" s="318">
        <v>11.48</v>
      </c>
      <c r="N267" s="318">
        <v>4.28</v>
      </c>
      <c r="O267" s="318">
        <v>0.84</v>
      </c>
      <c r="P267" s="318">
        <v>3.02</v>
      </c>
    </row>
    <row r="268" spans="1:16" ht="15" customHeight="1" x14ac:dyDescent="0.25">
      <c r="A268" s="299" t="s">
        <v>282</v>
      </c>
      <c r="B268" s="318">
        <v>35.023000000000003</v>
      </c>
      <c r="C268" s="318">
        <v>14.28</v>
      </c>
      <c r="D268" s="318">
        <v>20.14</v>
      </c>
      <c r="E268" s="318">
        <v>1.46</v>
      </c>
      <c r="F268" s="318">
        <v>0.6</v>
      </c>
      <c r="G268" s="318">
        <v>0.86</v>
      </c>
      <c r="H268" s="318">
        <v>5.4</v>
      </c>
      <c r="I268" s="318">
        <v>2.2000000000000002</v>
      </c>
      <c r="J268" s="318">
        <v>3.12</v>
      </c>
      <c r="K268" s="318">
        <v>23.693000000000001</v>
      </c>
      <c r="L268" s="318">
        <v>10.8</v>
      </c>
      <c r="M268" s="318">
        <v>12.62</v>
      </c>
      <c r="N268" s="318">
        <v>4.47</v>
      </c>
      <c r="O268" s="318">
        <v>0.68</v>
      </c>
      <c r="P268" s="318">
        <v>3.54</v>
      </c>
    </row>
    <row r="269" spans="1:16" ht="15" customHeight="1" x14ac:dyDescent="0.25">
      <c r="A269" s="299" t="s">
        <v>283</v>
      </c>
      <c r="B269" s="318">
        <v>33.69</v>
      </c>
      <c r="C269" s="318">
        <v>12.36</v>
      </c>
      <c r="D269" s="318">
        <v>20.8</v>
      </c>
      <c r="E269" s="318">
        <v>1.5129999999999999</v>
      </c>
      <c r="F269" s="318">
        <v>0.44</v>
      </c>
      <c r="G269" s="318">
        <v>1.06</v>
      </c>
      <c r="H269" s="318">
        <v>5.5330000000000004</v>
      </c>
      <c r="I269" s="318">
        <v>2.2400000000000002</v>
      </c>
      <c r="J269" s="318">
        <v>3.28</v>
      </c>
      <c r="K269" s="318">
        <v>22.137</v>
      </c>
      <c r="L269" s="318">
        <v>8.7200000000000006</v>
      </c>
      <c r="M269" s="318">
        <v>13.1</v>
      </c>
      <c r="N269" s="318">
        <v>4.5069999999999997</v>
      </c>
      <c r="O269" s="318">
        <v>0.96</v>
      </c>
      <c r="P269" s="318">
        <v>3.36</v>
      </c>
    </row>
    <row r="270" spans="1:16" ht="15" customHeight="1" x14ac:dyDescent="0.25">
      <c r="A270" s="299" t="s">
        <v>284</v>
      </c>
      <c r="B270" s="318">
        <v>35.213000000000001</v>
      </c>
      <c r="C270" s="318">
        <v>13.8</v>
      </c>
      <c r="D270" s="318">
        <v>20.96</v>
      </c>
      <c r="E270" s="318">
        <v>1.38</v>
      </c>
      <c r="F270" s="318">
        <v>0.4</v>
      </c>
      <c r="G270" s="318">
        <v>0.98</v>
      </c>
      <c r="H270" s="318">
        <v>5.9930000000000003</v>
      </c>
      <c r="I270" s="318">
        <v>2.16</v>
      </c>
      <c r="J270" s="318">
        <v>3.82</v>
      </c>
      <c r="K270" s="318">
        <v>23.513000000000002</v>
      </c>
      <c r="L270" s="318">
        <v>10.44</v>
      </c>
      <c r="M270" s="318">
        <v>12.78</v>
      </c>
      <c r="N270" s="318">
        <v>4.327</v>
      </c>
      <c r="O270" s="318">
        <v>0.8</v>
      </c>
      <c r="P270" s="318">
        <v>3.38</v>
      </c>
    </row>
    <row r="271" spans="1:16" ht="15" customHeight="1" x14ac:dyDescent="0.25">
      <c r="A271" s="299" t="s">
        <v>294</v>
      </c>
      <c r="B271" s="318">
        <v>35.43</v>
      </c>
      <c r="C271" s="318">
        <v>14.68</v>
      </c>
      <c r="D271" s="318">
        <v>20.38</v>
      </c>
      <c r="E271" s="318">
        <v>1.64</v>
      </c>
      <c r="F271" s="318">
        <v>0.76</v>
      </c>
      <c r="G271" s="318">
        <v>0.88</v>
      </c>
      <c r="H271" s="318">
        <v>6.2329999999999997</v>
      </c>
      <c r="I271" s="318">
        <v>2.68</v>
      </c>
      <c r="J271" s="318">
        <v>3.54</v>
      </c>
      <c r="K271" s="318">
        <v>22.843</v>
      </c>
      <c r="L271" s="318">
        <v>10.199999999999999</v>
      </c>
      <c r="M271" s="318">
        <v>12.46</v>
      </c>
      <c r="N271" s="318">
        <v>4.7130000000000001</v>
      </c>
      <c r="O271" s="318">
        <v>1.04</v>
      </c>
      <c r="P271" s="318">
        <v>3.5</v>
      </c>
    </row>
    <row r="272" spans="1:16" ht="15" customHeight="1" x14ac:dyDescent="0.25">
      <c r="A272" s="299" t="s">
        <v>295</v>
      </c>
      <c r="B272" s="318">
        <v>32.966999999999999</v>
      </c>
      <c r="C272" s="318">
        <v>12</v>
      </c>
      <c r="D272" s="318">
        <v>20.54</v>
      </c>
      <c r="E272" s="318">
        <v>1.7929999999999999</v>
      </c>
      <c r="F272" s="318">
        <v>0.64</v>
      </c>
      <c r="G272" s="318">
        <v>1.1399999999999999</v>
      </c>
      <c r="H272" s="318">
        <v>6.16</v>
      </c>
      <c r="I272" s="318">
        <v>2.12</v>
      </c>
      <c r="J272" s="318">
        <v>4</v>
      </c>
      <c r="K272" s="318">
        <v>20.146999999999998</v>
      </c>
      <c r="L272" s="318">
        <v>8.24</v>
      </c>
      <c r="M272" s="318">
        <v>11.68</v>
      </c>
      <c r="N272" s="318">
        <v>4.867</v>
      </c>
      <c r="O272" s="318">
        <v>1</v>
      </c>
      <c r="P272" s="318">
        <v>3.72</v>
      </c>
    </row>
    <row r="273" spans="1:32" ht="15" customHeight="1" x14ac:dyDescent="0.25">
      <c r="A273" s="299" t="s">
        <v>296</v>
      </c>
      <c r="B273" s="318">
        <v>31.103000000000002</v>
      </c>
      <c r="C273" s="318">
        <v>11.52</v>
      </c>
      <c r="D273" s="318">
        <v>19.18</v>
      </c>
      <c r="E273" s="318">
        <v>1.1599999999999999</v>
      </c>
      <c r="F273" s="318">
        <v>0.4</v>
      </c>
      <c r="G273" s="318">
        <v>0.76</v>
      </c>
      <c r="H273" s="318">
        <v>5.2329999999999997</v>
      </c>
      <c r="I273" s="318">
        <v>1.48</v>
      </c>
      <c r="J273" s="318">
        <v>3.74</v>
      </c>
      <c r="K273" s="318">
        <v>20.617000000000001</v>
      </c>
      <c r="L273" s="318">
        <v>8.84</v>
      </c>
      <c r="M273" s="318">
        <v>11.52</v>
      </c>
      <c r="N273" s="318">
        <v>4.093</v>
      </c>
      <c r="O273" s="318">
        <v>0.8</v>
      </c>
      <c r="P273" s="318">
        <v>3.16</v>
      </c>
    </row>
    <row r="274" spans="1:32" ht="15" customHeight="1" x14ac:dyDescent="0.25">
      <c r="A274" s="299" t="s">
        <v>297</v>
      </c>
      <c r="B274" s="318">
        <v>30.413</v>
      </c>
      <c r="C274" s="318">
        <v>11.6</v>
      </c>
      <c r="D274" s="318">
        <v>18.48</v>
      </c>
      <c r="E274" s="318">
        <v>1.373</v>
      </c>
      <c r="F274" s="318">
        <v>0.56000000000000005</v>
      </c>
      <c r="G274" s="318">
        <v>0.8</v>
      </c>
      <c r="H274" s="318">
        <v>4.88</v>
      </c>
      <c r="I274" s="318">
        <v>1.68</v>
      </c>
      <c r="J274" s="318">
        <v>3.2</v>
      </c>
      <c r="K274" s="318">
        <v>20.34</v>
      </c>
      <c r="L274" s="318">
        <v>8.84</v>
      </c>
      <c r="M274" s="318">
        <v>11.34</v>
      </c>
      <c r="N274" s="318">
        <v>3.82</v>
      </c>
      <c r="O274" s="318">
        <v>0.52</v>
      </c>
      <c r="P274" s="318">
        <v>3.14</v>
      </c>
      <c r="Q274" s="299"/>
      <c r="R274" s="318"/>
      <c r="S274" s="318"/>
      <c r="T274" s="318"/>
      <c r="U274" s="318"/>
      <c r="V274" s="318"/>
      <c r="W274" s="318"/>
      <c r="X274" s="318"/>
      <c r="Y274" s="318"/>
      <c r="Z274" s="318"/>
      <c r="AA274" s="318"/>
      <c r="AB274" s="318"/>
      <c r="AC274" s="318"/>
      <c r="AD274" s="318"/>
      <c r="AE274" s="318"/>
      <c r="AF274" s="318"/>
    </row>
    <row r="275" spans="1:32" ht="15" customHeight="1" x14ac:dyDescent="0.25"/>
    <row r="276" spans="1:32" ht="15" customHeight="1" x14ac:dyDescent="0.25"/>
    <row r="277" spans="1:32" ht="15" customHeight="1" x14ac:dyDescent="0.25">
      <c r="A277" s="329">
        <v>1997</v>
      </c>
      <c r="B277" s="330"/>
      <c r="C277" s="318"/>
      <c r="D277" s="318"/>
      <c r="E277" s="318"/>
      <c r="F277" s="318"/>
      <c r="G277" s="318"/>
      <c r="H277" s="318"/>
      <c r="I277" s="318"/>
      <c r="J277" s="318"/>
      <c r="K277" s="318"/>
      <c r="L277" s="318"/>
      <c r="M277" s="318"/>
      <c r="N277" s="318"/>
      <c r="O277" s="318"/>
      <c r="P277" s="318"/>
    </row>
    <row r="278" spans="1:32" s="300" customFormat="1" ht="10.5" customHeight="1" x14ac:dyDescent="0.25">
      <c r="A278" s="299"/>
      <c r="B278" s="302"/>
      <c r="C278" s="302"/>
      <c r="D278" s="302"/>
      <c r="E278" s="302"/>
      <c r="F278" s="302"/>
      <c r="G278" s="302"/>
      <c r="H278" s="302"/>
      <c r="I278" s="302"/>
      <c r="J278" s="302"/>
      <c r="K278" s="302"/>
      <c r="L278" s="302"/>
      <c r="M278" s="302"/>
      <c r="N278" s="302"/>
      <c r="O278" s="302"/>
      <c r="P278" s="302"/>
    </row>
    <row r="279" spans="1:32" ht="15" customHeight="1" x14ac:dyDescent="0.2">
      <c r="A279" s="304" t="s">
        <v>91</v>
      </c>
      <c r="B279" s="323">
        <v>336.27600000000001</v>
      </c>
      <c r="C279" s="323">
        <v>144</v>
      </c>
      <c r="D279" s="323">
        <v>186.18</v>
      </c>
      <c r="E279" s="323">
        <v>14.34</v>
      </c>
      <c r="F279" s="323">
        <v>5.64</v>
      </c>
      <c r="G279" s="323">
        <v>8.66</v>
      </c>
      <c r="H279" s="323">
        <v>55.256999999999998</v>
      </c>
      <c r="I279" s="323">
        <v>23.48</v>
      </c>
      <c r="J279" s="323">
        <v>31.58</v>
      </c>
      <c r="K279" s="323">
        <v>219.411</v>
      </c>
      <c r="L279" s="323">
        <v>104.6</v>
      </c>
      <c r="M279" s="323">
        <v>111.62</v>
      </c>
      <c r="N279" s="323">
        <v>47.267000000000003</v>
      </c>
      <c r="O279" s="323">
        <v>10.28</v>
      </c>
      <c r="P279" s="323">
        <v>34.32</v>
      </c>
    </row>
    <row r="280" spans="1:32" s="300" customFormat="1" ht="10.5" customHeight="1" x14ac:dyDescent="0.25">
      <c r="A280" s="299"/>
      <c r="B280" s="302"/>
      <c r="C280" s="302"/>
      <c r="D280" s="302"/>
      <c r="E280" s="302"/>
      <c r="F280" s="302"/>
      <c r="G280" s="302"/>
      <c r="H280" s="302"/>
      <c r="I280" s="302"/>
      <c r="J280" s="302"/>
      <c r="K280" s="302"/>
      <c r="L280" s="302"/>
      <c r="M280" s="302"/>
      <c r="N280" s="302"/>
      <c r="O280" s="302"/>
      <c r="P280" s="302"/>
    </row>
    <row r="281" spans="1:32" ht="15" customHeight="1" x14ac:dyDescent="0.25">
      <c r="A281" s="299" t="s">
        <v>289</v>
      </c>
      <c r="B281" s="318">
        <v>24.56</v>
      </c>
      <c r="C281" s="318">
        <v>11.64</v>
      </c>
      <c r="D281" s="318">
        <v>12.48</v>
      </c>
      <c r="E281" s="318">
        <v>0.64</v>
      </c>
      <c r="F281" s="318">
        <v>0.24</v>
      </c>
      <c r="G281" s="318">
        <v>0.4</v>
      </c>
      <c r="H281" s="318">
        <v>2.5329999999999999</v>
      </c>
      <c r="I281" s="318">
        <v>0.84</v>
      </c>
      <c r="J281" s="318">
        <v>1.68</v>
      </c>
      <c r="K281" s="318">
        <v>18.067</v>
      </c>
      <c r="L281" s="318">
        <v>9.8800000000000008</v>
      </c>
      <c r="M281" s="318">
        <v>7.92</v>
      </c>
      <c r="N281" s="318">
        <v>3.32</v>
      </c>
      <c r="O281" s="318">
        <v>0.68</v>
      </c>
      <c r="P281" s="318">
        <v>2.48</v>
      </c>
    </row>
    <row r="282" spans="1:32" ht="15" customHeight="1" x14ac:dyDescent="0.25">
      <c r="A282" s="299" t="s">
        <v>290</v>
      </c>
      <c r="B282" s="318">
        <v>23.14</v>
      </c>
      <c r="C282" s="318">
        <v>10.24</v>
      </c>
      <c r="D282" s="318">
        <v>12.5</v>
      </c>
      <c r="E282" s="318">
        <v>0.64</v>
      </c>
      <c r="F282" s="318">
        <v>0.28000000000000003</v>
      </c>
      <c r="G282" s="318">
        <v>0.36</v>
      </c>
      <c r="H282" s="318">
        <v>2.1800000000000002</v>
      </c>
      <c r="I282" s="318">
        <v>0.76</v>
      </c>
      <c r="J282" s="318">
        <v>1.42</v>
      </c>
      <c r="K282" s="318">
        <v>16.806999999999999</v>
      </c>
      <c r="L282" s="318">
        <v>8.1199999999999992</v>
      </c>
      <c r="M282" s="318">
        <v>8.5</v>
      </c>
      <c r="N282" s="318">
        <v>3.5129999999999999</v>
      </c>
      <c r="O282" s="318">
        <v>1.08</v>
      </c>
      <c r="P282" s="318">
        <v>2.2200000000000002</v>
      </c>
    </row>
    <row r="283" spans="1:32" ht="15" customHeight="1" x14ac:dyDescent="0.25">
      <c r="A283" s="299" t="s">
        <v>291</v>
      </c>
      <c r="B283" s="318">
        <v>30.946999999999999</v>
      </c>
      <c r="C283" s="318">
        <v>14.72</v>
      </c>
      <c r="D283" s="318">
        <v>15.76</v>
      </c>
      <c r="E283" s="318">
        <v>0.8</v>
      </c>
      <c r="F283" s="318">
        <v>0.36</v>
      </c>
      <c r="G283" s="318">
        <v>0.44</v>
      </c>
      <c r="H283" s="318">
        <v>4.1130000000000004</v>
      </c>
      <c r="I283" s="318">
        <v>2.12</v>
      </c>
      <c r="J283" s="318">
        <v>1.98</v>
      </c>
      <c r="K283" s="318">
        <v>21.88</v>
      </c>
      <c r="L283" s="318">
        <v>11.28</v>
      </c>
      <c r="M283" s="318">
        <v>10.36</v>
      </c>
      <c r="N283" s="318">
        <v>4.1529999999999996</v>
      </c>
      <c r="O283" s="318">
        <v>0.96</v>
      </c>
      <c r="P283" s="318">
        <v>2.98</v>
      </c>
    </row>
    <row r="284" spans="1:32" ht="15" customHeight="1" x14ac:dyDescent="0.25">
      <c r="A284" s="299" t="s">
        <v>292</v>
      </c>
      <c r="B284" s="318">
        <v>27.466999999999999</v>
      </c>
      <c r="C284" s="318">
        <v>12.44</v>
      </c>
      <c r="D284" s="318">
        <v>14.44</v>
      </c>
      <c r="E284" s="318">
        <v>0.96</v>
      </c>
      <c r="F284" s="318">
        <v>0.4</v>
      </c>
      <c r="G284" s="318">
        <v>0.56000000000000005</v>
      </c>
      <c r="H284" s="318">
        <v>4.2869999999999999</v>
      </c>
      <c r="I284" s="318">
        <v>2</v>
      </c>
      <c r="J284" s="318">
        <v>2.2599999999999998</v>
      </c>
      <c r="K284" s="318">
        <v>18.2</v>
      </c>
      <c r="L284" s="318">
        <v>9</v>
      </c>
      <c r="M284" s="318">
        <v>8.8800000000000008</v>
      </c>
      <c r="N284" s="318">
        <v>4.0199999999999996</v>
      </c>
      <c r="O284" s="318">
        <v>1.04</v>
      </c>
      <c r="P284" s="318">
        <v>2.74</v>
      </c>
    </row>
    <row r="285" spans="1:32" ht="15" customHeight="1" x14ac:dyDescent="0.25">
      <c r="A285" s="299" t="s">
        <v>293</v>
      </c>
      <c r="B285" s="318">
        <v>28.683</v>
      </c>
      <c r="C285" s="318">
        <v>13.12</v>
      </c>
      <c r="D285" s="318">
        <v>14.98</v>
      </c>
      <c r="E285" s="318">
        <v>1.3</v>
      </c>
      <c r="F285" s="318">
        <v>0.64</v>
      </c>
      <c r="G285" s="318">
        <v>0.66</v>
      </c>
      <c r="H285" s="318">
        <v>4.6769999999999996</v>
      </c>
      <c r="I285" s="318">
        <v>2.36</v>
      </c>
      <c r="J285" s="318">
        <v>2.2799999999999998</v>
      </c>
      <c r="K285" s="318">
        <v>18.786999999999999</v>
      </c>
      <c r="L285" s="318">
        <v>9.0399999999999991</v>
      </c>
      <c r="M285" s="318">
        <v>9.44</v>
      </c>
      <c r="N285" s="318">
        <v>3.92</v>
      </c>
      <c r="O285" s="318">
        <v>1.08</v>
      </c>
      <c r="P285" s="318">
        <v>2.6</v>
      </c>
    </row>
    <row r="286" spans="1:32" ht="15" customHeight="1" x14ac:dyDescent="0.25">
      <c r="A286" s="299" t="s">
        <v>282</v>
      </c>
      <c r="B286" s="318">
        <v>29.056999999999999</v>
      </c>
      <c r="C286" s="318">
        <v>12.8</v>
      </c>
      <c r="D286" s="318">
        <v>15.74</v>
      </c>
      <c r="E286" s="318">
        <v>1.24</v>
      </c>
      <c r="F286" s="318">
        <v>0.52</v>
      </c>
      <c r="G286" s="318">
        <v>0.72</v>
      </c>
      <c r="H286" s="318">
        <v>5.2729999999999997</v>
      </c>
      <c r="I286" s="318">
        <v>2.4</v>
      </c>
      <c r="J286" s="318">
        <v>2.86</v>
      </c>
      <c r="K286" s="318">
        <v>18.422999999999998</v>
      </c>
      <c r="L286" s="318">
        <v>8.92</v>
      </c>
      <c r="M286" s="318">
        <v>9.1999999999999993</v>
      </c>
      <c r="N286" s="318">
        <v>4.12</v>
      </c>
      <c r="O286" s="318">
        <v>0.96</v>
      </c>
      <c r="P286" s="318">
        <v>2.96</v>
      </c>
      <c r="Q286" s="299"/>
      <c r="R286" s="318"/>
      <c r="S286" s="331"/>
      <c r="T286" s="331"/>
      <c r="U286" s="318"/>
      <c r="V286" s="331"/>
      <c r="W286" s="331"/>
      <c r="X286" s="318"/>
      <c r="Y286" s="331"/>
      <c r="Z286" s="331"/>
      <c r="AA286" s="318"/>
      <c r="AB286" s="331"/>
      <c r="AC286" s="331"/>
      <c r="AD286" s="318"/>
      <c r="AE286" s="331"/>
      <c r="AF286" s="331"/>
    </row>
    <row r="287" spans="1:32" ht="15" customHeight="1" x14ac:dyDescent="0.25">
      <c r="A287" s="299" t="s">
        <v>283</v>
      </c>
      <c r="B287" s="318">
        <v>30.43</v>
      </c>
      <c r="C287" s="318">
        <v>12</v>
      </c>
      <c r="D287" s="318">
        <v>17.940000000000001</v>
      </c>
      <c r="E287" s="318">
        <v>1.873</v>
      </c>
      <c r="F287" s="318">
        <v>0.64</v>
      </c>
      <c r="G287" s="318">
        <v>1.22</v>
      </c>
      <c r="H287" s="318">
        <v>5.66</v>
      </c>
      <c r="I287" s="318">
        <v>2.2799999999999998</v>
      </c>
      <c r="J287" s="318">
        <v>3.38</v>
      </c>
      <c r="K287" s="318">
        <v>19.073</v>
      </c>
      <c r="L287" s="318">
        <v>8.56</v>
      </c>
      <c r="M287" s="318">
        <v>10.26</v>
      </c>
      <c r="N287" s="318">
        <v>3.823</v>
      </c>
      <c r="O287" s="318">
        <v>0.52</v>
      </c>
      <c r="P287" s="318">
        <v>3.08</v>
      </c>
    </row>
    <row r="288" spans="1:32" ht="15" customHeight="1" x14ac:dyDescent="0.25">
      <c r="A288" s="299" t="s">
        <v>284</v>
      </c>
      <c r="B288" s="318">
        <v>28.727</v>
      </c>
      <c r="C288" s="318">
        <v>12</v>
      </c>
      <c r="D288" s="318">
        <v>16.3</v>
      </c>
      <c r="E288" s="318">
        <v>1.34</v>
      </c>
      <c r="F288" s="318">
        <v>0.52</v>
      </c>
      <c r="G288" s="318">
        <v>0.82</v>
      </c>
      <c r="H288" s="318">
        <v>5.36</v>
      </c>
      <c r="I288" s="318">
        <v>2.16</v>
      </c>
      <c r="J288" s="318">
        <v>3.2</v>
      </c>
      <c r="K288" s="318">
        <v>17.920000000000002</v>
      </c>
      <c r="L288" s="318">
        <v>8.4</v>
      </c>
      <c r="M288" s="318">
        <v>9.2799999999999994</v>
      </c>
      <c r="N288" s="318">
        <v>4.1070000000000002</v>
      </c>
      <c r="O288" s="318">
        <v>0.92</v>
      </c>
      <c r="P288" s="318">
        <v>3</v>
      </c>
    </row>
    <row r="289" spans="1:32" ht="15" customHeight="1" x14ac:dyDescent="0.25">
      <c r="A289" s="299" t="s">
        <v>294</v>
      </c>
      <c r="B289" s="318">
        <v>31.027000000000001</v>
      </c>
      <c r="C289" s="318">
        <v>11.76</v>
      </c>
      <c r="D289" s="318">
        <v>18.559999999999999</v>
      </c>
      <c r="E289" s="318">
        <v>2.1269999999999998</v>
      </c>
      <c r="F289" s="318">
        <v>0.84</v>
      </c>
      <c r="G289" s="318">
        <v>1.26</v>
      </c>
      <c r="H289" s="318">
        <v>5.5069999999999997</v>
      </c>
      <c r="I289" s="318">
        <v>2.16</v>
      </c>
      <c r="J289" s="318">
        <v>3.32</v>
      </c>
      <c r="K289" s="318">
        <v>19.3</v>
      </c>
      <c r="L289" s="318">
        <v>8.1199999999999992</v>
      </c>
      <c r="M289" s="318">
        <v>10.82</v>
      </c>
      <c r="N289" s="318">
        <v>4.093</v>
      </c>
      <c r="O289" s="318">
        <v>0.64</v>
      </c>
      <c r="P289" s="318">
        <v>3.16</v>
      </c>
    </row>
    <row r="290" spans="1:32" ht="15" customHeight="1" x14ac:dyDescent="0.25">
      <c r="A290" s="299" t="s">
        <v>295</v>
      </c>
      <c r="B290" s="318">
        <v>30.538</v>
      </c>
      <c r="C290" s="318">
        <v>12.16</v>
      </c>
      <c r="D290" s="318">
        <v>17.760000000000002</v>
      </c>
      <c r="E290" s="318">
        <v>1.48</v>
      </c>
      <c r="F290" s="318">
        <v>0.52</v>
      </c>
      <c r="G290" s="318">
        <v>0.96</v>
      </c>
      <c r="H290" s="318">
        <v>6.0469999999999997</v>
      </c>
      <c r="I290" s="318">
        <v>2.3199999999999998</v>
      </c>
      <c r="J290" s="318">
        <v>3.7</v>
      </c>
      <c r="K290" s="318">
        <v>18.059999999999999</v>
      </c>
      <c r="L290" s="318">
        <v>8.48</v>
      </c>
      <c r="M290" s="318">
        <v>9.3000000000000007</v>
      </c>
      <c r="N290" s="318">
        <v>4.9509999999999996</v>
      </c>
      <c r="O290" s="318">
        <v>0.84</v>
      </c>
      <c r="P290" s="318">
        <v>3.8</v>
      </c>
    </row>
    <row r="291" spans="1:32" ht="15" customHeight="1" x14ac:dyDescent="0.25">
      <c r="A291" s="299" t="s">
        <v>296</v>
      </c>
      <c r="B291" s="318">
        <v>26.683</v>
      </c>
      <c r="C291" s="318">
        <v>11</v>
      </c>
      <c r="D291" s="318">
        <v>15.22</v>
      </c>
      <c r="E291" s="318">
        <v>0.96</v>
      </c>
      <c r="F291" s="318">
        <v>0.36</v>
      </c>
      <c r="G291" s="318">
        <v>0.6</v>
      </c>
      <c r="H291" s="318">
        <v>5.56</v>
      </c>
      <c r="I291" s="318">
        <v>2.36</v>
      </c>
      <c r="J291" s="318">
        <v>3.16</v>
      </c>
      <c r="K291" s="318">
        <v>16.536999999999999</v>
      </c>
      <c r="L291" s="318">
        <v>7.44</v>
      </c>
      <c r="M291" s="318">
        <v>8.86</v>
      </c>
      <c r="N291" s="318">
        <v>3.6269999999999998</v>
      </c>
      <c r="O291" s="318">
        <v>0.84</v>
      </c>
      <c r="P291" s="318">
        <v>2.6</v>
      </c>
    </row>
    <row r="292" spans="1:32" ht="15" customHeight="1" x14ac:dyDescent="0.25">
      <c r="A292" s="299" t="s">
        <v>297</v>
      </c>
      <c r="B292" s="318">
        <v>25.016999999999999</v>
      </c>
      <c r="C292" s="318">
        <v>10.119999999999999</v>
      </c>
      <c r="D292" s="318">
        <v>14.5</v>
      </c>
      <c r="E292" s="318">
        <v>0.98</v>
      </c>
      <c r="F292" s="318">
        <v>0.32</v>
      </c>
      <c r="G292" s="318">
        <v>0.66</v>
      </c>
      <c r="H292" s="318">
        <v>4.0599999999999996</v>
      </c>
      <c r="I292" s="318">
        <v>1.72</v>
      </c>
      <c r="J292" s="318">
        <v>2.34</v>
      </c>
      <c r="K292" s="318">
        <v>16.356999999999999</v>
      </c>
      <c r="L292" s="318">
        <v>7.36</v>
      </c>
      <c r="M292" s="318">
        <v>8.8000000000000007</v>
      </c>
      <c r="N292" s="318">
        <v>3.62</v>
      </c>
      <c r="O292" s="318">
        <v>0.72</v>
      </c>
      <c r="P292" s="318">
        <v>2.7</v>
      </c>
    </row>
    <row r="293" spans="1:32" ht="15" customHeight="1" x14ac:dyDescent="0.25">
      <c r="B293" s="318"/>
      <c r="C293" s="318"/>
      <c r="D293" s="318"/>
      <c r="E293" s="318"/>
      <c r="F293" s="318"/>
      <c r="G293" s="318"/>
      <c r="H293" s="318"/>
      <c r="I293" s="318"/>
      <c r="J293" s="318"/>
      <c r="K293" s="318"/>
      <c r="L293" s="318"/>
      <c r="M293" s="318"/>
      <c r="N293" s="318"/>
      <c r="O293" s="318"/>
      <c r="P293" s="318"/>
    </row>
    <row r="294" spans="1:32" ht="15" customHeight="1" x14ac:dyDescent="0.25"/>
    <row r="295" spans="1:32" ht="15" customHeight="1" x14ac:dyDescent="0.25">
      <c r="A295" s="312">
        <v>1996</v>
      </c>
      <c r="B295" s="312"/>
      <c r="C295" s="312"/>
      <c r="D295" s="312"/>
      <c r="E295" s="312"/>
      <c r="F295" s="312"/>
      <c r="G295" s="312"/>
      <c r="H295" s="312"/>
      <c r="I295" s="312"/>
      <c r="J295" s="312"/>
      <c r="K295" s="312"/>
      <c r="L295" s="312"/>
      <c r="M295" s="312"/>
      <c r="N295" s="312"/>
      <c r="O295" s="312"/>
      <c r="P295" s="312"/>
    </row>
    <row r="296" spans="1:32" s="300" customFormat="1" ht="10.5" customHeight="1" x14ac:dyDescent="0.25">
      <c r="A296" s="299"/>
      <c r="B296" s="302"/>
      <c r="C296" s="302"/>
      <c r="D296" s="302"/>
      <c r="E296" s="302"/>
      <c r="F296" s="302"/>
      <c r="G296" s="302"/>
      <c r="H296" s="302"/>
      <c r="I296" s="302"/>
      <c r="J296" s="302"/>
      <c r="K296" s="302"/>
      <c r="L296" s="302"/>
      <c r="M296" s="302"/>
      <c r="N296" s="302"/>
      <c r="O296" s="302"/>
      <c r="P296" s="302"/>
    </row>
    <row r="297" spans="1:32" ht="15" customHeight="1" x14ac:dyDescent="0.2">
      <c r="A297" s="329" t="s">
        <v>91</v>
      </c>
      <c r="B297" s="323">
        <v>337.65100000000001</v>
      </c>
      <c r="C297" s="323">
        <v>163.36000000000001</v>
      </c>
      <c r="D297" s="323">
        <v>168.86</v>
      </c>
      <c r="E297" s="323">
        <v>16.193000000000001</v>
      </c>
      <c r="F297" s="323">
        <v>8.44</v>
      </c>
      <c r="G297" s="323">
        <v>7.74</v>
      </c>
      <c r="H297" s="323">
        <v>58.819000000000003</v>
      </c>
      <c r="I297" s="323">
        <v>28.2</v>
      </c>
      <c r="J297" s="323">
        <v>30.42</v>
      </c>
      <c r="K297" s="323">
        <v>218.233</v>
      </c>
      <c r="L297" s="323">
        <v>115.36</v>
      </c>
      <c r="M297" s="323">
        <v>100.16</v>
      </c>
      <c r="N297" s="323">
        <v>44.41</v>
      </c>
      <c r="O297" s="323">
        <v>11.36</v>
      </c>
      <c r="P297" s="323">
        <v>30.5</v>
      </c>
    </row>
    <row r="298" spans="1:32" s="300" customFormat="1" ht="10.5" customHeight="1" x14ac:dyDescent="0.25">
      <c r="A298" s="299"/>
      <c r="B298" s="302"/>
      <c r="C298" s="302"/>
      <c r="D298" s="302"/>
      <c r="E298" s="302"/>
      <c r="F298" s="302"/>
      <c r="G298" s="302"/>
      <c r="H298" s="302"/>
      <c r="I298" s="302"/>
      <c r="J298" s="302"/>
      <c r="K298" s="302"/>
      <c r="L298" s="302"/>
      <c r="M298" s="302"/>
      <c r="N298" s="302"/>
      <c r="O298" s="302"/>
      <c r="P298" s="302"/>
    </row>
    <row r="299" spans="1:32" ht="15" customHeight="1" x14ac:dyDescent="0.25">
      <c r="A299" s="299" t="s">
        <v>289</v>
      </c>
      <c r="B299" s="318">
        <v>18.920000000000002</v>
      </c>
      <c r="C299" s="318">
        <v>9.52</v>
      </c>
      <c r="D299" s="318">
        <v>9.1999999999999993</v>
      </c>
      <c r="E299" s="318">
        <v>0.72</v>
      </c>
      <c r="F299" s="318">
        <v>0.44</v>
      </c>
      <c r="G299" s="318">
        <v>0.28000000000000003</v>
      </c>
      <c r="H299" s="318">
        <v>2.16</v>
      </c>
      <c r="I299" s="318">
        <v>0.88</v>
      </c>
      <c r="J299" s="318">
        <v>1.28</v>
      </c>
      <c r="K299" s="318">
        <v>13.627000000000001</v>
      </c>
      <c r="L299" s="318">
        <v>7.4</v>
      </c>
      <c r="M299" s="318">
        <v>6.12</v>
      </c>
      <c r="N299" s="318">
        <v>2.4129999999999998</v>
      </c>
      <c r="O299" s="318">
        <v>0.8</v>
      </c>
      <c r="P299" s="318">
        <v>1.52</v>
      </c>
    </row>
    <row r="300" spans="1:32" ht="15" customHeight="1" x14ac:dyDescent="0.25">
      <c r="A300" s="299" t="s">
        <v>290</v>
      </c>
      <c r="B300" s="318">
        <v>25.727</v>
      </c>
      <c r="C300" s="318">
        <v>12.88</v>
      </c>
      <c r="D300" s="318">
        <v>12.46</v>
      </c>
      <c r="E300" s="318">
        <v>0.94</v>
      </c>
      <c r="F300" s="318">
        <v>0.48</v>
      </c>
      <c r="G300" s="318">
        <v>0.46</v>
      </c>
      <c r="H300" s="318">
        <v>3.827</v>
      </c>
      <c r="I300" s="318">
        <v>2.08</v>
      </c>
      <c r="J300" s="318">
        <v>1.72</v>
      </c>
      <c r="K300" s="318">
        <v>17.553000000000001</v>
      </c>
      <c r="L300" s="318">
        <v>9.44</v>
      </c>
      <c r="M300" s="318">
        <v>7.94</v>
      </c>
      <c r="N300" s="318">
        <v>3.407</v>
      </c>
      <c r="O300" s="318">
        <v>0.88</v>
      </c>
      <c r="P300" s="318">
        <v>2.34</v>
      </c>
    </row>
    <row r="301" spans="1:32" ht="15" customHeight="1" x14ac:dyDescent="0.25">
      <c r="A301" s="299" t="s">
        <v>291</v>
      </c>
      <c r="B301" s="318">
        <v>27.492999999999999</v>
      </c>
      <c r="C301" s="318">
        <v>14.92</v>
      </c>
      <c r="D301" s="318">
        <v>12.12</v>
      </c>
      <c r="E301" s="318">
        <v>1.06</v>
      </c>
      <c r="F301" s="318">
        <v>0.72</v>
      </c>
      <c r="G301" s="318">
        <v>0.34</v>
      </c>
      <c r="H301" s="318">
        <v>3.8530000000000002</v>
      </c>
      <c r="I301" s="318">
        <v>2.16</v>
      </c>
      <c r="J301" s="318">
        <v>1.68</v>
      </c>
      <c r="K301" s="318">
        <v>18.893000000000001</v>
      </c>
      <c r="L301" s="318">
        <v>10.88</v>
      </c>
      <c r="M301" s="318">
        <v>7.76</v>
      </c>
      <c r="N301" s="318">
        <v>3.6869999999999998</v>
      </c>
      <c r="O301" s="318">
        <v>1.1599999999999999</v>
      </c>
      <c r="P301" s="318">
        <v>2.34</v>
      </c>
    </row>
    <row r="302" spans="1:32" ht="15" customHeight="1" x14ac:dyDescent="0.25">
      <c r="A302" s="299" t="s">
        <v>292</v>
      </c>
      <c r="B302" s="318">
        <v>23.17</v>
      </c>
      <c r="C302" s="318">
        <v>12.2</v>
      </c>
      <c r="D302" s="318">
        <v>10.76</v>
      </c>
      <c r="E302" s="318">
        <v>0.9</v>
      </c>
      <c r="F302" s="318">
        <v>0.6</v>
      </c>
      <c r="G302" s="318">
        <v>0.3</v>
      </c>
      <c r="H302" s="318">
        <v>3.4729999999999999</v>
      </c>
      <c r="I302" s="318">
        <v>1.96</v>
      </c>
      <c r="J302" s="318">
        <v>1.5</v>
      </c>
      <c r="K302" s="318">
        <v>15.693</v>
      </c>
      <c r="L302" s="318">
        <v>8.8000000000000007</v>
      </c>
      <c r="M302" s="318">
        <v>6.8</v>
      </c>
      <c r="N302" s="318">
        <v>3.1030000000000002</v>
      </c>
      <c r="O302" s="318">
        <v>0.84</v>
      </c>
      <c r="P302" s="318">
        <v>2.16</v>
      </c>
    </row>
    <row r="303" spans="1:32" ht="15" customHeight="1" x14ac:dyDescent="0.25">
      <c r="A303" s="299" t="s">
        <v>293</v>
      </c>
      <c r="B303" s="318">
        <v>30.757000000000001</v>
      </c>
      <c r="C303" s="318">
        <v>14.76</v>
      </c>
      <c r="D303" s="318">
        <v>15.5</v>
      </c>
      <c r="E303" s="318">
        <v>1.58</v>
      </c>
      <c r="F303" s="318">
        <v>0.76</v>
      </c>
      <c r="G303" s="318">
        <v>0.82</v>
      </c>
      <c r="H303" s="318">
        <v>5.9</v>
      </c>
      <c r="I303" s="318">
        <v>3.04</v>
      </c>
      <c r="J303" s="318">
        <v>2.86</v>
      </c>
      <c r="K303" s="318">
        <v>19.376999999999999</v>
      </c>
      <c r="L303" s="318">
        <v>10.039999999999999</v>
      </c>
      <c r="M303" s="318">
        <v>9.08</v>
      </c>
      <c r="N303" s="318">
        <v>3.9</v>
      </c>
      <c r="O303" s="318">
        <v>0.92</v>
      </c>
      <c r="P303" s="318">
        <v>2.74</v>
      </c>
    </row>
    <row r="304" spans="1:32" ht="15" customHeight="1" x14ac:dyDescent="0.25">
      <c r="A304" s="299" t="s">
        <v>282</v>
      </c>
      <c r="B304" s="318">
        <v>31.89</v>
      </c>
      <c r="C304" s="318">
        <v>15.08</v>
      </c>
      <c r="D304" s="318">
        <v>16.239999999999998</v>
      </c>
      <c r="E304" s="318">
        <v>1.593</v>
      </c>
      <c r="F304" s="318">
        <v>0.76</v>
      </c>
      <c r="G304" s="318">
        <v>0.82</v>
      </c>
      <c r="H304" s="318">
        <v>6</v>
      </c>
      <c r="I304" s="318">
        <v>3</v>
      </c>
      <c r="J304" s="318">
        <v>3</v>
      </c>
      <c r="K304" s="318">
        <v>19.593</v>
      </c>
      <c r="L304" s="318">
        <v>10.199999999999999</v>
      </c>
      <c r="M304" s="318">
        <v>9.2200000000000006</v>
      </c>
      <c r="N304" s="318">
        <v>4.7030000000000003</v>
      </c>
      <c r="O304" s="318">
        <v>1.1200000000000001</v>
      </c>
      <c r="P304" s="318">
        <v>3.2</v>
      </c>
      <c r="Q304" s="299"/>
      <c r="R304" s="318"/>
      <c r="S304" s="318"/>
      <c r="T304" s="318"/>
      <c r="U304" s="318"/>
      <c r="V304" s="318"/>
      <c r="W304" s="318"/>
      <c r="X304" s="318"/>
      <c r="Y304" s="318"/>
      <c r="Z304" s="318"/>
      <c r="AA304" s="318"/>
      <c r="AB304" s="318"/>
      <c r="AC304" s="318"/>
      <c r="AD304" s="318"/>
      <c r="AE304" s="318"/>
      <c r="AF304" s="318"/>
    </row>
    <row r="305" spans="1:16" ht="15" customHeight="1" x14ac:dyDescent="0.25">
      <c r="A305" s="299" t="s">
        <v>283</v>
      </c>
      <c r="B305" s="318">
        <v>27.99</v>
      </c>
      <c r="C305" s="318">
        <v>12.76</v>
      </c>
      <c r="D305" s="318">
        <v>14.78</v>
      </c>
      <c r="E305" s="318">
        <v>1.7</v>
      </c>
      <c r="F305" s="318">
        <v>0.96</v>
      </c>
      <c r="G305" s="318">
        <v>0.74</v>
      </c>
      <c r="H305" s="318">
        <v>5.4329999999999998</v>
      </c>
      <c r="I305" s="318">
        <v>2.3199999999999998</v>
      </c>
      <c r="J305" s="318">
        <v>3.1</v>
      </c>
      <c r="K305" s="318">
        <v>17.003</v>
      </c>
      <c r="L305" s="318">
        <v>8.76</v>
      </c>
      <c r="M305" s="318">
        <v>7.98</v>
      </c>
      <c r="N305" s="318">
        <v>3.8530000000000002</v>
      </c>
      <c r="O305" s="318">
        <v>0.72</v>
      </c>
      <c r="P305" s="318">
        <v>2.96</v>
      </c>
    </row>
    <row r="306" spans="1:16" ht="15" customHeight="1" x14ac:dyDescent="0.25">
      <c r="A306" s="299" t="s">
        <v>284</v>
      </c>
      <c r="B306" s="318">
        <v>32.957000000000001</v>
      </c>
      <c r="C306" s="318">
        <v>16.16</v>
      </c>
      <c r="D306" s="318">
        <v>16.28</v>
      </c>
      <c r="E306" s="318">
        <v>1.94</v>
      </c>
      <c r="F306" s="318">
        <v>1.2</v>
      </c>
      <c r="G306" s="318">
        <v>0.74</v>
      </c>
      <c r="H306" s="318">
        <v>6.7130000000000001</v>
      </c>
      <c r="I306" s="318">
        <v>3</v>
      </c>
      <c r="J306" s="318">
        <v>3.7</v>
      </c>
      <c r="K306" s="318">
        <v>19.797000000000001</v>
      </c>
      <c r="L306" s="318">
        <v>10.8</v>
      </c>
      <c r="M306" s="318">
        <v>8.7200000000000006</v>
      </c>
      <c r="N306" s="318">
        <v>4.5069999999999997</v>
      </c>
      <c r="O306" s="318">
        <v>1.1599999999999999</v>
      </c>
      <c r="P306" s="318">
        <v>3.12</v>
      </c>
    </row>
    <row r="307" spans="1:16" ht="15" customHeight="1" x14ac:dyDescent="0.25">
      <c r="A307" s="299" t="s">
        <v>294</v>
      </c>
      <c r="B307" s="318">
        <v>28.797000000000001</v>
      </c>
      <c r="C307" s="318">
        <v>13.36</v>
      </c>
      <c r="D307" s="318">
        <v>15</v>
      </c>
      <c r="E307" s="318">
        <v>1.56</v>
      </c>
      <c r="F307" s="318">
        <v>0.68</v>
      </c>
      <c r="G307" s="318">
        <v>0.88</v>
      </c>
      <c r="H307" s="318">
        <v>5.86</v>
      </c>
      <c r="I307" s="318">
        <v>2.64</v>
      </c>
      <c r="J307" s="318">
        <v>3.18</v>
      </c>
      <c r="K307" s="318">
        <v>17.2</v>
      </c>
      <c r="L307" s="318">
        <v>9</v>
      </c>
      <c r="M307" s="318">
        <v>8.0399999999999991</v>
      </c>
      <c r="N307" s="318">
        <v>4.1769999999999996</v>
      </c>
      <c r="O307" s="318">
        <v>1.04</v>
      </c>
      <c r="P307" s="318">
        <v>2.9</v>
      </c>
    </row>
    <row r="308" spans="1:16" ht="15" customHeight="1" x14ac:dyDescent="0.25">
      <c r="A308" s="299" t="s">
        <v>295</v>
      </c>
      <c r="B308" s="318">
        <v>38.732999999999997</v>
      </c>
      <c r="C308" s="318">
        <v>18.52</v>
      </c>
      <c r="D308" s="318">
        <v>19.399999999999999</v>
      </c>
      <c r="E308" s="318">
        <v>1.54</v>
      </c>
      <c r="F308" s="318">
        <v>0.72</v>
      </c>
      <c r="G308" s="318">
        <v>0.82</v>
      </c>
      <c r="H308" s="318">
        <v>6.6070000000000002</v>
      </c>
      <c r="I308" s="318">
        <v>2.92</v>
      </c>
      <c r="J308" s="318">
        <v>3.66</v>
      </c>
      <c r="K308" s="318">
        <v>26.28</v>
      </c>
      <c r="L308" s="318">
        <v>13.68</v>
      </c>
      <c r="M308" s="318">
        <v>12.08</v>
      </c>
      <c r="N308" s="318">
        <v>4.3070000000000004</v>
      </c>
      <c r="O308" s="318">
        <v>1.2</v>
      </c>
      <c r="P308" s="318">
        <v>2.84</v>
      </c>
    </row>
    <row r="309" spans="1:16" ht="15" customHeight="1" x14ac:dyDescent="0.25">
      <c r="A309" s="299" t="s">
        <v>296</v>
      </c>
      <c r="B309" s="318">
        <v>27.04</v>
      </c>
      <c r="C309" s="318">
        <v>12.56</v>
      </c>
      <c r="D309" s="318">
        <v>13.96</v>
      </c>
      <c r="E309" s="318">
        <v>1.46</v>
      </c>
      <c r="F309" s="318">
        <v>0.64</v>
      </c>
      <c r="G309" s="318">
        <v>0.82</v>
      </c>
      <c r="H309" s="318">
        <v>4.4530000000000003</v>
      </c>
      <c r="I309" s="318">
        <v>2.04</v>
      </c>
      <c r="J309" s="318">
        <v>2.4</v>
      </c>
      <c r="K309" s="318">
        <v>17.847000000000001</v>
      </c>
      <c r="L309" s="318">
        <v>8.92</v>
      </c>
      <c r="M309" s="318">
        <v>8.6999999999999993</v>
      </c>
      <c r="N309" s="318">
        <v>3.28</v>
      </c>
      <c r="O309" s="318">
        <v>0.96</v>
      </c>
      <c r="P309" s="318">
        <v>2.04</v>
      </c>
    </row>
    <row r="310" spans="1:16" ht="15" customHeight="1" x14ac:dyDescent="0.25">
      <c r="A310" s="299" t="s">
        <v>297</v>
      </c>
      <c r="B310" s="318">
        <v>24.183</v>
      </c>
      <c r="C310" s="318">
        <v>10.64</v>
      </c>
      <c r="D310" s="318">
        <v>13.16</v>
      </c>
      <c r="E310" s="318">
        <v>1.2</v>
      </c>
      <c r="F310" s="318">
        <v>0.48</v>
      </c>
      <c r="G310" s="318">
        <v>0.72</v>
      </c>
      <c r="H310" s="318">
        <v>4.54</v>
      </c>
      <c r="I310" s="318">
        <v>2.16</v>
      </c>
      <c r="J310" s="318">
        <v>2.34</v>
      </c>
      <c r="K310" s="318">
        <v>15.37</v>
      </c>
      <c r="L310" s="318">
        <v>7.44</v>
      </c>
      <c r="M310" s="318">
        <v>7.72</v>
      </c>
      <c r="N310" s="318">
        <v>3.073</v>
      </c>
      <c r="O310" s="318">
        <v>0.56000000000000005</v>
      </c>
      <c r="P310" s="318">
        <v>2.38</v>
      </c>
    </row>
    <row r="311" spans="1:16" ht="15" customHeight="1" x14ac:dyDescent="0.25"/>
    <row r="312" spans="1:16" ht="15" customHeight="1" x14ac:dyDescent="0.25"/>
    <row r="313" spans="1:16" ht="15" customHeight="1" x14ac:dyDescent="0.25">
      <c r="A313" s="312">
        <v>1995</v>
      </c>
      <c r="B313" s="318"/>
      <c r="C313" s="312"/>
      <c r="D313" s="312"/>
      <c r="E313" s="312"/>
      <c r="F313" s="312"/>
      <c r="G313" s="312"/>
      <c r="H313" s="312"/>
      <c r="I313" s="312"/>
      <c r="J313" s="312"/>
      <c r="K313" s="312"/>
      <c r="L313" s="312"/>
      <c r="M313" s="312"/>
      <c r="N313" s="312"/>
      <c r="O313" s="312"/>
      <c r="P313" s="312"/>
    </row>
    <row r="314" spans="1:16" s="300" customFormat="1" ht="10.5" customHeight="1" x14ac:dyDescent="0.25">
      <c r="A314" s="299"/>
      <c r="B314" s="302"/>
      <c r="C314" s="302"/>
      <c r="D314" s="302"/>
      <c r="E314" s="302"/>
      <c r="F314" s="302"/>
      <c r="G314" s="302"/>
      <c r="H314" s="302"/>
      <c r="I314" s="302"/>
      <c r="J314" s="302"/>
      <c r="K314" s="302"/>
      <c r="L314" s="302"/>
      <c r="M314" s="302"/>
      <c r="N314" s="302"/>
      <c r="O314" s="302"/>
      <c r="P314" s="302"/>
    </row>
    <row r="315" spans="1:16" ht="15" customHeight="1" x14ac:dyDescent="0.2">
      <c r="A315" s="329" t="s">
        <v>91</v>
      </c>
      <c r="B315" s="323">
        <v>319.416</v>
      </c>
      <c r="C315" s="323">
        <v>163.04</v>
      </c>
      <c r="D315" s="323">
        <v>152.1</v>
      </c>
      <c r="E315" s="323">
        <v>15</v>
      </c>
      <c r="F315" s="323">
        <v>8</v>
      </c>
      <c r="G315" s="323">
        <v>6.96</v>
      </c>
      <c r="H315" s="323">
        <v>57.518999999999998</v>
      </c>
      <c r="I315" s="323">
        <v>30</v>
      </c>
      <c r="J315" s="323">
        <v>27.44</v>
      </c>
      <c r="K315" s="323">
        <v>203.18600000000001</v>
      </c>
      <c r="L315" s="323">
        <v>113.24</v>
      </c>
      <c r="M315" s="323">
        <v>88.24</v>
      </c>
      <c r="N315" s="323">
        <v>43.71</v>
      </c>
      <c r="O315" s="323">
        <v>11.8</v>
      </c>
      <c r="P315" s="323">
        <v>29.46</v>
      </c>
    </row>
    <row r="316" spans="1:16" s="300" customFormat="1" ht="10.5" customHeight="1" x14ac:dyDescent="0.25">
      <c r="A316" s="299"/>
      <c r="B316" s="302"/>
      <c r="C316" s="302"/>
      <c r="D316" s="302"/>
      <c r="E316" s="302"/>
      <c r="F316" s="302"/>
      <c r="G316" s="302"/>
      <c r="H316" s="302"/>
      <c r="I316" s="302"/>
      <c r="J316" s="302"/>
      <c r="K316" s="302"/>
      <c r="L316" s="302"/>
      <c r="M316" s="302"/>
      <c r="N316" s="302"/>
      <c r="O316" s="302"/>
      <c r="P316" s="302"/>
    </row>
    <row r="317" spans="1:16" ht="15" customHeight="1" x14ac:dyDescent="0.25">
      <c r="A317" s="299" t="s">
        <v>289</v>
      </c>
      <c r="B317" s="318">
        <v>21.513000000000002</v>
      </c>
      <c r="C317" s="318">
        <v>10.48</v>
      </c>
      <c r="D317" s="318">
        <v>10.74</v>
      </c>
      <c r="E317" s="318">
        <v>0.94</v>
      </c>
      <c r="F317" s="318">
        <v>0.52</v>
      </c>
      <c r="G317" s="318">
        <v>0.42</v>
      </c>
      <c r="H317" s="318">
        <v>2.84</v>
      </c>
      <c r="I317" s="318">
        <v>1.56</v>
      </c>
      <c r="J317" s="318">
        <v>1.28</v>
      </c>
      <c r="K317" s="318">
        <v>15.16</v>
      </c>
      <c r="L317" s="318">
        <v>7.88</v>
      </c>
      <c r="M317" s="318">
        <v>7.16</v>
      </c>
      <c r="N317" s="318">
        <v>2.573</v>
      </c>
      <c r="O317" s="318">
        <v>0.52</v>
      </c>
      <c r="P317" s="318">
        <v>1.88</v>
      </c>
    </row>
    <row r="318" spans="1:16" ht="15" customHeight="1" x14ac:dyDescent="0.25">
      <c r="A318" s="299" t="s">
        <v>290</v>
      </c>
      <c r="B318" s="318">
        <v>20.713000000000001</v>
      </c>
      <c r="C318" s="318">
        <v>11.6</v>
      </c>
      <c r="D318" s="318">
        <v>8.9</v>
      </c>
      <c r="E318" s="318">
        <v>0.8</v>
      </c>
      <c r="F318" s="318">
        <v>0.48</v>
      </c>
      <c r="G318" s="318">
        <v>0.32</v>
      </c>
      <c r="H318" s="318">
        <v>3.06</v>
      </c>
      <c r="I318" s="318">
        <v>1.88</v>
      </c>
      <c r="J318" s="318">
        <v>1.18</v>
      </c>
      <c r="K318" s="318">
        <v>13.867000000000001</v>
      </c>
      <c r="L318" s="318">
        <v>8.16</v>
      </c>
      <c r="M318" s="318">
        <v>5.6</v>
      </c>
      <c r="N318" s="318">
        <v>2.9870000000000001</v>
      </c>
      <c r="O318" s="318">
        <v>1.08</v>
      </c>
      <c r="P318" s="318">
        <v>1.8</v>
      </c>
    </row>
    <row r="319" spans="1:16" ht="15" customHeight="1" x14ac:dyDescent="0.25">
      <c r="A319" s="299" t="s">
        <v>291</v>
      </c>
      <c r="B319" s="318">
        <v>25.646999999999998</v>
      </c>
      <c r="C319" s="318">
        <v>13.44</v>
      </c>
      <c r="D319" s="318">
        <v>11.86</v>
      </c>
      <c r="E319" s="318">
        <v>0.96</v>
      </c>
      <c r="F319" s="318">
        <v>0.6</v>
      </c>
      <c r="G319" s="318">
        <v>0.36</v>
      </c>
      <c r="H319" s="318">
        <v>3.94</v>
      </c>
      <c r="I319" s="318">
        <v>2</v>
      </c>
      <c r="J319" s="318">
        <v>1.94</v>
      </c>
      <c r="K319" s="318">
        <v>17.332999999999998</v>
      </c>
      <c r="L319" s="318">
        <v>10.119999999999999</v>
      </c>
      <c r="M319" s="318">
        <v>7.04</v>
      </c>
      <c r="N319" s="318">
        <v>3.4129999999999998</v>
      </c>
      <c r="O319" s="318">
        <v>0.72</v>
      </c>
      <c r="P319" s="318">
        <v>2.52</v>
      </c>
    </row>
    <row r="320" spans="1:16" ht="15" customHeight="1" x14ac:dyDescent="0.25">
      <c r="A320" s="299" t="s">
        <v>292</v>
      </c>
      <c r="B320" s="318">
        <v>25</v>
      </c>
      <c r="C320" s="318">
        <v>14.04</v>
      </c>
      <c r="D320" s="318">
        <v>10.68</v>
      </c>
      <c r="E320" s="318">
        <v>0.91300000000000003</v>
      </c>
      <c r="F320" s="318">
        <v>0.56000000000000005</v>
      </c>
      <c r="G320" s="318">
        <v>0.34</v>
      </c>
      <c r="H320" s="318">
        <v>3.8929999999999998</v>
      </c>
      <c r="I320" s="318">
        <v>2.2400000000000002</v>
      </c>
      <c r="J320" s="318">
        <v>1.64</v>
      </c>
      <c r="K320" s="318">
        <v>16.687000000000001</v>
      </c>
      <c r="L320" s="318">
        <v>10.199999999999999</v>
      </c>
      <c r="M320" s="318">
        <v>6.42</v>
      </c>
      <c r="N320" s="318">
        <v>3.5070000000000001</v>
      </c>
      <c r="O320" s="318">
        <v>1.04</v>
      </c>
      <c r="P320" s="318">
        <v>2.2799999999999998</v>
      </c>
    </row>
    <row r="321" spans="1:16" ht="15" customHeight="1" x14ac:dyDescent="0.25">
      <c r="A321" s="299" t="s">
        <v>293</v>
      </c>
      <c r="B321" s="318">
        <v>28.986999999999998</v>
      </c>
      <c r="C321" s="318">
        <v>15.52</v>
      </c>
      <c r="D321" s="318">
        <v>13.2</v>
      </c>
      <c r="E321" s="318">
        <v>1.28</v>
      </c>
      <c r="F321" s="318">
        <v>0.68</v>
      </c>
      <c r="G321" s="318">
        <v>0.6</v>
      </c>
      <c r="H321" s="318">
        <v>4.72</v>
      </c>
      <c r="I321" s="318">
        <v>2.48</v>
      </c>
      <c r="J321" s="318">
        <v>2.2400000000000002</v>
      </c>
      <c r="K321" s="318">
        <v>19.172999999999998</v>
      </c>
      <c r="L321" s="318">
        <v>11.12</v>
      </c>
      <c r="M321" s="318">
        <v>7.96</v>
      </c>
      <c r="N321" s="318">
        <v>3.8130000000000002</v>
      </c>
      <c r="O321" s="318">
        <v>1.24</v>
      </c>
      <c r="P321" s="318">
        <v>2.4</v>
      </c>
    </row>
    <row r="322" spans="1:16" ht="15" customHeight="1" x14ac:dyDescent="0.25">
      <c r="A322" s="299" t="s">
        <v>282</v>
      </c>
      <c r="B322" s="318">
        <v>31.253</v>
      </c>
      <c r="C322" s="318">
        <v>16.2</v>
      </c>
      <c r="D322" s="318">
        <v>14.64</v>
      </c>
      <c r="E322" s="318">
        <v>1.52</v>
      </c>
      <c r="F322" s="318">
        <v>0.88</v>
      </c>
      <c r="G322" s="318">
        <v>0.64</v>
      </c>
      <c r="H322" s="318">
        <v>5.8529999999999998</v>
      </c>
      <c r="I322" s="318">
        <v>3.4</v>
      </c>
      <c r="J322" s="318">
        <v>2.44</v>
      </c>
      <c r="K322" s="318">
        <v>20.152999999999999</v>
      </c>
      <c r="L322" s="318">
        <v>11</v>
      </c>
      <c r="M322" s="318">
        <v>8.9</v>
      </c>
      <c r="N322" s="318">
        <v>3.7269999999999999</v>
      </c>
      <c r="O322" s="318">
        <v>0.92</v>
      </c>
      <c r="P322" s="318">
        <v>2.66</v>
      </c>
    </row>
    <row r="323" spans="1:16" ht="15" customHeight="1" x14ac:dyDescent="0.25">
      <c r="A323" s="299" t="s">
        <v>283</v>
      </c>
      <c r="B323" s="318">
        <v>26.72</v>
      </c>
      <c r="C323" s="318">
        <v>13.36</v>
      </c>
      <c r="D323" s="318">
        <v>13.04</v>
      </c>
      <c r="E323" s="318">
        <v>1.44</v>
      </c>
      <c r="F323" s="318">
        <v>0.8</v>
      </c>
      <c r="G323" s="318">
        <v>0.64</v>
      </c>
      <c r="H323" s="318">
        <v>5.24</v>
      </c>
      <c r="I323" s="318">
        <v>2.72</v>
      </c>
      <c r="J323" s="318">
        <v>2.52</v>
      </c>
      <c r="K323" s="318">
        <v>16.452999999999999</v>
      </c>
      <c r="L323" s="318">
        <v>8.76</v>
      </c>
      <c r="M323" s="318">
        <v>7.6</v>
      </c>
      <c r="N323" s="318">
        <v>3.5870000000000002</v>
      </c>
      <c r="O323" s="318">
        <v>1.08</v>
      </c>
      <c r="P323" s="318">
        <v>2.2799999999999998</v>
      </c>
    </row>
    <row r="324" spans="1:16" ht="15" customHeight="1" x14ac:dyDescent="0.25">
      <c r="A324" s="299" t="s">
        <v>284</v>
      </c>
      <c r="B324" s="318">
        <v>30.44</v>
      </c>
      <c r="C324" s="318">
        <v>14.4</v>
      </c>
      <c r="D324" s="318">
        <v>15.52</v>
      </c>
      <c r="E324" s="318">
        <v>1.887</v>
      </c>
      <c r="F324" s="318">
        <v>1</v>
      </c>
      <c r="G324" s="318">
        <v>0.86</v>
      </c>
      <c r="H324" s="318">
        <v>5.8129999999999997</v>
      </c>
      <c r="I324" s="318">
        <v>2.56</v>
      </c>
      <c r="J324" s="318">
        <v>3.24</v>
      </c>
      <c r="K324" s="318">
        <v>18.146999999999998</v>
      </c>
      <c r="L324" s="318">
        <v>9.8000000000000007</v>
      </c>
      <c r="M324" s="318">
        <v>8.1999999999999993</v>
      </c>
      <c r="N324" s="318">
        <v>4.593</v>
      </c>
      <c r="O324" s="318">
        <v>1.04</v>
      </c>
      <c r="P324" s="318">
        <v>3.22</v>
      </c>
    </row>
    <row r="325" spans="1:16" ht="15" customHeight="1" x14ac:dyDescent="0.25">
      <c r="A325" s="299" t="s">
        <v>294</v>
      </c>
      <c r="B325" s="318">
        <v>29.42</v>
      </c>
      <c r="C325" s="318">
        <v>14.92</v>
      </c>
      <c r="D325" s="318">
        <v>14.1</v>
      </c>
      <c r="E325" s="318">
        <v>1.84</v>
      </c>
      <c r="F325" s="318">
        <v>1</v>
      </c>
      <c r="G325" s="318">
        <v>0.84</v>
      </c>
      <c r="H325" s="318">
        <v>6.48</v>
      </c>
      <c r="I325" s="318">
        <v>3.52</v>
      </c>
      <c r="J325" s="318">
        <v>2.96</v>
      </c>
      <c r="K325" s="318">
        <v>16.992999999999999</v>
      </c>
      <c r="L325" s="318">
        <v>9.4</v>
      </c>
      <c r="M325" s="318">
        <v>7.46</v>
      </c>
      <c r="N325" s="318">
        <v>4.1070000000000002</v>
      </c>
      <c r="O325" s="318">
        <v>1</v>
      </c>
      <c r="P325" s="318">
        <v>2.84</v>
      </c>
    </row>
    <row r="326" spans="1:16" ht="15" customHeight="1" x14ac:dyDescent="0.25">
      <c r="A326" s="299" t="s">
        <v>295</v>
      </c>
      <c r="B326" s="318">
        <v>30.832999999999998</v>
      </c>
      <c r="C326" s="318">
        <v>15.8</v>
      </c>
      <c r="D326" s="318">
        <v>14.5</v>
      </c>
      <c r="E326" s="318">
        <v>1.32</v>
      </c>
      <c r="F326" s="318">
        <v>0.52</v>
      </c>
      <c r="G326" s="318">
        <v>0.8</v>
      </c>
      <c r="H326" s="318">
        <v>5.76</v>
      </c>
      <c r="I326" s="318">
        <v>2.8</v>
      </c>
      <c r="J326" s="318">
        <v>2.92</v>
      </c>
      <c r="K326" s="318">
        <v>19.253</v>
      </c>
      <c r="L326" s="318">
        <v>11.08</v>
      </c>
      <c r="M326" s="318">
        <v>7.96</v>
      </c>
      <c r="N326" s="318">
        <v>4.5</v>
      </c>
      <c r="O326" s="318">
        <v>1.4</v>
      </c>
      <c r="P326" s="318">
        <v>2.82</v>
      </c>
    </row>
    <row r="327" spans="1:16" ht="15" customHeight="1" x14ac:dyDescent="0.25">
      <c r="A327" s="299" t="s">
        <v>296</v>
      </c>
      <c r="B327" s="318">
        <v>25.693000000000001</v>
      </c>
      <c r="C327" s="318">
        <v>12.8</v>
      </c>
      <c r="D327" s="318">
        <v>12.52</v>
      </c>
      <c r="E327" s="318">
        <v>1.36</v>
      </c>
      <c r="F327" s="318">
        <v>0.72</v>
      </c>
      <c r="G327" s="318">
        <v>0.64</v>
      </c>
      <c r="H327" s="318">
        <v>5.4</v>
      </c>
      <c r="I327" s="318">
        <v>3</v>
      </c>
      <c r="J327" s="318">
        <v>2.4</v>
      </c>
      <c r="K327" s="318">
        <v>15.32</v>
      </c>
      <c r="L327" s="318">
        <v>8.2799999999999994</v>
      </c>
      <c r="M327" s="318">
        <v>6.88</v>
      </c>
      <c r="N327" s="318">
        <v>3.613</v>
      </c>
      <c r="O327" s="318">
        <v>0.8</v>
      </c>
      <c r="P327" s="318">
        <v>2.6</v>
      </c>
    </row>
    <row r="328" spans="1:16" ht="15" customHeight="1" x14ac:dyDescent="0.25">
      <c r="A328" s="299" t="s">
        <v>297</v>
      </c>
      <c r="B328" s="318">
        <v>23.196999999999999</v>
      </c>
      <c r="C328" s="318">
        <v>10.48</v>
      </c>
      <c r="D328" s="318">
        <v>12.4</v>
      </c>
      <c r="E328" s="318">
        <v>0.74</v>
      </c>
      <c r="F328" s="318">
        <v>0.24</v>
      </c>
      <c r="G328" s="318">
        <v>0.5</v>
      </c>
      <c r="H328" s="318">
        <v>4.5199999999999996</v>
      </c>
      <c r="I328" s="318">
        <v>1.84</v>
      </c>
      <c r="J328" s="318">
        <v>2.68</v>
      </c>
      <c r="K328" s="318">
        <v>14.647</v>
      </c>
      <c r="L328" s="318">
        <v>7.44</v>
      </c>
      <c r="M328" s="318">
        <v>7.06</v>
      </c>
      <c r="N328" s="318">
        <v>3.29</v>
      </c>
      <c r="O328" s="318">
        <v>0.96</v>
      </c>
      <c r="P328" s="318">
        <v>2.16</v>
      </c>
    </row>
    <row r="329" spans="1:16" ht="15" customHeight="1" x14ac:dyDescent="0.25">
      <c r="B329" s="318"/>
      <c r="C329" s="318"/>
      <c r="D329" s="318"/>
      <c r="E329" s="318"/>
      <c r="F329" s="318"/>
      <c r="G329" s="318"/>
      <c r="H329" s="318"/>
      <c r="I329" s="318"/>
      <c r="J329" s="318"/>
      <c r="K329" s="318"/>
      <c r="L329" s="318"/>
      <c r="M329" s="318"/>
      <c r="N329" s="318"/>
      <c r="O329" s="318"/>
      <c r="P329" s="318"/>
    </row>
    <row r="330" spans="1:16" ht="15" customHeight="1" x14ac:dyDescent="0.25"/>
    <row r="331" spans="1:16" ht="15" customHeight="1" x14ac:dyDescent="0.25">
      <c r="A331" s="312">
        <v>1994</v>
      </c>
      <c r="B331" s="318"/>
      <c r="C331" s="312"/>
      <c r="D331" s="312"/>
      <c r="F331" s="312"/>
      <c r="G331" s="312"/>
      <c r="H331" s="312"/>
      <c r="I331" s="312"/>
      <c r="J331" s="312"/>
      <c r="K331" s="312"/>
      <c r="L331" s="312"/>
      <c r="M331" s="312"/>
      <c r="N331" s="312"/>
      <c r="O331" s="312"/>
      <c r="P331" s="312"/>
    </row>
    <row r="332" spans="1:16" s="300" customFormat="1" ht="10.5" customHeight="1" x14ac:dyDescent="0.25">
      <c r="A332" s="299"/>
      <c r="B332" s="302"/>
      <c r="C332" s="302"/>
      <c r="D332" s="302"/>
      <c r="E332" s="302"/>
      <c r="F332" s="302"/>
      <c r="G332" s="302"/>
      <c r="H332" s="302"/>
      <c r="I332" s="302"/>
      <c r="J332" s="302"/>
      <c r="K332" s="302"/>
      <c r="L332" s="302"/>
      <c r="M332" s="302"/>
      <c r="N332" s="302"/>
      <c r="O332" s="302"/>
      <c r="P332" s="302"/>
    </row>
    <row r="333" spans="1:16" ht="15" customHeight="1" x14ac:dyDescent="0.2">
      <c r="A333" s="304" t="s">
        <v>91</v>
      </c>
      <c r="B333" s="323">
        <v>290.89999999999998</v>
      </c>
      <c r="C333" s="323">
        <v>149.28</v>
      </c>
      <c r="D333" s="323">
        <v>137.30000000000001</v>
      </c>
      <c r="E333" s="323">
        <v>16.292000000000002</v>
      </c>
      <c r="F333" s="323">
        <v>9.08</v>
      </c>
      <c r="G333" s="323">
        <v>7.12</v>
      </c>
      <c r="H333" s="323">
        <v>53.252000000000002</v>
      </c>
      <c r="I333" s="323">
        <v>27.64</v>
      </c>
      <c r="J333" s="323">
        <v>25.48</v>
      </c>
      <c r="K333" s="323">
        <v>177.702</v>
      </c>
      <c r="L333" s="323">
        <v>101.32</v>
      </c>
      <c r="M333" s="323">
        <v>74.7</v>
      </c>
      <c r="N333" s="323">
        <v>43.613999999999997</v>
      </c>
      <c r="O333" s="323">
        <v>11.24</v>
      </c>
      <c r="P333" s="323">
        <v>30</v>
      </c>
    </row>
    <row r="334" spans="1:16" s="300" customFormat="1" ht="10.5" customHeight="1" x14ac:dyDescent="0.25">
      <c r="A334" s="299"/>
      <c r="B334" s="302"/>
      <c r="C334" s="302"/>
      <c r="D334" s="302"/>
      <c r="E334" s="302"/>
      <c r="F334" s="302"/>
      <c r="G334" s="302"/>
      <c r="H334" s="302"/>
      <c r="I334" s="302"/>
      <c r="J334" s="302"/>
      <c r="K334" s="302"/>
      <c r="L334" s="302"/>
      <c r="M334" s="302"/>
      <c r="N334" s="302"/>
      <c r="O334" s="302"/>
      <c r="P334" s="302"/>
    </row>
    <row r="335" spans="1:16" ht="15" customHeight="1" x14ac:dyDescent="0.25">
      <c r="A335" s="299" t="s">
        <v>289</v>
      </c>
      <c r="B335" s="332">
        <v>14.7</v>
      </c>
      <c r="C335" s="318">
        <v>7.32</v>
      </c>
      <c r="D335" s="318">
        <v>7.08</v>
      </c>
      <c r="E335" s="318">
        <v>0.64</v>
      </c>
      <c r="F335" s="318">
        <v>0.32</v>
      </c>
      <c r="G335" s="318">
        <v>0.32</v>
      </c>
      <c r="H335" s="318">
        <v>2.4129999999999998</v>
      </c>
      <c r="I335" s="318">
        <v>1.32</v>
      </c>
      <c r="J335" s="318">
        <v>1.08</v>
      </c>
      <c r="K335" s="318">
        <v>9.2430000000000003</v>
      </c>
      <c r="L335" s="318">
        <v>5.04</v>
      </c>
      <c r="M335" s="318">
        <v>4.1399999999999997</v>
      </c>
      <c r="N335" s="318">
        <v>2.38</v>
      </c>
      <c r="O335" s="318">
        <v>0.64</v>
      </c>
      <c r="P335" s="318">
        <v>1.54</v>
      </c>
    </row>
    <row r="336" spans="1:16" ht="15" customHeight="1" x14ac:dyDescent="0.25">
      <c r="A336" s="299" t="s">
        <v>290</v>
      </c>
      <c r="B336" s="318">
        <v>18.266999999999999</v>
      </c>
      <c r="C336" s="318">
        <v>10.28</v>
      </c>
      <c r="D336" s="318">
        <v>7.74</v>
      </c>
      <c r="E336" s="318">
        <v>0.6</v>
      </c>
      <c r="F336" s="318">
        <v>0.48</v>
      </c>
      <c r="G336" s="318">
        <v>0.12</v>
      </c>
      <c r="H336" s="318">
        <v>2.56</v>
      </c>
      <c r="I336" s="318">
        <v>1.56</v>
      </c>
      <c r="J336" s="318">
        <v>1</v>
      </c>
      <c r="K336" s="318">
        <v>12.5</v>
      </c>
      <c r="L336" s="318">
        <v>7.52</v>
      </c>
      <c r="M336" s="318">
        <v>4.9000000000000004</v>
      </c>
      <c r="N336" s="318">
        <v>2.6070000000000002</v>
      </c>
      <c r="O336" s="318">
        <v>0.72</v>
      </c>
      <c r="P336" s="318">
        <v>1.72</v>
      </c>
    </row>
    <row r="337" spans="1:16" ht="15" customHeight="1" x14ac:dyDescent="0.25">
      <c r="A337" s="299" t="s">
        <v>291</v>
      </c>
      <c r="B337" s="318">
        <v>22.266999999999999</v>
      </c>
      <c r="C337" s="318">
        <v>11.68</v>
      </c>
      <c r="D337" s="318">
        <v>10.24</v>
      </c>
      <c r="E337" s="318">
        <v>0.71299999999999997</v>
      </c>
      <c r="F337" s="318">
        <v>0.32</v>
      </c>
      <c r="G337" s="318">
        <v>0.38</v>
      </c>
      <c r="H337" s="318">
        <v>3.64</v>
      </c>
      <c r="I337" s="318">
        <v>2.08</v>
      </c>
      <c r="J337" s="318">
        <v>1.56</v>
      </c>
      <c r="K337" s="318">
        <v>14.52</v>
      </c>
      <c r="L337" s="318">
        <v>8.1999999999999993</v>
      </c>
      <c r="M337" s="318">
        <v>6.16</v>
      </c>
      <c r="N337" s="318">
        <v>3.3929999999999998</v>
      </c>
      <c r="O337" s="318">
        <v>1.08</v>
      </c>
      <c r="P337" s="318">
        <v>2.14</v>
      </c>
    </row>
    <row r="338" spans="1:16" ht="15" customHeight="1" x14ac:dyDescent="0.25">
      <c r="A338" s="299" t="s">
        <v>292</v>
      </c>
      <c r="B338" s="318">
        <v>24.18</v>
      </c>
      <c r="C338" s="318">
        <v>12.76</v>
      </c>
      <c r="D338" s="318">
        <v>11.18</v>
      </c>
      <c r="E338" s="318">
        <v>1.18</v>
      </c>
      <c r="F338" s="318">
        <v>0.68</v>
      </c>
      <c r="G338" s="318">
        <v>0.5</v>
      </c>
      <c r="H338" s="318">
        <v>3.96</v>
      </c>
      <c r="I338" s="318">
        <v>2.16</v>
      </c>
      <c r="J338" s="318">
        <v>1.8</v>
      </c>
      <c r="K338" s="318">
        <v>15.513</v>
      </c>
      <c r="L338" s="318">
        <v>9.0399999999999991</v>
      </c>
      <c r="M338" s="318">
        <v>6.34</v>
      </c>
      <c r="N338" s="318">
        <v>3.5270000000000001</v>
      </c>
      <c r="O338" s="318">
        <v>0.88</v>
      </c>
      <c r="P338" s="318">
        <v>2.54</v>
      </c>
    </row>
    <row r="339" spans="1:16" ht="15" customHeight="1" x14ac:dyDescent="0.25">
      <c r="A339" s="299" t="s">
        <v>293</v>
      </c>
      <c r="B339" s="318">
        <v>27.5</v>
      </c>
      <c r="C339" s="318">
        <v>15.08</v>
      </c>
      <c r="D339" s="318">
        <v>12.06</v>
      </c>
      <c r="E339" s="318">
        <v>1.64</v>
      </c>
      <c r="F339" s="318">
        <v>0.92</v>
      </c>
      <c r="G339" s="318">
        <v>0.72</v>
      </c>
      <c r="H339" s="318">
        <v>4.92</v>
      </c>
      <c r="I339" s="318">
        <v>2.92</v>
      </c>
      <c r="J339" s="318">
        <v>2</v>
      </c>
      <c r="K339" s="318">
        <v>16.933</v>
      </c>
      <c r="L339" s="318">
        <v>10.28</v>
      </c>
      <c r="M339" s="318">
        <v>6.48</v>
      </c>
      <c r="N339" s="318">
        <v>4.0069999999999997</v>
      </c>
      <c r="O339" s="318">
        <v>0.96</v>
      </c>
      <c r="P339" s="318">
        <v>2.86</v>
      </c>
    </row>
    <row r="340" spans="1:16" ht="15" customHeight="1" x14ac:dyDescent="0.25">
      <c r="A340" s="299" t="s">
        <v>282</v>
      </c>
      <c r="B340" s="318">
        <v>27.597000000000001</v>
      </c>
      <c r="C340" s="318">
        <v>13.68</v>
      </c>
      <c r="D340" s="318">
        <v>13.48</v>
      </c>
      <c r="E340" s="318">
        <v>1.4</v>
      </c>
      <c r="F340" s="318">
        <v>0.68</v>
      </c>
      <c r="G340" s="318">
        <v>0.72</v>
      </c>
      <c r="H340" s="318">
        <v>5.1929999999999996</v>
      </c>
      <c r="I340" s="318">
        <v>2.6</v>
      </c>
      <c r="J340" s="318">
        <v>2.58</v>
      </c>
      <c r="K340" s="318">
        <v>16.747</v>
      </c>
      <c r="L340" s="318">
        <v>9.36</v>
      </c>
      <c r="M340" s="318">
        <v>7.2</v>
      </c>
      <c r="N340" s="318">
        <v>4.2569999999999997</v>
      </c>
      <c r="O340" s="318">
        <v>1.04</v>
      </c>
      <c r="P340" s="318">
        <v>2.98</v>
      </c>
    </row>
    <row r="341" spans="1:16" ht="15" customHeight="1" x14ac:dyDescent="0.25">
      <c r="A341" s="299" t="s">
        <v>283</v>
      </c>
      <c r="B341" s="318">
        <v>26.187000000000001</v>
      </c>
      <c r="C341" s="318">
        <v>14.64</v>
      </c>
      <c r="D341" s="318">
        <v>11.24</v>
      </c>
      <c r="E341" s="318">
        <v>1.84</v>
      </c>
      <c r="F341" s="318">
        <v>1</v>
      </c>
      <c r="G341" s="318">
        <v>0.84</v>
      </c>
      <c r="H341" s="318">
        <v>5.2130000000000001</v>
      </c>
      <c r="I341" s="318">
        <v>2.8</v>
      </c>
      <c r="J341" s="318">
        <v>2.4</v>
      </c>
      <c r="K341" s="318">
        <v>15.372999999999999</v>
      </c>
      <c r="L341" s="318">
        <v>9.8800000000000008</v>
      </c>
      <c r="M341" s="318">
        <v>5.36</v>
      </c>
      <c r="N341" s="318">
        <v>3.76</v>
      </c>
      <c r="O341" s="318">
        <v>0.96</v>
      </c>
      <c r="P341" s="318">
        <v>2.64</v>
      </c>
    </row>
    <row r="342" spans="1:16" ht="15" customHeight="1" x14ac:dyDescent="0.25">
      <c r="A342" s="299" t="s">
        <v>284</v>
      </c>
      <c r="B342" s="318">
        <v>27.033000000000001</v>
      </c>
      <c r="C342" s="318">
        <v>14.24</v>
      </c>
      <c r="D342" s="318">
        <v>12.4</v>
      </c>
      <c r="E342" s="318">
        <v>1.913</v>
      </c>
      <c r="F342" s="318">
        <v>1.1599999999999999</v>
      </c>
      <c r="G342" s="318">
        <v>0.74</v>
      </c>
      <c r="H342" s="318">
        <v>5.52</v>
      </c>
      <c r="I342" s="318">
        <v>2.88</v>
      </c>
      <c r="J342" s="318">
        <v>2.6</v>
      </c>
      <c r="K342" s="318">
        <v>15.6</v>
      </c>
      <c r="L342" s="318">
        <v>9.16</v>
      </c>
      <c r="M342" s="318">
        <v>6.3</v>
      </c>
      <c r="N342" s="318">
        <v>4</v>
      </c>
      <c r="O342" s="318">
        <v>1.04</v>
      </c>
      <c r="P342" s="318">
        <v>2.76</v>
      </c>
    </row>
    <row r="343" spans="1:16" ht="15" customHeight="1" x14ac:dyDescent="0.25">
      <c r="A343" s="299" t="s">
        <v>294</v>
      </c>
      <c r="B343" s="318">
        <v>25.38</v>
      </c>
      <c r="C343" s="318">
        <v>12.28</v>
      </c>
      <c r="D343" s="318">
        <v>12.66</v>
      </c>
      <c r="E343" s="318">
        <v>1.6870000000000001</v>
      </c>
      <c r="F343" s="318">
        <v>0.92</v>
      </c>
      <c r="G343" s="318">
        <v>0.74</v>
      </c>
      <c r="H343" s="318">
        <v>4.633</v>
      </c>
      <c r="I343" s="318">
        <v>2.16</v>
      </c>
      <c r="J343" s="318">
        <v>2.46</v>
      </c>
      <c r="K343" s="318">
        <v>15.247</v>
      </c>
      <c r="L343" s="318">
        <v>8.52</v>
      </c>
      <c r="M343" s="318">
        <v>6.58</v>
      </c>
      <c r="N343" s="318">
        <v>3.8130000000000002</v>
      </c>
      <c r="O343" s="318">
        <v>0.68</v>
      </c>
      <c r="P343" s="318">
        <v>2.88</v>
      </c>
    </row>
    <row r="344" spans="1:16" ht="15" customHeight="1" x14ac:dyDescent="0.25">
      <c r="A344" s="299" t="s">
        <v>295</v>
      </c>
      <c r="B344" s="318">
        <v>27.847000000000001</v>
      </c>
      <c r="C344" s="318">
        <v>13.64</v>
      </c>
      <c r="D344" s="318">
        <v>13.7</v>
      </c>
      <c r="E344" s="318">
        <v>2.0329999999999999</v>
      </c>
      <c r="F344" s="318">
        <v>1.2</v>
      </c>
      <c r="G344" s="318">
        <v>0.82</v>
      </c>
      <c r="H344" s="318">
        <v>5.6070000000000002</v>
      </c>
      <c r="I344" s="318">
        <v>2.8</v>
      </c>
      <c r="J344" s="318">
        <v>2.78</v>
      </c>
      <c r="K344" s="318">
        <v>15.78</v>
      </c>
      <c r="L344" s="318">
        <v>8.32</v>
      </c>
      <c r="M344" s="318">
        <v>7.3</v>
      </c>
      <c r="N344" s="318">
        <v>4.4269999999999996</v>
      </c>
      <c r="O344" s="318">
        <v>1.32</v>
      </c>
      <c r="P344" s="318">
        <v>2.8</v>
      </c>
    </row>
    <row r="345" spans="1:16" ht="15" customHeight="1" x14ac:dyDescent="0.25">
      <c r="A345" s="299" t="s">
        <v>296</v>
      </c>
      <c r="B345" s="318">
        <v>26.123000000000001</v>
      </c>
      <c r="C345" s="318">
        <v>13.12</v>
      </c>
      <c r="D345" s="318">
        <v>12.58</v>
      </c>
      <c r="E345" s="318">
        <v>1.5329999999999999</v>
      </c>
      <c r="F345" s="318">
        <v>1</v>
      </c>
      <c r="G345" s="318">
        <v>0.52</v>
      </c>
      <c r="H345" s="318">
        <v>5.2329999999999997</v>
      </c>
      <c r="I345" s="318">
        <v>2.56</v>
      </c>
      <c r="J345" s="318">
        <v>2.66</v>
      </c>
      <c r="K345" s="318">
        <v>15.733000000000001</v>
      </c>
      <c r="L345" s="318">
        <v>8.52</v>
      </c>
      <c r="M345" s="318">
        <v>7.04</v>
      </c>
      <c r="N345" s="318">
        <v>3.6230000000000002</v>
      </c>
      <c r="O345" s="318">
        <v>1.04</v>
      </c>
      <c r="P345" s="318">
        <v>2.36</v>
      </c>
    </row>
    <row r="346" spans="1:16" ht="15" customHeight="1" x14ac:dyDescent="0.25">
      <c r="A346" s="299" t="s">
        <v>297</v>
      </c>
      <c r="B346" s="318">
        <v>23.806999999999999</v>
      </c>
      <c r="C346" s="318">
        <v>10.56</v>
      </c>
      <c r="D346" s="318">
        <v>12.94</v>
      </c>
      <c r="E346" s="318">
        <v>1.113</v>
      </c>
      <c r="F346" s="318">
        <v>0.4</v>
      </c>
      <c r="G346" s="318">
        <v>0.7</v>
      </c>
      <c r="H346" s="318">
        <v>4.3600000000000003</v>
      </c>
      <c r="I346" s="318">
        <v>1.8</v>
      </c>
      <c r="J346" s="318">
        <v>2.56</v>
      </c>
      <c r="K346" s="318">
        <v>14.513</v>
      </c>
      <c r="L346" s="318">
        <v>7.48</v>
      </c>
      <c r="M346" s="318">
        <v>6.9</v>
      </c>
      <c r="N346" s="318">
        <v>3.82</v>
      </c>
      <c r="O346" s="318">
        <v>0.88</v>
      </c>
      <c r="P346" s="318">
        <v>2.78</v>
      </c>
    </row>
    <row r="347" spans="1:16" ht="15" customHeight="1" x14ac:dyDescent="0.25">
      <c r="B347" s="318"/>
      <c r="C347" s="318"/>
      <c r="D347" s="318"/>
      <c r="E347" s="318"/>
      <c r="F347" s="318"/>
      <c r="G347" s="318"/>
      <c r="H347" s="318"/>
      <c r="I347" s="318"/>
      <c r="J347" s="318"/>
      <c r="K347" s="318"/>
      <c r="L347" s="318"/>
      <c r="M347" s="318"/>
      <c r="N347" s="318"/>
      <c r="O347" s="318"/>
      <c r="P347" s="318"/>
    </row>
    <row r="348" spans="1:16" ht="15" customHeight="1" x14ac:dyDescent="0.25">
      <c r="B348" s="318"/>
      <c r="C348" s="318"/>
      <c r="D348" s="318"/>
      <c r="E348" s="318"/>
      <c r="F348" s="318"/>
      <c r="G348" s="318"/>
      <c r="H348" s="318"/>
      <c r="I348" s="318"/>
      <c r="J348" s="318"/>
      <c r="K348" s="318"/>
      <c r="L348" s="318"/>
      <c r="M348" s="318"/>
      <c r="N348" s="318"/>
      <c r="O348" s="318"/>
      <c r="P348" s="318"/>
    </row>
    <row r="349" spans="1:16" ht="15" customHeight="1" x14ac:dyDescent="0.25">
      <c r="A349" s="312">
        <v>1993</v>
      </c>
      <c r="B349" s="318"/>
      <c r="C349" s="312"/>
      <c r="D349" s="312"/>
      <c r="E349" s="318"/>
      <c r="F349" s="312"/>
      <c r="G349" s="312"/>
      <c r="H349" s="318"/>
      <c r="I349" s="312"/>
      <c r="J349" s="312"/>
      <c r="K349" s="318"/>
      <c r="L349" s="312"/>
      <c r="M349" s="312"/>
      <c r="N349" s="318"/>
      <c r="O349" s="312"/>
      <c r="P349" s="312"/>
    </row>
    <row r="350" spans="1:16" s="300" customFormat="1" ht="10.5" customHeight="1" x14ac:dyDescent="0.25">
      <c r="A350" s="299"/>
      <c r="B350" s="302"/>
      <c r="C350" s="302"/>
      <c r="D350" s="302"/>
      <c r="E350" s="302"/>
      <c r="F350" s="302"/>
      <c r="G350" s="302"/>
      <c r="H350" s="302"/>
      <c r="I350" s="302"/>
      <c r="J350" s="302"/>
      <c r="K350" s="302"/>
      <c r="L350" s="302"/>
      <c r="M350" s="302"/>
      <c r="N350" s="302"/>
      <c r="O350" s="302"/>
      <c r="P350" s="302"/>
    </row>
    <row r="351" spans="1:16" ht="15" customHeight="1" x14ac:dyDescent="0.2">
      <c r="A351" s="329" t="s">
        <v>91</v>
      </c>
      <c r="B351" s="323">
        <v>242.5</v>
      </c>
      <c r="C351" s="333">
        <v>127</v>
      </c>
      <c r="D351" s="333">
        <v>112.4</v>
      </c>
      <c r="E351" s="323">
        <v>15.4</v>
      </c>
      <c r="F351" s="333">
        <v>8.6</v>
      </c>
      <c r="G351" s="333">
        <v>6.7</v>
      </c>
      <c r="H351" s="323">
        <v>44.5</v>
      </c>
      <c r="I351" s="333">
        <v>24.7</v>
      </c>
      <c r="J351" s="333">
        <v>19.7</v>
      </c>
      <c r="K351" s="323">
        <v>146.69999999999999</v>
      </c>
      <c r="L351" s="333">
        <v>83.8</v>
      </c>
      <c r="M351" s="333">
        <v>61.5</v>
      </c>
      <c r="N351" s="323">
        <v>35.9</v>
      </c>
      <c r="O351" s="333">
        <v>9.9</v>
      </c>
      <c r="P351" s="333">
        <v>24.4</v>
      </c>
    </row>
    <row r="352" spans="1:16" s="300" customFormat="1" ht="10.5" customHeight="1" x14ac:dyDescent="0.25">
      <c r="A352" s="299"/>
      <c r="B352" s="302"/>
      <c r="C352" s="302"/>
      <c r="D352" s="302"/>
      <c r="E352" s="302"/>
      <c r="F352" s="302"/>
      <c r="G352" s="302"/>
      <c r="H352" s="302"/>
      <c r="I352" s="302"/>
      <c r="J352" s="302"/>
      <c r="K352" s="302"/>
      <c r="L352" s="302"/>
      <c r="M352" s="302"/>
      <c r="N352" s="302"/>
      <c r="O352" s="302"/>
      <c r="P352" s="302"/>
    </row>
    <row r="353" spans="1:32" ht="15" customHeight="1" x14ac:dyDescent="0.25">
      <c r="A353" s="299" t="s">
        <v>289</v>
      </c>
      <c r="B353" s="318">
        <v>12.3</v>
      </c>
      <c r="C353" s="331" t="s">
        <v>581</v>
      </c>
      <c r="D353" s="331" t="s">
        <v>581</v>
      </c>
      <c r="E353" s="318">
        <v>0.5</v>
      </c>
      <c r="F353" s="331" t="s">
        <v>581</v>
      </c>
      <c r="G353" s="331" t="s">
        <v>581</v>
      </c>
      <c r="H353" s="318">
        <v>1.3</v>
      </c>
      <c r="I353" s="331" t="s">
        <v>581</v>
      </c>
      <c r="J353" s="331" t="s">
        <v>581</v>
      </c>
      <c r="K353" s="318">
        <v>8.5</v>
      </c>
      <c r="L353" s="331" t="s">
        <v>581</v>
      </c>
      <c r="M353" s="331" t="s">
        <v>581</v>
      </c>
      <c r="N353" s="318">
        <v>2</v>
      </c>
      <c r="O353" s="331" t="s">
        <v>581</v>
      </c>
      <c r="P353" s="331" t="s">
        <v>581</v>
      </c>
    </row>
    <row r="354" spans="1:32" ht="15" customHeight="1" x14ac:dyDescent="0.25">
      <c r="A354" s="299" t="s">
        <v>290</v>
      </c>
      <c r="B354" s="318">
        <v>13.7</v>
      </c>
      <c r="C354" s="331" t="s">
        <v>581</v>
      </c>
      <c r="D354" s="331" t="s">
        <v>581</v>
      </c>
      <c r="E354" s="318">
        <v>0.6</v>
      </c>
      <c r="F354" s="331" t="s">
        <v>581</v>
      </c>
      <c r="G354" s="331" t="s">
        <v>581</v>
      </c>
      <c r="H354" s="318">
        <v>1.3</v>
      </c>
      <c r="I354" s="331" t="s">
        <v>581</v>
      </c>
      <c r="J354" s="331" t="s">
        <v>581</v>
      </c>
      <c r="K354" s="318">
        <v>9.5</v>
      </c>
      <c r="L354" s="331" t="s">
        <v>581</v>
      </c>
      <c r="M354" s="331" t="s">
        <v>581</v>
      </c>
      <c r="N354" s="318">
        <v>2.2999999999999998</v>
      </c>
      <c r="O354" s="331" t="s">
        <v>581</v>
      </c>
      <c r="P354" s="331" t="s">
        <v>581</v>
      </c>
    </row>
    <row r="355" spans="1:32" ht="15" customHeight="1" x14ac:dyDescent="0.25">
      <c r="A355" s="299" t="s">
        <v>291</v>
      </c>
      <c r="B355" s="318">
        <v>18.899999999999999</v>
      </c>
      <c r="C355" s="331" t="s">
        <v>581</v>
      </c>
      <c r="D355" s="331" t="s">
        <v>581</v>
      </c>
      <c r="E355" s="318">
        <v>0.8</v>
      </c>
      <c r="F355" s="331" t="s">
        <v>581</v>
      </c>
      <c r="G355" s="331" t="s">
        <v>581</v>
      </c>
      <c r="H355" s="318">
        <v>2.6</v>
      </c>
      <c r="I355" s="331" t="s">
        <v>581</v>
      </c>
      <c r="J355" s="331" t="s">
        <v>581</v>
      </c>
      <c r="K355" s="318">
        <v>12.6</v>
      </c>
      <c r="L355" s="331" t="s">
        <v>581</v>
      </c>
      <c r="M355" s="331" t="s">
        <v>581</v>
      </c>
      <c r="N355" s="318">
        <v>2.9</v>
      </c>
      <c r="O355" s="331" t="s">
        <v>581</v>
      </c>
      <c r="P355" s="331" t="s">
        <v>581</v>
      </c>
    </row>
    <row r="356" spans="1:32" ht="15" customHeight="1" x14ac:dyDescent="0.25">
      <c r="A356" s="299" t="s">
        <v>292</v>
      </c>
      <c r="B356" s="318">
        <v>21.1</v>
      </c>
      <c r="C356" s="331" t="s">
        <v>581</v>
      </c>
      <c r="D356" s="331" t="s">
        <v>581</v>
      </c>
      <c r="E356" s="318">
        <v>1.5</v>
      </c>
      <c r="F356" s="331" t="s">
        <v>581</v>
      </c>
      <c r="G356" s="331" t="s">
        <v>581</v>
      </c>
      <c r="H356" s="318">
        <v>3.2</v>
      </c>
      <c r="I356" s="331" t="s">
        <v>581</v>
      </c>
      <c r="J356" s="331" t="s">
        <v>581</v>
      </c>
      <c r="K356" s="318">
        <v>13.7</v>
      </c>
      <c r="L356" s="331" t="s">
        <v>581</v>
      </c>
      <c r="M356" s="331" t="s">
        <v>581</v>
      </c>
      <c r="N356" s="318">
        <v>2.8</v>
      </c>
      <c r="O356" s="331" t="s">
        <v>581</v>
      </c>
      <c r="P356" s="331" t="s">
        <v>581</v>
      </c>
    </row>
    <row r="357" spans="1:32" ht="15" customHeight="1" x14ac:dyDescent="0.25">
      <c r="A357" s="299" t="s">
        <v>293</v>
      </c>
      <c r="B357" s="318">
        <v>22.2</v>
      </c>
      <c r="C357" s="331" t="s">
        <v>581</v>
      </c>
      <c r="D357" s="331" t="s">
        <v>581</v>
      </c>
      <c r="E357" s="318">
        <v>1.6</v>
      </c>
      <c r="F357" s="331" t="s">
        <v>581</v>
      </c>
      <c r="G357" s="331" t="s">
        <v>581</v>
      </c>
      <c r="H357" s="318">
        <v>4.8</v>
      </c>
      <c r="I357" s="331" t="s">
        <v>581</v>
      </c>
      <c r="J357" s="331" t="s">
        <v>581</v>
      </c>
      <c r="K357" s="318">
        <v>12.4</v>
      </c>
      <c r="L357" s="331" t="s">
        <v>581</v>
      </c>
      <c r="M357" s="331" t="s">
        <v>581</v>
      </c>
      <c r="N357" s="318">
        <v>3.5</v>
      </c>
      <c r="O357" s="331" t="s">
        <v>581</v>
      </c>
      <c r="P357" s="331" t="s">
        <v>581</v>
      </c>
    </row>
    <row r="358" spans="1:32" ht="15" customHeight="1" x14ac:dyDescent="0.25">
      <c r="A358" s="299" t="s">
        <v>282</v>
      </c>
      <c r="B358" s="318">
        <v>23</v>
      </c>
      <c r="C358" s="331" t="s">
        <v>581</v>
      </c>
      <c r="D358" s="331" t="s">
        <v>581</v>
      </c>
      <c r="E358" s="318">
        <v>1.9</v>
      </c>
      <c r="F358" s="331" t="s">
        <v>581</v>
      </c>
      <c r="G358" s="331" t="s">
        <v>581</v>
      </c>
      <c r="H358" s="318">
        <v>4.5</v>
      </c>
      <c r="I358" s="331" t="s">
        <v>581</v>
      </c>
      <c r="J358" s="331" t="s">
        <v>581</v>
      </c>
      <c r="K358" s="318">
        <v>13.3</v>
      </c>
      <c r="L358" s="331" t="s">
        <v>581</v>
      </c>
      <c r="M358" s="331" t="s">
        <v>581</v>
      </c>
      <c r="N358" s="318">
        <v>3.3</v>
      </c>
      <c r="O358" s="331" t="s">
        <v>581</v>
      </c>
      <c r="P358" s="331" t="s">
        <v>581</v>
      </c>
    </row>
    <row r="359" spans="1:32" ht="15" customHeight="1" x14ac:dyDescent="0.25">
      <c r="A359" s="299" t="s">
        <v>283</v>
      </c>
      <c r="B359" s="318">
        <v>24</v>
      </c>
      <c r="C359" s="331" t="s">
        <v>581</v>
      </c>
      <c r="D359" s="331" t="s">
        <v>581</v>
      </c>
      <c r="E359" s="318">
        <v>1.4</v>
      </c>
      <c r="F359" s="331" t="s">
        <v>581</v>
      </c>
      <c r="G359" s="331" t="s">
        <v>581</v>
      </c>
      <c r="H359" s="318">
        <v>4.7</v>
      </c>
      <c r="I359" s="331" t="s">
        <v>581</v>
      </c>
      <c r="J359" s="331" t="s">
        <v>581</v>
      </c>
      <c r="K359" s="318">
        <v>14.2</v>
      </c>
      <c r="L359" s="331" t="s">
        <v>581</v>
      </c>
      <c r="M359" s="331" t="s">
        <v>581</v>
      </c>
      <c r="N359" s="318">
        <v>3.7</v>
      </c>
      <c r="O359" s="331" t="s">
        <v>581</v>
      </c>
      <c r="P359" s="331" t="s">
        <v>581</v>
      </c>
    </row>
    <row r="360" spans="1:32" ht="15" customHeight="1" x14ac:dyDescent="0.25">
      <c r="A360" s="299" t="s">
        <v>284</v>
      </c>
      <c r="B360" s="318">
        <v>24.5</v>
      </c>
      <c r="C360" s="331" t="s">
        <v>581</v>
      </c>
      <c r="D360" s="331" t="s">
        <v>581</v>
      </c>
      <c r="E360" s="318">
        <v>1.6</v>
      </c>
      <c r="F360" s="331" t="s">
        <v>581</v>
      </c>
      <c r="G360" s="331" t="s">
        <v>581</v>
      </c>
      <c r="H360" s="318">
        <v>5.2</v>
      </c>
      <c r="I360" s="331" t="s">
        <v>581</v>
      </c>
      <c r="J360" s="331" t="s">
        <v>581</v>
      </c>
      <c r="K360" s="318">
        <v>14.2</v>
      </c>
      <c r="L360" s="331" t="s">
        <v>581</v>
      </c>
      <c r="M360" s="331" t="s">
        <v>581</v>
      </c>
      <c r="N360" s="318">
        <v>3.5</v>
      </c>
      <c r="O360" s="331" t="s">
        <v>581</v>
      </c>
      <c r="P360" s="331" t="s">
        <v>581</v>
      </c>
    </row>
    <row r="361" spans="1:32" ht="15" customHeight="1" x14ac:dyDescent="0.25">
      <c r="A361" s="299" t="s">
        <v>294</v>
      </c>
      <c r="B361" s="318">
        <v>22.3</v>
      </c>
      <c r="C361" s="331" t="s">
        <v>581</v>
      </c>
      <c r="D361" s="331" t="s">
        <v>581</v>
      </c>
      <c r="E361" s="318">
        <v>1.2</v>
      </c>
      <c r="F361" s="331" t="s">
        <v>581</v>
      </c>
      <c r="G361" s="331" t="s">
        <v>581</v>
      </c>
      <c r="H361" s="318">
        <v>4.9000000000000004</v>
      </c>
      <c r="I361" s="331" t="s">
        <v>581</v>
      </c>
      <c r="J361" s="331" t="s">
        <v>581</v>
      </c>
      <c r="K361" s="318">
        <v>13</v>
      </c>
      <c r="L361" s="331" t="s">
        <v>581</v>
      </c>
      <c r="M361" s="331" t="s">
        <v>581</v>
      </c>
      <c r="N361" s="318">
        <v>3.2</v>
      </c>
      <c r="O361" s="331" t="s">
        <v>581</v>
      </c>
      <c r="P361" s="331" t="s">
        <v>581</v>
      </c>
    </row>
    <row r="362" spans="1:32" ht="15" customHeight="1" x14ac:dyDescent="0.25">
      <c r="A362" s="299" t="s">
        <v>295</v>
      </c>
      <c r="B362" s="318">
        <v>20.6</v>
      </c>
      <c r="C362" s="331" t="s">
        <v>581</v>
      </c>
      <c r="D362" s="331" t="s">
        <v>581</v>
      </c>
      <c r="E362" s="318">
        <v>1.6</v>
      </c>
      <c r="F362" s="331" t="s">
        <v>581</v>
      </c>
      <c r="G362" s="331" t="s">
        <v>581</v>
      </c>
      <c r="H362" s="318">
        <v>4.3</v>
      </c>
      <c r="I362" s="331" t="s">
        <v>581</v>
      </c>
      <c r="J362" s="331" t="s">
        <v>581</v>
      </c>
      <c r="K362" s="318">
        <v>12</v>
      </c>
      <c r="L362" s="331" t="s">
        <v>581</v>
      </c>
      <c r="M362" s="331" t="s">
        <v>581</v>
      </c>
      <c r="N362" s="318">
        <v>2.6</v>
      </c>
      <c r="O362" s="331" t="s">
        <v>581</v>
      </c>
      <c r="P362" s="331" t="s">
        <v>581</v>
      </c>
      <c r="Q362" s="299"/>
      <c r="R362" s="312"/>
      <c r="S362" s="318"/>
      <c r="T362" s="318"/>
      <c r="U362" s="318"/>
      <c r="V362" s="318"/>
      <c r="W362" s="318"/>
      <c r="X362" s="318"/>
      <c r="Y362" s="318"/>
      <c r="Z362" s="318"/>
      <c r="AA362" s="318"/>
      <c r="AB362" s="318"/>
      <c r="AC362" s="318"/>
      <c r="AD362" s="318"/>
      <c r="AE362" s="318"/>
      <c r="AF362" s="318"/>
    </row>
    <row r="363" spans="1:32" s="312" customFormat="1" ht="15" customHeight="1" x14ac:dyDescent="0.25">
      <c r="A363" s="299" t="s">
        <v>296</v>
      </c>
      <c r="B363" s="318">
        <v>20.9</v>
      </c>
      <c r="C363" s="331" t="s">
        <v>581</v>
      </c>
      <c r="D363" s="331" t="s">
        <v>581</v>
      </c>
      <c r="E363" s="318">
        <v>1.3</v>
      </c>
      <c r="F363" s="331" t="s">
        <v>581</v>
      </c>
      <c r="G363" s="331" t="s">
        <v>581</v>
      </c>
      <c r="H363" s="318">
        <v>4.0999999999999996</v>
      </c>
      <c r="I363" s="331" t="s">
        <v>581</v>
      </c>
      <c r="J363" s="331" t="s">
        <v>581</v>
      </c>
      <c r="K363" s="318">
        <v>12.1</v>
      </c>
      <c r="L363" s="331" t="s">
        <v>581</v>
      </c>
      <c r="M363" s="331" t="s">
        <v>581</v>
      </c>
      <c r="N363" s="318">
        <v>3.4</v>
      </c>
      <c r="O363" s="331" t="s">
        <v>581</v>
      </c>
      <c r="P363" s="331" t="s">
        <v>581</v>
      </c>
    </row>
    <row r="364" spans="1:32" ht="15" customHeight="1" x14ac:dyDescent="0.25">
      <c r="A364" s="299" t="s">
        <v>297</v>
      </c>
      <c r="B364" s="318">
        <v>18.8</v>
      </c>
      <c r="C364" s="331" t="s">
        <v>581</v>
      </c>
      <c r="D364" s="331" t="s">
        <v>581</v>
      </c>
      <c r="E364" s="318">
        <v>1.3</v>
      </c>
      <c r="F364" s="331" t="s">
        <v>581</v>
      </c>
      <c r="G364" s="331" t="s">
        <v>581</v>
      </c>
      <c r="H364" s="318">
        <v>3.6</v>
      </c>
      <c r="I364" s="331" t="s">
        <v>581</v>
      </c>
      <c r="J364" s="331" t="s">
        <v>581</v>
      </c>
      <c r="K364" s="318">
        <v>11.2</v>
      </c>
      <c r="L364" s="331" t="s">
        <v>581</v>
      </c>
      <c r="M364" s="331" t="s">
        <v>581</v>
      </c>
      <c r="N364" s="318">
        <v>2.7</v>
      </c>
      <c r="O364" s="331" t="s">
        <v>581</v>
      </c>
      <c r="P364" s="331" t="s">
        <v>581</v>
      </c>
    </row>
    <row r="365" spans="1:32" ht="15" customHeight="1" x14ac:dyDescent="0.25">
      <c r="B365" s="318"/>
      <c r="C365" s="331"/>
      <c r="D365" s="331"/>
      <c r="E365" s="318"/>
      <c r="F365" s="331"/>
      <c r="G365" s="331"/>
      <c r="H365" s="318"/>
      <c r="I365" s="331"/>
      <c r="J365" s="331"/>
      <c r="K365" s="318"/>
      <c r="L365" s="331"/>
      <c r="M365" s="331"/>
      <c r="N365" s="318"/>
      <c r="O365" s="331"/>
      <c r="P365" s="331"/>
    </row>
    <row r="366" spans="1:32" s="334" customFormat="1" ht="15" customHeight="1" x14ac:dyDescent="0.2"/>
    <row r="367" spans="1:32" ht="15" customHeight="1" x14ac:dyDescent="0.25">
      <c r="A367" s="312">
        <v>1992</v>
      </c>
      <c r="B367" s="318"/>
      <c r="C367" s="312"/>
      <c r="D367" s="312"/>
      <c r="E367" s="318"/>
      <c r="F367" s="331"/>
      <c r="G367" s="331"/>
      <c r="H367" s="318"/>
      <c r="I367" s="331"/>
      <c r="J367" s="331"/>
      <c r="K367" s="318"/>
      <c r="L367" s="331"/>
      <c r="M367" s="331"/>
      <c r="N367" s="318"/>
      <c r="O367" s="331"/>
      <c r="P367" s="331"/>
    </row>
    <row r="368" spans="1:32" s="300" customFormat="1" ht="10.5" customHeight="1" x14ac:dyDescent="0.25">
      <c r="A368" s="299"/>
      <c r="B368" s="302"/>
      <c r="C368" s="302"/>
      <c r="D368" s="302"/>
      <c r="E368" s="302"/>
      <c r="F368" s="302"/>
      <c r="G368" s="302"/>
      <c r="H368" s="302"/>
      <c r="I368" s="302"/>
      <c r="J368" s="302"/>
      <c r="K368" s="302"/>
      <c r="L368" s="302"/>
      <c r="M368" s="302"/>
      <c r="N368" s="302"/>
      <c r="O368" s="302"/>
      <c r="P368" s="302"/>
    </row>
    <row r="369" spans="1:32" ht="15" customHeight="1" x14ac:dyDescent="0.2">
      <c r="A369" s="329" t="s">
        <v>91</v>
      </c>
      <c r="B369" s="323">
        <v>212</v>
      </c>
      <c r="C369" s="333">
        <v>114.5</v>
      </c>
      <c r="D369" s="333">
        <v>95.5</v>
      </c>
      <c r="E369" s="335">
        <v>15</v>
      </c>
      <c r="F369" s="333">
        <v>8.3000000000000007</v>
      </c>
      <c r="G369" s="333">
        <v>6.7</v>
      </c>
      <c r="H369" s="335">
        <v>42.2</v>
      </c>
      <c r="I369" s="333">
        <v>25.3</v>
      </c>
      <c r="J369" s="333">
        <v>16.899999999999999</v>
      </c>
      <c r="K369" s="335">
        <v>124.4</v>
      </c>
      <c r="L369" s="333">
        <v>73.400000000000006</v>
      </c>
      <c r="M369" s="333">
        <v>50.1</v>
      </c>
      <c r="N369" s="335">
        <v>30.4</v>
      </c>
      <c r="O369" s="333">
        <v>7.4</v>
      </c>
      <c r="P369" s="333">
        <v>21.9</v>
      </c>
    </row>
    <row r="370" spans="1:32" s="300" customFormat="1" ht="10.5" customHeight="1" x14ac:dyDescent="0.25">
      <c r="A370" s="299"/>
      <c r="B370" s="302"/>
      <c r="C370" s="302"/>
      <c r="D370" s="302"/>
      <c r="E370" s="302"/>
      <c r="F370" s="302"/>
      <c r="G370" s="302"/>
      <c r="H370" s="302"/>
      <c r="I370" s="302"/>
      <c r="J370" s="302"/>
      <c r="K370" s="302"/>
      <c r="L370" s="302"/>
      <c r="M370" s="302"/>
      <c r="N370" s="302"/>
      <c r="O370" s="302"/>
      <c r="P370" s="302"/>
    </row>
    <row r="371" spans="1:32" ht="15" customHeight="1" x14ac:dyDescent="0.25">
      <c r="A371" s="299" t="s">
        <v>289</v>
      </c>
      <c r="B371" s="318">
        <v>12</v>
      </c>
      <c r="C371" s="331" t="s">
        <v>581</v>
      </c>
      <c r="D371" s="331" t="s">
        <v>581</v>
      </c>
      <c r="E371" s="318">
        <v>0.7</v>
      </c>
      <c r="F371" s="331" t="s">
        <v>581</v>
      </c>
      <c r="G371" s="331" t="s">
        <v>581</v>
      </c>
      <c r="H371" s="318">
        <v>1.6</v>
      </c>
      <c r="I371" s="331" t="s">
        <v>581</v>
      </c>
      <c r="J371" s="331" t="s">
        <v>581</v>
      </c>
      <c r="K371" s="318">
        <v>7.6</v>
      </c>
      <c r="L371" s="331" t="s">
        <v>581</v>
      </c>
      <c r="M371" s="331" t="s">
        <v>581</v>
      </c>
      <c r="N371" s="318">
        <v>2</v>
      </c>
      <c r="O371" s="331" t="s">
        <v>581</v>
      </c>
      <c r="P371" s="331" t="s">
        <v>581</v>
      </c>
    </row>
    <row r="372" spans="1:32" ht="15" customHeight="1" x14ac:dyDescent="0.25">
      <c r="A372" s="299" t="s">
        <v>290</v>
      </c>
      <c r="B372" s="318">
        <v>13.7</v>
      </c>
      <c r="C372" s="331" t="s">
        <v>581</v>
      </c>
      <c r="D372" s="331" t="s">
        <v>581</v>
      </c>
      <c r="E372" s="318">
        <v>0.6</v>
      </c>
      <c r="F372" s="331" t="s">
        <v>581</v>
      </c>
      <c r="G372" s="331" t="s">
        <v>581</v>
      </c>
      <c r="H372" s="318">
        <v>1.9</v>
      </c>
      <c r="I372" s="331" t="s">
        <v>581</v>
      </c>
      <c r="J372" s="331" t="s">
        <v>581</v>
      </c>
      <c r="K372" s="318">
        <v>9.9</v>
      </c>
      <c r="L372" s="331" t="s">
        <v>581</v>
      </c>
      <c r="M372" s="331" t="s">
        <v>581</v>
      </c>
      <c r="N372" s="318">
        <v>1.3</v>
      </c>
      <c r="O372" s="331" t="s">
        <v>581</v>
      </c>
      <c r="P372" s="331" t="s">
        <v>581</v>
      </c>
    </row>
    <row r="373" spans="1:32" ht="15" customHeight="1" x14ac:dyDescent="0.25">
      <c r="A373" s="299" t="s">
        <v>291</v>
      </c>
      <c r="B373" s="318">
        <v>17.600000000000001</v>
      </c>
      <c r="C373" s="331" t="s">
        <v>581</v>
      </c>
      <c r="D373" s="331" t="s">
        <v>581</v>
      </c>
      <c r="E373" s="318">
        <v>0.6</v>
      </c>
      <c r="F373" s="331" t="s">
        <v>581</v>
      </c>
      <c r="G373" s="331" t="s">
        <v>581</v>
      </c>
      <c r="H373" s="318">
        <v>3.3</v>
      </c>
      <c r="I373" s="331" t="s">
        <v>581</v>
      </c>
      <c r="J373" s="331" t="s">
        <v>581</v>
      </c>
      <c r="K373" s="318">
        <v>10.7</v>
      </c>
      <c r="L373" s="331" t="s">
        <v>581</v>
      </c>
      <c r="M373" s="331" t="s">
        <v>581</v>
      </c>
      <c r="N373" s="318">
        <v>3</v>
      </c>
      <c r="O373" s="331" t="s">
        <v>581</v>
      </c>
      <c r="P373" s="331" t="s">
        <v>581</v>
      </c>
    </row>
    <row r="374" spans="1:32" ht="15" customHeight="1" x14ac:dyDescent="0.25">
      <c r="A374" s="299" t="s">
        <v>292</v>
      </c>
      <c r="B374" s="318">
        <v>17</v>
      </c>
      <c r="C374" s="331" t="s">
        <v>581</v>
      </c>
      <c r="D374" s="331" t="s">
        <v>581</v>
      </c>
      <c r="E374" s="318">
        <v>1</v>
      </c>
      <c r="F374" s="331" t="s">
        <v>581</v>
      </c>
      <c r="G374" s="331" t="s">
        <v>581</v>
      </c>
      <c r="H374" s="318">
        <v>3.3</v>
      </c>
      <c r="I374" s="331" t="s">
        <v>581</v>
      </c>
      <c r="J374" s="331" t="s">
        <v>581</v>
      </c>
      <c r="K374" s="318">
        <v>10.3</v>
      </c>
      <c r="L374" s="331" t="s">
        <v>581</v>
      </c>
      <c r="M374" s="331" t="s">
        <v>581</v>
      </c>
      <c r="N374" s="318">
        <v>2.4</v>
      </c>
      <c r="O374" s="331" t="s">
        <v>581</v>
      </c>
      <c r="P374" s="331" t="s">
        <v>581</v>
      </c>
    </row>
    <row r="375" spans="1:32" ht="15" customHeight="1" x14ac:dyDescent="0.25">
      <c r="A375" s="299" t="s">
        <v>293</v>
      </c>
      <c r="B375" s="318">
        <v>17</v>
      </c>
      <c r="C375" s="331" t="s">
        <v>581</v>
      </c>
      <c r="D375" s="331" t="s">
        <v>581</v>
      </c>
      <c r="E375" s="318">
        <v>1.4</v>
      </c>
      <c r="F375" s="331" t="s">
        <v>581</v>
      </c>
      <c r="G375" s="331" t="s">
        <v>581</v>
      </c>
      <c r="H375" s="318">
        <v>3.6</v>
      </c>
      <c r="I375" s="331" t="s">
        <v>581</v>
      </c>
      <c r="J375" s="331" t="s">
        <v>581</v>
      </c>
      <c r="K375" s="318">
        <v>9.1999999999999993</v>
      </c>
      <c r="L375" s="331" t="s">
        <v>581</v>
      </c>
      <c r="M375" s="331" t="s">
        <v>581</v>
      </c>
      <c r="N375" s="318">
        <v>2.8</v>
      </c>
      <c r="O375" s="331" t="s">
        <v>581</v>
      </c>
      <c r="P375" s="331" t="s">
        <v>581</v>
      </c>
    </row>
    <row r="376" spans="1:32" ht="15" customHeight="1" x14ac:dyDescent="0.25">
      <c r="A376" s="299" t="s">
        <v>282</v>
      </c>
      <c r="B376" s="318">
        <v>21.3</v>
      </c>
      <c r="C376" s="331" t="s">
        <v>581</v>
      </c>
      <c r="D376" s="331" t="s">
        <v>581</v>
      </c>
      <c r="E376" s="318">
        <v>1.5</v>
      </c>
      <c r="F376" s="331" t="s">
        <v>581</v>
      </c>
      <c r="G376" s="331" t="s">
        <v>581</v>
      </c>
      <c r="H376" s="318">
        <v>4.9000000000000004</v>
      </c>
      <c r="I376" s="331" t="s">
        <v>581</v>
      </c>
      <c r="J376" s="331" t="s">
        <v>581</v>
      </c>
      <c r="K376" s="318">
        <v>12.1</v>
      </c>
      <c r="L376" s="331" t="s">
        <v>581</v>
      </c>
      <c r="M376" s="331" t="s">
        <v>581</v>
      </c>
      <c r="N376" s="318">
        <v>2.7</v>
      </c>
      <c r="O376" s="331" t="s">
        <v>581</v>
      </c>
      <c r="P376" s="331" t="s">
        <v>581</v>
      </c>
    </row>
    <row r="377" spans="1:32" ht="15" customHeight="1" x14ac:dyDescent="0.25">
      <c r="A377" s="299" t="s">
        <v>283</v>
      </c>
      <c r="B377" s="318">
        <v>17.5</v>
      </c>
      <c r="C377" s="331" t="s">
        <v>581</v>
      </c>
      <c r="D377" s="331" t="s">
        <v>581</v>
      </c>
      <c r="E377" s="318">
        <v>1.7</v>
      </c>
      <c r="F377" s="331" t="s">
        <v>581</v>
      </c>
      <c r="G377" s="331" t="s">
        <v>581</v>
      </c>
      <c r="H377" s="318">
        <v>3.8</v>
      </c>
      <c r="I377" s="331" t="s">
        <v>581</v>
      </c>
      <c r="J377" s="331" t="s">
        <v>581</v>
      </c>
      <c r="K377" s="318">
        <v>9.6999999999999993</v>
      </c>
      <c r="L377" s="331" t="s">
        <v>581</v>
      </c>
      <c r="M377" s="331" t="s">
        <v>581</v>
      </c>
      <c r="N377" s="318">
        <v>2.4</v>
      </c>
      <c r="O377" s="331" t="s">
        <v>581</v>
      </c>
      <c r="P377" s="331" t="s">
        <v>581</v>
      </c>
    </row>
    <row r="378" spans="1:32" ht="15" customHeight="1" x14ac:dyDescent="0.25">
      <c r="A378" s="299" t="s">
        <v>284</v>
      </c>
      <c r="B378" s="318">
        <v>21.2</v>
      </c>
      <c r="C378" s="331" t="s">
        <v>581</v>
      </c>
      <c r="D378" s="331" t="s">
        <v>581</v>
      </c>
      <c r="E378" s="318">
        <v>1.5</v>
      </c>
      <c r="F378" s="331" t="s">
        <v>581</v>
      </c>
      <c r="G378" s="331" t="s">
        <v>581</v>
      </c>
      <c r="H378" s="318">
        <v>4.5</v>
      </c>
      <c r="I378" s="331" t="s">
        <v>581</v>
      </c>
      <c r="J378" s="331" t="s">
        <v>581</v>
      </c>
      <c r="K378" s="318">
        <v>11.9</v>
      </c>
      <c r="L378" s="331" t="s">
        <v>581</v>
      </c>
      <c r="M378" s="331" t="s">
        <v>581</v>
      </c>
      <c r="N378" s="318">
        <v>3.3</v>
      </c>
      <c r="O378" s="331" t="s">
        <v>581</v>
      </c>
      <c r="P378" s="331" t="s">
        <v>581</v>
      </c>
    </row>
    <row r="379" spans="1:32" ht="15" customHeight="1" x14ac:dyDescent="0.25">
      <c r="A379" s="299" t="s">
        <v>294</v>
      </c>
      <c r="B379" s="318">
        <v>17.899999999999999</v>
      </c>
      <c r="C379" s="331" t="s">
        <v>581</v>
      </c>
      <c r="D379" s="331" t="s">
        <v>581</v>
      </c>
      <c r="E379" s="318">
        <v>1.4</v>
      </c>
      <c r="F379" s="331" t="s">
        <v>581</v>
      </c>
      <c r="G379" s="331" t="s">
        <v>581</v>
      </c>
      <c r="H379" s="318">
        <v>3.9</v>
      </c>
      <c r="I379" s="331" t="s">
        <v>581</v>
      </c>
      <c r="J379" s="331" t="s">
        <v>581</v>
      </c>
      <c r="K379" s="318">
        <v>10.1</v>
      </c>
      <c r="L379" s="331" t="s">
        <v>581</v>
      </c>
      <c r="M379" s="331" t="s">
        <v>581</v>
      </c>
      <c r="N379" s="318">
        <v>2.5</v>
      </c>
      <c r="O379" s="331" t="s">
        <v>581</v>
      </c>
      <c r="P379" s="331" t="s">
        <v>581</v>
      </c>
    </row>
    <row r="380" spans="1:32" ht="15" customHeight="1" x14ac:dyDescent="0.25">
      <c r="A380" s="299" t="s">
        <v>295</v>
      </c>
      <c r="B380" s="318">
        <v>21</v>
      </c>
      <c r="C380" s="331" t="s">
        <v>581</v>
      </c>
      <c r="D380" s="331" t="s">
        <v>581</v>
      </c>
      <c r="E380" s="318">
        <v>2</v>
      </c>
      <c r="F380" s="331" t="s">
        <v>581</v>
      </c>
      <c r="G380" s="331" t="s">
        <v>581</v>
      </c>
      <c r="H380" s="318">
        <v>4.5</v>
      </c>
      <c r="I380" s="331" t="s">
        <v>581</v>
      </c>
      <c r="J380" s="331" t="s">
        <v>581</v>
      </c>
      <c r="K380" s="318">
        <v>11.7</v>
      </c>
      <c r="L380" s="331" t="s">
        <v>581</v>
      </c>
      <c r="M380" s="331" t="s">
        <v>581</v>
      </c>
      <c r="N380" s="318">
        <v>2.8</v>
      </c>
      <c r="O380" s="331" t="s">
        <v>581</v>
      </c>
      <c r="P380" s="331" t="s">
        <v>581</v>
      </c>
      <c r="Q380" s="299"/>
      <c r="R380" s="318"/>
      <c r="S380" s="318"/>
      <c r="T380" s="318"/>
      <c r="U380" s="318"/>
      <c r="V380" s="318"/>
      <c r="W380" s="318"/>
      <c r="X380" s="318"/>
      <c r="Y380" s="318"/>
      <c r="Z380" s="318"/>
      <c r="AA380" s="318"/>
      <c r="AB380" s="318"/>
      <c r="AC380" s="318"/>
      <c r="AD380" s="318"/>
      <c r="AE380" s="318"/>
      <c r="AF380" s="318"/>
    </row>
    <row r="381" spans="1:32" s="312" customFormat="1" ht="15" customHeight="1" x14ac:dyDescent="0.25">
      <c r="A381" s="299" t="s">
        <v>296</v>
      </c>
      <c r="B381" s="318">
        <v>18.7</v>
      </c>
      <c r="C381" s="331" t="s">
        <v>581</v>
      </c>
      <c r="D381" s="331" t="s">
        <v>581</v>
      </c>
      <c r="E381" s="318">
        <v>1.3</v>
      </c>
      <c r="F381" s="331" t="s">
        <v>581</v>
      </c>
      <c r="G381" s="331" t="s">
        <v>581</v>
      </c>
      <c r="H381" s="318">
        <v>3.9</v>
      </c>
      <c r="I381" s="331" t="s">
        <v>581</v>
      </c>
      <c r="J381" s="331" t="s">
        <v>581</v>
      </c>
      <c r="K381" s="318">
        <v>11</v>
      </c>
      <c r="L381" s="331" t="s">
        <v>581</v>
      </c>
      <c r="M381" s="331" t="s">
        <v>581</v>
      </c>
      <c r="N381" s="318">
        <v>2.6</v>
      </c>
      <c r="O381" s="331" t="s">
        <v>581</v>
      </c>
      <c r="P381" s="331" t="s">
        <v>581</v>
      </c>
    </row>
    <row r="382" spans="1:32" ht="15" customHeight="1" x14ac:dyDescent="0.25">
      <c r="A382" s="299" t="s">
        <v>297</v>
      </c>
      <c r="B382" s="318">
        <v>17.100000000000001</v>
      </c>
      <c r="C382" s="331" t="s">
        <v>581</v>
      </c>
      <c r="D382" s="331" t="s">
        <v>581</v>
      </c>
      <c r="E382" s="318">
        <v>1.2</v>
      </c>
      <c r="F382" s="331" t="s">
        <v>581</v>
      </c>
      <c r="G382" s="331" t="s">
        <v>581</v>
      </c>
      <c r="H382" s="318">
        <v>3.2</v>
      </c>
      <c r="I382" s="331" t="s">
        <v>581</v>
      </c>
      <c r="J382" s="331" t="s">
        <v>581</v>
      </c>
      <c r="K382" s="318">
        <v>10.3</v>
      </c>
      <c r="L382" s="331" t="s">
        <v>581</v>
      </c>
      <c r="M382" s="331" t="s">
        <v>581</v>
      </c>
      <c r="N382" s="318">
        <v>2.4</v>
      </c>
      <c r="O382" s="331" t="s">
        <v>581</v>
      </c>
      <c r="P382" s="331" t="s">
        <v>581</v>
      </c>
    </row>
    <row r="383" spans="1:32" ht="15" customHeight="1" x14ac:dyDescent="0.25"/>
    <row r="384" spans="1:32" ht="15" customHeight="1" x14ac:dyDescent="0.25"/>
    <row r="385" spans="1:32" ht="15" customHeight="1" x14ac:dyDescent="0.25">
      <c r="A385" s="312">
        <v>1991</v>
      </c>
      <c r="B385" s="318"/>
      <c r="C385" s="312"/>
      <c r="D385" s="312"/>
      <c r="E385" s="318"/>
      <c r="F385" s="312"/>
      <c r="G385" s="312"/>
      <c r="H385" s="318"/>
      <c r="I385" s="312"/>
      <c r="J385" s="312"/>
      <c r="K385" s="318"/>
      <c r="L385" s="312"/>
      <c r="M385" s="312"/>
      <c r="N385" s="318"/>
      <c r="O385" s="312"/>
      <c r="P385" s="312"/>
    </row>
    <row r="386" spans="1:32" s="300" customFormat="1" ht="10.5" customHeight="1" x14ac:dyDescent="0.25">
      <c r="A386" s="299"/>
      <c r="B386" s="302"/>
      <c r="C386" s="302"/>
      <c r="D386" s="302"/>
      <c r="E386" s="302"/>
      <c r="F386" s="302"/>
      <c r="G386" s="302"/>
      <c r="H386" s="302"/>
      <c r="I386" s="302"/>
      <c r="J386" s="302"/>
      <c r="K386" s="302"/>
      <c r="L386" s="302"/>
      <c r="M386" s="302"/>
      <c r="N386" s="302"/>
      <c r="O386" s="302"/>
      <c r="P386" s="302"/>
    </row>
    <row r="387" spans="1:32" ht="15" customHeight="1" x14ac:dyDescent="0.2">
      <c r="A387" s="329" t="s">
        <v>91</v>
      </c>
      <c r="B387" s="323">
        <v>174.3</v>
      </c>
      <c r="C387" s="333">
        <v>94.6</v>
      </c>
      <c r="D387" s="333">
        <v>77.8</v>
      </c>
      <c r="E387" s="323">
        <v>14.3</v>
      </c>
      <c r="F387" s="333">
        <v>9.1</v>
      </c>
      <c r="G387" s="333">
        <v>5.2</v>
      </c>
      <c r="H387" s="323">
        <v>35.4</v>
      </c>
      <c r="I387" s="333">
        <v>21.6</v>
      </c>
      <c r="J387" s="333">
        <v>13.8</v>
      </c>
      <c r="K387" s="323">
        <v>97.6</v>
      </c>
      <c r="L387" s="333">
        <v>58.2</v>
      </c>
      <c r="M387" s="333">
        <v>38.4</v>
      </c>
      <c r="N387" s="323">
        <v>27</v>
      </c>
      <c r="O387" s="333">
        <v>5.8</v>
      </c>
      <c r="P387" s="333">
        <v>20.3</v>
      </c>
    </row>
    <row r="388" spans="1:32" s="300" customFormat="1" ht="10.5" customHeight="1" x14ac:dyDescent="0.25">
      <c r="A388" s="299"/>
      <c r="B388" s="302"/>
      <c r="C388" s="302"/>
      <c r="D388" s="302"/>
      <c r="E388" s="302"/>
      <c r="F388" s="302"/>
      <c r="G388" s="302"/>
      <c r="H388" s="302"/>
      <c r="I388" s="302"/>
      <c r="J388" s="302"/>
      <c r="K388" s="302"/>
      <c r="L388" s="302"/>
      <c r="M388" s="302"/>
      <c r="N388" s="302"/>
      <c r="O388" s="302"/>
      <c r="P388" s="302"/>
    </row>
    <row r="389" spans="1:32" ht="15" customHeight="1" x14ac:dyDescent="0.25">
      <c r="A389" s="299" t="s">
        <v>289</v>
      </c>
      <c r="B389" s="318">
        <v>8</v>
      </c>
      <c r="C389" s="331" t="s">
        <v>581</v>
      </c>
      <c r="D389" s="331" t="s">
        <v>581</v>
      </c>
      <c r="E389" s="318">
        <v>0.6</v>
      </c>
      <c r="F389" s="331" t="s">
        <v>581</v>
      </c>
      <c r="G389" s="331" t="s">
        <v>581</v>
      </c>
      <c r="H389" s="318">
        <v>0.9</v>
      </c>
      <c r="I389" s="331" t="s">
        <v>581</v>
      </c>
      <c r="J389" s="331" t="s">
        <v>581</v>
      </c>
      <c r="K389" s="318">
        <v>5.0999999999999996</v>
      </c>
      <c r="L389" s="331" t="s">
        <v>581</v>
      </c>
      <c r="M389" s="331" t="s">
        <v>581</v>
      </c>
      <c r="N389" s="318">
        <v>1.4</v>
      </c>
      <c r="O389" s="331" t="s">
        <v>581</v>
      </c>
      <c r="P389" s="331" t="s">
        <v>581</v>
      </c>
    </row>
    <row r="390" spans="1:32" ht="15" customHeight="1" x14ac:dyDescent="0.25">
      <c r="A390" s="299" t="s">
        <v>290</v>
      </c>
      <c r="B390" s="318">
        <v>10.1</v>
      </c>
      <c r="C390" s="331" t="s">
        <v>581</v>
      </c>
      <c r="D390" s="331" t="s">
        <v>581</v>
      </c>
      <c r="E390" s="318">
        <v>0.7</v>
      </c>
      <c r="F390" s="331" t="s">
        <v>581</v>
      </c>
      <c r="G390" s="331" t="s">
        <v>581</v>
      </c>
      <c r="H390" s="318">
        <v>1.8</v>
      </c>
      <c r="I390" s="331" t="s">
        <v>581</v>
      </c>
      <c r="J390" s="331" t="s">
        <v>581</v>
      </c>
      <c r="K390" s="318">
        <v>5.8</v>
      </c>
      <c r="L390" s="331" t="s">
        <v>581</v>
      </c>
      <c r="M390" s="331" t="s">
        <v>581</v>
      </c>
      <c r="N390" s="318">
        <v>1.7</v>
      </c>
      <c r="O390" s="331" t="s">
        <v>581</v>
      </c>
      <c r="P390" s="331" t="s">
        <v>581</v>
      </c>
    </row>
    <row r="391" spans="1:32" ht="15" customHeight="1" x14ac:dyDescent="0.25">
      <c r="A391" s="299" t="s">
        <v>291</v>
      </c>
      <c r="B391" s="318">
        <v>13.9</v>
      </c>
      <c r="C391" s="331" t="s">
        <v>581</v>
      </c>
      <c r="D391" s="331" t="s">
        <v>581</v>
      </c>
      <c r="E391" s="318">
        <v>0.6</v>
      </c>
      <c r="F391" s="331" t="s">
        <v>581</v>
      </c>
      <c r="G391" s="331" t="s">
        <v>581</v>
      </c>
      <c r="H391" s="318">
        <v>2.2999999999999998</v>
      </c>
      <c r="I391" s="331" t="s">
        <v>581</v>
      </c>
      <c r="J391" s="331" t="s">
        <v>581</v>
      </c>
      <c r="K391" s="318">
        <v>9</v>
      </c>
      <c r="L391" s="331" t="s">
        <v>581</v>
      </c>
      <c r="M391" s="331" t="s">
        <v>581</v>
      </c>
      <c r="N391" s="318">
        <v>2</v>
      </c>
      <c r="O391" s="331" t="s">
        <v>581</v>
      </c>
      <c r="P391" s="331" t="s">
        <v>581</v>
      </c>
    </row>
    <row r="392" spans="1:32" ht="15" customHeight="1" x14ac:dyDescent="0.25">
      <c r="A392" s="299" t="s">
        <v>292</v>
      </c>
      <c r="B392" s="318">
        <v>14.5</v>
      </c>
      <c r="C392" s="331" t="s">
        <v>581</v>
      </c>
      <c r="D392" s="331" t="s">
        <v>581</v>
      </c>
      <c r="E392" s="318">
        <v>1.1000000000000001</v>
      </c>
      <c r="F392" s="331" t="s">
        <v>581</v>
      </c>
      <c r="G392" s="331" t="s">
        <v>581</v>
      </c>
      <c r="H392" s="318">
        <v>3</v>
      </c>
      <c r="I392" s="331" t="s">
        <v>581</v>
      </c>
      <c r="J392" s="331" t="s">
        <v>581</v>
      </c>
      <c r="K392" s="318">
        <v>8.1999999999999993</v>
      </c>
      <c r="L392" s="331" t="s">
        <v>581</v>
      </c>
      <c r="M392" s="331" t="s">
        <v>581</v>
      </c>
      <c r="N392" s="318">
        <v>2.2000000000000002</v>
      </c>
      <c r="O392" s="331" t="s">
        <v>581</v>
      </c>
      <c r="P392" s="331" t="s">
        <v>581</v>
      </c>
      <c r="Q392" s="299"/>
      <c r="R392" s="318"/>
      <c r="S392" s="318"/>
      <c r="T392" s="318"/>
      <c r="U392" s="318"/>
      <c r="V392" s="318"/>
      <c r="W392" s="318"/>
      <c r="X392" s="318"/>
      <c r="Y392" s="318"/>
      <c r="Z392" s="318"/>
      <c r="AA392" s="318"/>
      <c r="AB392" s="318"/>
      <c r="AC392" s="318"/>
      <c r="AD392" s="318"/>
      <c r="AE392" s="318"/>
      <c r="AF392" s="318"/>
    </row>
    <row r="393" spans="1:32" ht="15" customHeight="1" x14ac:dyDescent="0.25">
      <c r="A393" s="299" t="s">
        <v>293</v>
      </c>
      <c r="B393" s="318">
        <v>15.7</v>
      </c>
      <c r="C393" s="331" t="s">
        <v>581</v>
      </c>
      <c r="D393" s="331" t="s">
        <v>581</v>
      </c>
      <c r="E393" s="318">
        <v>1.2</v>
      </c>
      <c r="F393" s="331" t="s">
        <v>581</v>
      </c>
      <c r="G393" s="331" t="s">
        <v>581</v>
      </c>
      <c r="H393" s="318">
        <v>3.5</v>
      </c>
      <c r="I393" s="331" t="s">
        <v>581</v>
      </c>
      <c r="J393" s="331" t="s">
        <v>581</v>
      </c>
      <c r="K393" s="318">
        <v>8.5</v>
      </c>
      <c r="L393" s="331" t="s">
        <v>581</v>
      </c>
      <c r="M393" s="331" t="s">
        <v>581</v>
      </c>
      <c r="N393" s="318">
        <v>2.6</v>
      </c>
      <c r="O393" s="331" t="s">
        <v>581</v>
      </c>
      <c r="P393" s="331" t="s">
        <v>581</v>
      </c>
    </row>
    <row r="394" spans="1:32" ht="15" customHeight="1" x14ac:dyDescent="0.25">
      <c r="A394" s="299" t="s">
        <v>282</v>
      </c>
      <c r="B394" s="318">
        <v>16.3</v>
      </c>
      <c r="C394" s="331" t="s">
        <v>581</v>
      </c>
      <c r="D394" s="331" t="s">
        <v>581</v>
      </c>
      <c r="E394" s="318">
        <v>1.4</v>
      </c>
      <c r="F394" s="331" t="s">
        <v>581</v>
      </c>
      <c r="G394" s="331" t="s">
        <v>581</v>
      </c>
      <c r="H394" s="318">
        <v>3.6</v>
      </c>
      <c r="I394" s="331" t="s">
        <v>581</v>
      </c>
      <c r="J394" s="331" t="s">
        <v>581</v>
      </c>
      <c r="K394" s="318">
        <v>9</v>
      </c>
      <c r="L394" s="331" t="s">
        <v>581</v>
      </c>
      <c r="M394" s="331" t="s">
        <v>581</v>
      </c>
      <c r="N394" s="318">
        <v>2.2999999999999998</v>
      </c>
      <c r="O394" s="331" t="s">
        <v>581</v>
      </c>
      <c r="P394" s="331" t="s">
        <v>581</v>
      </c>
    </row>
    <row r="395" spans="1:32" s="334" customFormat="1" ht="15" customHeight="1" x14ac:dyDescent="0.25">
      <c r="A395" s="299" t="s">
        <v>283</v>
      </c>
      <c r="B395" s="318">
        <v>15.4</v>
      </c>
      <c r="C395" s="331" t="s">
        <v>581</v>
      </c>
      <c r="D395" s="331" t="s">
        <v>581</v>
      </c>
      <c r="E395" s="318">
        <v>1.4</v>
      </c>
      <c r="F395" s="331" t="s">
        <v>581</v>
      </c>
      <c r="G395" s="331" t="s">
        <v>581</v>
      </c>
      <c r="H395" s="318">
        <v>3.3</v>
      </c>
      <c r="I395" s="331" t="s">
        <v>581</v>
      </c>
      <c r="J395" s="331" t="s">
        <v>581</v>
      </c>
      <c r="K395" s="318">
        <v>8.1</v>
      </c>
      <c r="L395" s="331" t="s">
        <v>581</v>
      </c>
      <c r="M395" s="331" t="s">
        <v>581</v>
      </c>
      <c r="N395" s="318">
        <v>2.7</v>
      </c>
      <c r="O395" s="331" t="s">
        <v>581</v>
      </c>
      <c r="P395" s="331" t="s">
        <v>581</v>
      </c>
    </row>
    <row r="396" spans="1:32" ht="15" customHeight="1" x14ac:dyDescent="0.25">
      <c r="A396" s="299" t="s">
        <v>284</v>
      </c>
      <c r="B396" s="318">
        <v>18.3</v>
      </c>
      <c r="C396" s="331" t="s">
        <v>581</v>
      </c>
      <c r="D396" s="331" t="s">
        <v>581</v>
      </c>
      <c r="E396" s="318">
        <v>2</v>
      </c>
      <c r="F396" s="331" t="s">
        <v>581</v>
      </c>
      <c r="G396" s="331" t="s">
        <v>581</v>
      </c>
      <c r="H396" s="318">
        <v>3.6</v>
      </c>
      <c r="I396" s="331" t="s">
        <v>581</v>
      </c>
      <c r="J396" s="331" t="s">
        <v>581</v>
      </c>
      <c r="K396" s="318">
        <v>10.1</v>
      </c>
      <c r="L396" s="331" t="s">
        <v>581</v>
      </c>
      <c r="M396" s="331" t="s">
        <v>581</v>
      </c>
      <c r="N396" s="318">
        <v>2.6</v>
      </c>
      <c r="O396" s="331" t="s">
        <v>581</v>
      </c>
      <c r="P396" s="331" t="s">
        <v>581</v>
      </c>
    </row>
    <row r="397" spans="1:32" ht="15" customHeight="1" x14ac:dyDescent="0.25">
      <c r="A397" s="299" t="s">
        <v>294</v>
      </c>
      <c r="B397" s="318">
        <v>17</v>
      </c>
      <c r="C397" s="331" t="s">
        <v>581</v>
      </c>
      <c r="D397" s="331" t="s">
        <v>581</v>
      </c>
      <c r="E397" s="318">
        <v>1.5</v>
      </c>
      <c r="F397" s="331" t="s">
        <v>581</v>
      </c>
      <c r="G397" s="331" t="s">
        <v>581</v>
      </c>
      <c r="H397" s="318">
        <v>3.5</v>
      </c>
      <c r="I397" s="331" t="s">
        <v>581</v>
      </c>
      <c r="J397" s="331" t="s">
        <v>581</v>
      </c>
      <c r="K397" s="318">
        <v>9.5</v>
      </c>
      <c r="L397" s="331" t="s">
        <v>581</v>
      </c>
      <c r="M397" s="331" t="s">
        <v>581</v>
      </c>
      <c r="N397" s="318">
        <v>2.4</v>
      </c>
      <c r="O397" s="331" t="s">
        <v>581</v>
      </c>
      <c r="P397" s="331" t="s">
        <v>581</v>
      </c>
    </row>
    <row r="398" spans="1:32" ht="15" customHeight="1" x14ac:dyDescent="0.25">
      <c r="A398" s="299" t="s">
        <v>295</v>
      </c>
      <c r="B398" s="318">
        <v>16.899999999999999</v>
      </c>
      <c r="C398" s="331" t="s">
        <v>581</v>
      </c>
      <c r="D398" s="331" t="s">
        <v>581</v>
      </c>
      <c r="E398" s="318">
        <v>1.4</v>
      </c>
      <c r="F398" s="331" t="s">
        <v>581</v>
      </c>
      <c r="G398" s="331" t="s">
        <v>581</v>
      </c>
      <c r="H398" s="318">
        <v>3.8</v>
      </c>
      <c r="I398" s="331" t="s">
        <v>581</v>
      </c>
      <c r="J398" s="331" t="s">
        <v>581</v>
      </c>
      <c r="K398" s="318">
        <v>9</v>
      </c>
      <c r="L398" s="331" t="s">
        <v>581</v>
      </c>
      <c r="M398" s="331" t="s">
        <v>581</v>
      </c>
      <c r="N398" s="318">
        <v>2.7</v>
      </c>
      <c r="O398" s="331" t="s">
        <v>581</v>
      </c>
      <c r="P398" s="331" t="s">
        <v>581</v>
      </c>
    </row>
    <row r="399" spans="1:32" ht="15" customHeight="1" x14ac:dyDescent="0.25">
      <c r="A399" s="299" t="s">
        <v>296</v>
      </c>
      <c r="B399" s="318">
        <v>15.3</v>
      </c>
      <c r="C399" s="331" t="s">
        <v>581</v>
      </c>
      <c r="D399" s="331" t="s">
        <v>581</v>
      </c>
      <c r="E399" s="318">
        <v>1.3</v>
      </c>
      <c r="F399" s="331" t="s">
        <v>581</v>
      </c>
      <c r="G399" s="331" t="s">
        <v>581</v>
      </c>
      <c r="H399" s="318">
        <v>3.8</v>
      </c>
      <c r="I399" s="331" t="s">
        <v>581</v>
      </c>
      <c r="J399" s="331" t="s">
        <v>581</v>
      </c>
      <c r="K399" s="318">
        <v>8</v>
      </c>
      <c r="L399" s="331" t="s">
        <v>581</v>
      </c>
      <c r="M399" s="331" t="s">
        <v>581</v>
      </c>
      <c r="N399" s="318">
        <v>2.2999999999999998</v>
      </c>
      <c r="O399" s="331" t="s">
        <v>581</v>
      </c>
      <c r="P399" s="331" t="s">
        <v>581</v>
      </c>
    </row>
    <row r="400" spans="1:32" ht="15" customHeight="1" x14ac:dyDescent="0.25">
      <c r="A400" s="299" t="s">
        <v>297</v>
      </c>
      <c r="B400" s="318">
        <v>13</v>
      </c>
      <c r="C400" s="331" t="s">
        <v>581</v>
      </c>
      <c r="D400" s="331" t="s">
        <v>581</v>
      </c>
      <c r="E400" s="318">
        <v>1.3</v>
      </c>
      <c r="F400" s="331" t="s">
        <v>581</v>
      </c>
      <c r="G400" s="331" t="s">
        <v>581</v>
      </c>
      <c r="H400" s="318">
        <v>2.4</v>
      </c>
      <c r="I400" s="331" t="s">
        <v>581</v>
      </c>
      <c r="J400" s="331" t="s">
        <v>581</v>
      </c>
      <c r="K400" s="318">
        <v>7.2</v>
      </c>
      <c r="L400" s="331" t="s">
        <v>581</v>
      </c>
      <c r="M400" s="331" t="s">
        <v>581</v>
      </c>
      <c r="N400" s="318">
        <v>2</v>
      </c>
      <c r="O400" s="331" t="s">
        <v>581</v>
      </c>
      <c r="P400" s="331" t="s">
        <v>581</v>
      </c>
    </row>
    <row r="401" spans="1:32" ht="15" customHeight="1" x14ac:dyDescent="0.25">
      <c r="B401" s="318"/>
      <c r="C401" s="331"/>
      <c r="D401" s="331"/>
      <c r="E401" s="318"/>
      <c r="F401" s="331"/>
      <c r="G401" s="331"/>
      <c r="H401" s="318"/>
      <c r="I401" s="331"/>
      <c r="J401" s="331"/>
      <c r="K401" s="318"/>
      <c r="L401" s="331"/>
      <c r="M401" s="331"/>
      <c r="N401" s="318"/>
      <c r="O401" s="331"/>
      <c r="P401" s="331"/>
    </row>
    <row r="402" spans="1:32" ht="15" customHeight="1" x14ac:dyDescent="0.25"/>
    <row r="403" spans="1:32" ht="15" customHeight="1" x14ac:dyDescent="0.25">
      <c r="A403" s="312">
        <v>1990</v>
      </c>
      <c r="B403" s="318"/>
      <c r="C403" s="312"/>
      <c r="D403" s="312"/>
      <c r="E403" s="318"/>
      <c r="F403" s="312"/>
      <c r="G403" s="312"/>
      <c r="H403" s="318"/>
      <c r="I403" s="312"/>
      <c r="J403" s="312"/>
      <c r="K403" s="318"/>
      <c r="L403" s="312"/>
      <c r="M403" s="312"/>
      <c r="N403" s="318"/>
      <c r="O403" s="312"/>
      <c r="P403" s="312"/>
    </row>
    <row r="404" spans="1:32" s="300" customFormat="1" ht="10.5" customHeight="1" x14ac:dyDescent="0.25">
      <c r="A404" s="299"/>
      <c r="B404" s="302"/>
      <c r="C404" s="302"/>
      <c r="D404" s="302"/>
      <c r="E404" s="302"/>
      <c r="F404" s="302"/>
      <c r="G404" s="302"/>
      <c r="H404" s="302"/>
      <c r="I404" s="302"/>
      <c r="J404" s="302"/>
      <c r="K404" s="302"/>
      <c r="L404" s="302"/>
      <c r="M404" s="302"/>
      <c r="N404" s="302"/>
      <c r="O404" s="302"/>
      <c r="P404" s="302"/>
    </row>
    <row r="405" spans="1:32" ht="15" customHeight="1" x14ac:dyDescent="0.2">
      <c r="A405" s="304" t="s">
        <v>91</v>
      </c>
      <c r="B405" s="323">
        <v>195.4</v>
      </c>
      <c r="C405" s="333">
        <v>103.8</v>
      </c>
      <c r="D405" s="333">
        <v>89.5</v>
      </c>
      <c r="E405" s="323">
        <v>18.8</v>
      </c>
      <c r="F405" s="333">
        <v>12.1</v>
      </c>
      <c r="G405" s="333">
        <v>6.7</v>
      </c>
      <c r="H405" s="323">
        <v>37.700000000000003</v>
      </c>
      <c r="I405" s="333">
        <v>22.9</v>
      </c>
      <c r="J405" s="333">
        <v>14.7</v>
      </c>
      <c r="K405" s="323">
        <v>108.4</v>
      </c>
      <c r="L405" s="333">
        <v>62.7</v>
      </c>
      <c r="M405" s="333">
        <v>44.8</v>
      </c>
      <c r="N405" s="323">
        <v>30.6</v>
      </c>
      <c r="O405" s="333">
        <v>6.1</v>
      </c>
      <c r="P405" s="333">
        <v>23.3</v>
      </c>
    </row>
    <row r="406" spans="1:32" s="300" customFormat="1" ht="10.5" customHeight="1" x14ac:dyDescent="0.25">
      <c r="A406" s="299"/>
      <c r="B406" s="302"/>
      <c r="C406" s="302"/>
      <c r="D406" s="302"/>
      <c r="E406" s="302"/>
      <c r="F406" s="302"/>
      <c r="G406" s="302"/>
      <c r="H406" s="302"/>
      <c r="I406" s="302"/>
      <c r="J406" s="302"/>
      <c r="K406" s="302"/>
      <c r="L406" s="302"/>
      <c r="M406" s="302"/>
      <c r="N406" s="302"/>
      <c r="O406" s="302"/>
      <c r="P406" s="302"/>
    </row>
    <row r="407" spans="1:32" ht="15" customHeight="1" x14ac:dyDescent="0.25">
      <c r="A407" s="299" t="s">
        <v>289</v>
      </c>
      <c r="B407" s="318">
        <v>12</v>
      </c>
      <c r="C407" s="331" t="s">
        <v>581</v>
      </c>
      <c r="D407" s="331" t="s">
        <v>581</v>
      </c>
      <c r="E407" s="318">
        <v>0.7</v>
      </c>
      <c r="F407" s="331" t="s">
        <v>581</v>
      </c>
      <c r="G407" s="331" t="s">
        <v>581</v>
      </c>
      <c r="H407" s="318">
        <v>1.5</v>
      </c>
      <c r="I407" s="331" t="s">
        <v>581</v>
      </c>
      <c r="J407" s="331" t="s">
        <v>581</v>
      </c>
      <c r="K407" s="318">
        <v>7.8</v>
      </c>
      <c r="L407" s="331" t="s">
        <v>581</v>
      </c>
      <c r="M407" s="331" t="s">
        <v>581</v>
      </c>
      <c r="N407" s="318">
        <v>2</v>
      </c>
      <c r="O407" s="331" t="s">
        <v>581</v>
      </c>
      <c r="P407" s="331" t="s">
        <v>581</v>
      </c>
    </row>
    <row r="408" spans="1:32" ht="15" customHeight="1" x14ac:dyDescent="0.25">
      <c r="A408" s="299" t="s">
        <v>290</v>
      </c>
      <c r="B408" s="318">
        <v>12.3</v>
      </c>
      <c r="C408" s="331" t="s">
        <v>581</v>
      </c>
      <c r="D408" s="331" t="s">
        <v>581</v>
      </c>
      <c r="E408" s="318">
        <v>0.6</v>
      </c>
      <c r="F408" s="331" t="s">
        <v>581</v>
      </c>
      <c r="G408" s="331" t="s">
        <v>581</v>
      </c>
      <c r="H408" s="318">
        <v>1.6</v>
      </c>
      <c r="I408" s="331" t="s">
        <v>581</v>
      </c>
      <c r="J408" s="331" t="s">
        <v>581</v>
      </c>
      <c r="K408" s="318">
        <v>8.4</v>
      </c>
      <c r="L408" s="331" t="s">
        <v>581</v>
      </c>
      <c r="M408" s="331" t="s">
        <v>581</v>
      </c>
      <c r="N408" s="318">
        <v>1.7</v>
      </c>
      <c r="O408" s="331" t="s">
        <v>581</v>
      </c>
      <c r="P408" s="331" t="s">
        <v>581</v>
      </c>
    </row>
    <row r="409" spans="1:32" ht="15" customHeight="1" x14ac:dyDescent="0.25">
      <c r="A409" s="299" t="s">
        <v>291</v>
      </c>
      <c r="B409" s="318">
        <v>14.5</v>
      </c>
      <c r="C409" s="331" t="s">
        <v>581</v>
      </c>
      <c r="D409" s="331" t="s">
        <v>581</v>
      </c>
      <c r="E409" s="318">
        <v>0.7</v>
      </c>
      <c r="F409" s="331" t="s">
        <v>581</v>
      </c>
      <c r="G409" s="331" t="s">
        <v>581</v>
      </c>
      <c r="H409" s="318">
        <v>2.6</v>
      </c>
      <c r="I409" s="331" t="s">
        <v>581</v>
      </c>
      <c r="J409" s="331" t="s">
        <v>581</v>
      </c>
      <c r="K409" s="318">
        <v>9</v>
      </c>
      <c r="L409" s="331" t="s">
        <v>581</v>
      </c>
      <c r="M409" s="331" t="s">
        <v>581</v>
      </c>
      <c r="N409" s="318">
        <v>2.2000000000000002</v>
      </c>
      <c r="O409" s="331" t="s">
        <v>581</v>
      </c>
      <c r="P409" s="331" t="s">
        <v>581</v>
      </c>
    </row>
    <row r="410" spans="1:32" ht="15" customHeight="1" x14ac:dyDescent="0.25">
      <c r="A410" s="299" t="s">
        <v>292</v>
      </c>
      <c r="B410" s="318">
        <v>17.100000000000001</v>
      </c>
      <c r="C410" s="331" t="s">
        <v>581</v>
      </c>
      <c r="D410" s="331" t="s">
        <v>581</v>
      </c>
      <c r="E410" s="318">
        <v>1.6</v>
      </c>
      <c r="F410" s="331" t="s">
        <v>581</v>
      </c>
      <c r="G410" s="331" t="s">
        <v>581</v>
      </c>
      <c r="H410" s="318">
        <v>2.9</v>
      </c>
      <c r="I410" s="331" t="s">
        <v>581</v>
      </c>
      <c r="J410" s="331" t="s">
        <v>581</v>
      </c>
      <c r="K410" s="318">
        <v>10</v>
      </c>
      <c r="L410" s="331" t="s">
        <v>581</v>
      </c>
      <c r="M410" s="331" t="s">
        <v>581</v>
      </c>
      <c r="N410" s="318">
        <v>2.7</v>
      </c>
      <c r="O410" s="331" t="s">
        <v>581</v>
      </c>
      <c r="P410" s="331" t="s">
        <v>581</v>
      </c>
      <c r="Q410" s="299"/>
      <c r="R410" s="319"/>
      <c r="S410" s="319"/>
      <c r="T410" s="319"/>
      <c r="U410" s="319"/>
      <c r="V410" s="319"/>
      <c r="W410" s="319"/>
      <c r="X410" s="319"/>
      <c r="Y410" s="319"/>
      <c r="Z410" s="319"/>
      <c r="AA410" s="319"/>
      <c r="AB410" s="319"/>
      <c r="AC410" s="319"/>
      <c r="AD410" s="319"/>
      <c r="AE410" s="319"/>
      <c r="AF410" s="319"/>
    </row>
    <row r="411" spans="1:32" s="300" customFormat="1" ht="15" customHeight="1" x14ac:dyDescent="0.25">
      <c r="A411" s="299" t="s">
        <v>293</v>
      </c>
      <c r="B411" s="318">
        <v>18.399999999999999</v>
      </c>
      <c r="C411" s="331" t="s">
        <v>581</v>
      </c>
      <c r="D411" s="331" t="s">
        <v>581</v>
      </c>
      <c r="E411" s="318">
        <v>2</v>
      </c>
      <c r="F411" s="331" t="s">
        <v>581</v>
      </c>
      <c r="G411" s="331" t="s">
        <v>581</v>
      </c>
      <c r="H411" s="318">
        <v>4.0999999999999996</v>
      </c>
      <c r="I411" s="331" t="s">
        <v>581</v>
      </c>
      <c r="J411" s="331" t="s">
        <v>581</v>
      </c>
      <c r="K411" s="318">
        <v>9.3000000000000007</v>
      </c>
      <c r="L411" s="331" t="s">
        <v>581</v>
      </c>
      <c r="M411" s="331" t="s">
        <v>581</v>
      </c>
      <c r="N411" s="318">
        <v>3.1</v>
      </c>
      <c r="O411" s="331" t="s">
        <v>581</v>
      </c>
      <c r="P411" s="331" t="s">
        <v>581</v>
      </c>
    </row>
    <row r="412" spans="1:32" ht="15" customHeight="1" x14ac:dyDescent="0.25">
      <c r="A412" s="299" t="s">
        <v>282</v>
      </c>
      <c r="B412" s="318">
        <v>20.7</v>
      </c>
      <c r="C412" s="331" t="s">
        <v>581</v>
      </c>
      <c r="D412" s="331" t="s">
        <v>581</v>
      </c>
      <c r="E412" s="318">
        <v>2.2000000000000002</v>
      </c>
      <c r="F412" s="331" t="s">
        <v>581</v>
      </c>
      <c r="G412" s="331" t="s">
        <v>581</v>
      </c>
      <c r="H412" s="318">
        <v>4.5999999999999996</v>
      </c>
      <c r="I412" s="331" t="s">
        <v>581</v>
      </c>
      <c r="J412" s="331" t="s">
        <v>581</v>
      </c>
      <c r="K412" s="318">
        <v>10.9</v>
      </c>
      <c r="L412" s="331" t="s">
        <v>581</v>
      </c>
      <c r="M412" s="331" t="s">
        <v>581</v>
      </c>
      <c r="N412" s="318">
        <v>3</v>
      </c>
      <c r="O412" s="331" t="s">
        <v>581</v>
      </c>
      <c r="P412" s="331" t="s">
        <v>581</v>
      </c>
    </row>
    <row r="413" spans="1:32" s="334" customFormat="1" ht="15" customHeight="1" x14ac:dyDescent="0.25">
      <c r="A413" s="299" t="s">
        <v>283</v>
      </c>
      <c r="B413" s="318">
        <v>18.600000000000001</v>
      </c>
      <c r="C413" s="331" t="s">
        <v>581</v>
      </c>
      <c r="D413" s="331" t="s">
        <v>581</v>
      </c>
      <c r="E413" s="318">
        <v>2.1</v>
      </c>
      <c r="F413" s="331" t="s">
        <v>581</v>
      </c>
      <c r="G413" s="331" t="s">
        <v>581</v>
      </c>
      <c r="H413" s="318">
        <v>3.3</v>
      </c>
      <c r="I413" s="331" t="s">
        <v>581</v>
      </c>
      <c r="J413" s="331" t="s">
        <v>581</v>
      </c>
      <c r="K413" s="318">
        <v>10.4</v>
      </c>
      <c r="L413" s="331" t="s">
        <v>581</v>
      </c>
      <c r="M413" s="331" t="s">
        <v>581</v>
      </c>
      <c r="N413" s="318">
        <v>2.8</v>
      </c>
      <c r="O413" s="331" t="s">
        <v>581</v>
      </c>
      <c r="P413" s="331" t="s">
        <v>581</v>
      </c>
    </row>
    <row r="414" spans="1:32" ht="15" customHeight="1" x14ac:dyDescent="0.25">
      <c r="A414" s="299" t="s">
        <v>284</v>
      </c>
      <c r="B414" s="318">
        <v>20.100000000000001</v>
      </c>
      <c r="C414" s="331" t="s">
        <v>581</v>
      </c>
      <c r="D414" s="331" t="s">
        <v>581</v>
      </c>
      <c r="E414" s="318">
        <v>2.6</v>
      </c>
      <c r="F414" s="331" t="s">
        <v>581</v>
      </c>
      <c r="G414" s="331" t="s">
        <v>581</v>
      </c>
      <c r="H414" s="318">
        <v>4.0999999999999996</v>
      </c>
      <c r="I414" s="331" t="s">
        <v>581</v>
      </c>
      <c r="J414" s="331" t="s">
        <v>581</v>
      </c>
      <c r="K414" s="318">
        <v>10</v>
      </c>
      <c r="L414" s="331" t="s">
        <v>581</v>
      </c>
      <c r="M414" s="331" t="s">
        <v>581</v>
      </c>
      <c r="N414" s="318">
        <v>3.4</v>
      </c>
      <c r="O414" s="331" t="s">
        <v>581</v>
      </c>
      <c r="P414" s="331" t="s">
        <v>581</v>
      </c>
    </row>
    <row r="415" spans="1:32" ht="15" customHeight="1" x14ac:dyDescent="0.25">
      <c r="A415" s="299" t="s">
        <v>294</v>
      </c>
      <c r="B415" s="318">
        <v>16.399999999999999</v>
      </c>
      <c r="C415" s="331" t="s">
        <v>581</v>
      </c>
      <c r="D415" s="331" t="s">
        <v>581</v>
      </c>
      <c r="E415" s="318">
        <v>2.2000000000000002</v>
      </c>
      <c r="F415" s="331" t="s">
        <v>581</v>
      </c>
      <c r="G415" s="331" t="s">
        <v>581</v>
      </c>
      <c r="H415" s="318">
        <v>3.7</v>
      </c>
      <c r="I415" s="331" t="s">
        <v>581</v>
      </c>
      <c r="J415" s="331" t="s">
        <v>581</v>
      </c>
      <c r="K415" s="318">
        <v>8.1</v>
      </c>
      <c r="L415" s="331" t="s">
        <v>581</v>
      </c>
      <c r="M415" s="331" t="s">
        <v>581</v>
      </c>
      <c r="N415" s="318">
        <v>2.4</v>
      </c>
      <c r="O415" s="331" t="s">
        <v>581</v>
      </c>
      <c r="P415" s="331" t="s">
        <v>581</v>
      </c>
    </row>
    <row r="416" spans="1:32" ht="15" customHeight="1" x14ac:dyDescent="0.25">
      <c r="A416" s="299" t="s">
        <v>295</v>
      </c>
      <c r="B416" s="318">
        <v>16.8</v>
      </c>
      <c r="C416" s="331" t="s">
        <v>581</v>
      </c>
      <c r="D416" s="331" t="s">
        <v>581</v>
      </c>
      <c r="E416" s="318">
        <v>1.7</v>
      </c>
      <c r="F416" s="331" t="s">
        <v>581</v>
      </c>
      <c r="G416" s="331" t="s">
        <v>581</v>
      </c>
      <c r="H416" s="318">
        <v>3.9</v>
      </c>
      <c r="I416" s="331" t="s">
        <v>581</v>
      </c>
      <c r="J416" s="331" t="s">
        <v>581</v>
      </c>
      <c r="K416" s="318">
        <v>8.4</v>
      </c>
      <c r="L416" s="331" t="s">
        <v>581</v>
      </c>
      <c r="M416" s="331" t="s">
        <v>581</v>
      </c>
      <c r="N416" s="318">
        <v>2.7</v>
      </c>
      <c r="O416" s="331" t="s">
        <v>581</v>
      </c>
      <c r="P416" s="331" t="s">
        <v>581</v>
      </c>
    </row>
    <row r="417" spans="1:16" ht="15" customHeight="1" x14ac:dyDescent="0.25">
      <c r="A417" s="299" t="s">
        <v>296</v>
      </c>
      <c r="B417" s="318">
        <v>15.7</v>
      </c>
      <c r="C417" s="331" t="s">
        <v>581</v>
      </c>
      <c r="D417" s="331" t="s">
        <v>581</v>
      </c>
      <c r="E417" s="318">
        <v>1.3</v>
      </c>
      <c r="F417" s="331" t="s">
        <v>581</v>
      </c>
      <c r="G417" s="331" t="s">
        <v>581</v>
      </c>
      <c r="H417" s="318">
        <v>3.4</v>
      </c>
      <c r="I417" s="331" t="s">
        <v>581</v>
      </c>
      <c r="J417" s="331" t="s">
        <v>581</v>
      </c>
      <c r="K417" s="318">
        <v>8.9</v>
      </c>
      <c r="L417" s="331" t="s">
        <v>581</v>
      </c>
      <c r="M417" s="331" t="s">
        <v>581</v>
      </c>
      <c r="N417" s="318">
        <v>2.1</v>
      </c>
      <c r="O417" s="331" t="s">
        <v>581</v>
      </c>
      <c r="P417" s="331" t="s">
        <v>581</v>
      </c>
    </row>
    <row r="418" spans="1:16" ht="15" customHeight="1" x14ac:dyDescent="0.25">
      <c r="A418" s="299" t="s">
        <v>297</v>
      </c>
      <c r="B418" s="318">
        <v>12.8</v>
      </c>
      <c r="C418" s="331" t="s">
        <v>581</v>
      </c>
      <c r="D418" s="331" t="s">
        <v>581</v>
      </c>
      <c r="E418" s="318">
        <v>1.1000000000000001</v>
      </c>
      <c r="F418" s="331" t="s">
        <v>581</v>
      </c>
      <c r="G418" s="331" t="s">
        <v>581</v>
      </c>
      <c r="H418" s="318">
        <v>2.1</v>
      </c>
      <c r="I418" s="331" t="s">
        <v>581</v>
      </c>
      <c r="J418" s="331" t="s">
        <v>581</v>
      </c>
      <c r="K418" s="318">
        <v>7.3</v>
      </c>
      <c r="L418" s="331" t="s">
        <v>581</v>
      </c>
      <c r="M418" s="331" t="s">
        <v>581</v>
      </c>
      <c r="N418" s="318">
        <v>2.4</v>
      </c>
      <c r="O418" s="331" t="s">
        <v>581</v>
      </c>
      <c r="P418" s="331" t="s">
        <v>581</v>
      </c>
    </row>
    <row r="419" spans="1:16" ht="15" customHeight="1" x14ac:dyDescent="0.25"/>
    <row r="420" spans="1:16" ht="15" customHeight="1" x14ac:dyDescent="0.25"/>
    <row r="421" spans="1:16" ht="15" customHeight="1" x14ac:dyDescent="0.25">
      <c r="A421" s="312">
        <v>1989</v>
      </c>
      <c r="B421" s="318"/>
      <c r="C421" s="312"/>
      <c r="D421" s="312"/>
      <c r="E421" s="318"/>
      <c r="F421" s="312"/>
      <c r="G421" s="312"/>
      <c r="H421" s="318"/>
      <c r="I421" s="312"/>
      <c r="J421" s="312"/>
      <c r="K421" s="318"/>
      <c r="L421" s="312"/>
      <c r="M421" s="312"/>
      <c r="N421" s="318"/>
      <c r="O421" s="312"/>
      <c r="P421" s="312"/>
    </row>
    <row r="422" spans="1:16" s="300" customFormat="1" ht="10.5" customHeight="1" x14ac:dyDescent="0.25">
      <c r="A422" s="299"/>
      <c r="B422" s="302"/>
      <c r="C422" s="302"/>
      <c r="D422" s="302"/>
      <c r="E422" s="302"/>
      <c r="F422" s="302"/>
      <c r="G422" s="302"/>
      <c r="H422" s="302"/>
      <c r="I422" s="302"/>
      <c r="J422" s="302"/>
      <c r="K422" s="302"/>
      <c r="L422" s="302"/>
      <c r="M422" s="302"/>
      <c r="N422" s="302"/>
      <c r="O422" s="302"/>
      <c r="P422" s="302"/>
    </row>
    <row r="423" spans="1:16" s="312" customFormat="1" ht="15" customHeight="1" x14ac:dyDescent="0.25">
      <c r="A423" s="329" t="s">
        <v>91</v>
      </c>
      <c r="B423" s="323">
        <v>202.8</v>
      </c>
      <c r="C423" s="333">
        <v>107.4</v>
      </c>
      <c r="D423" s="333">
        <v>93.7</v>
      </c>
      <c r="E423" s="323">
        <v>20.2</v>
      </c>
      <c r="F423" s="333">
        <v>12.4</v>
      </c>
      <c r="G423" s="333">
        <v>7.8</v>
      </c>
      <c r="H423" s="323">
        <v>39.1</v>
      </c>
      <c r="I423" s="333">
        <v>23.9</v>
      </c>
      <c r="J423" s="333">
        <v>15.1</v>
      </c>
      <c r="K423" s="323">
        <v>112.8</v>
      </c>
      <c r="L423" s="333">
        <v>64.599999999999994</v>
      </c>
      <c r="M423" s="333">
        <v>47.8</v>
      </c>
      <c r="N423" s="323">
        <v>30.6</v>
      </c>
      <c r="O423" s="333">
        <v>6.4</v>
      </c>
      <c r="P423" s="333">
        <v>22.9</v>
      </c>
    </row>
    <row r="424" spans="1:16" s="300" customFormat="1" ht="10.5" customHeight="1" x14ac:dyDescent="0.25">
      <c r="A424" s="299"/>
      <c r="B424" s="302"/>
      <c r="C424" s="302"/>
      <c r="D424" s="302"/>
      <c r="E424" s="302"/>
      <c r="F424" s="302"/>
      <c r="G424" s="302"/>
      <c r="H424" s="302"/>
      <c r="I424" s="302"/>
      <c r="J424" s="302"/>
      <c r="K424" s="302"/>
      <c r="L424" s="302"/>
      <c r="M424" s="302"/>
      <c r="N424" s="302"/>
      <c r="O424" s="302"/>
      <c r="P424" s="302"/>
    </row>
    <row r="425" spans="1:16" s="334" customFormat="1" ht="15" customHeight="1" x14ac:dyDescent="0.25">
      <c r="A425" s="299" t="s">
        <v>289</v>
      </c>
      <c r="B425" s="318">
        <v>11.8</v>
      </c>
      <c r="C425" s="331" t="s">
        <v>581</v>
      </c>
      <c r="D425" s="331" t="s">
        <v>581</v>
      </c>
      <c r="E425" s="318">
        <v>1.1000000000000001</v>
      </c>
      <c r="F425" s="331" t="s">
        <v>581</v>
      </c>
      <c r="G425" s="331" t="s">
        <v>581</v>
      </c>
      <c r="H425" s="318">
        <v>1</v>
      </c>
      <c r="I425" s="331" t="s">
        <v>581</v>
      </c>
      <c r="J425" s="331" t="s">
        <v>581</v>
      </c>
      <c r="K425" s="318">
        <v>8.1999999999999993</v>
      </c>
      <c r="L425" s="331" t="s">
        <v>581</v>
      </c>
      <c r="M425" s="331" t="s">
        <v>581</v>
      </c>
      <c r="N425" s="318">
        <v>1.5</v>
      </c>
      <c r="O425" s="331" t="s">
        <v>581</v>
      </c>
      <c r="P425" s="331" t="s">
        <v>581</v>
      </c>
    </row>
    <row r="426" spans="1:16" ht="15" customHeight="1" x14ac:dyDescent="0.25">
      <c r="A426" s="299" t="s">
        <v>290</v>
      </c>
      <c r="B426" s="318">
        <v>12.9</v>
      </c>
      <c r="C426" s="331" t="s">
        <v>581</v>
      </c>
      <c r="D426" s="331" t="s">
        <v>581</v>
      </c>
      <c r="E426" s="318">
        <v>0.8</v>
      </c>
      <c r="F426" s="331" t="s">
        <v>581</v>
      </c>
      <c r="G426" s="331" t="s">
        <v>581</v>
      </c>
      <c r="H426" s="318">
        <v>1.6</v>
      </c>
      <c r="I426" s="331" t="s">
        <v>581</v>
      </c>
      <c r="J426" s="331" t="s">
        <v>581</v>
      </c>
      <c r="K426" s="318">
        <v>8.5</v>
      </c>
      <c r="L426" s="331" t="s">
        <v>581</v>
      </c>
      <c r="M426" s="331" t="s">
        <v>581</v>
      </c>
      <c r="N426" s="318">
        <v>1.9</v>
      </c>
      <c r="O426" s="331" t="s">
        <v>581</v>
      </c>
      <c r="P426" s="331" t="s">
        <v>581</v>
      </c>
    </row>
    <row r="427" spans="1:16" ht="15" customHeight="1" x14ac:dyDescent="0.25">
      <c r="A427" s="299" t="s">
        <v>291</v>
      </c>
      <c r="B427" s="318">
        <v>15.9</v>
      </c>
      <c r="C427" s="331" t="s">
        <v>581</v>
      </c>
      <c r="D427" s="331" t="s">
        <v>581</v>
      </c>
      <c r="E427" s="318">
        <v>1</v>
      </c>
      <c r="F427" s="331" t="s">
        <v>581</v>
      </c>
      <c r="G427" s="331" t="s">
        <v>581</v>
      </c>
      <c r="H427" s="318">
        <v>2.7</v>
      </c>
      <c r="I427" s="331" t="s">
        <v>581</v>
      </c>
      <c r="J427" s="331" t="s">
        <v>581</v>
      </c>
      <c r="K427" s="318">
        <v>9.6</v>
      </c>
      <c r="L427" s="331" t="s">
        <v>581</v>
      </c>
      <c r="M427" s="331" t="s">
        <v>581</v>
      </c>
      <c r="N427" s="318">
        <v>2.6</v>
      </c>
      <c r="O427" s="331" t="s">
        <v>581</v>
      </c>
      <c r="P427" s="331" t="s">
        <v>581</v>
      </c>
    </row>
    <row r="428" spans="1:16" ht="15" customHeight="1" x14ac:dyDescent="0.25">
      <c r="A428" s="299" t="s">
        <v>292</v>
      </c>
      <c r="B428" s="318">
        <v>17.3</v>
      </c>
      <c r="C428" s="331" t="s">
        <v>581</v>
      </c>
      <c r="D428" s="331" t="s">
        <v>581</v>
      </c>
      <c r="E428" s="318">
        <v>1.3</v>
      </c>
      <c r="F428" s="331" t="s">
        <v>581</v>
      </c>
      <c r="G428" s="331" t="s">
        <v>581</v>
      </c>
      <c r="H428" s="318">
        <v>3.3</v>
      </c>
      <c r="I428" s="331" t="s">
        <v>581</v>
      </c>
      <c r="J428" s="331" t="s">
        <v>581</v>
      </c>
      <c r="K428" s="318">
        <v>10.199999999999999</v>
      </c>
      <c r="L428" s="331" t="s">
        <v>581</v>
      </c>
      <c r="M428" s="331" t="s">
        <v>581</v>
      </c>
      <c r="N428" s="318">
        <v>2.5</v>
      </c>
      <c r="O428" s="331" t="s">
        <v>581</v>
      </c>
      <c r="P428" s="331" t="s">
        <v>581</v>
      </c>
    </row>
    <row r="429" spans="1:16" ht="15" customHeight="1" x14ac:dyDescent="0.25">
      <c r="A429" s="299" t="s">
        <v>293</v>
      </c>
      <c r="B429" s="318">
        <v>18.899999999999999</v>
      </c>
      <c r="C429" s="331" t="s">
        <v>581</v>
      </c>
      <c r="D429" s="331" t="s">
        <v>581</v>
      </c>
      <c r="E429" s="318">
        <v>2</v>
      </c>
      <c r="F429" s="331" t="s">
        <v>581</v>
      </c>
      <c r="G429" s="331" t="s">
        <v>581</v>
      </c>
      <c r="H429" s="318">
        <v>4</v>
      </c>
      <c r="I429" s="331" t="s">
        <v>581</v>
      </c>
      <c r="J429" s="331" t="s">
        <v>581</v>
      </c>
      <c r="K429" s="318">
        <v>10</v>
      </c>
      <c r="L429" s="331" t="s">
        <v>581</v>
      </c>
      <c r="M429" s="331" t="s">
        <v>581</v>
      </c>
      <c r="N429" s="318">
        <v>2.9</v>
      </c>
      <c r="O429" s="331" t="s">
        <v>581</v>
      </c>
      <c r="P429" s="331" t="s">
        <v>581</v>
      </c>
    </row>
    <row r="430" spans="1:16" ht="15" customHeight="1" x14ac:dyDescent="0.25">
      <c r="A430" s="299" t="s">
        <v>282</v>
      </c>
      <c r="B430" s="318">
        <v>19</v>
      </c>
      <c r="C430" s="331" t="s">
        <v>581</v>
      </c>
      <c r="D430" s="331" t="s">
        <v>581</v>
      </c>
      <c r="E430" s="318">
        <v>2</v>
      </c>
      <c r="F430" s="331" t="s">
        <v>581</v>
      </c>
      <c r="G430" s="331" t="s">
        <v>581</v>
      </c>
      <c r="H430" s="318">
        <v>4</v>
      </c>
      <c r="I430" s="331" t="s">
        <v>581</v>
      </c>
      <c r="J430" s="331" t="s">
        <v>581</v>
      </c>
      <c r="K430" s="318">
        <v>10.3</v>
      </c>
      <c r="L430" s="331" t="s">
        <v>581</v>
      </c>
      <c r="M430" s="331" t="s">
        <v>581</v>
      </c>
      <c r="N430" s="318">
        <v>2.8</v>
      </c>
      <c r="O430" s="331" t="s">
        <v>581</v>
      </c>
      <c r="P430" s="331" t="s">
        <v>581</v>
      </c>
    </row>
    <row r="431" spans="1:16" ht="15" customHeight="1" x14ac:dyDescent="0.25">
      <c r="A431" s="299" t="s">
        <v>283</v>
      </c>
      <c r="B431" s="318">
        <v>17</v>
      </c>
      <c r="C431" s="331" t="s">
        <v>581</v>
      </c>
      <c r="D431" s="331" t="s">
        <v>581</v>
      </c>
      <c r="E431" s="318">
        <v>2.1</v>
      </c>
      <c r="F431" s="331" t="s">
        <v>581</v>
      </c>
      <c r="G431" s="331" t="s">
        <v>581</v>
      </c>
      <c r="H431" s="318">
        <v>3.8</v>
      </c>
      <c r="I431" s="331" t="s">
        <v>581</v>
      </c>
      <c r="J431" s="331" t="s">
        <v>581</v>
      </c>
      <c r="K431" s="318">
        <v>8.6</v>
      </c>
      <c r="L431" s="331" t="s">
        <v>581</v>
      </c>
      <c r="M431" s="331" t="s">
        <v>581</v>
      </c>
      <c r="N431" s="318">
        <v>2.4</v>
      </c>
      <c r="O431" s="331" t="s">
        <v>581</v>
      </c>
      <c r="P431" s="331" t="s">
        <v>581</v>
      </c>
    </row>
    <row r="432" spans="1:16" ht="15" customHeight="1" x14ac:dyDescent="0.25">
      <c r="A432" s="299" t="s">
        <v>284</v>
      </c>
      <c r="B432" s="318">
        <v>20</v>
      </c>
      <c r="C432" s="331" t="s">
        <v>581</v>
      </c>
      <c r="D432" s="331" t="s">
        <v>581</v>
      </c>
      <c r="E432" s="318">
        <v>2.5</v>
      </c>
      <c r="F432" s="331" t="s">
        <v>581</v>
      </c>
      <c r="G432" s="331" t="s">
        <v>581</v>
      </c>
      <c r="H432" s="318">
        <v>3.5</v>
      </c>
      <c r="I432" s="331" t="s">
        <v>581</v>
      </c>
      <c r="J432" s="331" t="s">
        <v>581</v>
      </c>
      <c r="K432" s="318">
        <v>11.2</v>
      </c>
      <c r="L432" s="331" t="s">
        <v>581</v>
      </c>
      <c r="M432" s="331" t="s">
        <v>581</v>
      </c>
      <c r="N432" s="318">
        <v>2.7</v>
      </c>
      <c r="O432" s="331" t="s">
        <v>581</v>
      </c>
      <c r="P432" s="331" t="s">
        <v>581</v>
      </c>
    </row>
    <row r="433" spans="1:199" ht="15" customHeight="1" x14ac:dyDescent="0.25">
      <c r="A433" s="299" t="s">
        <v>294</v>
      </c>
      <c r="B433" s="318">
        <v>18.899999999999999</v>
      </c>
      <c r="C433" s="331" t="s">
        <v>581</v>
      </c>
      <c r="D433" s="331" t="s">
        <v>581</v>
      </c>
      <c r="E433" s="318">
        <v>2.2999999999999998</v>
      </c>
      <c r="F433" s="331" t="s">
        <v>581</v>
      </c>
      <c r="G433" s="331" t="s">
        <v>581</v>
      </c>
      <c r="H433" s="318">
        <v>4.5</v>
      </c>
      <c r="I433" s="331" t="s">
        <v>581</v>
      </c>
      <c r="J433" s="331" t="s">
        <v>581</v>
      </c>
      <c r="K433" s="318">
        <v>9.3000000000000007</v>
      </c>
      <c r="L433" s="331" t="s">
        <v>581</v>
      </c>
      <c r="M433" s="331" t="s">
        <v>581</v>
      </c>
      <c r="N433" s="318">
        <v>2.7</v>
      </c>
      <c r="O433" s="331" t="s">
        <v>581</v>
      </c>
      <c r="P433" s="331" t="s">
        <v>581</v>
      </c>
    </row>
    <row r="434" spans="1:199" ht="15" customHeight="1" x14ac:dyDescent="0.25">
      <c r="A434" s="299" t="s">
        <v>295</v>
      </c>
      <c r="B434" s="318">
        <v>20.5</v>
      </c>
      <c r="C434" s="331" t="s">
        <v>581</v>
      </c>
      <c r="D434" s="331" t="s">
        <v>581</v>
      </c>
      <c r="E434" s="318">
        <v>2.2000000000000002</v>
      </c>
      <c r="F434" s="331" t="s">
        <v>581</v>
      </c>
      <c r="G434" s="331" t="s">
        <v>581</v>
      </c>
      <c r="H434" s="318">
        <v>5.0999999999999996</v>
      </c>
      <c r="I434" s="331" t="s">
        <v>581</v>
      </c>
      <c r="J434" s="331" t="s">
        <v>581</v>
      </c>
      <c r="K434" s="318">
        <v>10.1</v>
      </c>
      <c r="L434" s="331" t="s">
        <v>581</v>
      </c>
      <c r="M434" s="331" t="s">
        <v>581</v>
      </c>
      <c r="N434" s="318">
        <v>3.1</v>
      </c>
      <c r="O434" s="331" t="s">
        <v>581</v>
      </c>
      <c r="P434" s="331" t="s">
        <v>581</v>
      </c>
    </row>
    <row r="435" spans="1:199" ht="15" customHeight="1" x14ac:dyDescent="0.25">
      <c r="A435" s="299" t="s">
        <v>296</v>
      </c>
      <c r="B435" s="318">
        <v>17.100000000000001</v>
      </c>
      <c r="C435" s="331" t="s">
        <v>581</v>
      </c>
      <c r="D435" s="331" t="s">
        <v>581</v>
      </c>
      <c r="E435" s="318">
        <v>1.7</v>
      </c>
      <c r="F435" s="331" t="s">
        <v>581</v>
      </c>
      <c r="G435" s="331" t="s">
        <v>581</v>
      </c>
      <c r="H435" s="318">
        <v>3.4</v>
      </c>
      <c r="I435" s="331" t="s">
        <v>581</v>
      </c>
      <c r="J435" s="331" t="s">
        <v>581</v>
      </c>
      <c r="K435" s="318">
        <v>9.3000000000000007</v>
      </c>
      <c r="L435" s="331" t="s">
        <v>581</v>
      </c>
      <c r="M435" s="331" t="s">
        <v>581</v>
      </c>
      <c r="N435" s="318">
        <v>2.7</v>
      </c>
      <c r="O435" s="331" t="s">
        <v>581</v>
      </c>
      <c r="P435" s="331" t="s">
        <v>581</v>
      </c>
    </row>
    <row r="436" spans="1:199" ht="15" customHeight="1" x14ac:dyDescent="0.25">
      <c r="A436" s="299" t="s">
        <v>297</v>
      </c>
      <c r="B436" s="318">
        <v>13.6</v>
      </c>
      <c r="C436" s="331" t="s">
        <v>581</v>
      </c>
      <c r="D436" s="331" t="s">
        <v>581</v>
      </c>
      <c r="E436" s="318">
        <v>1.1000000000000001</v>
      </c>
      <c r="F436" s="331" t="s">
        <v>581</v>
      </c>
      <c r="G436" s="331" t="s">
        <v>581</v>
      </c>
      <c r="H436" s="318">
        <v>2.2999999999999998</v>
      </c>
      <c r="I436" s="331" t="s">
        <v>581</v>
      </c>
      <c r="J436" s="331" t="s">
        <v>581</v>
      </c>
      <c r="K436" s="318">
        <v>7.5</v>
      </c>
      <c r="L436" s="331" t="s">
        <v>581</v>
      </c>
      <c r="M436" s="331" t="s">
        <v>581</v>
      </c>
      <c r="N436" s="318">
        <v>2.8</v>
      </c>
      <c r="O436" s="331" t="s">
        <v>581</v>
      </c>
      <c r="P436" s="331" t="s">
        <v>581</v>
      </c>
    </row>
    <row r="437" spans="1:199" ht="15" customHeight="1" x14ac:dyDescent="0.25">
      <c r="B437" s="318"/>
      <c r="C437" s="331"/>
      <c r="D437" s="331"/>
      <c r="E437" s="318"/>
      <c r="F437" s="331"/>
      <c r="G437" s="331"/>
      <c r="H437" s="318"/>
      <c r="I437" s="331"/>
      <c r="J437" s="331"/>
      <c r="K437" s="318"/>
      <c r="L437" s="331"/>
      <c r="M437" s="331"/>
      <c r="N437" s="318"/>
      <c r="O437" s="331"/>
      <c r="P437" s="331"/>
    </row>
    <row r="438" spans="1:199" ht="15" customHeight="1" x14ac:dyDescent="0.25"/>
    <row r="439" spans="1:199" ht="15" customHeight="1" x14ac:dyDescent="0.25">
      <c r="A439" s="312">
        <v>1988</v>
      </c>
      <c r="B439" s="318"/>
      <c r="C439" s="312"/>
      <c r="D439" s="312"/>
      <c r="E439" s="318"/>
      <c r="F439" s="312"/>
      <c r="G439" s="312"/>
      <c r="H439" s="318"/>
      <c r="I439" s="312"/>
      <c r="J439" s="312"/>
      <c r="K439" s="318"/>
      <c r="L439" s="312"/>
      <c r="M439" s="312"/>
      <c r="N439" s="318"/>
      <c r="O439" s="312"/>
      <c r="P439" s="312"/>
    </row>
    <row r="440" spans="1:199" s="300" customFormat="1" ht="10.5" customHeight="1" x14ac:dyDescent="0.25">
      <c r="A440" s="299"/>
      <c r="B440" s="302"/>
      <c r="C440" s="302"/>
      <c r="D440" s="302"/>
      <c r="E440" s="302"/>
      <c r="F440" s="302"/>
      <c r="G440" s="302"/>
      <c r="H440" s="302"/>
      <c r="I440" s="302"/>
      <c r="J440" s="302"/>
      <c r="K440" s="302"/>
      <c r="L440" s="302"/>
      <c r="M440" s="302"/>
      <c r="N440" s="302"/>
      <c r="O440" s="302"/>
      <c r="P440" s="302"/>
    </row>
    <row r="441" spans="1:199" s="312" customFormat="1" ht="15" customHeight="1" x14ac:dyDescent="0.25">
      <c r="A441" s="304" t="s">
        <v>91</v>
      </c>
      <c r="B441" s="323">
        <v>224.3</v>
      </c>
      <c r="C441" s="333">
        <v>128.4</v>
      </c>
      <c r="D441" s="333">
        <v>94.2</v>
      </c>
      <c r="E441" s="323">
        <v>22.7</v>
      </c>
      <c r="F441" s="333">
        <v>14.9</v>
      </c>
      <c r="G441" s="333">
        <v>7.8</v>
      </c>
      <c r="H441" s="323">
        <v>39.1</v>
      </c>
      <c r="I441" s="333">
        <v>25.6</v>
      </c>
      <c r="J441" s="333">
        <v>13.5</v>
      </c>
      <c r="K441" s="323">
        <v>130.69999999999999</v>
      </c>
      <c r="L441" s="333">
        <v>80.599999999999994</v>
      </c>
      <c r="M441" s="333">
        <v>49.9</v>
      </c>
      <c r="N441" s="323">
        <v>31.8</v>
      </c>
      <c r="O441" s="333">
        <v>7.4</v>
      </c>
      <c r="P441" s="333">
        <v>23.1</v>
      </c>
    </row>
    <row r="442" spans="1:199" s="300" customFormat="1" ht="10.5" customHeight="1" x14ac:dyDescent="0.25">
      <c r="A442" s="299"/>
      <c r="B442" s="302"/>
      <c r="C442" s="302"/>
      <c r="D442" s="302"/>
      <c r="E442" s="302"/>
      <c r="F442" s="302"/>
      <c r="G442" s="302"/>
      <c r="H442" s="302"/>
      <c r="I442" s="302"/>
      <c r="J442" s="302"/>
      <c r="K442" s="302"/>
      <c r="L442" s="302"/>
      <c r="M442" s="302"/>
      <c r="N442" s="302"/>
      <c r="O442" s="302"/>
      <c r="P442" s="302"/>
    </row>
    <row r="443" spans="1:199" s="334" customFormat="1" ht="15" customHeight="1" x14ac:dyDescent="0.25">
      <c r="A443" s="299" t="s">
        <v>289</v>
      </c>
      <c r="B443" s="318">
        <v>11.7</v>
      </c>
      <c r="C443" s="331" t="s">
        <v>581</v>
      </c>
      <c r="D443" s="331" t="s">
        <v>581</v>
      </c>
      <c r="E443" s="318">
        <v>0.7</v>
      </c>
      <c r="F443" s="331" t="s">
        <v>581</v>
      </c>
      <c r="G443" s="331" t="s">
        <v>581</v>
      </c>
      <c r="H443" s="318">
        <v>1.6</v>
      </c>
      <c r="I443" s="331" t="s">
        <v>581</v>
      </c>
      <c r="J443" s="331" t="s">
        <v>581</v>
      </c>
      <c r="K443" s="318">
        <v>7.6</v>
      </c>
      <c r="L443" s="331" t="s">
        <v>581</v>
      </c>
      <c r="M443" s="331" t="s">
        <v>581</v>
      </c>
      <c r="N443" s="318">
        <v>1.9</v>
      </c>
      <c r="O443" s="331" t="s">
        <v>581</v>
      </c>
      <c r="P443" s="331" t="s">
        <v>581</v>
      </c>
    </row>
    <row r="444" spans="1:199" ht="15" customHeight="1" x14ac:dyDescent="0.25">
      <c r="A444" s="299" t="s">
        <v>290</v>
      </c>
      <c r="B444" s="318">
        <v>15.1</v>
      </c>
      <c r="C444" s="331" t="s">
        <v>581</v>
      </c>
      <c r="D444" s="331" t="s">
        <v>581</v>
      </c>
      <c r="E444" s="318">
        <v>1.1000000000000001</v>
      </c>
      <c r="F444" s="331" t="s">
        <v>581</v>
      </c>
      <c r="G444" s="331" t="s">
        <v>581</v>
      </c>
      <c r="H444" s="318">
        <v>1.6</v>
      </c>
      <c r="I444" s="331" t="s">
        <v>581</v>
      </c>
      <c r="J444" s="331" t="s">
        <v>581</v>
      </c>
      <c r="K444" s="318">
        <v>10.1</v>
      </c>
      <c r="L444" s="331" t="s">
        <v>581</v>
      </c>
      <c r="M444" s="331" t="s">
        <v>581</v>
      </c>
      <c r="N444" s="318">
        <v>2.2999999999999998</v>
      </c>
      <c r="O444" s="331" t="s">
        <v>581</v>
      </c>
      <c r="P444" s="331" t="s">
        <v>581</v>
      </c>
      <c r="AG444" s="319"/>
      <c r="AH444" s="319"/>
      <c r="AI444" s="319"/>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319"/>
      <c r="BJ444" s="319"/>
      <c r="BK444" s="319"/>
      <c r="BL444" s="319"/>
      <c r="BM444" s="319"/>
      <c r="BN444" s="319"/>
      <c r="BO444" s="319"/>
      <c r="BP444" s="319"/>
      <c r="BQ444" s="319"/>
      <c r="BR444" s="319"/>
      <c r="BS444" s="319"/>
      <c r="BT444" s="319"/>
      <c r="BU444" s="319"/>
      <c r="BV444" s="319"/>
      <c r="BW444" s="319"/>
      <c r="BX444" s="319"/>
      <c r="BY444" s="319"/>
      <c r="BZ444" s="319"/>
      <c r="CA444" s="319"/>
      <c r="CB444" s="319"/>
      <c r="CC444" s="319"/>
      <c r="CD444" s="319"/>
      <c r="CE444" s="319"/>
      <c r="CF444" s="319"/>
      <c r="CG444" s="319"/>
      <c r="CH444" s="319"/>
      <c r="CI444" s="319"/>
      <c r="CJ444" s="319"/>
      <c r="CK444" s="319"/>
      <c r="CL444" s="319"/>
      <c r="CM444" s="319"/>
      <c r="CN444" s="319"/>
      <c r="CO444" s="319"/>
      <c r="CP444" s="319"/>
      <c r="CQ444" s="319"/>
      <c r="CR444" s="319"/>
      <c r="CS444" s="319"/>
      <c r="CT444" s="319"/>
      <c r="CU444" s="319"/>
      <c r="CV444" s="319"/>
      <c r="CW444" s="319"/>
      <c r="CX444" s="319"/>
      <c r="CY444" s="319"/>
      <c r="CZ444" s="319"/>
      <c r="DA444" s="319"/>
      <c r="DB444" s="319"/>
      <c r="DC444" s="319"/>
      <c r="DD444" s="319"/>
      <c r="DE444" s="319"/>
      <c r="DF444" s="319"/>
      <c r="DG444" s="319"/>
      <c r="DH444" s="319"/>
      <c r="DI444" s="319"/>
      <c r="DJ444" s="319"/>
      <c r="DK444" s="319"/>
      <c r="DL444" s="319"/>
      <c r="DM444" s="319"/>
      <c r="DN444" s="319"/>
      <c r="DO444" s="319"/>
      <c r="DP444" s="319"/>
      <c r="DQ444" s="319"/>
      <c r="DR444" s="319"/>
      <c r="DS444" s="319"/>
      <c r="DT444" s="319"/>
      <c r="DU444" s="319"/>
      <c r="DV444" s="319"/>
      <c r="DW444" s="319"/>
      <c r="DX444" s="319"/>
      <c r="DY444" s="319"/>
      <c r="DZ444" s="319"/>
      <c r="EA444" s="319"/>
      <c r="EB444" s="319"/>
      <c r="EC444" s="319"/>
      <c r="ED444" s="319"/>
      <c r="EE444" s="319"/>
      <c r="EF444" s="319"/>
      <c r="EG444" s="319"/>
      <c r="EH444" s="319"/>
      <c r="EI444" s="319"/>
      <c r="EJ444" s="319"/>
      <c r="EK444" s="319"/>
      <c r="EL444" s="319"/>
      <c r="EM444" s="319"/>
      <c r="EN444" s="319"/>
      <c r="EO444" s="319"/>
      <c r="EP444" s="319"/>
      <c r="EQ444" s="319"/>
      <c r="ER444" s="319"/>
      <c r="ES444" s="319"/>
      <c r="ET444" s="319"/>
      <c r="EU444" s="319"/>
      <c r="EV444" s="319"/>
      <c r="EW444" s="319"/>
      <c r="EX444" s="319"/>
      <c r="EY444" s="319"/>
      <c r="EZ444" s="319"/>
      <c r="FA444" s="319"/>
      <c r="FB444" s="319"/>
      <c r="FC444" s="319"/>
      <c r="FD444" s="319"/>
      <c r="FE444" s="319"/>
      <c r="FF444" s="319"/>
      <c r="FG444" s="319"/>
      <c r="FH444" s="319"/>
      <c r="FI444" s="319"/>
      <c r="FJ444" s="319"/>
      <c r="FK444" s="319"/>
      <c r="FL444" s="319"/>
      <c r="FM444" s="319"/>
      <c r="FN444" s="319"/>
      <c r="FO444" s="319"/>
      <c r="FP444" s="319"/>
      <c r="FQ444" s="319"/>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row>
    <row r="445" spans="1:199" ht="15" customHeight="1" x14ac:dyDescent="0.25">
      <c r="A445" s="299" t="s">
        <v>291</v>
      </c>
      <c r="B445" s="318">
        <v>17.5</v>
      </c>
      <c r="C445" s="331" t="s">
        <v>581</v>
      </c>
      <c r="D445" s="331" t="s">
        <v>581</v>
      </c>
      <c r="E445" s="318">
        <v>0.9</v>
      </c>
      <c r="F445" s="331" t="s">
        <v>581</v>
      </c>
      <c r="G445" s="331" t="s">
        <v>581</v>
      </c>
      <c r="H445" s="318">
        <v>2.1</v>
      </c>
      <c r="I445" s="331" t="s">
        <v>581</v>
      </c>
      <c r="J445" s="331" t="s">
        <v>581</v>
      </c>
      <c r="K445" s="318">
        <v>12.3</v>
      </c>
      <c r="L445" s="331" t="s">
        <v>581</v>
      </c>
      <c r="M445" s="331" t="s">
        <v>581</v>
      </c>
      <c r="N445" s="318">
        <v>2.2999999999999998</v>
      </c>
      <c r="O445" s="331" t="s">
        <v>581</v>
      </c>
      <c r="P445" s="331" t="s">
        <v>581</v>
      </c>
    </row>
    <row r="446" spans="1:199" ht="15" customHeight="1" x14ac:dyDescent="0.25">
      <c r="A446" s="299" t="s">
        <v>292</v>
      </c>
      <c r="B446" s="318">
        <v>19.5</v>
      </c>
      <c r="C446" s="331" t="s">
        <v>581</v>
      </c>
      <c r="D446" s="331" t="s">
        <v>581</v>
      </c>
      <c r="E446" s="318">
        <v>1.9</v>
      </c>
      <c r="F446" s="331" t="s">
        <v>581</v>
      </c>
      <c r="G446" s="331" t="s">
        <v>581</v>
      </c>
      <c r="H446" s="318">
        <v>3.4</v>
      </c>
      <c r="I446" s="331" t="s">
        <v>581</v>
      </c>
      <c r="J446" s="331" t="s">
        <v>581</v>
      </c>
      <c r="K446" s="318">
        <v>11.5</v>
      </c>
      <c r="L446" s="331" t="s">
        <v>581</v>
      </c>
      <c r="M446" s="331" t="s">
        <v>581</v>
      </c>
      <c r="N446" s="318">
        <v>2.7</v>
      </c>
      <c r="O446" s="331" t="s">
        <v>581</v>
      </c>
      <c r="P446" s="331" t="s">
        <v>581</v>
      </c>
    </row>
    <row r="447" spans="1:199" ht="15" customHeight="1" x14ac:dyDescent="0.25">
      <c r="A447" s="299" t="s">
        <v>293</v>
      </c>
      <c r="B447" s="318">
        <v>20.6</v>
      </c>
      <c r="C447" s="331" t="s">
        <v>581</v>
      </c>
      <c r="D447" s="331" t="s">
        <v>581</v>
      </c>
      <c r="E447" s="318">
        <v>2.1</v>
      </c>
      <c r="F447" s="331" t="s">
        <v>581</v>
      </c>
      <c r="G447" s="331" t="s">
        <v>581</v>
      </c>
      <c r="H447" s="318">
        <v>4.2</v>
      </c>
      <c r="I447" s="331" t="s">
        <v>581</v>
      </c>
      <c r="J447" s="331" t="s">
        <v>581</v>
      </c>
      <c r="K447" s="318">
        <v>12</v>
      </c>
      <c r="L447" s="331" t="s">
        <v>581</v>
      </c>
      <c r="M447" s="331" t="s">
        <v>581</v>
      </c>
      <c r="N447" s="318">
        <v>2.4</v>
      </c>
      <c r="O447" s="331" t="s">
        <v>581</v>
      </c>
      <c r="P447" s="331" t="s">
        <v>581</v>
      </c>
    </row>
    <row r="448" spans="1:199" ht="15" customHeight="1" x14ac:dyDescent="0.25">
      <c r="A448" s="299" t="s">
        <v>282</v>
      </c>
      <c r="B448" s="318">
        <v>24.4</v>
      </c>
      <c r="C448" s="331" t="s">
        <v>581</v>
      </c>
      <c r="D448" s="331" t="s">
        <v>581</v>
      </c>
      <c r="E448" s="318">
        <v>3</v>
      </c>
      <c r="F448" s="331" t="s">
        <v>581</v>
      </c>
      <c r="G448" s="331" t="s">
        <v>581</v>
      </c>
      <c r="H448" s="318">
        <v>4.7</v>
      </c>
      <c r="I448" s="331" t="s">
        <v>581</v>
      </c>
      <c r="J448" s="331" t="s">
        <v>581</v>
      </c>
      <c r="K448" s="318">
        <v>12.9</v>
      </c>
      <c r="L448" s="331" t="s">
        <v>581</v>
      </c>
      <c r="M448" s="331" t="s">
        <v>581</v>
      </c>
      <c r="N448" s="318">
        <v>3.7</v>
      </c>
      <c r="O448" s="331" t="s">
        <v>581</v>
      </c>
      <c r="P448" s="331" t="s">
        <v>581</v>
      </c>
    </row>
    <row r="449" spans="1:16" ht="15" customHeight="1" x14ac:dyDescent="0.25">
      <c r="A449" s="299" t="s">
        <v>283</v>
      </c>
      <c r="B449" s="318">
        <v>17.399999999999999</v>
      </c>
      <c r="C449" s="331" t="s">
        <v>581</v>
      </c>
      <c r="D449" s="331" t="s">
        <v>581</v>
      </c>
      <c r="E449" s="318">
        <v>1.9</v>
      </c>
      <c r="F449" s="331" t="s">
        <v>581</v>
      </c>
      <c r="G449" s="331" t="s">
        <v>581</v>
      </c>
      <c r="H449" s="318">
        <v>3.3</v>
      </c>
      <c r="I449" s="331" t="s">
        <v>581</v>
      </c>
      <c r="J449" s="331" t="s">
        <v>581</v>
      </c>
      <c r="K449" s="318">
        <v>9.6</v>
      </c>
      <c r="L449" s="331" t="s">
        <v>581</v>
      </c>
      <c r="M449" s="331" t="s">
        <v>581</v>
      </c>
      <c r="N449" s="318">
        <v>2.5</v>
      </c>
      <c r="O449" s="331" t="s">
        <v>581</v>
      </c>
      <c r="P449" s="331" t="s">
        <v>581</v>
      </c>
    </row>
    <row r="450" spans="1:16" ht="15" customHeight="1" x14ac:dyDescent="0.25">
      <c r="A450" s="299" t="s">
        <v>284</v>
      </c>
      <c r="B450" s="318">
        <v>23.3</v>
      </c>
      <c r="C450" s="331" t="s">
        <v>581</v>
      </c>
      <c r="D450" s="331" t="s">
        <v>581</v>
      </c>
      <c r="E450" s="318">
        <v>2.7</v>
      </c>
      <c r="F450" s="331" t="s">
        <v>581</v>
      </c>
      <c r="G450" s="331" t="s">
        <v>581</v>
      </c>
      <c r="H450" s="318">
        <v>5</v>
      </c>
      <c r="I450" s="331" t="s">
        <v>581</v>
      </c>
      <c r="J450" s="331" t="s">
        <v>581</v>
      </c>
      <c r="K450" s="318">
        <v>12.7</v>
      </c>
      <c r="L450" s="331" t="s">
        <v>581</v>
      </c>
      <c r="M450" s="331" t="s">
        <v>581</v>
      </c>
      <c r="N450" s="318">
        <v>2.9</v>
      </c>
      <c r="O450" s="331" t="s">
        <v>581</v>
      </c>
      <c r="P450" s="331" t="s">
        <v>581</v>
      </c>
    </row>
    <row r="451" spans="1:16" ht="15" customHeight="1" x14ac:dyDescent="0.25">
      <c r="A451" s="299" t="s">
        <v>294</v>
      </c>
      <c r="B451" s="318">
        <v>19.600000000000001</v>
      </c>
      <c r="C451" s="331" t="s">
        <v>581</v>
      </c>
      <c r="D451" s="331" t="s">
        <v>581</v>
      </c>
      <c r="E451" s="318">
        <v>2</v>
      </c>
      <c r="F451" s="331" t="s">
        <v>581</v>
      </c>
      <c r="G451" s="331" t="s">
        <v>581</v>
      </c>
      <c r="H451" s="318">
        <v>3.7</v>
      </c>
      <c r="I451" s="331" t="s">
        <v>581</v>
      </c>
      <c r="J451" s="331" t="s">
        <v>581</v>
      </c>
      <c r="K451" s="318">
        <v>11</v>
      </c>
      <c r="L451" s="331" t="s">
        <v>581</v>
      </c>
      <c r="M451" s="331" t="s">
        <v>581</v>
      </c>
      <c r="N451" s="318">
        <v>3</v>
      </c>
      <c r="O451" s="331" t="s">
        <v>581</v>
      </c>
      <c r="P451" s="331" t="s">
        <v>581</v>
      </c>
    </row>
    <row r="452" spans="1:16" ht="15" customHeight="1" x14ac:dyDescent="0.25">
      <c r="A452" s="299" t="s">
        <v>295</v>
      </c>
      <c r="B452" s="318">
        <v>20.9</v>
      </c>
      <c r="C452" s="331" t="s">
        <v>581</v>
      </c>
      <c r="D452" s="331" t="s">
        <v>581</v>
      </c>
      <c r="E452" s="318">
        <v>2.9</v>
      </c>
      <c r="F452" s="331" t="s">
        <v>581</v>
      </c>
      <c r="G452" s="331" t="s">
        <v>581</v>
      </c>
      <c r="H452" s="318">
        <v>3.9</v>
      </c>
      <c r="I452" s="331" t="s">
        <v>581</v>
      </c>
      <c r="J452" s="331" t="s">
        <v>581</v>
      </c>
      <c r="K452" s="318">
        <v>11.2</v>
      </c>
      <c r="L452" s="331" t="s">
        <v>581</v>
      </c>
      <c r="M452" s="331" t="s">
        <v>581</v>
      </c>
      <c r="N452" s="318">
        <v>2.9</v>
      </c>
      <c r="O452" s="331" t="s">
        <v>581</v>
      </c>
      <c r="P452" s="331" t="s">
        <v>581</v>
      </c>
    </row>
    <row r="453" spans="1:16" ht="15" customHeight="1" x14ac:dyDescent="0.25">
      <c r="A453" s="299" t="s">
        <v>296</v>
      </c>
      <c r="B453" s="318">
        <v>18.3</v>
      </c>
      <c r="C453" s="331" t="s">
        <v>581</v>
      </c>
      <c r="D453" s="331" t="s">
        <v>581</v>
      </c>
      <c r="E453" s="318">
        <v>1.7</v>
      </c>
      <c r="F453" s="331" t="s">
        <v>581</v>
      </c>
      <c r="G453" s="331" t="s">
        <v>581</v>
      </c>
      <c r="H453" s="318">
        <v>3.1</v>
      </c>
      <c r="I453" s="331" t="s">
        <v>581</v>
      </c>
      <c r="J453" s="331" t="s">
        <v>581</v>
      </c>
      <c r="K453" s="318">
        <v>10.9</v>
      </c>
      <c r="L453" s="331" t="s">
        <v>581</v>
      </c>
      <c r="M453" s="331" t="s">
        <v>581</v>
      </c>
      <c r="N453" s="318">
        <v>2.7</v>
      </c>
      <c r="O453" s="331" t="s">
        <v>581</v>
      </c>
      <c r="P453" s="331" t="s">
        <v>581</v>
      </c>
    </row>
    <row r="454" spans="1:16" ht="15" customHeight="1" x14ac:dyDescent="0.25">
      <c r="A454" s="299" t="s">
        <v>297</v>
      </c>
      <c r="B454" s="318">
        <v>16.100000000000001</v>
      </c>
      <c r="C454" s="331" t="s">
        <v>581</v>
      </c>
      <c r="D454" s="331" t="s">
        <v>581</v>
      </c>
      <c r="E454" s="318">
        <v>1.9</v>
      </c>
      <c r="F454" s="331" t="s">
        <v>581</v>
      </c>
      <c r="G454" s="331" t="s">
        <v>581</v>
      </c>
      <c r="H454" s="318">
        <v>2.7</v>
      </c>
      <c r="I454" s="331" t="s">
        <v>581</v>
      </c>
      <c r="J454" s="331" t="s">
        <v>581</v>
      </c>
      <c r="K454" s="318">
        <v>9</v>
      </c>
      <c r="L454" s="331" t="s">
        <v>581</v>
      </c>
      <c r="M454" s="331" t="s">
        <v>581</v>
      </c>
      <c r="N454" s="318">
        <v>2.5</v>
      </c>
      <c r="O454" s="331" t="s">
        <v>581</v>
      </c>
      <c r="P454" s="331" t="s">
        <v>581</v>
      </c>
    </row>
    <row r="455" spans="1:16" ht="15" customHeight="1" x14ac:dyDescent="0.25"/>
    <row r="456" spans="1:16" ht="15" customHeight="1" x14ac:dyDescent="0.25"/>
    <row r="457" spans="1:16" ht="15" customHeight="1" x14ac:dyDescent="0.25">
      <c r="A457" s="312">
        <v>1987</v>
      </c>
      <c r="B457" s="318"/>
      <c r="C457" s="312"/>
      <c r="D457" s="312"/>
      <c r="E457" s="318"/>
      <c r="F457" s="312"/>
      <c r="G457" s="312"/>
      <c r="H457" s="318"/>
      <c r="I457" s="312"/>
      <c r="J457" s="312"/>
      <c r="K457" s="318"/>
      <c r="L457" s="312"/>
      <c r="M457" s="312"/>
      <c r="N457" s="318"/>
      <c r="O457" s="312"/>
      <c r="P457" s="312"/>
    </row>
    <row r="458" spans="1:16" s="300" customFormat="1" ht="10.5" customHeight="1" x14ac:dyDescent="0.25">
      <c r="A458" s="299"/>
      <c r="B458" s="302"/>
      <c r="C458" s="302"/>
      <c r="D458" s="302"/>
      <c r="E458" s="302"/>
      <c r="F458" s="302"/>
      <c r="G458" s="302"/>
      <c r="H458" s="302"/>
      <c r="I458" s="302"/>
      <c r="J458" s="302"/>
      <c r="K458" s="302"/>
      <c r="L458" s="302"/>
      <c r="M458" s="302"/>
      <c r="N458" s="302"/>
      <c r="O458" s="302"/>
      <c r="P458" s="302"/>
    </row>
    <row r="459" spans="1:16" ht="15" customHeight="1" x14ac:dyDescent="0.2">
      <c r="A459" s="329" t="s">
        <v>91</v>
      </c>
      <c r="B459" s="323">
        <v>239.2</v>
      </c>
      <c r="C459" s="333">
        <v>148.5</v>
      </c>
      <c r="D459" s="333">
        <v>89.2</v>
      </c>
      <c r="E459" s="323">
        <v>23.6</v>
      </c>
      <c r="F459" s="333">
        <v>16.600000000000001</v>
      </c>
      <c r="G459" s="333">
        <v>6.9</v>
      </c>
      <c r="H459" s="323">
        <v>40</v>
      </c>
      <c r="I459" s="333">
        <v>27.6</v>
      </c>
      <c r="J459" s="333">
        <v>12.4</v>
      </c>
      <c r="K459" s="323">
        <v>145.5</v>
      </c>
      <c r="L459" s="333">
        <v>94.6</v>
      </c>
      <c r="M459" s="333">
        <v>50.6</v>
      </c>
      <c r="N459" s="323">
        <v>30.1</v>
      </c>
      <c r="O459" s="333">
        <v>9.6</v>
      </c>
      <c r="P459" s="333">
        <v>19.3</v>
      </c>
    </row>
    <row r="460" spans="1:16" s="300" customFormat="1" ht="10.5" customHeight="1" x14ac:dyDescent="0.25">
      <c r="A460" s="299"/>
      <c r="B460" s="302"/>
      <c r="C460" s="302"/>
      <c r="D460" s="302"/>
      <c r="E460" s="302"/>
      <c r="F460" s="302"/>
      <c r="G460" s="302"/>
      <c r="H460" s="302"/>
      <c r="I460" s="302"/>
      <c r="J460" s="302"/>
      <c r="K460" s="302"/>
      <c r="L460" s="302"/>
      <c r="M460" s="302"/>
      <c r="N460" s="302"/>
      <c r="O460" s="302"/>
      <c r="P460" s="302"/>
    </row>
    <row r="461" spans="1:16" ht="15" customHeight="1" x14ac:dyDescent="0.25">
      <c r="A461" s="299" t="s">
        <v>289</v>
      </c>
      <c r="B461" s="318">
        <v>13.6</v>
      </c>
      <c r="C461" s="331" t="s">
        <v>581</v>
      </c>
      <c r="D461" s="331" t="s">
        <v>581</v>
      </c>
      <c r="E461" s="318">
        <v>1.1000000000000001</v>
      </c>
      <c r="F461" s="331" t="s">
        <v>581</v>
      </c>
      <c r="G461" s="331" t="s">
        <v>581</v>
      </c>
      <c r="H461" s="318">
        <v>1.7</v>
      </c>
      <c r="I461" s="331" t="s">
        <v>581</v>
      </c>
      <c r="J461" s="331" t="s">
        <v>581</v>
      </c>
      <c r="K461" s="318">
        <v>9.1999999999999993</v>
      </c>
      <c r="L461" s="331" t="s">
        <v>581</v>
      </c>
      <c r="M461" s="331" t="s">
        <v>581</v>
      </c>
      <c r="N461" s="318">
        <v>1.6</v>
      </c>
      <c r="O461" s="331" t="s">
        <v>581</v>
      </c>
      <c r="P461" s="331" t="s">
        <v>581</v>
      </c>
    </row>
    <row r="462" spans="1:16" ht="15" customHeight="1" x14ac:dyDescent="0.25">
      <c r="A462" s="299" t="s">
        <v>290</v>
      </c>
      <c r="B462" s="318">
        <v>15.6</v>
      </c>
      <c r="C462" s="331" t="s">
        <v>581</v>
      </c>
      <c r="D462" s="331" t="s">
        <v>581</v>
      </c>
      <c r="E462" s="318">
        <v>0.9</v>
      </c>
      <c r="F462" s="331" t="s">
        <v>581</v>
      </c>
      <c r="G462" s="331" t="s">
        <v>581</v>
      </c>
      <c r="H462" s="318">
        <v>1.9</v>
      </c>
      <c r="I462" s="331" t="s">
        <v>581</v>
      </c>
      <c r="J462" s="331" t="s">
        <v>581</v>
      </c>
      <c r="K462" s="318">
        <v>10.6</v>
      </c>
      <c r="L462" s="331" t="s">
        <v>581</v>
      </c>
      <c r="M462" s="331" t="s">
        <v>581</v>
      </c>
      <c r="N462" s="318">
        <v>2.2000000000000002</v>
      </c>
      <c r="O462" s="331" t="s">
        <v>581</v>
      </c>
      <c r="P462" s="331" t="s">
        <v>581</v>
      </c>
    </row>
    <row r="463" spans="1:16" ht="15" customHeight="1" x14ac:dyDescent="0.25">
      <c r="A463" s="299" t="s">
        <v>291</v>
      </c>
      <c r="B463" s="318">
        <v>18.5</v>
      </c>
      <c r="C463" s="331" t="s">
        <v>581</v>
      </c>
      <c r="D463" s="331" t="s">
        <v>581</v>
      </c>
      <c r="E463" s="318">
        <v>1.1000000000000001</v>
      </c>
      <c r="F463" s="331" t="s">
        <v>581</v>
      </c>
      <c r="G463" s="331" t="s">
        <v>581</v>
      </c>
      <c r="H463" s="318">
        <v>2.1</v>
      </c>
      <c r="I463" s="331" t="s">
        <v>581</v>
      </c>
      <c r="J463" s="331" t="s">
        <v>581</v>
      </c>
      <c r="K463" s="318">
        <v>12.5</v>
      </c>
      <c r="L463" s="331" t="s">
        <v>581</v>
      </c>
      <c r="M463" s="331" t="s">
        <v>581</v>
      </c>
      <c r="N463" s="318">
        <v>2.7</v>
      </c>
      <c r="O463" s="331" t="s">
        <v>581</v>
      </c>
      <c r="P463" s="331" t="s">
        <v>581</v>
      </c>
    </row>
    <row r="464" spans="1:16" ht="15" customHeight="1" x14ac:dyDescent="0.25">
      <c r="A464" s="299" t="s">
        <v>292</v>
      </c>
      <c r="B464" s="318">
        <v>20.7</v>
      </c>
      <c r="C464" s="331" t="s">
        <v>581</v>
      </c>
      <c r="D464" s="331" t="s">
        <v>581</v>
      </c>
      <c r="E464" s="318">
        <v>1.8</v>
      </c>
      <c r="F464" s="331" t="s">
        <v>581</v>
      </c>
      <c r="G464" s="331" t="s">
        <v>581</v>
      </c>
      <c r="H464" s="318">
        <v>4.2</v>
      </c>
      <c r="I464" s="331" t="s">
        <v>581</v>
      </c>
      <c r="J464" s="331" t="s">
        <v>581</v>
      </c>
      <c r="K464" s="318">
        <v>12.7</v>
      </c>
      <c r="L464" s="331" t="s">
        <v>581</v>
      </c>
      <c r="M464" s="331" t="s">
        <v>581</v>
      </c>
      <c r="N464" s="318">
        <v>2</v>
      </c>
      <c r="O464" s="331" t="s">
        <v>581</v>
      </c>
      <c r="P464" s="331" t="s">
        <v>581</v>
      </c>
    </row>
    <row r="465" spans="1:32" ht="15" customHeight="1" x14ac:dyDescent="0.25">
      <c r="A465" s="299" t="s">
        <v>293</v>
      </c>
      <c r="B465" s="318">
        <v>23.1</v>
      </c>
      <c r="C465" s="331" t="s">
        <v>581</v>
      </c>
      <c r="D465" s="331" t="s">
        <v>581</v>
      </c>
      <c r="E465" s="318">
        <v>2.8</v>
      </c>
      <c r="F465" s="331" t="s">
        <v>581</v>
      </c>
      <c r="G465" s="331" t="s">
        <v>581</v>
      </c>
      <c r="H465" s="318">
        <v>3.5</v>
      </c>
      <c r="I465" s="331" t="s">
        <v>581</v>
      </c>
      <c r="J465" s="331" t="s">
        <v>581</v>
      </c>
      <c r="K465" s="318">
        <v>13.9</v>
      </c>
      <c r="L465" s="331" t="s">
        <v>581</v>
      </c>
      <c r="M465" s="331" t="s">
        <v>581</v>
      </c>
      <c r="N465" s="318">
        <v>2.9</v>
      </c>
      <c r="O465" s="331" t="s">
        <v>581</v>
      </c>
      <c r="P465" s="331" t="s">
        <v>581</v>
      </c>
    </row>
    <row r="466" spans="1:32" ht="15" customHeight="1" x14ac:dyDescent="0.25">
      <c r="A466" s="299" t="s">
        <v>282</v>
      </c>
      <c r="B466" s="318">
        <v>23.5</v>
      </c>
      <c r="C466" s="331" t="s">
        <v>581</v>
      </c>
      <c r="D466" s="331" t="s">
        <v>581</v>
      </c>
      <c r="E466" s="318">
        <v>2.6</v>
      </c>
      <c r="F466" s="331" t="s">
        <v>581</v>
      </c>
      <c r="G466" s="331" t="s">
        <v>581</v>
      </c>
      <c r="H466" s="318">
        <v>4.2</v>
      </c>
      <c r="I466" s="331" t="s">
        <v>581</v>
      </c>
      <c r="J466" s="331" t="s">
        <v>581</v>
      </c>
      <c r="K466" s="318">
        <v>13.9</v>
      </c>
      <c r="L466" s="331" t="s">
        <v>581</v>
      </c>
      <c r="M466" s="331" t="s">
        <v>581</v>
      </c>
      <c r="N466" s="318">
        <v>2.8</v>
      </c>
      <c r="O466" s="331" t="s">
        <v>581</v>
      </c>
      <c r="P466" s="331" t="s">
        <v>581</v>
      </c>
    </row>
    <row r="467" spans="1:32" ht="15" customHeight="1" x14ac:dyDescent="0.25">
      <c r="A467" s="299" t="s">
        <v>283</v>
      </c>
      <c r="B467" s="318">
        <v>22.8</v>
      </c>
      <c r="C467" s="331" t="s">
        <v>581</v>
      </c>
      <c r="D467" s="331" t="s">
        <v>581</v>
      </c>
      <c r="E467" s="318">
        <v>2.4</v>
      </c>
      <c r="F467" s="331" t="s">
        <v>581</v>
      </c>
      <c r="G467" s="331" t="s">
        <v>581</v>
      </c>
      <c r="H467" s="318">
        <v>4.0999999999999996</v>
      </c>
      <c r="I467" s="331" t="s">
        <v>581</v>
      </c>
      <c r="J467" s="331" t="s">
        <v>581</v>
      </c>
      <c r="K467" s="318">
        <v>13.6</v>
      </c>
      <c r="L467" s="331" t="s">
        <v>581</v>
      </c>
      <c r="M467" s="331" t="s">
        <v>581</v>
      </c>
      <c r="N467" s="318">
        <v>2.7</v>
      </c>
      <c r="O467" s="331" t="s">
        <v>581</v>
      </c>
      <c r="P467" s="331" t="s">
        <v>581</v>
      </c>
    </row>
    <row r="468" spans="1:32" ht="15" customHeight="1" x14ac:dyDescent="0.25">
      <c r="A468" s="299" t="s">
        <v>284</v>
      </c>
      <c r="B468" s="318">
        <v>23.1</v>
      </c>
      <c r="C468" s="331" t="s">
        <v>581</v>
      </c>
      <c r="D468" s="331" t="s">
        <v>581</v>
      </c>
      <c r="E468" s="318">
        <v>2.8</v>
      </c>
      <c r="F468" s="331" t="s">
        <v>581</v>
      </c>
      <c r="G468" s="331" t="s">
        <v>581</v>
      </c>
      <c r="H468" s="318">
        <v>4.2</v>
      </c>
      <c r="I468" s="331" t="s">
        <v>581</v>
      </c>
      <c r="J468" s="331" t="s">
        <v>581</v>
      </c>
      <c r="K468" s="318">
        <v>13.2</v>
      </c>
      <c r="L468" s="331" t="s">
        <v>581</v>
      </c>
      <c r="M468" s="331" t="s">
        <v>581</v>
      </c>
      <c r="N468" s="318">
        <v>3</v>
      </c>
      <c r="O468" s="331" t="s">
        <v>581</v>
      </c>
      <c r="P468" s="331" t="s">
        <v>581</v>
      </c>
    </row>
    <row r="469" spans="1:32" ht="15" customHeight="1" x14ac:dyDescent="0.25">
      <c r="A469" s="299" t="s">
        <v>294</v>
      </c>
      <c r="B469" s="318">
        <v>21.1</v>
      </c>
      <c r="C469" s="331" t="s">
        <v>581</v>
      </c>
      <c r="D469" s="331" t="s">
        <v>581</v>
      </c>
      <c r="E469" s="318">
        <v>1.8</v>
      </c>
      <c r="F469" s="331" t="s">
        <v>581</v>
      </c>
      <c r="G469" s="331" t="s">
        <v>581</v>
      </c>
      <c r="H469" s="318">
        <v>3.7</v>
      </c>
      <c r="I469" s="331" t="s">
        <v>581</v>
      </c>
      <c r="J469" s="331" t="s">
        <v>581</v>
      </c>
      <c r="K469" s="318">
        <v>12.5</v>
      </c>
      <c r="L469" s="331" t="s">
        <v>581</v>
      </c>
      <c r="M469" s="331" t="s">
        <v>581</v>
      </c>
      <c r="N469" s="318">
        <v>3.1</v>
      </c>
      <c r="O469" s="331" t="s">
        <v>581</v>
      </c>
      <c r="P469" s="331" t="s">
        <v>581</v>
      </c>
      <c r="Q469" s="299"/>
      <c r="R469" s="318"/>
      <c r="S469" s="318"/>
      <c r="T469" s="318"/>
      <c r="U469" s="318"/>
      <c r="V469" s="318"/>
      <c r="W469" s="318"/>
      <c r="X469" s="318"/>
      <c r="Y469" s="318"/>
      <c r="Z469" s="318"/>
      <c r="AA469" s="318"/>
      <c r="AB469" s="318"/>
      <c r="AC469" s="318"/>
      <c r="AD469" s="318"/>
      <c r="AE469" s="318"/>
      <c r="AF469" s="318"/>
    </row>
    <row r="470" spans="1:32" ht="15" customHeight="1" x14ac:dyDescent="0.25">
      <c r="A470" s="299" t="s">
        <v>295</v>
      </c>
      <c r="B470" s="318">
        <v>22.1</v>
      </c>
      <c r="C470" s="331" t="s">
        <v>581</v>
      </c>
      <c r="D470" s="331" t="s">
        <v>581</v>
      </c>
      <c r="E470" s="318">
        <v>2.8</v>
      </c>
      <c r="F470" s="331" t="s">
        <v>581</v>
      </c>
      <c r="G470" s="331" t="s">
        <v>581</v>
      </c>
      <c r="H470" s="318">
        <v>3.9</v>
      </c>
      <c r="I470" s="331" t="s">
        <v>581</v>
      </c>
      <c r="J470" s="331" t="s">
        <v>581</v>
      </c>
      <c r="K470" s="318">
        <v>12.6</v>
      </c>
      <c r="L470" s="331" t="s">
        <v>581</v>
      </c>
      <c r="M470" s="331" t="s">
        <v>581</v>
      </c>
      <c r="N470" s="318">
        <v>2.9</v>
      </c>
      <c r="O470" s="331" t="s">
        <v>581</v>
      </c>
      <c r="P470" s="331" t="s">
        <v>581</v>
      </c>
    </row>
    <row r="471" spans="1:32" ht="15" customHeight="1" x14ac:dyDescent="0.25">
      <c r="A471" s="299" t="s">
        <v>296</v>
      </c>
      <c r="B471" s="318">
        <v>19.100000000000001</v>
      </c>
      <c r="C471" s="331" t="s">
        <v>581</v>
      </c>
      <c r="D471" s="331" t="s">
        <v>581</v>
      </c>
      <c r="E471" s="318">
        <v>2.1</v>
      </c>
      <c r="F471" s="331" t="s">
        <v>581</v>
      </c>
      <c r="G471" s="331" t="s">
        <v>581</v>
      </c>
      <c r="H471" s="318">
        <v>4.2</v>
      </c>
      <c r="I471" s="331" t="s">
        <v>581</v>
      </c>
      <c r="J471" s="331" t="s">
        <v>581</v>
      </c>
      <c r="K471" s="318">
        <v>10.6</v>
      </c>
      <c r="L471" s="331" t="s">
        <v>581</v>
      </c>
      <c r="M471" s="331" t="s">
        <v>581</v>
      </c>
      <c r="N471" s="318">
        <v>2.2000000000000002</v>
      </c>
      <c r="O471" s="331" t="s">
        <v>581</v>
      </c>
      <c r="P471" s="331" t="s">
        <v>581</v>
      </c>
    </row>
    <row r="472" spans="1:32" ht="15" customHeight="1" x14ac:dyDescent="0.25">
      <c r="A472" s="299" t="s">
        <v>297</v>
      </c>
      <c r="B472" s="318">
        <v>16</v>
      </c>
      <c r="C472" s="331" t="s">
        <v>581</v>
      </c>
      <c r="D472" s="331" t="s">
        <v>581</v>
      </c>
      <c r="E472" s="318">
        <v>1.5</v>
      </c>
      <c r="F472" s="331" t="s">
        <v>581</v>
      </c>
      <c r="G472" s="331" t="s">
        <v>581</v>
      </c>
      <c r="H472" s="318">
        <v>2.4</v>
      </c>
      <c r="I472" s="331" t="s">
        <v>581</v>
      </c>
      <c r="J472" s="331" t="s">
        <v>581</v>
      </c>
      <c r="K472" s="318">
        <v>10.1</v>
      </c>
      <c r="L472" s="331" t="s">
        <v>581</v>
      </c>
      <c r="M472" s="331" t="s">
        <v>581</v>
      </c>
      <c r="N472" s="318">
        <v>2</v>
      </c>
      <c r="O472" s="331" t="s">
        <v>581</v>
      </c>
      <c r="P472" s="331" t="s">
        <v>581</v>
      </c>
    </row>
    <row r="473" spans="1:32" ht="15" customHeight="1" x14ac:dyDescent="0.25"/>
    <row r="474" spans="1:32" ht="15" customHeight="1" x14ac:dyDescent="0.25"/>
    <row r="475" spans="1:32" ht="15" customHeight="1" x14ac:dyDescent="0.25">
      <c r="A475" s="312">
        <v>1986</v>
      </c>
      <c r="B475" s="318"/>
      <c r="C475" s="312"/>
      <c r="D475" s="312"/>
      <c r="E475" s="318"/>
      <c r="F475" s="312"/>
      <c r="G475" s="312"/>
      <c r="H475" s="318"/>
      <c r="I475" s="312"/>
      <c r="J475" s="312"/>
      <c r="K475" s="318"/>
      <c r="L475" s="312"/>
      <c r="M475" s="312"/>
      <c r="N475" s="318"/>
      <c r="O475" s="312"/>
      <c r="P475" s="312"/>
    </row>
    <row r="476" spans="1:32" s="300" customFormat="1" ht="10.5" customHeight="1" x14ac:dyDescent="0.25">
      <c r="A476" s="299"/>
      <c r="B476" s="302"/>
      <c r="C476" s="302"/>
      <c r="D476" s="302"/>
      <c r="E476" s="302"/>
      <c r="F476" s="302"/>
      <c r="G476" s="302"/>
      <c r="H476" s="302"/>
      <c r="I476" s="302"/>
      <c r="J476" s="302"/>
      <c r="K476" s="302"/>
      <c r="L476" s="302"/>
      <c r="M476" s="302"/>
      <c r="N476" s="302"/>
      <c r="O476" s="302"/>
      <c r="P476" s="302"/>
    </row>
    <row r="477" spans="1:32" ht="15" customHeight="1" x14ac:dyDescent="0.2">
      <c r="A477" s="304" t="s">
        <v>91</v>
      </c>
      <c r="B477" s="323">
        <v>256.10000000000002</v>
      </c>
      <c r="C477" s="333">
        <v>165</v>
      </c>
      <c r="D477" s="333">
        <v>89.8</v>
      </c>
      <c r="E477" s="323">
        <v>21.2</v>
      </c>
      <c r="F477" s="333">
        <v>15.3</v>
      </c>
      <c r="G477" s="333">
        <v>5.9</v>
      </c>
      <c r="H477" s="323">
        <v>37.200000000000003</v>
      </c>
      <c r="I477" s="333">
        <v>27.6</v>
      </c>
      <c r="J477" s="333">
        <v>9.6</v>
      </c>
      <c r="K477" s="323">
        <v>162.30000000000001</v>
      </c>
      <c r="L477" s="333">
        <v>109.6</v>
      </c>
      <c r="M477" s="333">
        <v>52.5</v>
      </c>
      <c r="N477" s="323">
        <v>35.4</v>
      </c>
      <c r="O477" s="333">
        <v>12.4</v>
      </c>
      <c r="P477" s="333">
        <v>21.8</v>
      </c>
    </row>
    <row r="478" spans="1:32" s="300" customFormat="1" ht="10.5" customHeight="1" x14ac:dyDescent="0.25">
      <c r="A478" s="299"/>
      <c r="B478" s="302"/>
      <c r="C478" s="302"/>
      <c r="D478" s="302"/>
      <c r="E478" s="302"/>
      <c r="F478" s="302"/>
      <c r="G478" s="302"/>
      <c r="H478" s="302"/>
      <c r="I478" s="302"/>
      <c r="J478" s="302"/>
      <c r="K478" s="302"/>
      <c r="L478" s="302"/>
      <c r="M478" s="302"/>
      <c r="N478" s="302"/>
      <c r="O478" s="302"/>
      <c r="P478" s="302"/>
    </row>
    <row r="479" spans="1:32" ht="15" customHeight="1" x14ac:dyDescent="0.25">
      <c r="A479" s="299" t="s">
        <v>289</v>
      </c>
      <c r="B479" s="318">
        <v>18.399999999999999</v>
      </c>
      <c r="C479" s="331" t="s">
        <v>581</v>
      </c>
      <c r="D479" s="331" t="s">
        <v>581</v>
      </c>
      <c r="E479" s="318">
        <v>0.6</v>
      </c>
      <c r="F479" s="331" t="s">
        <v>581</v>
      </c>
      <c r="G479" s="331" t="s">
        <v>581</v>
      </c>
      <c r="H479" s="318">
        <v>2</v>
      </c>
      <c r="I479" s="331" t="s">
        <v>581</v>
      </c>
      <c r="J479" s="331" t="s">
        <v>581</v>
      </c>
      <c r="K479" s="318">
        <v>13.3</v>
      </c>
      <c r="L479" s="331" t="s">
        <v>581</v>
      </c>
      <c r="M479" s="331" t="s">
        <v>581</v>
      </c>
      <c r="N479" s="318">
        <v>2.6</v>
      </c>
      <c r="O479" s="331" t="s">
        <v>581</v>
      </c>
      <c r="P479" s="331" t="s">
        <v>581</v>
      </c>
    </row>
    <row r="480" spans="1:32" ht="15" customHeight="1" x14ac:dyDescent="0.25">
      <c r="A480" s="299" t="s">
        <v>290</v>
      </c>
      <c r="B480" s="318">
        <v>16.7</v>
      </c>
      <c r="C480" s="331" t="s">
        <v>581</v>
      </c>
      <c r="D480" s="331" t="s">
        <v>581</v>
      </c>
      <c r="E480" s="318">
        <v>0.7</v>
      </c>
      <c r="F480" s="331" t="s">
        <v>581</v>
      </c>
      <c r="G480" s="331" t="s">
        <v>581</v>
      </c>
      <c r="H480" s="318">
        <v>1.3</v>
      </c>
      <c r="I480" s="331" t="s">
        <v>581</v>
      </c>
      <c r="J480" s="331" t="s">
        <v>581</v>
      </c>
      <c r="K480" s="318">
        <v>12.2</v>
      </c>
      <c r="L480" s="331" t="s">
        <v>581</v>
      </c>
      <c r="M480" s="331" t="s">
        <v>581</v>
      </c>
      <c r="N480" s="318">
        <v>2.5</v>
      </c>
      <c r="O480" s="331" t="s">
        <v>581</v>
      </c>
      <c r="P480" s="331" t="s">
        <v>581</v>
      </c>
    </row>
    <row r="481" spans="1:32" ht="15" customHeight="1" x14ac:dyDescent="0.25">
      <c r="A481" s="299" t="s">
        <v>291</v>
      </c>
      <c r="B481" s="318">
        <v>20.3</v>
      </c>
      <c r="C481" s="331" t="s">
        <v>581</v>
      </c>
      <c r="D481" s="331" t="s">
        <v>581</v>
      </c>
      <c r="E481" s="318">
        <v>0.9</v>
      </c>
      <c r="F481" s="331" t="s">
        <v>581</v>
      </c>
      <c r="G481" s="331" t="s">
        <v>581</v>
      </c>
      <c r="H481" s="318">
        <v>1.9</v>
      </c>
      <c r="I481" s="331" t="s">
        <v>581</v>
      </c>
      <c r="J481" s="331" t="s">
        <v>581</v>
      </c>
      <c r="K481" s="318">
        <v>14.7</v>
      </c>
      <c r="L481" s="331" t="s">
        <v>581</v>
      </c>
      <c r="M481" s="331" t="s">
        <v>581</v>
      </c>
      <c r="N481" s="318">
        <v>2.7</v>
      </c>
      <c r="O481" s="331" t="s">
        <v>581</v>
      </c>
      <c r="P481" s="331" t="s">
        <v>581</v>
      </c>
    </row>
    <row r="482" spans="1:32" ht="15" customHeight="1" x14ac:dyDescent="0.25">
      <c r="A482" s="299" t="s">
        <v>292</v>
      </c>
      <c r="B482" s="318">
        <v>22.3</v>
      </c>
      <c r="C482" s="331" t="s">
        <v>581</v>
      </c>
      <c r="D482" s="331" t="s">
        <v>581</v>
      </c>
      <c r="E482" s="318">
        <v>1.6</v>
      </c>
      <c r="F482" s="331" t="s">
        <v>581</v>
      </c>
      <c r="G482" s="331" t="s">
        <v>581</v>
      </c>
      <c r="H482" s="318">
        <v>2.7</v>
      </c>
      <c r="I482" s="331" t="s">
        <v>581</v>
      </c>
      <c r="J482" s="331" t="s">
        <v>581</v>
      </c>
      <c r="K482" s="318">
        <v>14.4</v>
      </c>
      <c r="L482" s="331" t="s">
        <v>581</v>
      </c>
      <c r="M482" s="331" t="s">
        <v>581</v>
      </c>
      <c r="N482" s="318">
        <v>3.6</v>
      </c>
      <c r="O482" s="331" t="s">
        <v>581</v>
      </c>
      <c r="P482" s="331" t="s">
        <v>581</v>
      </c>
    </row>
    <row r="483" spans="1:32" ht="15" customHeight="1" x14ac:dyDescent="0.25">
      <c r="A483" s="299" t="s">
        <v>293</v>
      </c>
      <c r="B483" s="318">
        <v>26.1</v>
      </c>
      <c r="C483" s="331" t="s">
        <v>581</v>
      </c>
      <c r="D483" s="331" t="s">
        <v>581</v>
      </c>
      <c r="E483" s="318">
        <v>2.1</v>
      </c>
      <c r="F483" s="331" t="s">
        <v>581</v>
      </c>
      <c r="G483" s="331" t="s">
        <v>581</v>
      </c>
      <c r="H483" s="318">
        <v>3.9</v>
      </c>
      <c r="I483" s="331" t="s">
        <v>581</v>
      </c>
      <c r="J483" s="331" t="s">
        <v>581</v>
      </c>
      <c r="K483" s="318">
        <v>17</v>
      </c>
      <c r="L483" s="331" t="s">
        <v>581</v>
      </c>
      <c r="M483" s="331" t="s">
        <v>581</v>
      </c>
      <c r="N483" s="318">
        <v>3.2</v>
      </c>
      <c r="O483" s="331" t="s">
        <v>581</v>
      </c>
      <c r="P483" s="331" t="s">
        <v>581</v>
      </c>
    </row>
    <row r="484" spans="1:32" ht="15" customHeight="1" x14ac:dyDescent="0.25">
      <c r="A484" s="299" t="s">
        <v>282</v>
      </c>
      <c r="B484" s="318">
        <v>24.5</v>
      </c>
      <c r="C484" s="331" t="s">
        <v>581</v>
      </c>
      <c r="D484" s="331" t="s">
        <v>581</v>
      </c>
      <c r="E484" s="318">
        <v>2.8</v>
      </c>
      <c r="F484" s="331" t="s">
        <v>581</v>
      </c>
      <c r="G484" s="331" t="s">
        <v>581</v>
      </c>
      <c r="H484" s="318">
        <v>3.7</v>
      </c>
      <c r="I484" s="331" t="s">
        <v>581</v>
      </c>
      <c r="J484" s="331" t="s">
        <v>581</v>
      </c>
      <c r="K484" s="318">
        <v>15.3</v>
      </c>
      <c r="L484" s="331" t="s">
        <v>581</v>
      </c>
      <c r="M484" s="331" t="s">
        <v>581</v>
      </c>
      <c r="N484" s="318">
        <v>2.7</v>
      </c>
      <c r="O484" s="331" t="s">
        <v>581</v>
      </c>
      <c r="P484" s="331" t="s">
        <v>581</v>
      </c>
    </row>
    <row r="485" spans="1:32" ht="15" customHeight="1" x14ac:dyDescent="0.25">
      <c r="A485" s="299" t="s">
        <v>283</v>
      </c>
      <c r="B485" s="318">
        <v>23.8</v>
      </c>
      <c r="C485" s="331" t="s">
        <v>581</v>
      </c>
      <c r="D485" s="331" t="s">
        <v>581</v>
      </c>
      <c r="E485" s="318">
        <v>2.7</v>
      </c>
      <c r="F485" s="331" t="s">
        <v>581</v>
      </c>
      <c r="G485" s="331" t="s">
        <v>581</v>
      </c>
      <c r="H485" s="318">
        <v>3.8</v>
      </c>
      <c r="I485" s="331" t="s">
        <v>581</v>
      </c>
      <c r="J485" s="331" t="s">
        <v>581</v>
      </c>
      <c r="K485" s="318">
        <v>14.4</v>
      </c>
      <c r="L485" s="331" t="s">
        <v>581</v>
      </c>
      <c r="M485" s="331" t="s">
        <v>581</v>
      </c>
      <c r="N485" s="318">
        <v>2.9</v>
      </c>
      <c r="O485" s="331" t="s">
        <v>581</v>
      </c>
      <c r="P485" s="331" t="s">
        <v>581</v>
      </c>
    </row>
    <row r="486" spans="1:32" ht="15" customHeight="1" x14ac:dyDescent="0.25">
      <c r="A486" s="299" t="s">
        <v>284</v>
      </c>
      <c r="B486" s="318">
        <v>23.6</v>
      </c>
      <c r="C486" s="331" t="s">
        <v>581</v>
      </c>
      <c r="D486" s="331" t="s">
        <v>581</v>
      </c>
      <c r="E486" s="318">
        <v>1.9</v>
      </c>
      <c r="F486" s="331" t="s">
        <v>581</v>
      </c>
      <c r="G486" s="331" t="s">
        <v>581</v>
      </c>
      <c r="H486" s="318">
        <v>4.5</v>
      </c>
      <c r="I486" s="331" t="s">
        <v>581</v>
      </c>
      <c r="J486" s="331" t="s">
        <v>581</v>
      </c>
      <c r="K486" s="318">
        <v>14.4</v>
      </c>
      <c r="L486" s="331" t="s">
        <v>581</v>
      </c>
      <c r="M486" s="331" t="s">
        <v>581</v>
      </c>
      <c r="N486" s="318">
        <v>2.9</v>
      </c>
      <c r="O486" s="331" t="s">
        <v>581</v>
      </c>
      <c r="P486" s="331" t="s">
        <v>581</v>
      </c>
    </row>
    <row r="487" spans="1:32" ht="15" customHeight="1" x14ac:dyDescent="0.25">
      <c r="A487" s="299" t="s">
        <v>294</v>
      </c>
      <c r="B487" s="318">
        <v>22</v>
      </c>
      <c r="C487" s="331" t="s">
        <v>581</v>
      </c>
      <c r="D487" s="331" t="s">
        <v>581</v>
      </c>
      <c r="E487" s="318">
        <v>2.4</v>
      </c>
      <c r="F487" s="331" t="s">
        <v>581</v>
      </c>
      <c r="G487" s="331" t="s">
        <v>581</v>
      </c>
      <c r="H487" s="318">
        <v>3.3</v>
      </c>
      <c r="I487" s="331" t="s">
        <v>581</v>
      </c>
      <c r="J487" s="331" t="s">
        <v>581</v>
      </c>
      <c r="K487" s="318">
        <v>13.1</v>
      </c>
      <c r="L487" s="331" t="s">
        <v>581</v>
      </c>
      <c r="M487" s="331" t="s">
        <v>581</v>
      </c>
      <c r="N487" s="318">
        <v>3.1</v>
      </c>
      <c r="O487" s="331" t="s">
        <v>581</v>
      </c>
      <c r="P487" s="331" t="s">
        <v>581</v>
      </c>
      <c r="Q487" s="299"/>
      <c r="R487" s="319"/>
      <c r="S487" s="319"/>
      <c r="T487" s="319"/>
      <c r="U487" s="319"/>
      <c r="V487" s="319"/>
      <c r="W487" s="319"/>
      <c r="X487" s="319"/>
      <c r="Y487" s="319"/>
      <c r="Z487" s="319"/>
      <c r="AA487" s="319"/>
      <c r="AB487" s="319"/>
      <c r="AC487" s="319"/>
      <c r="AD487" s="319"/>
      <c r="AE487" s="319"/>
      <c r="AF487" s="319"/>
    </row>
    <row r="488" spans="1:32" ht="15" customHeight="1" x14ac:dyDescent="0.25">
      <c r="A488" s="299" t="s">
        <v>295</v>
      </c>
      <c r="B488" s="318">
        <v>22.8</v>
      </c>
      <c r="C488" s="331" t="s">
        <v>581</v>
      </c>
      <c r="D488" s="331" t="s">
        <v>581</v>
      </c>
      <c r="E488" s="318">
        <v>2.1</v>
      </c>
      <c r="F488" s="331" t="s">
        <v>581</v>
      </c>
      <c r="G488" s="331" t="s">
        <v>581</v>
      </c>
      <c r="H488" s="318">
        <v>4.3</v>
      </c>
      <c r="I488" s="331" t="s">
        <v>581</v>
      </c>
      <c r="J488" s="331" t="s">
        <v>581</v>
      </c>
      <c r="K488" s="318">
        <v>12.6</v>
      </c>
      <c r="L488" s="331" t="s">
        <v>581</v>
      </c>
      <c r="M488" s="331" t="s">
        <v>581</v>
      </c>
      <c r="N488" s="318">
        <v>3.8</v>
      </c>
      <c r="O488" s="331" t="s">
        <v>581</v>
      </c>
      <c r="P488" s="331" t="s">
        <v>581</v>
      </c>
    </row>
    <row r="489" spans="1:32" ht="15" customHeight="1" x14ac:dyDescent="0.25">
      <c r="A489" s="299" t="s">
        <v>296</v>
      </c>
      <c r="B489" s="318">
        <v>16.7</v>
      </c>
      <c r="C489" s="331" t="s">
        <v>581</v>
      </c>
      <c r="D489" s="331" t="s">
        <v>581</v>
      </c>
      <c r="E489" s="318">
        <v>1.7</v>
      </c>
      <c r="F489" s="331" t="s">
        <v>581</v>
      </c>
      <c r="G489" s="331" t="s">
        <v>581</v>
      </c>
      <c r="H489" s="318">
        <v>2.5</v>
      </c>
      <c r="I489" s="331" t="s">
        <v>581</v>
      </c>
      <c r="J489" s="331" t="s">
        <v>581</v>
      </c>
      <c r="K489" s="318">
        <v>9.6999999999999993</v>
      </c>
      <c r="L489" s="331" t="s">
        <v>581</v>
      </c>
      <c r="M489" s="331" t="s">
        <v>581</v>
      </c>
      <c r="N489" s="318">
        <v>2.7</v>
      </c>
      <c r="O489" s="331" t="s">
        <v>581</v>
      </c>
      <c r="P489" s="331" t="s">
        <v>581</v>
      </c>
    </row>
    <row r="490" spans="1:32" ht="15" customHeight="1" x14ac:dyDescent="0.25">
      <c r="A490" s="299" t="s">
        <v>297</v>
      </c>
      <c r="B490" s="318">
        <v>18.8</v>
      </c>
      <c r="C490" s="331" t="s">
        <v>581</v>
      </c>
      <c r="D490" s="331" t="s">
        <v>581</v>
      </c>
      <c r="E490" s="318">
        <v>1.8</v>
      </c>
      <c r="F490" s="331" t="s">
        <v>581</v>
      </c>
      <c r="G490" s="331" t="s">
        <v>581</v>
      </c>
      <c r="H490" s="318">
        <v>3.3</v>
      </c>
      <c r="I490" s="331" t="s">
        <v>581</v>
      </c>
      <c r="J490" s="331" t="s">
        <v>581</v>
      </c>
      <c r="K490" s="318">
        <v>11</v>
      </c>
      <c r="L490" s="331" t="s">
        <v>581</v>
      </c>
      <c r="M490" s="331" t="s">
        <v>581</v>
      </c>
      <c r="N490" s="318">
        <v>2.7</v>
      </c>
      <c r="O490" s="331" t="s">
        <v>581</v>
      </c>
      <c r="P490" s="331" t="s">
        <v>581</v>
      </c>
    </row>
    <row r="491" spans="1:32" ht="15" customHeight="1" x14ac:dyDescent="0.25"/>
    <row r="492" spans="1:32" ht="15" customHeight="1" x14ac:dyDescent="0.25"/>
    <row r="493" spans="1:32" ht="15" customHeight="1" x14ac:dyDescent="0.25">
      <c r="A493" s="312">
        <v>1985</v>
      </c>
      <c r="B493" s="318"/>
      <c r="C493" s="312"/>
      <c r="D493" s="312"/>
      <c r="E493" s="318"/>
      <c r="F493" s="312"/>
      <c r="G493" s="312"/>
      <c r="H493" s="318"/>
      <c r="I493" s="312"/>
      <c r="J493" s="312"/>
      <c r="K493" s="318"/>
      <c r="L493" s="312"/>
      <c r="M493" s="312"/>
      <c r="N493" s="318"/>
      <c r="O493" s="312"/>
      <c r="P493" s="312"/>
    </row>
    <row r="494" spans="1:32" s="300" customFormat="1" ht="10.5" customHeight="1" x14ac:dyDescent="0.25">
      <c r="A494" s="299"/>
      <c r="B494" s="302"/>
      <c r="C494" s="302"/>
      <c r="D494" s="302"/>
      <c r="E494" s="302"/>
      <c r="F494" s="302"/>
      <c r="G494" s="302"/>
      <c r="H494" s="302"/>
      <c r="I494" s="302"/>
      <c r="J494" s="302"/>
      <c r="K494" s="302"/>
      <c r="L494" s="302"/>
      <c r="M494" s="302"/>
      <c r="N494" s="302"/>
      <c r="O494" s="302"/>
      <c r="P494" s="302"/>
    </row>
    <row r="495" spans="1:32" ht="15" customHeight="1" x14ac:dyDescent="0.2">
      <c r="A495" s="329" t="s">
        <v>91</v>
      </c>
      <c r="B495" s="323">
        <v>283.39999999999998</v>
      </c>
      <c r="C495" s="333">
        <v>192.9</v>
      </c>
      <c r="D495" s="333">
        <v>88.8</v>
      </c>
      <c r="E495" s="323">
        <v>20.2</v>
      </c>
      <c r="F495" s="333">
        <v>16.2</v>
      </c>
      <c r="G495" s="333">
        <v>4</v>
      </c>
      <c r="H495" s="323">
        <v>38.6</v>
      </c>
      <c r="I495" s="333">
        <v>30.3</v>
      </c>
      <c r="J495" s="333">
        <v>8.3000000000000007</v>
      </c>
      <c r="K495" s="323">
        <v>187.6</v>
      </c>
      <c r="L495" s="333">
        <v>131.69999999999999</v>
      </c>
      <c r="M495" s="333">
        <v>55.7</v>
      </c>
      <c r="N495" s="323">
        <v>36.9</v>
      </c>
      <c r="O495" s="333">
        <v>14.6</v>
      </c>
      <c r="P495" s="333">
        <v>20.9</v>
      </c>
    </row>
    <row r="496" spans="1:32" s="300" customFormat="1" ht="10.5" customHeight="1" x14ac:dyDescent="0.25">
      <c r="A496" s="299"/>
      <c r="B496" s="302"/>
      <c r="C496" s="302"/>
      <c r="D496" s="302"/>
      <c r="E496" s="302"/>
      <c r="F496" s="302"/>
      <c r="G496" s="302"/>
      <c r="H496" s="302"/>
      <c r="I496" s="302"/>
      <c r="J496" s="302"/>
      <c r="K496" s="302"/>
      <c r="L496" s="302"/>
      <c r="M496" s="302"/>
      <c r="N496" s="302"/>
      <c r="O496" s="302"/>
      <c r="P496" s="302"/>
    </row>
    <row r="497" spans="1:32" ht="15" customHeight="1" x14ac:dyDescent="0.25">
      <c r="A497" s="299" t="s">
        <v>289</v>
      </c>
      <c r="B497" s="318">
        <v>17.7</v>
      </c>
      <c r="C497" s="331" t="s">
        <v>581</v>
      </c>
      <c r="D497" s="331" t="s">
        <v>581</v>
      </c>
      <c r="E497" s="318">
        <v>0.5</v>
      </c>
      <c r="F497" s="331" t="s">
        <v>581</v>
      </c>
      <c r="G497" s="331" t="s">
        <v>581</v>
      </c>
      <c r="H497" s="318">
        <v>1.6</v>
      </c>
      <c r="I497" s="331" t="s">
        <v>581</v>
      </c>
      <c r="J497" s="331" t="s">
        <v>581</v>
      </c>
      <c r="K497" s="318">
        <v>13.7</v>
      </c>
      <c r="L497" s="331" t="s">
        <v>581</v>
      </c>
      <c r="M497" s="331" t="s">
        <v>581</v>
      </c>
      <c r="N497" s="318">
        <v>2</v>
      </c>
      <c r="O497" s="331" t="s">
        <v>581</v>
      </c>
      <c r="P497" s="331" t="s">
        <v>581</v>
      </c>
    </row>
    <row r="498" spans="1:32" ht="15" customHeight="1" x14ac:dyDescent="0.25">
      <c r="A498" s="299" t="s">
        <v>290</v>
      </c>
      <c r="B498" s="318">
        <v>17.8</v>
      </c>
      <c r="C498" s="331" t="s">
        <v>581</v>
      </c>
      <c r="D498" s="331" t="s">
        <v>581</v>
      </c>
      <c r="E498" s="318">
        <v>0.7</v>
      </c>
      <c r="F498" s="331" t="s">
        <v>581</v>
      </c>
      <c r="G498" s="331" t="s">
        <v>581</v>
      </c>
      <c r="H498" s="318">
        <v>1.8</v>
      </c>
      <c r="I498" s="331" t="s">
        <v>581</v>
      </c>
      <c r="J498" s="331" t="s">
        <v>581</v>
      </c>
      <c r="K498" s="318">
        <v>12.4</v>
      </c>
      <c r="L498" s="331" t="s">
        <v>581</v>
      </c>
      <c r="M498" s="331" t="s">
        <v>581</v>
      </c>
      <c r="N498" s="318">
        <v>2.9</v>
      </c>
      <c r="O498" s="331" t="s">
        <v>581</v>
      </c>
      <c r="P498" s="331" t="s">
        <v>581</v>
      </c>
    </row>
    <row r="499" spans="1:32" ht="15" customHeight="1" x14ac:dyDescent="0.25">
      <c r="A499" s="299" t="s">
        <v>291</v>
      </c>
      <c r="B499" s="318">
        <v>24.2</v>
      </c>
      <c r="C499" s="331" t="s">
        <v>581</v>
      </c>
      <c r="D499" s="331" t="s">
        <v>581</v>
      </c>
      <c r="E499" s="318">
        <v>1.2</v>
      </c>
      <c r="F499" s="331" t="s">
        <v>581</v>
      </c>
      <c r="G499" s="331" t="s">
        <v>581</v>
      </c>
      <c r="H499" s="318">
        <v>2.5</v>
      </c>
      <c r="I499" s="331" t="s">
        <v>581</v>
      </c>
      <c r="J499" s="331" t="s">
        <v>581</v>
      </c>
      <c r="K499" s="318">
        <v>17.3</v>
      </c>
      <c r="L499" s="331" t="s">
        <v>581</v>
      </c>
      <c r="M499" s="331" t="s">
        <v>581</v>
      </c>
      <c r="N499" s="318">
        <v>3.2</v>
      </c>
      <c r="O499" s="331" t="s">
        <v>581</v>
      </c>
      <c r="P499" s="331" t="s">
        <v>581</v>
      </c>
      <c r="Q499" s="299"/>
      <c r="R499" s="319"/>
      <c r="S499" s="319"/>
      <c r="T499" s="319"/>
      <c r="U499" s="319"/>
      <c r="V499" s="319"/>
      <c r="W499" s="319"/>
      <c r="X499" s="319"/>
      <c r="Y499" s="319"/>
      <c r="Z499" s="319"/>
      <c r="AA499" s="319"/>
      <c r="AB499" s="319"/>
      <c r="AC499" s="319"/>
      <c r="AD499" s="319"/>
      <c r="AE499" s="319"/>
      <c r="AF499" s="319"/>
    </row>
    <row r="500" spans="1:32" ht="15" customHeight="1" x14ac:dyDescent="0.25">
      <c r="A500" s="299" t="s">
        <v>292</v>
      </c>
      <c r="B500" s="318">
        <v>24</v>
      </c>
      <c r="C500" s="331" t="s">
        <v>581</v>
      </c>
      <c r="D500" s="331" t="s">
        <v>581</v>
      </c>
      <c r="E500" s="318">
        <v>1.3</v>
      </c>
      <c r="F500" s="331" t="s">
        <v>581</v>
      </c>
      <c r="G500" s="331" t="s">
        <v>581</v>
      </c>
      <c r="H500" s="318">
        <v>3.1</v>
      </c>
      <c r="I500" s="331" t="s">
        <v>581</v>
      </c>
      <c r="J500" s="331" t="s">
        <v>581</v>
      </c>
      <c r="K500" s="318">
        <v>16.8</v>
      </c>
      <c r="L500" s="331" t="s">
        <v>581</v>
      </c>
      <c r="M500" s="331" t="s">
        <v>581</v>
      </c>
      <c r="N500" s="318">
        <v>2.9</v>
      </c>
      <c r="O500" s="331" t="s">
        <v>581</v>
      </c>
      <c r="P500" s="331" t="s">
        <v>581</v>
      </c>
    </row>
    <row r="501" spans="1:32" ht="15" customHeight="1" x14ac:dyDescent="0.25">
      <c r="A501" s="299" t="s">
        <v>293</v>
      </c>
      <c r="B501" s="318">
        <v>27.8</v>
      </c>
      <c r="C501" s="331" t="s">
        <v>581</v>
      </c>
      <c r="D501" s="331" t="s">
        <v>581</v>
      </c>
      <c r="E501" s="318">
        <v>1.7</v>
      </c>
      <c r="F501" s="331" t="s">
        <v>581</v>
      </c>
      <c r="G501" s="331" t="s">
        <v>581</v>
      </c>
      <c r="H501" s="318">
        <v>4.3</v>
      </c>
      <c r="I501" s="331" t="s">
        <v>581</v>
      </c>
      <c r="J501" s="331" t="s">
        <v>581</v>
      </c>
      <c r="K501" s="318">
        <v>18.399999999999999</v>
      </c>
      <c r="L501" s="331" t="s">
        <v>581</v>
      </c>
      <c r="M501" s="331" t="s">
        <v>581</v>
      </c>
      <c r="N501" s="318">
        <v>3.4</v>
      </c>
      <c r="O501" s="331" t="s">
        <v>581</v>
      </c>
      <c r="P501" s="331" t="s">
        <v>581</v>
      </c>
    </row>
    <row r="502" spans="1:32" ht="15" customHeight="1" x14ac:dyDescent="0.25">
      <c r="A502" s="299" t="s">
        <v>282</v>
      </c>
      <c r="B502" s="318">
        <v>28.8</v>
      </c>
      <c r="C502" s="331" t="s">
        <v>581</v>
      </c>
      <c r="D502" s="331" t="s">
        <v>581</v>
      </c>
      <c r="E502" s="318">
        <v>2.2000000000000002</v>
      </c>
      <c r="F502" s="331" t="s">
        <v>581</v>
      </c>
      <c r="G502" s="331" t="s">
        <v>581</v>
      </c>
      <c r="H502" s="318">
        <v>4.2</v>
      </c>
      <c r="I502" s="331" t="s">
        <v>581</v>
      </c>
      <c r="J502" s="331" t="s">
        <v>581</v>
      </c>
      <c r="K502" s="318">
        <v>18.3</v>
      </c>
      <c r="L502" s="331" t="s">
        <v>581</v>
      </c>
      <c r="M502" s="331" t="s">
        <v>581</v>
      </c>
      <c r="N502" s="318">
        <v>4.2</v>
      </c>
      <c r="O502" s="331" t="s">
        <v>581</v>
      </c>
      <c r="P502" s="331" t="s">
        <v>581</v>
      </c>
    </row>
    <row r="503" spans="1:32" s="245" customFormat="1" ht="15" customHeight="1" x14ac:dyDescent="0.25">
      <c r="A503" s="299" t="s">
        <v>283</v>
      </c>
      <c r="B503" s="318">
        <v>26</v>
      </c>
      <c r="C503" s="331" t="s">
        <v>581</v>
      </c>
      <c r="D503" s="331" t="s">
        <v>581</v>
      </c>
      <c r="E503" s="318">
        <v>2.2000000000000002</v>
      </c>
      <c r="F503" s="331" t="s">
        <v>581</v>
      </c>
      <c r="G503" s="331" t="s">
        <v>581</v>
      </c>
      <c r="H503" s="318">
        <v>3.7</v>
      </c>
      <c r="I503" s="331" t="s">
        <v>581</v>
      </c>
      <c r="J503" s="331" t="s">
        <v>581</v>
      </c>
      <c r="K503" s="318">
        <v>17</v>
      </c>
      <c r="L503" s="331" t="s">
        <v>581</v>
      </c>
      <c r="M503" s="331" t="s">
        <v>581</v>
      </c>
      <c r="N503" s="318">
        <v>3.1</v>
      </c>
      <c r="O503" s="331" t="s">
        <v>581</v>
      </c>
      <c r="P503" s="331" t="s">
        <v>581</v>
      </c>
    </row>
    <row r="504" spans="1:32" s="245" customFormat="1" ht="15" customHeight="1" x14ac:dyDescent="0.25">
      <c r="A504" s="299" t="s">
        <v>284</v>
      </c>
      <c r="B504" s="318">
        <v>26.7</v>
      </c>
      <c r="C504" s="331" t="s">
        <v>581</v>
      </c>
      <c r="D504" s="331" t="s">
        <v>581</v>
      </c>
      <c r="E504" s="318">
        <v>2.2000000000000002</v>
      </c>
      <c r="F504" s="331" t="s">
        <v>581</v>
      </c>
      <c r="G504" s="331" t="s">
        <v>581</v>
      </c>
      <c r="H504" s="318">
        <v>4.4000000000000004</v>
      </c>
      <c r="I504" s="331" t="s">
        <v>581</v>
      </c>
      <c r="J504" s="331" t="s">
        <v>581</v>
      </c>
      <c r="K504" s="318">
        <v>16.3</v>
      </c>
      <c r="L504" s="331" t="s">
        <v>581</v>
      </c>
      <c r="M504" s="331" t="s">
        <v>581</v>
      </c>
      <c r="N504" s="318">
        <v>3.8</v>
      </c>
      <c r="O504" s="331" t="s">
        <v>581</v>
      </c>
      <c r="P504" s="331" t="s">
        <v>581</v>
      </c>
    </row>
    <row r="505" spans="1:32" s="245" customFormat="1" ht="15" customHeight="1" x14ac:dyDescent="0.25">
      <c r="A505" s="299" t="s">
        <v>294</v>
      </c>
      <c r="B505" s="318">
        <v>25.4</v>
      </c>
      <c r="C505" s="331" t="s">
        <v>581</v>
      </c>
      <c r="D505" s="331" t="s">
        <v>581</v>
      </c>
      <c r="E505" s="318">
        <v>2.4</v>
      </c>
      <c r="F505" s="331" t="s">
        <v>581</v>
      </c>
      <c r="G505" s="331" t="s">
        <v>581</v>
      </c>
      <c r="H505" s="318">
        <v>3.8</v>
      </c>
      <c r="I505" s="331" t="s">
        <v>581</v>
      </c>
      <c r="J505" s="331" t="s">
        <v>581</v>
      </c>
      <c r="K505" s="318">
        <v>16.100000000000001</v>
      </c>
      <c r="L505" s="331" t="s">
        <v>581</v>
      </c>
      <c r="M505" s="331" t="s">
        <v>581</v>
      </c>
      <c r="N505" s="318">
        <v>3.1</v>
      </c>
      <c r="O505" s="331" t="s">
        <v>581</v>
      </c>
      <c r="P505" s="331" t="s">
        <v>581</v>
      </c>
    </row>
    <row r="506" spans="1:32" s="245" customFormat="1" ht="15" customHeight="1" x14ac:dyDescent="0.25">
      <c r="A506" s="299" t="s">
        <v>295</v>
      </c>
      <c r="B506" s="318">
        <v>24.3</v>
      </c>
      <c r="C506" s="331" t="s">
        <v>581</v>
      </c>
      <c r="D506" s="331" t="s">
        <v>581</v>
      </c>
      <c r="E506" s="318">
        <v>2.6</v>
      </c>
      <c r="F506" s="331" t="s">
        <v>581</v>
      </c>
      <c r="G506" s="331" t="s">
        <v>581</v>
      </c>
      <c r="H506" s="318">
        <v>3.9</v>
      </c>
      <c r="I506" s="331" t="s">
        <v>581</v>
      </c>
      <c r="J506" s="331" t="s">
        <v>581</v>
      </c>
      <c r="K506" s="318">
        <v>14.6</v>
      </c>
      <c r="L506" s="331" t="s">
        <v>581</v>
      </c>
      <c r="M506" s="331" t="s">
        <v>581</v>
      </c>
      <c r="N506" s="318">
        <v>3.2</v>
      </c>
      <c r="O506" s="331" t="s">
        <v>581</v>
      </c>
      <c r="P506" s="331" t="s">
        <v>581</v>
      </c>
    </row>
    <row r="507" spans="1:32" ht="15" customHeight="1" x14ac:dyDescent="0.25">
      <c r="A507" s="299" t="s">
        <v>296</v>
      </c>
      <c r="B507" s="318">
        <v>22</v>
      </c>
      <c r="C507" s="331" t="s">
        <v>581</v>
      </c>
      <c r="D507" s="331" t="s">
        <v>581</v>
      </c>
      <c r="E507" s="318">
        <v>1.9</v>
      </c>
      <c r="F507" s="331" t="s">
        <v>581</v>
      </c>
      <c r="G507" s="331" t="s">
        <v>581</v>
      </c>
      <c r="H507" s="318">
        <v>3</v>
      </c>
      <c r="I507" s="331" t="s">
        <v>581</v>
      </c>
      <c r="J507" s="331" t="s">
        <v>581</v>
      </c>
      <c r="K507" s="318">
        <v>14.4</v>
      </c>
      <c r="L507" s="331" t="s">
        <v>581</v>
      </c>
      <c r="M507" s="331" t="s">
        <v>581</v>
      </c>
      <c r="N507" s="318">
        <v>2.6</v>
      </c>
      <c r="O507" s="331" t="s">
        <v>581</v>
      </c>
      <c r="P507" s="331" t="s">
        <v>581</v>
      </c>
    </row>
    <row r="508" spans="1:32" ht="15" customHeight="1" x14ac:dyDescent="0.25">
      <c r="A508" s="299" t="s">
        <v>297</v>
      </c>
      <c r="B508" s="318">
        <v>18.600000000000001</v>
      </c>
      <c r="C508" s="331" t="s">
        <v>581</v>
      </c>
      <c r="D508" s="331" t="s">
        <v>581</v>
      </c>
      <c r="E508" s="318">
        <v>1.4</v>
      </c>
      <c r="F508" s="331" t="s">
        <v>581</v>
      </c>
      <c r="G508" s="331" t="s">
        <v>581</v>
      </c>
      <c r="H508" s="318">
        <v>2.4</v>
      </c>
      <c r="I508" s="331" t="s">
        <v>581</v>
      </c>
      <c r="J508" s="331" t="s">
        <v>581</v>
      </c>
      <c r="K508" s="318">
        <v>12.3</v>
      </c>
      <c r="L508" s="331" t="s">
        <v>581</v>
      </c>
      <c r="M508" s="331" t="s">
        <v>581</v>
      </c>
      <c r="N508" s="318">
        <v>2.5</v>
      </c>
      <c r="O508" s="331" t="s">
        <v>581</v>
      </c>
      <c r="P508" s="331" t="s">
        <v>581</v>
      </c>
    </row>
    <row r="509" spans="1:32" ht="15" customHeight="1" x14ac:dyDescent="0.25"/>
    <row r="510" spans="1:32" ht="15" customHeight="1" x14ac:dyDescent="0.25"/>
    <row r="511" spans="1:32" ht="15" customHeight="1" x14ac:dyDescent="0.25">
      <c r="A511" s="312">
        <v>1984</v>
      </c>
      <c r="B511" s="318"/>
      <c r="C511" s="312"/>
      <c r="D511" s="312"/>
      <c r="E511" s="318"/>
      <c r="F511" s="312"/>
      <c r="G511" s="312"/>
      <c r="H511" s="318"/>
      <c r="I511" s="312"/>
      <c r="J511" s="312"/>
      <c r="K511" s="318"/>
      <c r="L511" s="312"/>
      <c r="M511" s="312"/>
      <c r="N511" s="318"/>
      <c r="O511" s="312"/>
      <c r="P511" s="312"/>
    </row>
    <row r="512" spans="1:32" s="300" customFormat="1" ht="10.5" customHeight="1" x14ac:dyDescent="0.25">
      <c r="A512" s="299"/>
      <c r="B512" s="302"/>
      <c r="C512" s="302"/>
      <c r="D512" s="302"/>
      <c r="E512" s="302"/>
      <c r="F512" s="302"/>
      <c r="G512" s="302"/>
      <c r="H512" s="302"/>
      <c r="I512" s="302"/>
      <c r="J512" s="302"/>
      <c r="K512" s="302"/>
      <c r="L512" s="302"/>
      <c r="M512" s="302"/>
      <c r="N512" s="302"/>
      <c r="O512" s="302"/>
      <c r="P512" s="302"/>
    </row>
    <row r="513" spans="1:16" ht="15" customHeight="1" x14ac:dyDescent="0.2">
      <c r="A513" s="304" t="s">
        <v>91</v>
      </c>
      <c r="B513" s="323">
        <v>287.89999999999998</v>
      </c>
      <c r="C513" s="333">
        <v>204</v>
      </c>
      <c r="D513" s="333">
        <v>82.5</v>
      </c>
      <c r="E513" s="323">
        <v>19.8</v>
      </c>
      <c r="F513" s="333">
        <v>16.600000000000001</v>
      </c>
      <c r="G513" s="333">
        <v>3.2</v>
      </c>
      <c r="H513" s="323">
        <v>35.200000000000003</v>
      </c>
      <c r="I513" s="333">
        <v>28.1</v>
      </c>
      <c r="J513" s="333">
        <v>7.2</v>
      </c>
      <c r="K513" s="323">
        <v>193.4</v>
      </c>
      <c r="L513" s="333">
        <v>141.9</v>
      </c>
      <c r="M513" s="333">
        <v>51.4</v>
      </c>
      <c r="N513" s="323">
        <v>39.4</v>
      </c>
      <c r="O513" s="333">
        <v>17.399999999999999</v>
      </c>
      <c r="P513" s="333">
        <v>20.7</v>
      </c>
    </row>
    <row r="514" spans="1:16" s="300" customFormat="1" ht="10.5" customHeight="1" x14ac:dyDescent="0.25">
      <c r="A514" s="299"/>
      <c r="B514" s="302"/>
      <c r="C514" s="302"/>
      <c r="D514" s="302"/>
      <c r="E514" s="302"/>
      <c r="F514" s="302"/>
      <c r="G514" s="302"/>
      <c r="H514" s="302"/>
      <c r="I514" s="302"/>
      <c r="J514" s="302"/>
      <c r="K514" s="302"/>
      <c r="L514" s="302"/>
      <c r="M514" s="302"/>
      <c r="N514" s="302"/>
      <c r="O514" s="302"/>
      <c r="P514" s="302"/>
    </row>
    <row r="515" spans="1:16" ht="15" customHeight="1" x14ac:dyDescent="0.25">
      <c r="A515" s="299" t="s">
        <v>289</v>
      </c>
      <c r="B515" s="318">
        <v>18.600000000000001</v>
      </c>
      <c r="C515" s="331" t="s">
        <v>581</v>
      </c>
      <c r="D515" s="331" t="s">
        <v>581</v>
      </c>
      <c r="E515" s="318">
        <v>0.7</v>
      </c>
      <c r="F515" s="331" t="s">
        <v>581</v>
      </c>
      <c r="G515" s="331" t="s">
        <v>581</v>
      </c>
      <c r="H515" s="318">
        <v>1.4</v>
      </c>
      <c r="I515" s="331" t="s">
        <v>581</v>
      </c>
      <c r="J515" s="331" t="s">
        <v>581</v>
      </c>
      <c r="K515" s="318">
        <v>13.9</v>
      </c>
      <c r="L515" s="331" t="s">
        <v>581</v>
      </c>
      <c r="M515" s="331" t="s">
        <v>581</v>
      </c>
      <c r="N515" s="318">
        <v>2.7</v>
      </c>
      <c r="O515" s="331" t="s">
        <v>581</v>
      </c>
      <c r="P515" s="331" t="s">
        <v>581</v>
      </c>
    </row>
    <row r="516" spans="1:16" ht="15" customHeight="1" x14ac:dyDescent="0.25">
      <c r="A516" s="299" t="s">
        <v>290</v>
      </c>
      <c r="B516" s="318">
        <v>19.8</v>
      </c>
      <c r="C516" s="331" t="s">
        <v>581</v>
      </c>
      <c r="D516" s="331" t="s">
        <v>581</v>
      </c>
      <c r="E516" s="318">
        <v>0.5</v>
      </c>
      <c r="F516" s="331" t="s">
        <v>581</v>
      </c>
      <c r="G516" s="331" t="s">
        <v>581</v>
      </c>
      <c r="H516" s="318">
        <v>1.6</v>
      </c>
      <c r="I516" s="331" t="s">
        <v>581</v>
      </c>
      <c r="J516" s="331" t="s">
        <v>581</v>
      </c>
      <c r="K516" s="318">
        <v>14.6</v>
      </c>
      <c r="L516" s="331" t="s">
        <v>581</v>
      </c>
      <c r="M516" s="331" t="s">
        <v>581</v>
      </c>
      <c r="N516" s="318">
        <v>3.1</v>
      </c>
      <c r="O516" s="331" t="s">
        <v>581</v>
      </c>
      <c r="P516" s="331" t="s">
        <v>581</v>
      </c>
    </row>
    <row r="517" spans="1:16" ht="15" customHeight="1" x14ac:dyDescent="0.25">
      <c r="A517" s="299" t="s">
        <v>291</v>
      </c>
      <c r="B517" s="318">
        <v>23.4</v>
      </c>
      <c r="C517" s="331" t="s">
        <v>581</v>
      </c>
      <c r="D517" s="331" t="s">
        <v>581</v>
      </c>
      <c r="E517" s="318">
        <v>1</v>
      </c>
      <c r="F517" s="331" t="s">
        <v>581</v>
      </c>
      <c r="G517" s="331" t="s">
        <v>581</v>
      </c>
      <c r="H517" s="318">
        <v>2.4</v>
      </c>
      <c r="I517" s="331" t="s">
        <v>581</v>
      </c>
      <c r="J517" s="331" t="s">
        <v>581</v>
      </c>
      <c r="K517" s="318">
        <v>16.8</v>
      </c>
      <c r="L517" s="331" t="s">
        <v>581</v>
      </c>
      <c r="M517" s="331" t="s">
        <v>581</v>
      </c>
      <c r="N517" s="318">
        <v>3.2</v>
      </c>
      <c r="O517" s="331" t="s">
        <v>581</v>
      </c>
      <c r="P517" s="331" t="s">
        <v>581</v>
      </c>
    </row>
    <row r="518" spans="1:16" ht="15" customHeight="1" x14ac:dyDescent="0.25">
      <c r="A518" s="299" t="s">
        <v>292</v>
      </c>
      <c r="B518" s="318">
        <v>25.7</v>
      </c>
      <c r="C518" s="331" t="s">
        <v>581</v>
      </c>
      <c r="D518" s="331" t="s">
        <v>581</v>
      </c>
      <c r="E518" s="318">
        <v>1.5</v>
      </c>
      <c r="F518" s="331" t="s">
        <v>581</v>
      </c>
      <c r="G518" s="331" t="s">
        <v>581</v>
      </c>
      <c r="H518" s="318">
        <v>2.8</v>
      </c>
      <c r="I518" s="331" t="s">
        <v>581</v>
      </c>
      <c r="J518" s="331" t="s">
        <v>581</v>
      </c>
      <c r="K518" s="318">
        <v>17.899999999999999</v>
      </c>
      <c r="L518" s="331" t="s">
        <v>581</v>
      </c>
      <c r="M518" s="331" t="s">
        <v>581</v>
      </c>
      <c r="N518" s="318">
        <v>3.5</v>
      </c>
      <c r="O518" s="331" t="s">
        <v>581</v>
      </c>
      <c r="P518" s="331" t="s">
        <v>581</v>
      </c>
    </row>
    <row r="519" spans="1:16" ht="15" customHeight="1" x14ac:dyDescent="0.25">
      <c r="A519" s="299" t="s">
        <v>293</v>
      </c>
      <c r="B519" s="318">
        <v>26.5</v>
      </c>
      <c r="C519" s="331" t="s">
        <v>581</v>
      </c>
      <c r="D519" s="331" t="s">
        <v>581</v>
      </c>
      <c r="E519" s="318">
        <v>1.6</v>
      </c>
      <c r="F519" s="331" t="s">
        <v>581</v>
      </c>
      <c r="G519" s="331" t="s">
        <v>581</v>
      </c>
      <c r="H519" s="318">
        <v>3.8</v>
      </c>
      <c r="I519" s="331" t="s">
        <v>581</v>
      </c>
      <c r="J519" s="331" t="s">
        <v>581</v>
      </c>
      <c r="K519" s="318">
        <v>17.5</v>
      </c>
      <c r="L519" s="331" t="s">
        <v>581</v>
      </c>
      <c r="M519" s="331" t="s">
        <v>581</v>
      </c>
      <c r="N519" s="318">
        <v>3.6</v>
      </c>
      <c r="O519" s="331" t="s">
        <v>581</v>
      </c>
      <c r="P519" s="331" t="s">
        <v>581</v>
      </c>
    </row>
    <row r="520" spans="1:16" ht="15" customHeight="1" x14ac:dyDescent="0.25">
      <c r="A520" s="299" t="s">
        <v>282</v>
      </c>
      <c r="B520" s="318">
        <v>27.2</v>
      </c>
      <c r="C520" s="331" t="s">
        <v>581</v>
      </c>
      <c r="D520" s="331" t="s">
        <v>581</v>
      </c>
      <c r="E520" s="318">
        <v>2.2999999999999998</v>
      </c>
      <c r="F520" s="331" t="s">
        <v>581</v>
      </c>
      <c r="G520" s="331" t="s">
        <v>581</v>
      </c>
      <c r="H520" s="318">
        <v>3.2</v>
      </c>
      <c r="I520" s="331" t="s">
        <v>581</v>
      </c>
      <c r="J520" s="331" t="s">
        <v>581</v>
      </c>
      <c r="K520" s="318">
        <v>17.399999999999999</v>
      </c>
      <c r="L520" s="331" t="s">
        <v>581</v>
      </c>
      <c r="M520" s="331" t="s">
        <v>581</v>
      </c>
      <c r="N520" s="318">
        <v>4.4000000000000004</v>
      </c>
      <c r="O520" s="331" t="s">
        <v>581</v>
      </c>
      <c r="P520" s="331" t="s">
        <v>581</v>
      </c>
    </row>
    <row r="521" spans="1:16" ht="15" customHeight="1" x14ac:dyDescent="0.25">
      <c r="A521" s="299" t="s">
        <v>283</v>
      </c>
      <c r="B521" s="318">
        <v>26.4</v>
      </c>
      <c r="C521" s="331" t="s">
        <v>581</v>
      </c>
      <c r="D521" s="331" t="s">
        <v>581</v>
      </c>
      <c r="E521" s="318">
        <v>2</v>
      </c>
      <c r="F521" s="331" t="s">
        <v>581</v>
      </c>
      <c r="G521" s="331" t="s">
        <v>581</v>
      </c>
      <c r="H521" s="318">
        <v>4</v>
      </c>
      <c r="I521" s="331" t="s">
        <v>581</v>
      </c>
      <c r="J521" s="331" t="s">
        <v>581</v>
      </c>
      <c r="K521" s="318">
        <v>16.8</v>
      </c>
      <c r="L521" s="331" t="s">
        <v>581</v>
      </c>
      <c r="M521" s="331" t="s">
        <v>581</v>
      </c>
      <c r="N521" s="318">
        <v>3.6</v>
      </c>
      <c r="O521" s="331" t="s">
        <v>581</v>
      </c>
      <c r="P521" s="331" t="s">
        <v>581</v>
      </c>
    </row>
    <row r="522" spans="1:16" ht="15" customHeight="1" x14ac:dyDescent="0.25">
      <c r="A522" s="299" t="s">
        <v>284</v>
      </c>
      <c r="B522" s="318">
        <v>28.4</v>
      </c>
      <c r="C522" s="331" t="s">
        <v>581</v>
      </c>
      <c r="D522" s="331" t="s">
        <v>581</v>
      </c>
      <c r="E522" s="318">
        <v>2.2999999999999998</v>
      </c>
      <c r="F522" s="331" t="s">
        <v>581</v>
      </c>
      <c r="G522" s="331" t="s">
        <v>581</v>
      </c>
      <c r="H522" s="318">
        <v>4.4000000000000004</v>
      </c>
      <c r="I522" s="331" t="s">
        <v>581</v>
      </c>
      <c r="J522" s="331" t="s">
        <v>581</v>
      </c>
      <c r="K522" s="318">
        <v>17.899999999999999</v>
      </c>
      <c r="L522" s="331" t="s">
        <v>581</v>
      </c>
      <c r="M522" s="331" t="s">
        <v>581</v>
      </c>
      <c r="N522" s="318">
        <v>3.8</v>
      </c>
      <c r="O522" s="331" t="s">
        <v>581</v>
      </c>
      <c r="P522" s="331" t="s">
        <v>581</v>
      </c>
    </row>
    <row r="523" spans="1:16" ht="15" customHeight="1" x14ac:dyDescent="0.25">
      <c r="A523" s="299" t="s">
        <v>294</v>
      </c>
      <c r="B523" s="318">
        <v>22.3</v>
      </c>
      <c r="C523" s="331" t="s">
        <v>581</v>
      </c>
      <c r="D523" s="331" t="s">
        <v>581</v>
      </c>
      <c r="E523" s="318">
        <v>2.2999999999999998</v>
      </c>
      <c r="F523" s="331" t="s">
        <v>581</v>
      </c>
      <c r="G523" s="331" t="s">
        <v>581</v>
      </c>
      <c r="H523" s="318">
        <v>3.5</v>
      </c>
      <c r="I523" s="331" t="s">
        <v>581</v>
      </c>
      <c r="J523" s="331" t="s">
        <v>581</v>
      </c>
      <c r="K523" s="318">
        <v>13.6</v>
      </c>
      <c r="L523" s="331" t="s">
        <v>581</v>
      </c>
      <c r="M523" s="331" t="s">
        <v>581</v>
      </c>
      <c r="N523" s="318">
        <v>2.9</v>
      </c>
      <c r="O523" s="331" t="s">
        <v>581</v>
      </c>
      <c r="P523" s="331" t="s">
        <v>581</v>
      </c>
    </row>
    <row r="524" spans="1:16" ht="15" customHeight="1" x14ac:dyDescent="0.25">
      <c r="A524" s="299" t="s">
        <v>295</v>
      </c>
      <c r="B524" s="318">
        <v>27.1</v>
      </c>
      <c r="C524" s="331" t="s">
        <v>581</v>
      </c>
      <c r="D524" s="331" t="s">
        <v>581</v>
      </c>
      <c r="E524" s="318">
        <v>2.6</v>
      </c>
      <c r="F524" s="331" t="s">
        <v>581</v>
      </c>
      <c r="G524" s="331" t="s">
        <v>581</v>
      </c>
      <c r="H524" s="318">
        <v>3.2</v>
      </c>
      <c r="I524" s="331" t="s">
        <v>581</v>
      </c>
      <c r="J524" s="331" t="s">
        <v>581</v>
      </c>
      <c r="K524" s="318">
        <v>17.7</v>
      </c>
      <c r="L524" s="331" t="s">
        <v>581</v>
      </c>
      <c r="M524" s="331" t="s">
        <v>581</v>
      </c>
      <c r="N524" s="318">
        <v>3.6</v>
      </c>
      <c r="O524" s="331" t="s">
        <v>581</v>
      </c>
      <c r="P524" s="331" t="s">
        <v>581</v>
      </c>
    </row>
    <row r="525" spans="1:16" ht="15" customHeight="1" x14ac:dyDescent="0.25">
      <c r="A525" s="299" t="s">
        <v>296</v>
      </c>
      <c r="B525" s="318">
        <v>22.8</v>
      </c>
      <c r="C525" s="331" t="s">
        <v>581</v>
      </c>
      <c r="D525" s="331" t="s">
        <v>581</v>
      </c>
      <c r="E525" s="318">
        <v>2.2000000000000002</v>
      </c>
      <c r="F525" s="331" t="s">
        <v>581</v>
      </c>
      <c r="G525" s="331" t="s">
        <v>581</v>
      </c>
      <c r="H525" s="318">
        <v>3</v>
      </c>
      <c r="I525" s="331" t="s">
        <v>581</v>
      </c>
      <c r="J525" s="331" t="s">
        <v>581</v>
      </c>
      <c r="K525" s="318">
        <v>15.3</v>
      </c>
      <c r="L525" s="331" t="s">
        <v>581</v>
      </c>
      <c r="M525" s="331" t="s">
        <v>581</v>
      </c>
      <c r="N525" s="318">
        <v>2.2999999999999998</v>
      </c>
      <c r="O525" s="331" t="s">
        <v>581</v>
      </c>
      <c r="P525" s="331" t="s">
        <v>581</v>
      </c>
    </row>
    <row r="526" spans="1:16" ht="15" customHeight="1" x14ac:dyDescent="0.25">
      <c r="A526" s="299" t="s">
        <v>297</v>
      </c>
      <c r="B526" s="318">
        <v>19.600000000000001</v>
      </c>
      <c r="C526" s="331" t="s">
        <v>581</v>
      </c>
      <c r="D526" s="331" t="s">
        <v>581</v>
      </c>
      <c r="E526" s="318">
        <v>0.7</v>
      </c>
      <c r="F526" s="331" t="s">
        <v>581</v>
      </c>
      <c r="G526" s="331" t="s">
        <v>581</v>
      </c>
      <c r="H526" s="318">
        <v>1.9</v>
      </c>
      <c r="I526" s="331" t="s">
        <v>581</v>
      </c>
      <c r="J526" s="331" t="s">
        <v>581</v>
      </c>
      <c r="K526" s="318">
        <v>14.2</v>
      </c>
      <c r="L526" s="331" t="s">
        <v>581</v>
      </c>
      <c r="M526" s="331" t="s">
        <v>581</v>
      </c>
      <c r="N526" s="318">
        <v>2.8</v>
      </c>
      <c r="O526" s="331" t="s">
        <v>581</v>
      </c>
      <c r="P526" s="331" t="s">
        <v>581</v>
      </c>
    </row>
    <row r="527" spans="1:16" ht="15" customHeight="1" x14ac:dyDescent="0.25">
      <c r="B527" s="318"/>
      <c r="C527" s="331"/>
      <c r="D527" s="331"/>
      <c r="E527" s="318"/>
      <c r="F527" s="331"/>
      <c r="G527" s="331"/>
      <c r="H527" s="318"/>
      <c r="I527" s="331"/>
      <c r="J527" s="331"/>
      <c r="K527" s="318"/>
      <c r="L527" s="331"/>
      <c r="M527" s="331"/>
      <c r="N527" s="318"/>
      <c r="O527" s="331"/>
      <c r="P527" s="331"/>
    </row>
    <row r="528" spans="1:16" ht="15" customHeight="1" x14ac:dyDescent="0.25">
      <c r="B528" s="318"/>
      <c r="C528" s="331"/>
      <c r="D528" s="331"/>
      <c r="E528" s="318"/>
      <c r="F528" s="331"/>
      <c r="G528" s="331"/>
      <c r="H528" s="318"/>
      <c r="I528" s="331"/>
      <c r="J528" s="331"/>
      <c r="K528" s="318"/>
      <c r="L528" s="331"/>
      <c r="M528" s="331"/>
      <c r="N528" s="318"/>
      <c r="O528" s="331"/>
      <c r="P528" s="331"/>
    </row>
    <row r="529" spans="1:16" ht="15" customHeight="1" x14ac:dyDescent="0.25">
      <c r="A529" s="312">
        <v>1983</v>
      </c>
      <c r="B529" s="323"/>
      <c r="C529" s="312"/>
      <c r="D529" s="312"/>
      <c r="E529" s="323"/>
      <c r="F529" s="312"/>
      <c r="G529" s="312"/>
      <c r="H529" s="323"/>
      <c r="I529" s="312"/>
      <c r="J529" s="312"/>
      <c r="K529" s="323"/>
      <c r="L529" s="312"/>
      <c r="M529" s="312"/>
      <c r="N529" s="323"/>
      <c r="O529" s="312"/>
      <c r="P529" s="312"/>
    </row>
    <row r="530" spans="1:16" s="300" customFormat="1" ht="10.5" customHeight="1" x14ac:dyDescent="0.25">
      <c r="A530" s="299"/>
      <c r="B530" s="302"/>
      <c r="C530" s="302"/>
      <c r="D530" s="302"/>
      <c r="E530" s="302"/>
      <c r="F530" s="302"/>
      <c r="G530" s="302"/>
      <c r="H530" s="302"/>
      <c r="I530" s="302"/>
      <c r="J530" s="302"/>
      <c r="K530" s="302"/>
      <c r="L530" s="302"/>
      <c r="M530" s="302"/>
      <c r="N530" s="302"/>
      <c r="O530" s="302"/>
      <c r="P530" s="302"/>
    </row>
    <row r="531" spans="1:16" ht="15" customHeight="1" x14ac:dyDescent="0.2">
      <c r="A531" s="329" t="s">
        <v>91</v>
      </c>
      <c r="B531" s="309">
        <v>278.10000000000002</v>
      </c>
      <c r="C531" s="333">
        <v>205.8</v>
      </c>
      <c r="D531" s="333">
        <v>70.900000000000006</v>
      </c>
      <c r="E531" s="309">
        <v>16.3</v>
      </c>
      <c r="F531" s="333">
        <v>13.9</v>
      </c>
      <c r="G531" s="333">
        <v>2.5</v>
      </c>
      <c r="H531" s="309">
        <v>34.299999999999997</v>
      </c>
      <c r="I531" s="333">
        <v>28.4</v>
      </c>
      <c r="J531" s="333">
        <v>5.9</v>
      </c>
      <c r="K531" s="309">
        <v>186</v>
      </c>
      <c r="L531" s="333">
        <v>144.1</v>
      </c>
      <c r="M531" s="333">
        <v>41.8</v>
      </c>
      <c r="N531" s="309">
        <v>41.4</v>
      </c>
      <c r="O531" s="333">
        <v>19.399999999999999</v>
      </c>
      <c r="P531" s="333">
        <v>20.6</v>
      </c>
    </row>
    <row r="532" spans="1:16" s="300" customFormat="1" ht="10.5" customHeight="1" x14ac:dyDescent="0.25">
      <c r="A532" s="299"/>
      <c r="B532" s="302"/>
      <c r="C532" s="302"/>
      <c r="D532" s="302"/>
      <c r="E532" s="302"/>
      <c r="F532" s="302"/>
      <c r="G532" s="302"/>
      <c r="H532" s="302"/>
      <c r="I532" s="302"/>
      <c r="J532" s="302"/>
      <c r="K532" s="302"/>
      <c r="L532" s="302"/>
      <c r="M532" s="302"/>
      <c r="N532" s="302"/>
      <c r="O532" s="302"/>
      <c r="P532" s="302"/>
    </row>
    <row r="533" spans="1:16" ht="15" customHeight="1" x14ac:dyDescent="0.25">
      <c r="A533" s="299" t="s">
        <v>289</v>
      </c>
      <c r="B533" s="318">
        <v>14.3</v>
      </c>
      <c r="C533" s="331" t="s">
        <v>581</v>
      </c>
      <c r="D533" s="331" t="s">
        <v>581</v>
      </c>
      <c r="E533" s="318">
        <v>0.6</v>
      </c>
      <c r="F533" s="331" t="s">
        <v>581</v>
      </c>
      <c r="G533" s="331" t="s">
        <v>581</v>
      </c>
      <c r="H533" s="318">
        <v>1.4</v>
      </c>
      <c r="I533" s="331" t="s">
        <v>581</v>
      </c>
      <c r="J533" s="331" t="s">
        <v>581</v>
      </c>
      <c r="K533" s="318">
        <v>10.4</v>
      </c>
      <c r="L533" s="331" t="s">
        <v>581</v>
      </c>
      <c r="M533" s="331" t="s">
        <v>581</v>
      </c>
      <c r="N533" s="318">
        <v>2</v>
      </c>
      <c r="O533" s="331" t="s">
        <v>581</v>
      </c>
      <c r="P533" s="331" t="s">
        <v>581</v>
      </c>
    </row>
    <row r="534" spans="1:16" ht="15" customHeight="1" x14ac:dyDescent="0.25">
      <c r="A534" s="299" t="s">
        <v>290</v>
      </c>
      <c r="B534" s="318">
        <v>18.100000000000001</v>
      </c>
      <c r="C534" s="331" t="s">
        <v>581</v>
      </c>
      <c r="D534" s="331" t="s">
        <v>581</v>
      </c>
      <c r="E534" s="318">
        <v>0.9</v>
      </c>
      <c r="F534" s="331" t="s">
        <v>581</v>
      </c>
      <c r="G534" s="331" t="s">
        <v>581</v>
      </c>
      <c r="H534" s="318">
        <v>1.5</v>
      </c>
      <c r="I534" s="331" t="s">
        <v>581</v>
      </c>
      <c r="J534" s="331" t="s">
        <v>581</v>
      </c>
      <c r="K534" s="318">
        <v>12.4</v>
      </c>
      <c r="L534" s="331" t="s">
        <v>581</v>
      </c>
      <c r="M534" s="331" t="s">
        <v>581</v>
      </c>
      <c r="N534" s="318">
        <v>3.2</v>
      </c>
      <c r="O534" s="331" t="s">
        <v>581</v>
      </c>
      <c r="P534" s="331" t="s">
        <v>581</v>
      </c>
    </row>
    <row r="535" spans="1:16" ht="15" customHeight="1" x14ac:dyDescent="0.25">
      <c r="A535" s="299" t="s">
        <v>291</v>
      </c>
      <c r="B535" s="318">
        <v>22.8</v>
      </c>
      <c r="C535" s="331" t="s">
        <v>581</v>
      </c>
      <c r="D535" s="331" t="s">
        <v>581</v>
      </c>
      <c r="E535" s="318">
        <v>0.8</v>
      </c>
      <c r="F535" s="331" t="s">
        <v>581</v>
      </c>
      <c r="G535" s="331" t="s">
        <v>581</v>
      </c>
      <c r="H535" s="318">
        <v>2.2999999999999998</v>
      </c>
      <c r="I535" s="331" t="s">
        <v>581</v>
      </c>
      <c r="J535" s="331" t="s">
        <v>581</v>
      </c>
      <c r="K535" s="318">
        <v>16.100000000000001</v>
      </c>
      <c r="L535" s="331" t="s">
        <v>581</v>
      </c>
      <c r="M535" s="331" t="s">
        <v>581</v>
      </c>
      <c r="N535" s="318">
        <v>3.6</v>
      </c>
      <c r="O535" s="331" t="s">
        <v>581</v>
      </c>
      <c r="P535" s="331" t="s">
        <v>581</v>
      </c>
    </row>
    <row r="536" spans="1:16" ht="15" customHeight="1" x14ac:dyDescent="0.25">
      <c r="A536" s="299" t="s">
        <v>292</v>
      </c>
      <c r="B536" s="318">
        <v>23.3</v>
      </c>
      <c r="C536" s="331" t="s">
        <v>581</v>
      </c>
      <c r="D536" s="331" t="s">
        <v>581</v>
      </c>
      <c r="E536" s="318">
        <v>1</v>
      </c>
      <c r="F536" s="331" t="s">
        <v>581</v>
      </c>
      <c r="G536" s="331" t="s">
        <v>581</v>
      </c>
      <c r="H536" s="318">
        <v>2.5</v>
      </c>
      <c r="I536" s="331" t="s">
        <v>581</v>
      </c>
      <c r="J536" s="331" t="s">
        <v>581</v>
      </c>
      <c r="K536" s="318">
        <v>16.5</v>
      </c>
      <c r="L536" s="331" t="s">
        <v>581</v>
      </c>
      <c r="M536" s="331" t="s">
        <v>581</v>
      </c>
      <c r="N536" s="318">
        <v>3.3</v>
      </c>
      <c r="O536" s="331" t="s">
        <v>581</v>
      </c>
      <c r="P536" s="331" t="s">
        <v>581</v>
      </c>
    </row>
    <row r="537" spans="1:16" ht="15" customHeight="1" x14ac:dyDescent="0.25">
      <c r="A537" s="299" t="s">
        <v>293</v>
      </c>
      <c r="B537" s="318">
        <v>25.9</v>
      </c>
      <c r="C537" s="331" t="s">
        <v>581</v>
      </c>
      <c r="D537" s="331" t="s">
        <v>581</v>
      </c>
      <c r="E537" s="318">
        <v>1.4</v>
      </c>
      <c r="F537" s="331" t="s">
        <v>581</v>
      </c>
      <c r="G537" s="331" t="s">
        <v>581</v>
      </c>
      <c r="H537" s="318">
        <v>3.8</v>
      </c>
      <c r="I537" s="331" t="s">
        <v>581</v>
      </c>
      <c r="J537" s="331" t="s">
        <v>581</v>
      </c>
      <c r="K537" s="318">
        <v>16.600000000000001</v>
      </c>
      <c r="L537" s="331" t="s">
        <v>581</v>
      </c>
      <c r="M537" s="331" t="s">
        <v>581</v>
      </c>
      <c r="N537" s="318">
        <v>4.0999999999999996</v>
      </c>
      <c r="O537" s="331" t="s">
        <v>581</v>
      </c>
      <c r="P537" s="331" t="s">
        <v>581</v>
      </c>
    </row>
    <row r="538" spans="1:16" ht="15" customHeight="1" x14ac:dyDescent="0.25">
      <c r="A538" s="299" t="s">
        <v>282</v>
      </c>
      <c r="B538" s="318">
        <v>26.1</v>
      </c>
      <c r="C538" s="331" t="s">
        <v>581</v>
      </c>
      <c r="D538" s="331" t="s">
        <v>581</v>
      </c>
      <c r="E538" s="318">
        <v>1.6</v>
      </c>
      <c r="F538" s="331" t="s">
        <v>581</v>
      </c>
      <c r="G538" s="331" t="s">
        <v>581</v>
      </c>
      <c r="H538" s="318">
        <v>3.4</v>
      </c>
      <c r="I538" s="331" t="s">
        <v>581</v>
      </c>
      <c r="J538" s="331" t="s">
        <v>581</v>
      </c>
      <c r="K538" s="318">
        <v>17.600000000000001</v>
      </c>
      <c r="L538" s="331" t="s">
        <v>581</v>
      </c>
      <c r="M538" s="331" t="s">
        <v>581</v>
      </c>
      <c r="N538" s="318">
        <v>3.5</v>
      </c>
      <c r="O538" s="331" t="s">
        <v>581</v>
      </c>
      <c r="P538" s="331" t="s">
        <v>581</v>
      </c>
    </row>
    <row r="539" spans="1:16" ht="15" customHeight="1" x14ac:dyDescent="0.25">
      <c r="A539" s="299" t="s">
        <v>283</v>
      </c>
      <c r="B539" s="318">
        <v>27.6</v>
      </c>
      <c r="C539" s="331" t="s">
        <v>581</v>
      </c>
      <c r="D539" s="331" t="s">
        <v>581</v>
      </c>
      <c r="E539" s="318">
        <v>1.9</v>
      </c>
      <c r="F539" s="331" t="s">
        <v>581</v>
      </c>
      <c r="G539" s="331" t="s">
        <v>581</v>
      </c>
      <c r="H539" s="318">
        <v>4.3</v>
      </c>
      <c r="I539" s="331" t="s">
        <v>581</v>
      </c>
      <c r="J539" s="331" t="s">
        <v>581</v>
      </c>
      <c r="K539" s="318">
        <v>17.399999999999999</v>
      </c>
      <c r="L539" s="331" t="s">
        <v>581</v>
      </c>
      <c r="M539" s="331" t="s">
        <v>581</v>
      </c>
      <c r="N539" s="318">
        <v>3.9</v>
      </c>
      <c r="O539" s="331" t="s">
        <v>581</v>
      </c>
      <c r="P539" s="331" t="s">
        <v>581</v>
      </c>
    </row>
    <row r="540" spans="1:16" ht="15" customHeight="1" x14ac:dyDescent="0.25">
      <c r="A540" s="299" t="s">
        <v>284</v>
      </c>
      <c r="B540" s="318">
        <v>30.3</v>
      </c>
      <c r="C540" s="331" t="s">
        <v>581</v>
      </c>
      <c r="D540" s="331" t="s">
        <v>581</v>
      </c>
      <c r="E540" s="318">
        <v>2.4</v>
      </c>
      <c r="F540" s="331" t="s">
        <v>581</v>
      </c>
      <c r="G540" s="331" t="s">
        <v>581</v>
      </c>
      <c r="H540" s="318">
        <v>4.0999999999999996</v>
      </c>
      <c r="I540" s="331" t="s">
        <v>581</v>
      </c>
      <c r="J540" s="331" t="s">
        <v>581</v>
      </c>
      <c r="K540" s="318">
        <v>19.5</v>
      </c>
      <c r="L540" s="331" t="s">
        <v>581</v>
      </c>
      <c r="M540" s="331" t="s">
        <v>581</v>
      </c>
      <c r="N540" s="318">
        <v>4.3</v>
      </c>
      <c r="O540" s="331" t="s">
        <v>581</v>
      </c>
      <c r="P540" s="331" t="s">
        <v>581</v>
      </c>
    </row>
    <row r="541" spans="1:16" ht="15" customHeight="1" x14ac:dyDescent="0.25">
      <c r="A541" s="299" t="s">
        <v>294</v>
      </c>
      <c r="B541" s="318">
        <v>23.3</v>
      </c>
      <c r="C541" s="331" t="s">
        <v>581</v>
      </c>
      <c r="D541" s="331" t="s">
        <v>581</v>
      </c>
      <c r="E541" s="318">
        <v>1.8</v>
      </c>
      <c r="F541" s="331" t="s">
        <v>581</v>
      </c>
      <c r="G541" s="331" t="s">
        <v>581</v>
      </c>
      <c r="H541" s="318">
        <v>3.5</v>
      </c>
      <c r="I541" s="331" t="s">
        <v>581</v>
      </c>
      <c r="J541" s="331" t="s">
        <v>581</v>
      </c>
      <c r="K541" s="318">
        <v>14</v>
      </c>
      <c r="L541" s="331" t="s">
        <v>581</v>
      </c>
      <c r="M541" s="331" t="s">
        <v>581</v>
      </c>
      <c r="N541" s="318">
        <v>4</v>
      </c>
      <c r="O541" s="331" t="s">
        <v>581</v>
      </c>
      <c r="P541" s="331" t="s">
        <v>581</v>
      </c>
    </row>
    <row r="542" spans="1:16" ht="15" customHeight="1" x14ac:dyDescent="0.25">
      <c r="A542" s="299" t="s">
        <v>295</v>
      </c>
      <c r="B542" s="318">
        <v>25.8</v>
      </c>
      <c r="C542" s="331" t="s">
        <v>581</v>
      </c>
      <c r="D542" s="331" t="s">
        <v>581</v>
      </c>
      <c r="E542" s="318">
        <v>1.9</v>
      </c>
      <c r="F542" s="331" t="s">
        <v>581</v>
      </c>
      <c r="G542" s="331" t="s">
        <v>581</v>
      </c>
      <c r="H542" s="318">
        <v>3.1</v>
      </c>
      <c r="I542" s="331" t="s">
        <v>581</v>
      </c>
      <c r="J542" s="331" t="s">
        <v>581</v>
      </c>
      <c r="K542" s="318">
        <v>16.8</v>
      </c>
      <c r="L542" s="331" t="s">
        <v>581</v>
      </c>
      <c r="M542" s="331" t="s">
        <v>581</v>
      </c>
      <c r="N542" s="318">
        <v>4</v>
      </c>
      <c r="O542" s="331" t="s">
        <v>581</v>
      </c>
      <c r="P542" s="331" t="s">
        <v>581</v>
      </c>
    </row>
    <row r="543" spans="1:16" ht="15" customHeight="1" x14ac:dyDescent="0.25">
      <c r="A543" s="299" t="s">
        <v>296</v>
      </c>
      <c r="B543" s="318">
        <v>21.6</v>
      </c>
      <c r="C543" s="331" t="s">
        <v>581</v>
      </c>
      <c r="D543" s="331" t="s">
        <v>581</v>
      </c>
      <c r="E543" s="318">
        <v>1.4</v>
      </c>
      <c r="F543" s="331" t="s">
        <v>581</v>
      </c>
      <c r="G543" s="331" t="s">
        <v>581</v>
      </c>
      <c r="H543" s="318">
        <v>2.4</v>
      </c>
      <c r="I543" s="331" t="s">
        <v>581</v>
      </c>
      <c r="J543" s="331" t="s">
        <v>581</v>
      </c>
      <c r="K543" s="318">
        <v>14.6</v>
      </c>
      <c r="L543" s="331" t="s">
        <v>581</v>
      </c>
      <c r="M543" s="331" t="s">
        <v>581</v>
      </c>
      <c r="N543" s="318">
        <v>3.2</v>
      </c>
      <c r="O543" s="331" t="s">
        <v>581</v>
      </c>
      <c r="P543" s="331" t="s">
        <v>581</v>
      </c>
    </row>
    <row r="544" spans="1:16" ht="15" customHeight="1" x14ac:dyDescent="0.25">
      <c r="A544" s="299" t="s">
        <v>297</v>
      </c>
      <c r="B544" s="318">
        <v>19.100000000000001</v>
      </c>
      <c r="C544" s="331" t="s">
        <v>581</v>
      </c>
      <c r="D544" s="331" t="s">
        <v>581</v>
      </c>
      <c r="E544" s="318">
        <v>0.6</v>
      </c>
      <c r="F544" s="331" t="s">
        <v>581</v>
      </c>
      <c r="G544" s="331" t="s">
        <v>581</v>
      </c>
      <c r="H544" s="318">
        <v>2.1</v>
      </c>
      <c r="I544" s="331" t="s">
        <v>581</v>
      </c>
      <c r="J544" s="331" t="s">
        <v>581</v>
      </c>
      <c r="K544" s="318">
        <v>14</v>
      </c>
      <c r="L544" s="331" t="s">
        <v>581</v>
      </c>
      <c r="M544" s="331" t="s">
        <v>581</v>
      </c>
      <c r="N544" s="318">
        <v>2.2999999999999998</v>
      </c>
      <c r="O544" s="331" t="s">
        <v>581</v>
      </c>
      <c r="P544" s="331" t="s">
        <v>581</v>
      </c>
    </row>
    <row r="545" spans="1:16" ht="15" customHeight="1" x14ac:dyDescent="0.25">
      <c r="B545" s="318"/>
      <c r="C545" s="331"/>
      <c r="D545" s="331"/>
      <c r="E545" s="318"/>
      <c r="F545" s="331"/>
      <c r="G545" s="331"/>
      <c r="H545" s="318"/>
      <c r="I545" s="331"/>
      <c r="J545" s="331"/>
      <c r="K545" s="318"/>
      <c r="L545" s="331"/>
      <c r="M545" s="331"/>
      <c r="N545" s="318"/>
      <c r="O545" s="331"/>
      <c r="P545" s="331"/>
    </row>
    <row r="546" spans="1:16" ht="15" customHeight="1" x14ac:dyDescent="0.25">
      <c r="B546" s="318"/>
      <c r="C546" s="331"/>
      <c r="D546" s="331"/>
      <c r="E546" s="318"/>
      <c r="F546" s="331"/>
      <c r="G546" s="331"/>
      <c r="H546" s="318"/>
      <c r="I546" s="331"/>
      <c r="J546" s="331"/>
      <c r="K546" s="318"/>
      <c r="L546" s="331"/>
      <c r="M546" s="331"/>
      <c r="N546" s="318"/>
      <c r="O546" s="331"/>
      <c r="P546" s="331"/>
    </row>
    <row r="547" spans="1:16" ht="15" customHeight="1" x14ac:dyDescent="0.25">
      <c r="A547" s="312">
        <v>1982</v>
      </c>
      <c r="B547" s="323"/>
      <c r="C547" s="312"/>
      <c r="D547" s="312"/>
      <c r="E547" s="323"/>
      <c r="F547" s="312"/>
      <c r="G547" s="312"/>
      <c r="H547" s="323"/>
      <c r="I547" s="312"/>
      <c r="J547" s="312"/>
      <c r="K547" s="323"/>
      <c r="L547" s="312"/>
      <c r="M547" s="312"/>
      <c r="N547" s="323"/>
      <c r="O547" s="312"/>
      <c r="P547" s="312"/>
    </row>
    <row r="548" spans="1:16" s="300" customFormat="1" ht="10.5" customHeight="1" x14ac:dyDescent="0.25">
      <c r="A548" s="299"/>
      <c r="B548" s="302"/>
      <c r="C548" s="302"/>
      <c r="D548" s="302"/>
      <c r="E548" s="302"/>
      <c r="F548" s="302"/>
      <c r="G548" s="302"/>
      <c r="H548" s="302"/>
      <c r="I548" s="302"/>
      <c r="J548" s="302"/>
      <c r="K548" s="302"/>
      <c r="L548" s="302"/>
      <c r="M548" s="302"/>
      <c r="N548" s="302"/>
      <c r="O548" s="302"/>
      <c r="P548" s="302"/>
    </row>
    <row r="549" spans="1:16" ht="15" customHeight="1" x14ac:dyDescent="0.2">
      <c r="A549" s="304" t="s">
        <v>91</v>
      </c>
      <c r="B549" s="309">
        <v>234.1</v>
      </c>
      <c r="C549" s="333">
        <v>182.5</v>
      </c>
      <c r="D549" s="333">
        <v>50.7</v>
      </c>
      <c r="E549" s="309">
        <f>SUM(E551:E562)</f>
        <v>12.4</v>
      </c>
      <c r="F549" s="333">
        <v>11</v>
      </c>
      <c r="G549" s="333">
        <v>1.3</v>
      </c>
      <c r="H549" s="309">
        <v>25.6</v>
      </c>
      <c r="I549" s="333">
        <v>21.6</v>
      </c>
      <c r="J549" s="333">
        <v>4</v>
      </c>
      <c r="K549" s="309">
        <f>SUM(K551:K562)</f>
        <v>161.1</v>
      </c>
      <c r="L549" s="333">
        <v>130.4</v>
      </c>
      <c r="M549" s="333">
        <v>30.7</v>
      </c>
      <c r="N549" s="309">
        <v>35</v>
      </c>
      <c r="O549" s="333">
        <v>19.5</v>
      </c>
      <c r="P549" s="333">
        <v>14.7</v>
      </c>
    </row>
    <row r="550" spans="1:16" s="300" customFormat="1" ht="10.5" customHeight="1" x14ac:dyDescent="0.25">
      <c r="A550" s="299"/>
      <c r="B550" s="302"/>
      <c r="C550" s="302"/>
      <c r="D550" s="302"/>
      <c r="E550" s="302"/>
      <c r="F550" s="302"/>
      <c r="G550" s="302"/>
      <c r="H550" s="302"/>
      <c r="I550" s="302"/>
      <c r="J550" s="302"/>
      <c r="K550" s="302"/>
      <c r="L550" s="302"/>
      <c r="M550" s="302"/>
      <c r="N550" s="302"/>
      <c r="O550" s="302"/>
      <c r="P550" s="302"/>
    </row>
    <row r="551" spans="1:16" ht="15" customHeight="1" x14ac:dyDescent="0.25">
      <c r="A551" s="299" t="s">
        <v>289</v>
      </c>
      <c r="B551" s="318">
        <v>13.3</v>
      </c>
      <c r="C551" s="331" t="s">
        <v>581</v>
      </c>
      <c r="D551" s="331" t="s">
        <v>581</v>
      </c>
      <c r="E551" s="318">
        <v>0.3</v>
      </c>
      <c r="F551" s="331" t="s">
        <v>581</v>
      </c>
      <c r="G551" s="331" t="s">
        <v>581</v>
      </c>
      <c r="H551" s="318">
        <v>0.6</v>
      </c>
      <c r="I551" s="331" t="s">
        <v>581</v>
      </c>
      <c r="J551" s="331" t="s">
        <v>581</v>
      </c>
      <c r="K551" s="318">
        <v>10.6</v>
      </c>
      <c r="L551" s="331" t="s">
        <v>581</v>
      </c>
      <c r="M551" s="331" t="s">
        <v>581</v>
      </c>
      <c r="N551" s="318">
        <v>1.7</v>
      </c>
      <c r="O551" s="331" t="s">
        <v>581</v>
      </c>
      <c r="P551" s="331" t="s">
        <v>581</v>
      </c>
    </row>
    <row r="552" spans="1:16" ht="15" customHeight="1" x14ac:dyDescent="0.25">
      <c r="A552" s="299" t="s">
        <v>290</v>
      </c>
      <c r="B552" s="318">
        <v>14.3</v>
      </c>
      <c r="C552" s="331" t="s">
        <v>581</v>
      </c>
      <c r="D552" s="331" t="s">
        <v>581</v>
      </c>
      <c r="E552" s="318">
        <v>0.2</v>
      </c>
      <c r="F552" s="331" t="s">
        <v>581</v>
      </c>
      <c r="G552" s="331" t="s">
        <v>581</v>
      </c>
      <c r="H552" s="318">
        <v>0.7</v>
      </c>
      <c r="I552" s="331" t="s">
        <v>581</v>
      </c>
      <c r="J552" s="331" t="s">
        <v>581</v>
      </c>
      <c r="K552" s="318">
        <v>11.2</v>
      </c>
      <c r="L552" s="331" t="s">
        <v>581</v>
      </c>
      <c r="M552" s="331" t="s">
        <v>581</v>
      </c>
      <c r="N552" s="318">
        <v>2.1</v>
      </c>
      <c r="O552" s="331" t="s">
        <v>581</v>
      </c>
      <c r="P552" s="331" t="s">
        <v>581</v>
      </c>
    </row>
    <row r="553" spans="1:16" ht="15" customHeight="1" x14ac:dyDescent="0.25">
      <c r="A553" s="299" t="s">
        <v>291</v>
      </c>
      <c r="B553" s="318">
        <v>20.2</v>
      </c>
      <c r="C553" s="331" t="s">
        <v>581</v>
      </c>
      <c r="D553" s="331" t="s">
        <v>581</v>
      </c>
      <c r="E553" s="318">
        <v>0.6</v>
      </c>
      <c r="F553" s="331" t="s">
        <v>581</v>
      </c>
      <c r="G553" s="331" t="s">
        <v>581</v>
      </c>
      <c r="H553" s="318">
        <v>1.5</v>
      </c>
      <c r="I553" s="331" t="s">
        <v>581</v>
      </c>
      <c r="J553" s="331" t="s">
        <v>581</v>
      </c>
      <c r="K553" s="318">
        <v>14.5</v>
      </c>
      <c r="L553" s="331" t="s">
        <v>581</v>
      </c>
      <c r="M553" s="331" t="s">
        <v>581</v>
      </c>
      <c r="N553" s="318">
        <v>3.7</v>
      </c>
      <c r="O553" s="331" t="s">
        <v>581</v>
      </c>
      <c r="P553" s="331" t="s">
        <v>581</v>
      </c>
    </row>
    <row r="554" spans="1:16" ht="15" customHeight="1" x14ac:dyDescent="0.25">
      <c r="A554" s="299" t="s">
        <v>292</v>
      </c>
      <c r="B554" s="318">
        <v>21.8</v>
      </c>
      <c r="C554" s="331" t="s">
        <v>581</v>
      </c>
      <c r="D554" s="331" t="s">
        <v>581</v>
      </c>
      <c r="E554" s="318">
        <v>1</v>
      </c>
      <c r="F554" s="331" t="s">
        <v>581</v>
      </c>
      <c r="G554" s="331" t="s">
        <v>581</v>
      </c>
      <c r="H554" s="318">
        <v>2.4</v>
      </c>
      <c r="I554" s="331" t="s">
        <v>581</v>
      </c>
      <c r="J554" s="331" t="s">
        <v>581</v>
      </c>
      <c r="K554" s="318">
        <v>14.8</v>
      </c>
      <c r="L554" s="331" t="s">
        <v>581</v>
      </c>
      <c r="M554" s="331" t="s">
        <v>581</v>
      </c>
      <c r="N554" s="318">
        <v>3.6</v>
      </c>
      <c r="O554" s="331" t="s">
        <v>581</v>
      </c>
      <c r="P554" s="331" t="s">
        <v>581</v>
      </c>
    </row>
    <row r="555" spans="1:16" ht="15" customHeight="1" x14ac:dyDescent="0.25">
      <c r="A555" s="299" t="s">
        <v>293</v>
      </c>
      <c r="B555" s="318">
        <v>22.7</v>
      </c>
      <c r="C555" s="331" t="s">
        <v>581</v>
      </c>
      <c r="D555" s="331" t="s">
        <v>581</v>
      </c>
      <c r="E555" s="318">
        <v>1.5</v>
      </c>
      <c r="F555" s="331" t="s">
        <v>581</v>
      </c>
      <c r="G555" s="331" t="s">
        <v>581</v>
      </c>
      <c r="H555" s="318">
        <v>2.8</v>
      </c>
      <c r="I555" s="331" t="s">
        <v>581</v>
      </c>
      <c r="J555" s="331" t="s">
        <v>581</v>
      </c>
      <c r="K555" s="318">
        <v>14.6</v>
      </c>
      <c r="L555" s="331" t="s">
        <v>581</v>
      </c>
      <c r="M555" s="331" t="s">
        <v>581</v>
      </c>
      <c r="N555" s="318">
        <v>3.8</v>
      </c>
      <c r="O555" s="331" t="s">
        <v>581</v>
      </c>
      <c r="P555" s="331" t="s">
        <v>581</v>
      </c>
    </row>
    <row r="556" spans="1:16" ht="15" customHeight="1" x14ac:dyDescent="0.25">
      <c r="A556" s="299" t="s">
        <v>282</v>
      </c>
      <c r="B556" s="318">
        <v>23.1</v>
      </c>
      <c r="C556" s="331" t="s">
        <v>581</v>
      </c>
      <c r="D556" s="331" t="s">
        <v>581</v>
      </c>
      <c r="E556" s="318">
        <v>1.5</v>
      </c>
      <c r="F556" s="331" t="s">
        <v>581</v>
      </c>
      <c r="G556" s="331" t="s">
        <v>581</v>
      </c>
      <c r="H556" s="318">
        <v>3.4</v>
      </c>
      <c r="I556" s="331" t="s">
        <v>581</v>
      </c>
      <c r="J556" s="331" t="s">
        <v>581</v>
      </c>
      <c r="K556" s="318">
        <v>14.3</v>
      </c>
      <c r="L556" s="331" t="s">
        <v>581</v>
      </c>
      <c r="M556" s="331" t="s">
        <v>581</v>
      </c>
      <c r="N556" s="318">
        <v>3.9</v>
      </c>
      <c r="O556" s="331" t="s">
        <v>581</v>
      </c>
      <c r="P556" s="331" t="s">
        <v>581</v>
      </c>
    </row>
    <row r="557" spans="1:16" ht="15" customHeight="1" x14ac:dyDescent="0.25">
      <c r="A557" s="299" t="s">
        <v>283</v>
      </c>
      <c r="B557" s="318">
        <v>19.8</v>
      </c>
      <c r="C557" s="331" t="s">
        <v>581</v>
      </c>
      <c r="D557" s="331" t="s">
        <v>581</v>
      </c>
      <c r="E557" s="318">
        <v>0.9</v>
      </c>
      <c r="F557" s="331" t="s">
        <v>581</v>
      </c>
      <c r="G557" s="331" t="s">
        <v>581</v>
      </c>
      <c r="H557" s="318">
        <v>2.4</v>
      </c>
      <c r="I557" s="331" t="s">
        <v>581</v>
      </c>
      <c r="J557" s="331" t="s">
        <v>581</v>
      </c>
      <c r="K557" s="318">
        <v>13.9</v>
      </c>
      <c r="L557" s="331" t="s">
        <v>581</v>
      </c>
      <c r="M557" s="331" t="s">
        <v>581</v>
      </c>
      <c r="N557" s="318">
        <v>2.6</v>
      </c>
      <c r="O557" s="331" t="s">
        <v>581</v>
      </c>
      <c r="P557" s="331" t="s">
        <v>581</v>
      </c>
    </row>
    <row r="558" spans="1:16" ht="15" customHeight="1" x14ac:dyDescent="0.25">
      <c r="A558" s="299" t="s">
        <v>284</v>
      </c>
      <c r="B558" s="318">
        <v>23.3</v>
      </c>
      <c r="C558" s="331" t="s">
        <v>581</v>
      </c>
      <c r="D558" s="331" t="s">
        <v>581</v>
      </c>
      <c r="E558" s="318">
        <v>1.8</v>
      </c>
      <c r="F558" s="331" t="s">
        <v>581</v>
      </c>
      <c r="G558" s="331" t="s">
        <v>581</v>
      </c>
      <c r="H558" s="318">
        <v>2.8</v>
      </c>
      <c r="I558" s="331" t="s">
        <v>581</v>
      </c>
      <c r="J558" s="331" t="s">
        <v>581</v>
      </c>
      <c r="K558" s="318">
        <v>15.5</v>
      </c>
      <c r="L558" s="331" t="s">
        <v>581</v>
      </c>
      <c r="M558" s="331" t="s">
        <v>581</v>
      </c>
      <c r="N558" s="318">
        <v>3.2</v>
      </c>
      <c r="O558" s="331" t="s">
        <v>581</v>
      </c>
      <c r="P558" s="331" t="s">
        <v>581</v>
      </c>
    </row>
    <row r="559" spans="1:16" ht="15" customHeight="1" x14ac:dyDescent="0.25">
      <c r="A559" s="299" t="s">
        <v>294</v>
      </c>
      <c r="B559" s="318">
        <v>21.3</v>
      </c>
      <c r="C559" s="331" t="s">
        <v>581</v>
      </c>
      <c r="D559" s="331" t="s">
        <v>581</v>
      </c>
      <c r="E559" s="318">
        <v>1.6</v>
      </c>
      <c r="F559" s="331" t="s">
        <v>581</v>
      </c>
      <c r="G559" s="331" t="s">
        <v>581</v>
      </c>
      <c r="H559" s="318">
        <v>2.4</v>
      </c>
      <c r="I559" s="331" t="s">
        <v>581</v>
      </c>
      <c r="J559" s="331" t="s">
        <v>581</v>
      </c>
      <c r="K559" s="318">
        <v>14.2</v>
      </c>
      <c r="L559" s="331" t="s">
        <v>581</v>
      </c>
      <c r="M559" s="331" t="s">
        <v>581</v>
      </c>
      <c r="N559" s="318">
        <v>2.9</v>
      </c>
      <c r="O559" s="331" t="s">
        <v>581</v>
      </c>
      <c r="P559" s="331" t="s">
        <v>581</v>
      </c>
    </row>
    <row r="560" spans="1:16" ht="15" customHeight="1" x14ac:dyDescent="0.25">
      <c r="A560" s="299" t="s">
        <v>295</v>
      </c>
      <c r="B560" s="318">
        <v>18.899999999999999</v>
      </c>
      <c r="C560" s="331" t="s">
        <v>581</v>
      </c>
      <c r="D560" s="331" t="s">
        <v>581</v>
      </c>
      <c r="E560" s="318">
        <v>1.2</v>
      </c>
      <c r="F560" s="331" t="s">
        <v>581</v>
      </c>
      <c r="G560" s="331" t="s">
        <v>581</v>
      </c>
      <c r="H560" s="318">
        <v>2.7</v>
      </c>
      <c r="I560" s="331" t="s">
        <v>581</v>
      </c>
      <c r="J560" s="331" t="s">
        <v>581</v>
      </c>
      <c r="K560" s="318">
        <v>12.5</v>
      </c>
      <c r="L560" s="331" t="s">
        <v>581</v>
      </c>
      <c r="M560" s="331" t="s">
        <v>581</v>
      </c>
      <c r="N560" s="318">
        <v>2.6</v>
      </c>
      <c r="O560" s="331" t="s">
        <v>581</v>
      </c>
      <c r="P560" s="331" t="s">
        <v>581</v>
      </c>
    </row>
    <row r="561" spans="1:16" ht="15" customHeight="1" x14ac:dyDescent="0.25">
      <c r="A561" s="299" t="s">
        <v>296</v>
      </c>
      <c r="B561" s="318">
        <v>18.899999999999999</v>
      </c>
      <c r="C561" s="331" t="s">
        <v>581</v>
      </c>
      <c r="D561" s="331" t="s">
        <v>581</v>
      </c>
      <c r="E561" s="318">
        <v>1</v>
      </c>
      <c r="F561" s="331" t="s">
        <v>581</v>
      </c>
      <c r="G561" s="331" t="s">
        <v>581</v>
      </c>
      <c r="H561" s="318">
        <v>2</v>
      </c>
      <c r="I561" s="331" t="s">
        <v>581</v>
      </c>
      <c r="J561" s="331" t="s">
        <v>581</v>
      </c>
      <c r="K561" s="318">
        <v>13.5</v>
      </c>
      <c r="L561" s="331" t="s">
        <v>581</v>
      </c>
      <c r="M561" s="331" t="s">
        <v>581</v>
      </c>
      <c r="N561" s="318">
        <v>2.4</v>
      </c>
      <c r="O561" s="331" t="s">
        <v>581</v>
      </c>
      <c r="P561" s="331" t="s">
        <v>581</v>
      </c>
    </row>
    <row r="562" spans="1:16" ht="15" customHeight="1" x14ac:dyDescent="0.25">
      <c r="A562" s="299" t="s">
        <v>297</v>
      </c>
      <c r="B562" s="318">
        <v>16.600000000000001</v>
      </c>
      <c r="C562" s="331" t="s">
        <v>581</v>
      </c>
      <c r="D562" s="331" t="s">
        <v>581</v>
      </c>
      <c r="E562" s="318">
        <v>0.8</v>
      </c>
      <c r="F562" s="331" t="s">
        <v>581</v>
      </c>
      <c r="G562" s="331" t="s">
        <v>581</v>
      </c>
      <c r="H562" s="318">
        <v>1.7</v>
      </c>
      <c r="I562" s="331" t="s">
        <v>581</v>
      </c>
      <c r="J562" s="331" t="s">
        <v>581</v>
      </c>
      <c r="K562" s="318">
        <v>11.5</v>
      </c>
      <c r="L562" s="331" t="s">
        <v>581</v>
      </c>
      <c r="M562" s="331" t="s">
        <v>581</v>
      </c>
      <c r="N562" s="318">
        <v>2.6</v>
      </c>
      <c r="O562" s="331" t="s">
        <v>581</v>
      </c>
      <c r="P562" s="331" t="s">
        <v>581</v>
      </c>
    </row>
    <row r="563" spans="1:16" ht="15" customHeight="1" x14ac:dyDescent="0.25"/>
    <row r="564" spans="1:16" ht="15" customHeight="1" x14ac:dyDescent="0.25"/>
    <row r="565" spans="1:16" ht="15" customHeight="1" x14ac:dyDescent="0.25">
      <c r="A565" s="312">
        <v>1981</v>
      </c>
      <c r="B565" s="312"/>
      <c r="C565" s="312"/>
      <c r="D565" s="312"/>
      <c r="E565" s="312"/>
      <c r="F565" s="312"/>
      <c r="G565" s="312"/>
      <c r="H565" s="312"/>
      <c r="I565" s="312"/>
      <c r="J565" s="312"/>
      <c r="K565" s="312"/>
      <c r="L565" s="312"/>
      <c r="M565" s="312"/>
      <c r="N565" s="312"/>
      <c r="O565" s="312"/>
      <c r="P565" s="312"/>
    </row>
    <row r="566" spans="1:16" s="300" customFormat="1" ht="10.5" customHeight="1" x14ac:dyDescent="0.25">
      <c r="A566" s="299"/>
      <c r="B566" s="302"/>
      <c r="C566" s="302"/>
      <c r="D566" s="302"/>
      <c r="E566" s="302"/>
      <c r="F566" s="302"/>
      <c r="G566" s="302"/>
      <c r="H566" s="302"/>
      <c r="I566" s="302"/>
      <c r="J566" s="302"/>
      <c r="K566" s="302"/>
      <c r="L566" s="302"/>
      <c r="M566" s="302"/>
      <c r="N566" s="302"/>
      <c r="O566" s="302"/>
      <c r="P566" s="302"/>
    </row>
    <row r="567" spans="1:16" ht="15" customHeight="1" x14ac:dyDescent="0.2">
      <c r="A567" s="329" t="s">
        <v>91</v>
      </c>
      <c r="B567" s="323">
        <v>229.2</v>
      </c>
      <c r="C567" s="333">
        <v>173</v>
      </c>
      <c r="D567" s="333">
        <v>54.3</v>
      </c>
      <c r="E567" s="323">
        <v>12</v>
      </c>
      <c r="F567" s="333">
        <v>10.5</v>
      </c>
      <c r="G567" s="333">
        <v>1.5</v>
      </c>
      <c r="H567" s="323">
        <v>30.1</v>
      </c>
      <c r="I567" s="333">
        <v>26</v>
      </c>
      <c r="J567" s="333">
        <v>4.0999999999999996</v>
      </c>
      <c r="K567" s="323">
        <v>143.5</v>
      </c>
      <c r="L567" s="333">
        <v>113.9</v>
      </c>
      <c r="M567" s="333">
        <v>29.5</v>
      </c>
      <c r="N567" s="323">
        <v>43.6</v>
      </c>
      <c r="O567" s="333">
        <v>22.5</v>
      </c>
      <c r="P567" s="333">
        <v>19.2</v>
      </c>
    </row>
    <row r="568" spans="1:16" s="300" customFormat="1" ht="10.5" customHeight="1" x14ac:dyDescent="0.25">
      <c r="A568" s="299"/>
      <c r="B568" s="302"/>
      <c r="C568" s="302"/>
      <c r="D568" s="302"/>
      <c r="E568" s="302"/>
      <c r="F568" s="302"/>
      <c r="G568" s="302"/>
      <c r="H568" s="302"/>
      <c r="I568" s="302"/>
      <c r="J568" s="302"/>
      <c r="K568" s="302"/>
      <c r="L568" s="302"/>
      <c r="M568" s="302"/>
      <c r="N568" s="302"/>
      <c r="O568" s="302"/>
      <c r="P568" s="302"/>
    </row>
    <row r="569" spans="1:16" ht="15" customHeight="1" x14ac:dyDescent="0.25">
      <c r="A569" s="299" t="s">
        <v>289</v>
      </c>
      <c r="B569" s="318">
        <v>13.2</v>
      </c>
      <c r="C569" s="331" t="s">
        <v>581</v>
      </c>
      <c r="D569" s="331" t="s">
        <v>581</v>
      </c>
      <c r="E569" s="318">
        <v>0.4</v>
      </c>
      <c r="F569" s="331" t="s">
        <v>581</v>
      </c>
      <c r="G569" s="331" t="s">
        <v>581</v>
      </c>
      <c r="H569" s="318">
        <v>1</v>
      </c>
      <c r="I569" s="331" t="s">
        <v>581</v>
      </c>
      <c r="J569" s="331" t="s">
        <v>581</v>
      </c>
      <c r="K569" s="318">
        <v>9</v>
      </c>
      <c r="L569" s="331" t="s">
        <v>581</v>
      </c>
      <c r="M569" s="331" t="s">
        <v>581</v>
      </c>
      <c r="N569" s="318">
        <v>2.7</v>
      </c>
      <c r="O569" s="331" t="s">
        <v>581</v>
      </c>
      <c r="P569" s="331" t="s">
        <v>581</v>
      </c>
    </row>
    <row r="570" spans="1:16" ht="15" customHeight="1" x14ac:dyDescent="0.25">
      <c r="A570" s="299" t="s">
        <v>290</v>
      </c>
      <c r="B570" s="318">
        <v>15.9</v>
      </c>
      <c r="C570" s="331" t="s">
        <v>581</v>
      </c>
      <c r="D570" s="331" t="s">
        <v>581</v>
      </c>
      <c r="E570" s="318">
        <v>0.2</v>
      </c>
      <c r="F570" s="331" t="s">
        <v>581</v>
      </c>
      <c r="G570" s="331" t="s">
        <v>581</v>
      </c>
      <c r="H570" s="318">
        <v>1.7</v>
      </c>
      <c r="I570" s="331" t="s">
        <v>581</v>
      </c>
      <c r="J570" s="331" t="s">
        <v>581</v>
      </c>
      <c r="K570" s="318">
        <v>10.9</v>
      </c>
      <c r="L570" s="331" t="s">
        <v>581</v>
      </c>
      <c r="M570" s="331" t="s">
        <v>581</v>
      </c>
      <c r="N570" s="318">
        <v>3.1</v>
      </c>
      <c r="O570" s="331" t="s">
        <v>581</v>
      </c>
      <c r="P570" s="331" t="s">
        <v>581</v>
      </c>
    </row>
    <row r="571" spans="1:16" ht="15" customHeight="1" x14ac:dyDescent="0.25">
      <c r="A571" s="299" t="s">
        <v>291</v>
      </c>
      <c r="B571" s="318">
        <v>19.7</v>
      </c>
      <c r="C571" s="331" t="s">
        <v>581</v>
      </c>
      <c r="D571" s="331" t="s">
        <v>581</v>
      </c>
      <c r="E571" s="318">
        <v>1</v>
      </c>
      <c r="F571" s="331" t="s">
        <v>581</v>
      </c>
      <c r="G571" s="331" t="s">
        <v>581</v>
      </c>
      <c r="H571" s="318">
        <v>2.2999999999999998</v>
      </c>
      <c r="I571" s="331" t="s">
        <v>581</v>
      </c>
      <c r="J571" s="331" t="s">
        <v>581</v>
      </c>
      <c r="K571" s="318">
        <v>12.6</v>
      </c>
      <c r="L571" s="331" t="s">
        <v>581</v>
      </c>
      <c r="M571" s="331" t="s">
        <v>581</v>
      </c>
      <c r="N571" s="318">
        <v>3.8</v>
      </c>
      <c r="O571" s="331" t="s">
        <v>581</v>
      </c>
      <c r="P571" s="331" t="s">
        <v>581</v>
      </c>
    </row>
    <row r="572" spans="1:16" ht="15" customHeight="1" x14ac:dyDescent="0.25">
      <c r="A572" s="299" t="s">
        <v>292</v>
      </c>
      <c r="B572" s="318">
        <v>21.2</v>
      </c>
      <c r="C572" s="331" t="s">
        <v>581</v>
      </c>
      <c r="D572" s="331" t="s">
        <v>581</v>
      </c>
      <c r="E572" s="318">
        <v>1.3</v>
      </c>
      <c r="F572" s="331" t="s">
        <v>581</v>
      </c>
      <c r="G572" s="331" t="s">
        <v>581</v>
      </c>
      <c r="H572" s="318">
        <v>2.5</v>
      </c>
      <c r="I572" s="331" t="s">
        <v>581</v>
      </c>
      <c r="J572" s="331" t="s">
        <v>581</v>
      </c>
      <c r="K572" s="318">
        <v>13.5</v>
      </c>
      <c r="L572" s="331" t="s">
        <v>581</v>
      </c>
      <c r="M572" s="331" t="s">
        <v>581</v>
      </c>
      <c r="N572" s="318">
        <v>3.9</v>
      </c>
      <c r="O572" s="331" t="s">
        <v>581</v>
      </c>
      <c r="P572" s="331" t="s">
        <v>581</v>
      </c>
    </row>
    <row r="573" spans="1:16" ht="15" customHeight="1" x14ac:dyDescent="0.25">
      <c r="A573" s="299" t="s">
        <v>293</v>
      </c>
      <c r="B573" s="318">
        <v>20.8</v>
      </c>
      <c r="C573" s="331" t="s">
        <v>581</v>
      </c>
      <c r="D573" s="331" t="s">
        <v>581</v>
      </c>
      <c r="E573" s="318">
        <v>1.2</v>
      </c>
      <c r="F573" s="331" t="s">
        <v>581</v>
      </c>
      <c r="G573" s="331" t="s">
        <v>581</v>
      </c>
      <c r="H573" s="318">
        <v>3.8</v>
      </c>
      <c r="I573" s="331" t="s">
        <v>581</v>
      </c>
      <c r="J573" s="331" t="s">
        <v>581</v>
      </c>
      <c r="K573" s="318">
        <v>12.3</v>
      </c>
      <c r="L573" s="331" t="s">
        <v>581</v>
      </c>
      <c r="M573" s="331" t="s">
        <v>581</v>
      </c>
      <c r="N573" s="318">
        <v>3.4</v>
      </c>
      <c r="O573" s="331" t="s">
        <v>581</v>
      </c>
      <c r="P573" s="331" t="s">
        <v>581</v>
      </c>
    </row>
    <row r="574" spans="1:16" ht="15" customHeight="1" x14ac:dyDescent="0.25">
      <c r="A574" s="299" t="s">
        <v>282</v>
      </c>
      <c r="B574" s="318">
        <v>22.3</v>
      </c>
      <c r="C574" s="331" t="s">
        <v>581</v>
      </c>
      <c r="D574" s="331" t="s">
        <v>581</v>
      </c>
      <c r="E574" s="318">
        <v>1.3</v>
      </c>
      <c r="F574" s="331" t="s">
        <v>581</v>
      </c>
      <c r="G574" s="331" t="s">
        <v>581</v>
      </c>
      <c r="H574" s="318">
        <v>3.1</v>
      </c>
      <c r="I574" s="331" t="s">
        <v>581</v>
      </c>
      <c r="J574" s="331" t="s">
        <v>581</v>
      </c>
      <c r="K574" s="318">
        <v>13.2</v>
      </c>
      <c r="L574" s="331" t="s">
        <v>581</v>
      </c>
      <c r="M574" s="331" t="s">
        <v>581</v>
      </c>
      <c r="N574" s="318">
        <v>4.8</v>
      </c>
      <c r="O574" s="331" t="s">
        <v>581</v>
      </c>
      <c r="P574" s="331" t="s">
        <v>581</v>
      </c>
    </row>
    <row r="575" spans="1:16" ht="15" customHeight="1" x14ac:dyDescent="0.25">
      <c r="A575" s="299" t="s">
        <v>283</v>
      </c>
      <c r="B575" s="318">
        <v>22</v>
      </c>
      <c r="C575" s="331" t="s">
        <v>581</v>
      </c>
      <c r="D575" s="331" t="s">
        <v>581</v>
      </c>
      <c r="E575" s="318">
        <v>1</v>
      </c>
      <c r="F575" s="331" t="s">
        <v>581</v>
      </c>
      <c r="G575" s="331" t="s">
        <v>581</v>
      </c>
      <c r="H575" s="318">
        <v>3.7</v>
      </c>
      <c r="I575" s="331" t="s">
        <v>581</v>
      </c>
      <c r="J575" s="331" t="s">
        <v>581</v>
      </c>
      <c r="K575" s="318">
        <v>13.2</v>
      </c>
      <c r="L575" s="331" t="s">
        <v>581</v>
      </c>
      <c r="M575" s="331" t="s">
        <v>581</v>
      </c>
      <c r="N575" s="318">
        <v>4.0999999999999996</v>
      </c>
      <c r="O575" s="331" t="s">
        <v>581</v>
      </c>
      <c r="P575" s="331" t="s">
        <v>581</v>
      </c>
    </row>
    <row r="576" spans="1:16" ht="15" customHeight="1" x14ac:dyDescent="0.25">
      <c r="A576" s="299" t="s">
        <v>284</v>
      </c>
      <c r="B576" s="318">
        <v>21.6</v>
      </c>
      <c r="C576" s="331" t="s">
        <v>581</v>
      </c>
      <c r="D576" s="331" t="s">
        <v>581</v>
      </c>
      <c r="E576" s="318">
        <v>1.4</v>
      </c>
      <c r="F576" s="331" t="s">
        <v>581</v>
      </c>
      <c r="G576" s="331" t="s">
        <v>581</v>
      </c>
      <c r="H576" s="318">
        <v>2.9</v>
      </c>
      <c r="I576" s="331" t="s">
        <v>581</v>
      </c>
      <c r="J576" s="331" t="s">
        <v>581</v>
      </c>
      <c r="K576" s="318">
        <v>13.5</v>
      </c>
      <c r="L576" s="331" t="s">
        <v>581</v>
      </c>
      <c r="M576" s="331" t="s">
        <v>581</v>
      </c>
      <c r="N576" s="318">
        <v>3.9</v>
      </c>
      <c r="O576" s="331" t="s">
        <v>581</v>
      </c>
      <c r="P576" s="331" t="s">
        <v>581</v>
      </c>
    </row>
    <row r="577" spans="1:16" ht="15" customHeight="1" x14ac:dyDescent="0.25">
      <c r="A577" s="299" t="s">
        <v>294</v>
      </c>
      <c r="B577" s="318">
        <v>21.6</v>
      </c>
      <c r="C577" s="331" t="s">
        <v>581</v>
      </c>
      <c r="D577" s="331" t="s">
        <v>581</v>
      </c>
      <c r="E577" s="318">
        <v>1.3</v>
      </c>
      <c r="F577" s="331" t="s">
        <v>581</v>
      </c>
      <c r="G577" s="331" t="s">
        <v>581</v>
      </c>
      <c r="H577" s="318">
        <v>3.2</v>
      </c>
      <c r="I577" s="331" t="s">
        <v>581</v>
      </c>
      <c r="J577" s="331" t="s">
        <v>581</v>
      </c>
      <c r="K577" s="318">
        <v>12.9</v>
      </c>
      <c r="L577" s="331" t="s">
        <v>581</v>
      </c>
      <c r="M577" s="331" t="s">
        <v>581</v>
      </c>
      <c r="N577" s="318">
        <v>4.3</v>
      </c>
      <c r="O577" s="331" t="s">
        <v>581</v>
      </c>
      <c r="P577" s="331" t="s">
        <v>581</v>
      </c>
    </row>
    <row r="578" spans="1:16" ht="15" customHeight="1" x14ac:dyDescent="0.25">
      <c r="A578" s="299" t="s">
        <v>295</v>
      </c>
      <c r="B578" s="318">
        <v>19</v>
      </c>
      <c r="C578" s="331" t="s">
        <v>581</v>
      </c>
      <c r="D578" s="331" t="s">
        <v>581</v>
      </c>
      <c r="E578" s="318">
        <v>1.3</v>
      </c>
      <c r="F578" s="331" t="s">
        <v>581</v>
      </c>
      <c r="G578" s="331" t="s">
        <v>581</v>
      </c>
      <c r="H578" s="318">
        <v>2.2000000000000002</v>
      </c>
      <c r="I578" s="331" t="s">
        <v>581</v>
      </c>
      <c r="J578" s="331" t="s">
        <v>581</v>
      </c>
      <c r="K578" s="318">
        <v>11.4</v>
      </c>
      <c r="L578" s="331" t="s">
        <v>581</v>
      </c>
      <c r="M578" s="331" t="s">
        <v>581</v>
      </c>
      <c r="N578" s="318">
        <v>4</v>
      </c>
      <c r="O578" s="331" t="s">
        <v>581</v>
      </c>
      <c r="P578" s="331" t="s">
        <v>581</v>
      </c>
    </row>
    <row r="579" spans="1:16" ht="15" customHeight="1" x14ac:dyDescent="0.25">
      <c r="A579" s="299" t="s">
        <v>296</v>
      </c>
      <c r="B579" s="318">
        <v>17.2</v>
      </c>
      <c r="C579" s="331" t="s">
        <v>581</v>
      </c>
      <c r="D579" s="331" t="s">
        <v>581</v>
      </c>
      <c r="E579" s="318">
        <v>0.9</v>
      </c>
      <c r="F579" s="331" t="s">
        <v>581</v>
      </c>
      <c r="G579" s="331" t="s">
        <v>581</v>
      </c>
      <c r="H579" s="318">
        <v>2.2000000000000002</v>
      </c>
      <c r="I579" s="331" t="s">
        <v>581</v>
      </c>
      <c r="J579" s="331" t="s">
        <v>581</v>
      </c>
      <c r="K579" s="318">
        <v>10.8</v>
      </c>
      <c r="L579" s="331" t="s">
        <v>581</v>
      </c>
      <c r="M579" s="331" t="s">
        <v>581</v>
      </c>
      <c r="N579" s="318">
        <v>3.3</v>
      </c>
      <c r="O579" s="331" t="s">
        <v>581</v>
      </c>
      <c r="P579" s="331" t="s">
        <v>581</v>
      </c>
    </row>
    <row r="580" spans="1:16" ht="15" customHeight="1" x14ac:dyDescent="0.25">
      <c r="A580" s="299" t="s">
        <v>297</v>
      </c>
      <c r="B580" s="318">
        <v>14.6</v>
      </c>
      <c r="C580" s="331" t="s">
        <v>581</v>
      </c>
      <c r="D580" s="331" t="s">
        <v>581</v>
      </c>
      <c r="E580" s="318">
        <v>0.6</v>
      </c>
      <c r="F580" s="331" t="s">
        <v>581</v>
      </c>
      <c r="G580" s="331" t="s">
        <v>581</v>
      </c>
      <c r="H580" s="318">
        <v>1.4</v>
      </c>
      <c r="I580" s="331" t="s">
        <v>581</v>
      </c>
      <c r="J580" s="331" t="s">
        <v>581</v>
      </c>
      <c r="K580" s="318">
        <v>10.1</v>
      </c>
      <c r="L580" s="331" t="s">
        <v>581</v>
      </c>
      <c r="M580" s="331" t="s">
        <v>581</v>
      </c>
      <c r="N580" s="318">
        <v>2.5</v>
      </c>
      <c r="O580" s="331" t="s">
        <v>581</v>
      </c>
      <c r="P580" s="331" t="s">
        <v>581</v>
      </c>
    </row>
    <row r="581" spans="1:16" ht="15" customHeight="1" x14ac:dyDescent="0.2">
      <c r="A581" s="320"/>
      <c r="B581" s="320"/>
      <c r="C581" s="320"/>
      <c r="D581" s="320"/>
      <c r="E581" s="320"/>
      <c r="F581" s="320"/>
      <c r="G581" s="320"/>
      <c r="H581" s="320"/>
      <c r="I581" s="320"/>
      <c r="J581" s="320"/>
      <c r="K581" s="320"/>
      <c r="L581" s="320"/>
      <c r="M581" s="320"/>
      <c r="N581" s="320"/>
      <c r="O581" s="320"/>
      <c r="P581" s="320"/>
    </row>
    <row r="582" spans="1:16" ht="15" customHeight="1" x14ac:dyDescent="0.2">
      <c r="A582" s="320"/>
      <c r="B582" s="320"/>
      <c r="C582" s="320"/>
      <c r="D582" s="320"/>
      <c r="E582" s="320"/>
      <c r="F582" s="320"/>
      <c r="G582" s="320"/>
      <c r="H582" s="320"/>
      <c r="I582" s="320"/>
      <c r="J582" s="320"/>
      <c r="K582" s="320"/>
      <c r="L582" s="320"/>
      <c r="M582" s="320"/>
      <c r="N582" s="320"/>
      <c r="O582" s="320"/>
      <c r="P582" s="320"/>
    </row>
    <row r="583" spans="1:16" ht="15" customHeight="1" x14ac:dyDescent="0.25">
      <c r="A583" s="312">
        <v>1980</v>
      </c>
      <c r="B583" s="312"/>
      <c r="C583" s="312"/>
      <c r="D583" s="312"/>
      <c r="E583" s="312"/>
      <c r="F583" s="312"/>
      <c r="G583" s="312"/>
      <c r="H583" s="312"/>
      <c r="I583" s="312"/>
      <c r="J583" s="312"/>
      <c r="K583" s="312"/>
      <c r="L583" s="312"/>
      <c r="M583" s="312"/>
      <c r="N583" s="312"/>
      <c r="O583" s="312"/>
      <c r="P583" s="312"/>
    </row>
    <row r="584" spans="1:16" s="300" customFormat="1" ht="10.5" customHeight="1" x14ac:dyDescent="0.25">
      <c r="A584" s="299"/>
      <c r="B584" s="302"/>
      <c r="C584" s="302"/>
      <c r="D584" s="302"/>
      <c r="E584" s="302"/>
      <c r="F584" s="302"/>
      <c r="G584" s="302"/>
      <c r="H584" s="302"/>
      <c r="I584" s="302"/>
      <c r="J584" s="302"/>
      <c r="K584" s="302"/>
      <c r="L584" s="302"/>
      <c r="M584" s="302"/>
      <c r="N584" s="302"/>
      <c r="O584" s="302"/>
      <c r="P584" s="302"/>
    </row>
    <row r="585" spans="1:16" ht="15" customHeight="1" x14ac:dyDescent="0.2">
      <c r="A585" s="304" t="s">
        <v>91</v>
      </c>
      <c r="B585" s="323">
        <v>233.7</v>
      </c>
      <c r="C585" s="333">
        <v>165</v>
      </c>
      <c r="D585" s="333">
        <v>65.8</v>
      </c>
      <c r="E585" s="323">
        <v>12.3</v>
      </c>
      <c r="F585" s="333">
        <v>10.9</v>
      </c>
      <c r="G585" s="333">
        <v>1.4</v>
      </c>
      <c r="H585" s="323">
        <v>32.299999999999997</v>
      </c>
      <c r="I585" s="333">
        <v>27.8</v>
      </c>
      <c r="J585" s="333">
        <v>4.5</v>
      </c>
      <c r="K585" s="323">
        <v>140.30000000000001</v>
      </c>
      <c r="L585" s="333">
        <v>104.7</v>
      </c>
      <c r="M585" s="333">
        <v>35.5</v>
      </c>
      <c r="N585" s="323">
        <v>48.7</v>
      </c>
      <c r="O585" s="333">
        <v>21.7</v>
      </c>
      <c r="P585" s="333">
        <v>24.3</v>
      </c>
    </row>
    <row r="586" spans="1:16" s="300" customFormat="1" ht="10.5" customHeight="1" x14ac:dyDescent="0.25">
      <c r="A586" s="299"/>
      <c r="B586" s="302"/>
      <c r="C586" s="302"/>
      <c r="D586" s="302"/>
      <c r="E586" s="302"/>
      <c r="F586" s="302"/>
      <c r="G586" s="302"/>
      <c r="H586" s="302"/>
      <c r="I586" s="302"/>
      <c r="J586" s="302"/>
      <c r="K586" s="302"/>
      <c r="L586" s="302"/>
      <c r="M586" s="302"/>
      <c r="N586" s="302"/>
      <c r="O586" s="302"/>
      <c r="P586" s="302"/>
    </row>
    <row r="587" spans="1:16" ht="15" customHeight="1" x14ac:dyDescent="0.25">
      <c r="A587" s="299" t="s">
        <v>289</v>
      </c>
      <c r="B587" s="318">
        <v>15.4</v>
      </c>
      <c r="C587" s="331" t="s">
        <v>581</v>
      </c>
      <c r="D587" s="331" t="s">
        <v>581</v>
      </c>
      <c r="E587" s="318">
        <v>0.5</v>
      </c>
      <c r="F587" s="331" t="s">
        <v>581</v>
      </c>
      <c r="G587" s="331" t="s">
        <v>581</v>
      </c>
      <c r="H587" s="318">
        <v>1.1000000000000001</v>
      </c>
      <c r="I587" s="331" t="s">
        <v>581</v>
      </c>
      <c r="J587" s="331" t="s">
        <v>581</v>
      </c>
      <c r="K587" s="318">
        <v>10.5</v>
      </c>
      <c r="L587" s="331" t="s">
        <v>581</v>
      </c>
      <c r="M587" s="331" t="s">
        <v>581</v>
      </c>
      <c r="N587" s="318">
        <v>3.2</v>
      </c>
      <c r="O587" s="331" t="s">
        <v>581</v>
      </c>
      <c r="P587" s="331" t="s">
        <v>581</v>
      </c>
    </row>
    <row r="588" spans="1:16" ht="15" customHeight="1" x14ac:dyDescent="0.25">
      <c r="A588" s="299" t="s">
        <v>290</v>
      </c>
      <c r="B588" s="318">
        <v>16.7</v>
      </c>
      <c r="C588" s="331" t="s">
        <v>581</v>
      </c>
      <c r="D588" s="331" t="s">
        <v>581</v>
      </c>
      <c r="E588" s="318">
        <v>0.8</v>
      </c>
      <c r="F588" s="331" t="s">
        <v>581</v>
      </c>
      <c r="G588" s="331" t="s">
        <v>581</v>
      </c>
      <c r="H588" s="318">
        <v>1.7</v>
      </c>
      <c r="I588" s="331" t="s">
        <v>581</v>
      </c>
      <c r="J588" s="331" t="s">
        <v>581</v>
      </c>
      <c r="K588" s="318">
        <v>11.2</v>
      </c>
      <c r="L588" s="331" t="s">
        <v>581</v>
      </c>
      <c r="M588" s="331" t="s">
        <v>581</v>
      </c>
      <c r="N588" s="318">
        <v>3.1</v>
      </c>
      <c r="O588" s="331" t="s">
        <v>581</v>
      </c>
      <c r="P588" s="331" t="s">
        <v>581</v>
      </c>
    </row>
    <row r="589" spans="1:16" ht="15" customHeight="1" x14ac:dyDescent="0.25">
      <c r="A589" s="299" t="s">
        <v>291</v>
      </c>
      <c r="B589" s="318">
        <v>20.9</v>
      </c>
      <c r="C589" s="331" t="s">
        <v>581</v>
      </c>
      <c r="D589" s="331" t="s">
        <v>581</v>
      </c>
      <c r="E589" s="318">
        <v>1</v>
      </c>
      <c r="F589" s="331" t="s">
        <v>581</v>
      </c>
      <c r="G589" s="331" t="s">
        <v>581</v>
      </c>
      <c r="H589" s="318">
        <v>2.6</v>
      </c>
      <c r="I589" s="331" t="s">
        <v>581</v>
      </c>
      <c r="J589" s="331" t="s">
        <v>581</v>
      </c>
      <c r="K589" s="318">
        <v>13.1</v>
      </c>
      <c r="L589" s="331" t="s">
        <v>581</v>
      </c>
      <c r="M589" s="331" t="s">
        <v>581</v>
      </c>
      <c r="N589" s="318">
        <v>4.2</v>
      </c>
      <c r="O589" s="331" t="s">
        <v>581</v>
      </c>
      <c r="P589" s="331" t="s">
        <v>581</v>
      </c>
    </row>
    <row r="590" spans="1:16" ht="15" customHeight="1" x14ac:dyDescent="0.25">
      <c r="A590" s="299" t="s">
        <v>292</v>
      </c>
      <c r="B590" s="318">
        <v>19.7</v>
      </c>
      <c r="C590" s="331" t="s">
        <v>581</v>
      </c>
      <c r="D590" s="331" t="s">
        <v>581</v>
      </c>
      <c r="E590" s="318">
        <v>0.5</v>
      </c>
      <c r="F590" s="331" t="s">
        <v>581</v>
      </c>
      <c r="G590" s="331" t="s">
        <v>581</v>
      </c>
      <c r="H590" s="318">
        <v>2.8</v>
      </c>
      <c r="I590" s="331" t="s">
        <v>581</v>
      </c>
      <c r="J590" s="331" t="s">
        <v>581</v>
      </c>
      <c r="K590" s="318">
        <v>12.1</v>
      </c>
      <c r="L590" s="331" t="s">
        <v>581</v>
      </c>
      <c r="M590" s="331" t="s">
        <v>581</v>
      </c>
      <c r="N590" s="318">
        <v>4.3</v>
      </c>
      <c r="O590" s="331" t="s">
        <v>581</v>
      </c>
      <c r="P590" s="331" t="s">
        <v>581</v>
      </c>
    </row>
    <row r="591" spans="1:16" ht="15" customHeight="1" x14ac:dyDescent="0.25">
      <c r="A591" s="299" t="s">
        <v>293</v>
      </c>
      <c r="B591" s="318">
        <v>16.7</v>
      </c>
      <c r="C591" s="331" t="s">
        <v>581</v>
      </c>
      <c r="D591" s="331" t="s">
        <v>581</v>
      </c>
      <c r="E591" s="318">
        <v>1.1000000000000001</v>
      </c>
      <c r="F591" s="331" t="s">
        <v>581</v>
      </c>
      <c r="G591" s="331" t="s">
        <v>581</v>
      </c>
      <c r="H591" s="318">
        <v>2.7</v>
      </c>
      <c r="I591" s="331" t="s">
        <v>581</v>
      </c>
      <c r="J591" s="331" t="s">
        <v>581</v>
      </c>
      <c r="K591" s="318">
        <v>9.1999999999999993</v>
      </c>
      <c r="L591" s="331" t="s">
        <v>581</v>
      </c>
      <c r="M591" s="331" t="s">
        <v>581</v>
      </c>
      <c r="N591" s="318">
        <v>3.8</v>
      </c>
      <c r="O591" s="331" t="s">
        <v>581</v>
      </c>
      <c r="P591" s="331" t="s">
        <v>581</v>
      </c>
    </row>
    <row r="592" spans="1:16" ht="15" customHeight="1" x14ac:dyDescent="0.25">
      <c r="A592" s="299" t="s">
        <v>282</v>
      </c>
      <c r="B592" s="318">
        <v>20.5</v>
      </c>
      <c r="C592" s="331" t="s">
        <v>581</v>
      </c>
      <c r="D592" s="331" t="s">
        <v>581</v>
      </c>
      <c r="E592" s="318">
        <v>0.9</v>
      </c>
      <c r="F592" s="331" t="s">
        <v>581</v>
      </c>
      <c r="G592" s="331" t="s">
        <v>581</v>
      </c>
      <c r="H592" s="318">
        <v>3.2</v>
      </c>
      <c r="I592" s="331" t="s">
        <v>581</v>
      </c>
      <c r="J592" s="331" t="s">
        <v>581</v>
      </c>
      <c r="K592" s="318">
        <v>12</v>
      </c>
      <c r="L592" s="331" t="s">
        <v>581</v>
      </c>
      <c r="M592" s="331" t="s">
        <v>581</v>
      </c>
      <c r="N592" s="318">
        <v>4.4000000000000004</v>
      </c>
      <c r="O592" s="331" t="s">
        <v>581</v>
      </c>
      <c r="P592" s="331" t="s">
        <v>581</v>
      </c>
    </row>
    <row r="593" spans="1:16" ht="15" customHeight="1" x14ac:dyDescent="0.25">
      <c r="A593" s="299" t="s">
        <v>283</v>
      </c>
      <c r="B593" s="318">
        <v>18.2</v>
      </c>
      <c r="C593" s="331" t="s">
        <v>581</v>
      </c>
      <c r="D593" s="331" t="s">
        <v>581</v>
      </c>
      <c r="E593" s="318">
        <v>1.2</v>
      </c>
      <c r="F593" s="331" t="s">
        <v>581</v>
      </c>
      <c r="G593" s="331" t="s">
        <v>581</v>
      </c>
      <c r="H593" s="318">
        <v>3</v>
      </c>
      <c r="I593" s="331" t="s">
        <v>581</v>
      </c>
      <c r="J593" s="331" t="s">
        <v>581</v>
      </c>
      <c r="K593" s="318">
        <v>10.1</v>
      </c>
      <c r="L593" s="331" t="s">
        <v>581</v>
      </c>
      <c r="M593" s="331" t="s">
        <v>581</v>
      </c>
      <c r="N593" s="318">
        <v>3.9</v>
      </c>
      <c r="O593" s="331" t="s">
        <v>581</v>
      </c>
      <c r="P593" s="331" t="s">
        <v>581</v>
      </c>
    </row>
    <row r="594" spans="1:16" ht="15" customHeight="1" x14ac:dyDescent="0.25">
      <c r="A594" s="299" t="s">
        <v>284</v>
      </c>
      <c r="B594" s="318">
        <v>23</v>
      </c>
      <c r="C594" s="331" t="s">
        <v>581</v>
      </c>
      <c r="D594" s="331" t="s">
        <v>581</v>
      </c>
      <c r="E594" s="318">
        <v>1.7</v>
      </c>
      <c r="F594" s="331" t="s">
        <v>581</v>
      </c>
      <c r="G594" s="331" t="s">
        <v>581</v>
      </c>
      <c r="H594" s="318">
        <v>3.3</v>
      </c>
      <c r="I594" s="331" t="s">
        <v>581</v>
      </c>
      <c r="J594" s="331" t="s">
        <v>581</v>
      </c>
      <c r="K594" s="318">
        <v>13.6</v>
      </c>
      <c r="L594" s="331" t="s">
        <v>581</v>
      </c>
      <c r="M594" s="331" t="s">
        <v>581</v>
      </c>
      <c r="N594" s="318">
        <v>4.4000000000000004</v>
      </c>
      <c r="O594" s="331" t="s">
        <v>581</v>
      </c>
      <c r="P594" s="331" t="s">
        <v>581</v>
      </c>
    </row>
    <row r="595" spans="1:16" ht="15" customHeight="1" x14ac:dyDescent="0.25">
      <c r="A595" s="299" t="s">
        <v>294</v>
      </c>
      <c r="B595" s="318">
        <v>22.4</v>
      </c>
      <c r="C595" s="331" t="s">
        <v>581</v>
      </c>
      <c r="D595" s="331" t="s">
        <v>581</v>
      </c>
      <c r="E595" s="318">
        <v>1.1000000000000001</v>
      </c>
      <c r="F595" s="331" t="s">
        <v>581</v>
      </c>
      <c r="G595" s="331" t="s">
        <v>581</v>
      </c>
      <c r="H595" s="318">
        <v>3.7</v>
      </c>
      <c r="I595" s="331" t="s">
        <v>581</v>
      </c>
      <c r="J595" s="331" t="s">
        <v>581</v>
      </c>
      <c r="K595" s="318">
        <v>12.8</v>
      </c>
      <c r="L595" s="331" t="s">
        <v>581</v>
      </c>
      <c r="M595" s="331" t="s">
        <v>581</v>
      </c>
      <c r="N595" s="318">
        <v>4.8</v>
      </c>
      <c r="O595" s="331" t="s">
        <v>581</v>
      </c>
      <c r="P595" s="331" t="s">
        <v>581</v>
      </c>
    </row>
    <row r="596" spans="1:16" ht="15" customHeight="1" x14ac:dyDescent="0.25">
      <c r="A596" s="299" t="s">
        <v>295</v>
      </c>
      <c r="B596" s="318">
        <v>24.2</v>
      </c>
      <c r="C596" s="331" t="s">
        <v>581</v>
      </c>
      <c r="D596" s="331" t="s">
        <v>581</v>
      </c>
      <c r="E596" s="318">
        <v>1.6</v>
      </c>
      <c r="F596" s="331" t="s">
        <v>581</v>
      </c>
      <c r="G596" s="331" t="s">
        <v>581</v>
      </c>
      <c r="H596" s="318">
        <v>4</v>
      </c>
      <c r="I596" s="331" t="s">
        <v>581</v>
      </c>
      <c r="J596" s="331" t="s">
        <v>581</v>
      </c>
      <c r="K596" s="318">
        <v>14</v>
      </c>
      <c r="L596" s="331" t="s">
        <v>581</v>
      </c>
      <c r="M596" s="331" t="s">
        <v>581</v>
      </c>
      <c r="N596" s="318">
        <v>4.5999999999999996</v>
      </c>
      <c r="O596" s="331" t="s">
        <v>581</v>
      </c>
      <c r="P596" s="331" t="s">
        <v>581</v>
      </c>
    </row>
    <row r="597" spans="1:16" ht="15" customHeight="1" x14ac:dyDescent="0.25">
      <c r="A597" s="299" t="s">
        <v>296</v>
      </c>
      <c r="B597" s="318">
        <v>19.3</v>
      </c>
      <c r="C597" s="331" t="s">
        <v>581</v>
      </c>
      <c r="D597" s="331" t="s">
        <v>581</v>
      </c>
      <c r="E597" s="318">
        <v>1.5</v>
      </c>
      <c r="F597" s="331" t="s">
        <v>581</v>
      </c>
      <c r="G597" s="331" t="s">
        <v>581</v>
      </c>
      <c r="H597" s="318">
        <v>2.2999999999999998</v>
      </c>
      <c r="I597" s="331" t="s">
        <v>581</v>
      </c>
      <c r="J597" s="331" t="s">
        <v>581</v>
      </c>
      <c r="K597" s="318">
        <v>11.2</v>
      </c>
      <c r="L597" s="331" t="s">
        <v>581</v>
      </c>
      <c r="M597" s="331" t="s">
        <v>581</v>
      </c>
      <c r="N597" s="318">
        <v>4.3</v>
      </c>
      <c r="O597" s="331" t="s">
        <v>581</v>
      </c>
      <c r="P597" s="331" t="s">
        <v>581</v>
      </c>
    </row>
    <row r="598" spans="1:16" ht="15" customHeight="1" x14ac:dyDescent="0.25">
      <c r="A598" s="299" t="s">
        <v>297</v>
      </c>
      <c r="B598" s="318">
        <v>16.7</v>
      </c>
      <c r="C598" s="331" t="s">
        <v>581</v>
      </c>
      <c r="D598" s="331" t="s">
        <v>581</v>
      </c>
      <c r="E598" s="318">
        <v>0.6</v>
      </c>
      <c r="F598" s="331" t="s">
        <v>581</v>
      </c>
      <c r="G598" s="331" t="s">
        <v>581</v>
      </c>
      <c r="H598" s="318">
        <v>1.8</v>
      </c>
      <c r="I598" s="331" t="s">
        <v>581</v>
      </c>
      <c r="J598" s="331" t="s">
        <v>581</v>
      </c>
      <c r="K598" s="318">
        <v>10.6</v>
      </c>
      <c r="L598" s="331" t="s">
        <v>581</v>
      </c>
      <c r="M598" s="331" t="s">
        <v>581</v>
      </c>
      <c r="N598" s="318">
        <v>3.7</v>
      </c>
      <c r="O598" s="331" t="s">
        <v>581</v>
      </c>
      <c r="P598" s="331" t="s">
        <v>581</v>
      </c>
    </row>
    <row r="599" spans="1:16" ht="15" customHeight="1" thickBot="1" x14ac:dyDescent="0.3">
      <c r="A599" s="336"/>
      <c r="B599" s="337"/>
      <c r="C599" s="337"/>
      <c r="D599" s="337"/>
      <c r="E599" s="337"/>
      <c r="F599" s="337"/>
      <c r="G599" s="337"/>
      <c r="H599" s="337"/>
      <c r="I599" s="337"/>
      <c r="J599" s="337"/>
      <c r="K599" s="337"/>
      <c r="L599" s="337"/>
      <c r="M599" s="337"/>
      <c r="N599" s="337"/>
      <c r="O599" s="337"/>
      <c r="P599" s="337"/>
    </row>
    <row r="600" spans="1:16" ht="22.5" customHeight="1" thickTop="1" x14ac:dyDescent="0.2">
      <c r="A600" s="338" t="s">
        <v>582</v>
      </c>
      <c r="D600" s="320"/>
    </row>
    <row r="601" spans="1:16" ht="18" customHeight="1" x14ac:dyDescent="0.2">
      <c r="A601" s="338" t="s">
        <v>583</v>
      </c>
      <c r="D601" s="320"/>
    </row>
    <row r="602" spans="1:16" ht="22.5" customHeight="1" x14ac:dyDescent="0.2">
      <c r="A602" s="457" t="s">
        <v>584</v>
      </c>
      <c r="B602" s="458"/>
      <c r="C602" s="458"/>
      <c r="D602" s="458"/>
      <c r="E602" s="458"/>
      <c r="F602" s="458"/>
      <c r="G602" s="458"/>
      <c r="H602" s="458"/>
      <c r="I602" s="458"/>
      <c r="J602" s="458"/>
      <c r="K602" s="458"/>
    </row>
    <row r="603" spans="1:16" ht="10.5" customHeight="1" x14ac:dyDescent="0.2">
      <c r="A603" s="338"/>
    </row>
    <row r="604" spans="1:16" ht="15" customHeight="1" x14ac:dyDescent="0.2">
      <c r="A604" s="338" t="s">
        <v>319</v>
      </c>
    </row>
    <row r="605" spans="1:16" ht="22.5" customHeight="1" x14ac:dyDescent="0.2">
      <c r="A605" s="459" t="s">
        <v>585</v>
      </c>
      <c r="B605" s="458"/>
      <c r="C605" s="458"/>
      <c r="D605" s="458"/>
      <c r="E605" s="458"/>
      <c r="F605" s="458"/>
      <c r="G605" s="458"/>
      <c r="H605" s="458"/>
      <c r="I605" s="458"/>
      <c r="J605" s="458"/>
      <c r="K605" s="458"/>
      <c r="L605" s="458"/>
      <c r="M605" s="458"/>
      <c r="N605" s="458"/>
      <c r="O605" s="458"/>
      <c r="P605" s="458"/>
    </row>
    <row r="606" spans="1:16" ht="12.75" x14ac:dyDescent="0.2">
      <c r="A606" s="338" t="s">
        <v>586</v>
      </c>
    </row>
  </sheetData>
  <mergeCells count="10">
    <mergeCell ref="A602:K602"/>
    <mergeCell ref="A605:P605"/>
    <mergeCell ref="A1:P1"/>
    <mergeCell ref="A2:P2"/>
    <mergeCell ref="A3:P3"/>
    <mergeCell ref="B4:D4"/>
    <mergeCell ref="E4:G4"/>
    <mergeCell ref="H4:J4"/>
    <mergeCell ref="K4:M4"/>
    <mergeCell ref="N4:P4"/>
  </mergeCells>
  <printOptions horizontalCentered="1"/>
  <pageMargins left="0" right="0" top="0" bottom="0" header="0" footer="0"/>
  <pageSetup scale="85" orientation="landscape" r:id="rId1"/>
  <headerFooter alignWithMargins="0"/>
  <rowBreaks count="16" manualBreakCount="16">
    <brk id="41" max="15" man="1"/>
    <brk id="77" max="15" man="1"/>
    <brk id="113" max="15" man="1"/>
    <brk id="149" max="15" man="1"/>
    <brk id="185" max="15" man="1"/>
    <brk id="221" max="15" man="1"/>
    <brk id="257" max="15" man="1"/>
    <brk id="293" max="15" man="1"/>
    <brk id="329" max="15" man="1"/>
    <brk id="365" max="15" man="1"/>
    <brk id="401" max="15" man="1"/>
    <brk id="437" max="15" man="1"/>
    <brk id="473" max="15" man="1"/>
    <brk id="509" max="15" man="1"/>
    <brk id="545" max="15" man="1"/>
    <brk id="581" max="15"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B4:J35"/>
  <sheetViews>
    <sheetView topLeftCell="A35" workbookViewId="0">
      <selection activeCell="K55" sqref="K55"/>
    </sheetView>
  </sheetViews>
  <sheetFormatPr defaultRowHeight="12.75" x14ac:dyDescent="0.2"/>
  <sheetData>
    <row r="4" spans="2:10" x14ac:dyDescent="0.2">
      <c r="C4" t="s">
        <v>249</v>
      </c>
      <c r="D4" t="s">
        <v>250</v>
      </c>
    </row>
    <row r="5" spans="2:10" x14ac:dyDescent="0.2">
      <c r="B5">
        <v>1980</v>
      </c>
      <c r="C5">
        <f>'Comps Ann_2015'!E22</f>
        <v>956.7</v>
      </c>
      <c r="D5" s="2">
        <f>SFTotalMedAvgSqFt_2012!I16</f>
        <v>1740</v>
      </c>
      <c r="E5">
        <f>C5*D5</f>
        <v>1664658</v>
      </c>
      <c r="I5" t="s">
        <v>251</v>
      </c>
      <c r="J5" t="s">
        <v>252</v>
      </c>
    </row>
    <row r="6" spans="2:10" x14ac:dyDescent="0.2">
      <c r="B6">
        <f>B5+1</f>
        <v>1981</v>
      </c>
      <c r="C6">
        <f>'Comps Ann_2015'!E23</f>
        <v>818.5</v>
      </c>
      <c r="D6" s="2">
        <f>SFTotalMedAvgSqFt_2012!I17</f>
        <v>1720</v>
      </c>
      <c r="E6">
        <f t="shared" ref="E6:E35" si="0">C6*D6</f>
        <v>1407820</v>
      </c>
    </row>
    <row r="7" spans="2:10" x14ac:dyDescent="0.2">
      <c r="B7">
        <f t="shared" ref="B7:B35" si="1">B6+1</f>
        <v>1982</v>
      </c>
      <c r="C7">
        <f>'Comps Ann_2015'!E24</f>
        <v>631.5</v>
      </c>
      <c r="D7" s="2">
        <f>SFTotalMedAvgSqFt_2012!I18</f>
        <v>1710</v>
      </c>
      <c r="E7">
        <f t="shared" si="0"/>
        <v>1079865</v>
      </c>
    </row>
    <row r="8" spans="2:10" x14ac:dyDescent="0.2">
      <c r="B8">
        <f t="shared" si="1"/>
        <v>1983</v>
      </c>
      <c r="C8">
        <f>'Comps Ann_2015'!E25</f>
        <v>923.7</v>
      </c>
      <c r="D8" s="2">
        <f>SFTotalMedAvgSqFt_2012!I19</f>
        <v>1725</v>
      </c>
      <c r="E8">
        <f t="shared" si="0"/>
        <v>1593382.5</v>
      </c>
    </row>
    <row r="9" spans="2:10" x14ac:dyDescent="0.2">
      <c r="B9">
        <f t="shared" si="1"/>
        <v>1984</v>
      </c>
      <c r="C9">
        <f>'Comps Ann_2015'!E26</f>
        <v>1025.0999999999999</v>
      </c>
      <c r="D9" s="2">
        <f>SFTotalMedAvgSqFt_2012!I20</f>
        <v>1780</v>
      </c>
      <c r="E9">
        <f t="shared" si="0"/>
        <v>1824677.9999999998</v>
      </c>
    </row>
    <row r="10" spans="2:10" x14ac:dyDescent="0.2">
      <c r="B10">
        <f t="shared" si="1"/>
        <v>1985</v>
      </c>
      <c r="C10">
        <f>'Comps Ann_2015'!E27</f>
        <v>1072.5</v>
      </c>
      <c r="D10" s="2">
        <f>SFTotalMedAvgSqFt_2012!I21</f>
        <v>1785</v>
      </c>
      <c r="E10">
        <f t="shared" si="0"/>
        <v>1914412.5</v>
      </c>
    </row>
    <row r="11" spans="2:10" x14ac:dyDescent="0.2">
      <c r="B11">
        <f t="shared" si="1"/>
        <v>1986</v>
      </c>
      <c r="C11">
        <f>'Comps Ann_2015'!E28</f>
        <v>1120.2</v>
      </c>
      <c r="D11" s="2">
        <f>SFTotalMedAvgSqFt_2012!I22</f>
        <v>1825</v>
      </c>
      <c r="E11">
        <f t="shared" si="0"/>
        <v>2044365</v>
      </c>
    </row>
    <row r="12" spans="2:10" x14ac:dyDescent="0.2">
      <c r="B12">
        <f t="shared" si="1"/>
        <v>1987</v>
      </c>
      <c r="C12">
        <f>'Comps Ann_2015'!E29</f>
        <v>1122.8</v>
      </c>
      <c r="D12" s="2">
        <f>SFTotalMedAvgSqFt_2012!I23</f>
        <v>1905</v>
      </c>
      <c r="E12">
        <f t="shared" si="0"/>
        <v>2138934</v>
      </c>
    </row>
    <row r="13" spans="2:10" x14ac:dyDescent="0.2">
      <c r="B13">
        <f t="shared" si="1"/>
        <v>1988</v>
      </c>
      <c r="C13">
        <f>'Comps Ann_2015'!E30</f>
        <v>1084.5999999999999</v>
      </c>
      <c r="D13" s="2">
        <f>SFTotalMedAvgSqFt_2012!I24</f>
        <v>1995</v>
      </c>
      <c r="E13">
        <f t="shared" si="0"/>
        <v>2163777</v>
      </c>
    </row>
    <row r="14" spans="2:10" x14ac:dyDescent="0.2">
      <c r="B14">
        <f t="shared" si="1"/>
        <v>1989</v>
      </c>
      <c r="C14">
        <f>'Comps Ann_2015'!E31</f>
        <v>1026.3</v>
      </c>
      <c r="D14" s="2">
        <f>SFTotalMedAvgSqFt_2012!I25</f>
        <v>2035</v>
      </c>
      <c r="E14">
        <f t="shared" si="0"/>
        <v>2088520.5</v>
      </c>
      <c r="F14">
        <f>SUM(C5:C14)</f>
        <v>9781.9</v>
      </c>
      <c r="G14">
        <f>SUM(E5:E14)</f>
        <v>17920412.5</v>
      </c>
      <c r="H14">
        <f>G14/F14</f>
        <v>1831.9971069015223</v>
      </c>
    </row>
    <row r="15" spans="2:10" x14ac:dyDescent="0.2">
      <c r="B15">
        <f t="shared" si="1"/>
        <v>1990</v>
      </c>
      <c r="C15">
        <f>'Comps Ann_2015'!E32</f>
        <v>966</v>
      </c>
      <c r="D15" s="2">
        <f>SFTotalMedAvgSqFt_2012!I26</f>
        <v>2080</v>
      </c>
      <c r="E15">
        <f t="shared" si="0"/>
        <v>2009280</v>
      </c>
    </row>
    <row r="16" spans="2:10" x14ac:dyDescent="0.2">
      <c r="B16">
        <f t="shared" si="1"/>
        <v>1991</v>
      </c>
      <c r="C16">
        <f>'Comps Ann_2015'!E33</f>
        <v>837.6</v>
      </c>
      <c r="D16" s="2">
        <f>SFTotalMedAvgSqFt_2012!I27</f>
        <v>2075</v>
      </c>
      <c r="E16">
        <f t="shared" si="0"/>
        <v>1738020</v>
      </c>
    </row>
    <row r="17" spans="2:10" x14ac:dyDescent="0.2">
      <c r="B17">
        <f t="shared" si="1"/>
        <v>1992</v>
      </c>
      <c r="C17">
        <f>'Comps Ann_2015'!E34</f>
        <v>963.6</v>
      </c>
      <c r="D17" s="2">
        <f>SFTotalMedAvgSqFt_2012!I28</f>
        <v>2095</v>
      </c>
      <c r="E17">
        <f t="shared" si="0"/>
        <v>2018742</v>
      </c>
    </row>
    <row r="18" spans="2:10" x14ac:dyDescent="0.2">
      <c r="B18">
        <f t="shared" si="1"/>
        <v>1993</v>
      </c>
      <c r="C18">
        <f>'Comps Ann_2015'!E35</f>
        <v>1039.4000000000001</v>
      </c>
      <c r="D18" s="2">
        <f>SFTotalMedAvgSqFt_2012!I29</f>
        <v>2095</v>
      </c>
      <c r="E18">
        <f t="shared" si="0"/>
        <v>2177543</v>
      </c>
    </row>
    <row r="19" spans="2:10" x14ac:dyDescent="0.2">
      <c r="B19">
        <f t="shared" si="1"/>
        <v>1994</v>
      </c>
      <c r="C19">
        <f>'Comps Ann_2015'!E36</f>
        <v>1160.3</v>
      </c>
      <c r="D19" s="2">
        <f>SFTotalMedAvgSqFt_2012!I30</f>
        <v>2100</v>
      </c>
      <c r="E19">
        <f t="shared" si="0"/>
        <v>2436630</v>
      </c>
    </row>
    <row r="20" spans="2:10" x14ac:dyDescent="0.2">
      <c r="B20">
        <f t="shared" si="1"/>
        <v>1995</v>
      </c>
      <c r="C20">
        <f>'Comps Ann_2015'!E37</f>
        <v>1065.5</v>
      </c>
      <c r="D20" s="2">
        <f>SFTotalMedAvgSqFt_2012!I31</f>
        <v>2095</v>
      </c>
      <c r="E20">
        <f t="shared" si="0"/>
        <v>2232222.5</v>
      </c>
    </row>
    <row r="21" spans="2:10" x14ac:dyDescent="0.2">
      <c r="B21">
        <f t="shared" si="1"/>
        <v>1996</v>
      </c>
      <c r="C21">
        <f>'Comps Ann_2015'!E38</f>
        <v>1128.5</v>
      </c>
      <c r="D21" s="2">
        <f>SFTotalMedAvgSqFt_2012!I32</f>
        <v>2120</v>
      </c>
      <c r="E21">
        <f t="shared" si="0"/>
        <v>2392420</v>
      </c>
    </row>
    <row r="22" spans="2:10" x14ac:dyDescent="0.2">
      <c r="B22">
        <f t="shared" si="1"/>
        <v>1997</v>
      </c>
      <c r="C22">
        <f>'Comps Ann_2015'!E39</f>
        <v>1116.4000000000001</v>
      </c>
      <c r="D22" s="2">
        <f>SFTotalMedAvgSqFt_2012!I33</f>
        <v>2150</v>
      </c>
      <c r="E22">
        <f t="shared" si="0"/>
        <v>2400260</v>
      </c>
    </row>
    <row r="23" spans="2:10" x14ac:dyDescent="0.2">
      <c r="B23">
        <f t="shared" si="1"/>
        <v>1998</v>
      </c>
      <c r="C23">
        <f>'Comps Ann_2015'!E40</f>
        <v>1159.7</v>
      </c>
      <c r="D23" s="2">
        <f>SFTotalMedAvgSqFt_2012!I34</f>
        <v>2190</v>
      </c>
      <c r="E23">
        <f t="shared" si="0"/>
        <v>2539743</v>
      </c>
    </row>
    <row r="24" spans="2:10" x14ac:dyDescent="0.2">
      <c r="B24">
        <f t="shared" si="1"/>
        <v>1999</v>
      </c>
      <c r="C24">
        <f>'Comps Ann_2015'!E41</f>
        <v>1270.4000000000001</v>
      </c>
      <c r="D24" s="2">
        <f>SFTotalMedAvgSqFt_2012!I35</f>
        <v>2223</v>
      </c>
      <c r="E24">
        <f t="shared" si="0"/>
        <v>2824099.2</v>
      </c>
      <c r="F24">
        <f>SUM(C15:C24)</f>
        <v>10707.4</v>
      </c>
      <c r="G24">
        <f>SUM(E15:E24)</f>
        <v>22768959.699999999</v>
      </c>
      <c r="H24">
        <f>G24/F24</f>
        <v>2126.4695164092122</v>
      </c>
      <c r="I24">
        <f>AHS_tables!$DA$33</f>
        <v>2438.0076219015336</v>
      </c>
      <c r="J24">
        <f>I24/H24</f>
        <v>1.1465048537438662</v>
      </c>
    </row>
    <row r="25" spans="2:10" x14ac:dyDescent="0.2">
      <c r="B25">
        <f t="shared" si="1"/>
        <v>2000</v>
      </c>
      <c r="C25">
        <f>'Comps Ann_2015'!E42</f>
        <v>1241.8</v>
      </c>
      <c r="D25" s="2">
        <f>SFTotalMedAvgSqFt_2012!I36</f>
        <v>2266</v>
      </c>
      <c r="E25">
        <f t="shared" si="0"/>
        <v>2813918.8</v>
      </c>
    </row>
    <row r="26" spans="2:10" x14ac:dyDescent="0.2">
      <c r="B26">
        <f t="shared" si="1"/>
        <v>2001</v>
      </c>
      <c r="C26">
        <f>'Comps Ann_2015'!E43</f>
        <v>1255.9000000000001</v>
      </c>
      <c r="D26" s="2">
        <f>SFTotalMedAvgSqFt_2012!I37</f>
        <v>2324</v>
      </c>
      <c r="E26">
        <f t="shared" si="0"/>
        <v>2918711.6</v>
      </c>
    </row>
    <row r="27" spans="2:10" x14ac:dyDescent="0.2">
      <c r="B27">
        <f t="shared" si="1"/>
        <v>2002</v>
      </c>
      <c r="C27">
        <f>'Comps Ann_2015'!E44</f>
        <v>1325.1</v>
      </c>
      <c r="D27" s="2">
        <f>SFTotalMedAvgSqFt_2012!I38</f>
        <v>2320</v>
      </c>
      <c r="E27">
        <f t="shared" si="0"/>
        <v>3074232</v>
      </c>
    </row>
    <row r="28" spans="2:10" x14ac:dyDescent="0.2">
      <c r="B28">
        <f t="shared" si="1"/>
        <v>2003</v>
      </c>
      <c r="C28">
        <f>'Comps Ann_2015'!E45</f>
        <v>1386.3</v>
      </c>
      <c r="D28" s="2">
        <f>SFTotalMedAvgSqFt_2012!I39</f>
        <v>2330</v>
      </c>
      <c r="E28">
        <f t="shared" si="0"/>
        <v>3230079</v>
      </c>
    </row>
    <row r="29" spans="2:10" x14ac:dyDescent="0.2">
      <c r="B29">
        <f t="shared" si="1"/>
        <v>2004</v>
      </c>
      <c r="C29">
        <f>'Comps Ann_2015'!E46</f>
        <v>1531.5</v>
      </c>
      <c r="D29" s="2">
        <f>SFTotalMedAvgSqFt_2012!I40</f>
        <v>2349</v>
      </c>
      <c r="E29">
        <f t="shared" si="0"/>
        <v>3597493.5</v>
      </c>
    </row>
    <row r="30" spans="2:10" x14ac:dyDescent="0.2">
      <c r="B30">
        <f t="shared" si="1"/>
        <v>2005</v>
      </c>
      <c r="C30">
        <f>'Comps Ann_2015'!E47</f>
        <v>1635.9</v>
      </c>
      <c r="D30" s="2">
        <f>SFTotalMedAvgSqFt_2012!I41</f>
        <v>2434</v>
      </c>
      <c r="E30">
        <f t="shared" si="0"/>
        <v>3981780.6</v>
      </c>
    </row>
    <row r="31" spans="2:10" x14ac:dyDescent="0.2">
      <c r="B31">
        <f t="shared" si="1"/>
        <v>2006</v>
      </c>
      <c r="C31">
        <f>'Comps Ann_2015'!E48</f>
        <v>1654.5</v>
      </c>
      <c r="D31" s="2">
        <f>SFTotalMedAvgSqFt_2012!I42</f>
        <v>2469</v>
      </c>
      <c r="E31">
        <f t="shared" si="0"/>
        <v>4084960.5</v>
      </c>
    </row>
    <row r="32" spans="2:10" x14ac:dyDescent="0.2">
      <c r="B32">
        <f t="shared" si="1"/>
        <v>2007</v>
      </c>
      <c r="C32">
        <f>'Comps Ann_2015'!E49</f>
        <v>1218.4000000000001</v>
      </c>
      <c r="D32" s="2">
        <f>SFTotalMedAvgSqFt_2012!I43</f>
        <v>2521</v>
      </c>
      <c r="E32">
        <f t="shared" si="0"/>
        <v>3071586.4000000004</v>
      </c>
    </row>
    <row r="33" spans="2:10" x14ac:dyDescent="0.2">
      <c r="B33">
        <f t="shared" si="1"/>
        <v>2008</v>
      </c>
      <c r="C33">
        <f>'Comps Ann_2015'!E50</f>
        <v>818.8</v>
      </c>
      <c r="D33" s="2">
        <f>SFTotalMedAvgSqFt_2012!I44</f>
        <v>2519</v>
      </c>
      <c r="E33">
        <f t="shared" si="0"/>
        <v>2062557.2</v>
      </c>
    </row>
    <row r="34" spans="2:10" x14ac:dyDescent="0.2">
      <c r="B34">
        <f t="shared" si="1"/>
        <v>2009</v>
      </c>
      <c r="C34">
        <f>'Comps Ann_2015'!E51</f>
        <v>520.1</v>
      </c>
      <c r="D34" s="2">
        <f>SFTotalMedAvgSqFt_2012!I45</f>
        <v>2438</v>
      </c>
      <c r="E34">
        <f t="shared" si="0"/>
        <v>1268003.8</v>
      </c>
      <c r="F34">
        <f>SUM(C25:C34)</f>
        <v>12588.3</v>
      </c>
      <c r="G34">
        <f>SUM(E25:E34)</f>
        <v>30103323.399999999</v>
      </c>
      <c r="H34">
        <f>G34/F34</f>
        <v>2391.3732116330243</v>
      </c>
      <c r="I34">
        <f>AHS_tables!$ET$33</f>
        <v>2187.8885038575272</v>
      </c>
      <c r="J34">
        <f>I34/H34</f>
        <v>0.91490884535060035</v>
      </c>
    </row>
    <row r="35" spans="2:10" x14ac:dyDescent="0.2">
      <c r="B35">
        <f t="shared" si="1"/>
        <v>2010</v>
      </c>
      <c r="C35">
        <f>'Comps Ann_2015'!E52</f>
        <v>496.3</v>
      </c>
      <c r="D35" s="2">
        <f>SFTotalMedAvgSqFt_2012!I46</f>
        <v>2392</v>
      </c>
      <c r="E35">
        <f t="shared" si="0"/>
        <v>1187149.6000000001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O84"/>
  <sheetViews>
    <sheetView topLeftCell="A36" workbookViewId="0">
      <selection activeCell="A51" sqref="A51"/>
    </sheetView>
  </sheetViews>
  <sheetFormatPr defaultColWidth="9.140625" defaultRowHeight="12.75" x14ac:dyDescent="0.2"/>
  <cols>
    <col min="1" max="2" width="9.140625" style="32"/>
    <col min="3" max="3" width="12.140625" style="32" customWidth="1"/>
    <col min="4" max="16384" width="9.140625" style="32"/>
  </cols>
  <sheetData>
    <row r="1" spans="3:15" ht="15.75" x14ac:dyDescent="0.25">
      <c r="C1" s="30" t="s">
        <v>85</v>
      </c>
      <c r="D1" s="30"/>
      <c r="E1" s="30"/>
      <c r="F1" s="30"/>
      <c r="G1" s="30"/>
      <c r="H1" s="30"/>
      <c r="I1" s="30"/>
      <c r="J1" s="30"/>
      <c r="K1" s="30"/>
      <c r="L1" s="30"/>
      <c r="M1" s="30"/>
      <c r="N1" s="31"/>
      <c r="O1" s="31"/>
    </row>
    <row r="3" spans="3:15" x14ac:dyDescent="0.2">
      <c r="C3" s="33" t="s">
        <v>86</v>
      </c>
      <c r="D3" s="33"/>
      <c r="E3" s="33"/>
      <c r="F3" s="33"/>
      <c r="G3" s="33"/>
      <c r="H3" s="33"/>
      <c r="I3" s="33"/>
      <c r="J3" s="33"/>
      <c r="K3" s="33"/>
      <c r="L3" s="33"/>
      <c r="M3" s="33"/>
      <c r="N3" s="31"/>
      <c r="O3" s="31"/>
    </row>
    <row r="5" spans="3:15" x14ac:dyDescent="0.2">
      <c r="C5" s="31" t="s">
        <v>87</v>
      </c>
      <c r="D5" s="31"/>
      <c r="E5" s="31"/>
      <c r="F5" s="31"/>
      <c r="G5" s="31"/>
      <c r="H5" s="31"/>
      <c r="I5" s="31"/>
      <c r="J5" s="31"/>
      <c r="K5" s="31"/>
      <c r="L5" s="31"/>
      <c r="M5" s="31"/>
      <c r="N5" s="31"/>
      <c r="O5" s="31"/>
    </row>
    <row r="7" spans="3:15" x14ac:dyDescent="0.2">
      <c r="C7" s="34"/>
      <c r="D7" s="35"/>
      <c r="E7" s="36" t="s">
        <v>88</v>
      </c>
      <c r="F7" s="37"/>
      <c r="G7" s="36"/>
      <c r="H7" s="36" t="s">
        <v>89</v>
      </c>
      <c r="I7" s="37"/>
      <c r="J7" s="37"/>
      <c r="K7" s="37"/>
      <c r="L7" s="37"/>
      <c r="M7" s="37"/>
      <c r="N7" s="36"/>
      <c r="O7" s="36"/>
    </row>
    <row r="8" spans="3:15" x14ac:dyDescent="0.2">
      <c r="C8" s="38" t="s">
        <v>90</v>
      </c>
      <c r="D8" s="39" t="s">
        <v>91</v>
      </c>
      <c r="E8" s="39" t="s">
        <v>92</v>
      </c>
      <c r="F8" s="39" t="s">
        <v>93</v>
      </c>
      <c r="G8" s="39" t="s">
        <v>94</v>
      </c>
      <c r="H8" s="40" t="s">
        <v>20</v>
      </c>
      <c r="I8" s="41"/>
      <c r="J8" s="40" t="s">
        <v>21</v>
      </c>
      <c r="K8" s="41"/>
      <c r="L8" s="40" t="s">
        <v>22</v>
      </c>
      <c r="M8" s="41"/>
      <c r="N8" s="40" t="s">
        <v>23</v>
      </c>
      <c r="O8" s="41"/>
    </row>
    <row r="9" spans="3:15" x14ac:dyDescent="0.2">
      <c r="C9" s="42"/>
      <c r="D9" s="43"/>
      <c r="E9" s="43"/>
      <c r="F9" s="43" t="s">
        <v>95</v>
      </c>
      <c r="G9" s="43" t="s">
        <v>96</v>
      </c>
      <c r="H9" s="43" t="s">
        <v>91</v>
      </c>
      <c r="I9" s="43" t="s">
        <v>92</v>
      </c>
      <c r="J9" s="43" t="s">
        <v>91</v>
      </c>
      <c r="K9" s="43" t="s">
        <v>92</v>
      </c>
      <c r="L9" s="43" t="s">
        <v>91</v>
      </c>
      <c r="M9" s="43" t="s">
        <v>92</v>
      </c>
      <c r="N9" s="43" t="s">
        <v>91</v>
      </c>
      <c r="O9" s="43" t="s">
        <v>92</v>
      </c>
    </row>
    <row r="10" spans="3:15" ht="13.35" customHeight="1" x14ac:dyDescent="0.2">
      <c r="C10" s="44">
        <v>1968</v>
      </c>
      <c r="D10" s="45">
        <v>1319.8</v>
      </c>
      <c r="E10" s="45">
        <v>858.6</v>
      </c>
      <c r="F10" s="45">
        <v>77.400000000000006</v>
      </c>
      <c r="G10" s="45">
        <v>383.6</v>
      </c>
      <c r="H10" s="45">
        <v>198.8</v>
      </c>
      <c r="I10" s="45" t="s">
        <v>97</v>
      </c>
      <c r="J10" s="45">
        <v>347.5</v>
      </c>
      <c r="K10" s="45" t="s">
        <v>97</v>
      </c>
      <c r="L10" s="45">
        <v>527.4</v>
      </c>
      <c r="M10" s="45" t="s">
        <v>97</v>
      </c>
      <c r="N10" s="45">
        <v>246.1</v>
      </c>
      <c r="O10" s="45" t="s">
        <v>97</v>
      </c>
    </row>
    <row r="11" spans="3:15" ht="13.35" customHeight="1" x14ac:dyDescent="0.2">
      <c r="C11" s="44">
        <v>1969</v>
      </c>
      <c r="D11" s="45">
        <v>1399</v>
      </c>
      <c r="E11" s="45">
        <v>807.5</v>
      </c>
      <c r="F11" s="45">
        <v>79.8</v>
      </c>
      <c r="G11" s="45">
        <v>512.1</v>
      </c>
      <c r="H11" s="45">
        <v>219.8</v>
      </c>
      <c r="I11" s="45" t="s">
        <v>97</v>
      </c>
      <c r="J11" s="45">
        <v>344.7</v>
      </c>
      <c r="K11" s="45" t="s">
        <v>97</v>
      </c>
      <c r="L11" s="45">
        <v>553.1</v>
      </c>
      <c r="M11" s="45" t="s">
        <v>97</v>
      </c>
      <c r="N11" s="45">
        <v>281.39999999999998</v>
      </c>
      <c r="O11" s="45" t="s">
        <v>97</v>
      </c>
    </row>
    <row r="12" spans="3:15" ht="13.35" customHeight="1" x14ac:dyDescent="0.2">
      <c r="C12" s="44">
        <v>1970</v>
      </c>
      <c r="D12" s="45">
        <v>1418.4</v>
      </c>
      <c r="E12" s="45">
        <v>801.8</v>
      </c>
      <c r="F12" s="45">
        <v>85.1</v>
      </c>
      <c r="G12" s="45">
        <v>531.5</v>
      </c>
      <c r="H12" s="45">
        <v>184.9</v>
      </c>
      <c r="I12" s="45" t="s">
        <v>97</v>
      </c>
      <c r="J12" s="45">
        <v>323.39999999999998</v>
      </c>
      <c r="K12" s="45" t="s">
        <v>97</v>
      </c>
      <c r="L12" s="45">
        <v>594.6</v>
      </c>
      <c r="M12" s="45" t="s">
        <v>97</v>
      </c>
      <c r="N12" s="45">
        <v>315.5</v>
      </c>
      <c r="O12" s="45" t="s">
        <v>97</v>
      </c>
    </row>
    <row r="13" spans="3:15" ht="13.35" customHeight="1" x14ac:dyDescent="0.2">
      <c r="C13" s="44">
        <v>1971</v>
      </c>
      <c r="D13" s="45">
        <v>1706.1</v>
      </c>
      <c r="E13" s="45">
        <v>1014</v>
      </c>
      <c r="F13" s="45">
        <v>106.1</v>
      </c>
      <c r="G13" s="45">
        <v>586.1</v>
      </c>
      <c r="H13" s="45">
        <v>225.8</v>
      </c>
      <c r="I13" s="45" t="s">
        <v>97</v>
      </c>
      <c r="J13" s="45">
        <v>348.1</v>
      </c>
      <c r="K13" s="45" t="s">
        <v>97</v>
      </c>
      <c r="L13" s="45">
        <v>727</v>
      </c>
      <c r="M13" s="45" t="s">
        <v>97</v>
      </c>
      <c r="N13" s="45">
        <v>405.2</v>
      </c>
      <c r="O13" s="45" t="s">
        <v>97</v>
      </c>
    </row>
    <row r="14" spans="3:15" ht="13.35" customHeight="1" x14ac:dyDescent="0.2">
      <c r="C14" s="44">
        <v>1972</v>
      </c>
      <c r="D14" s="45">
        <v>2003.9</v>
      </c>
      <c r="E14" s="45">
        <v>1160.2</v>
      </c>
      <c r="F14" s="45">
        <v>119.2</v>
      </c>
      <c r="G14" s="45">
        <v>724.7</v>
      </c>
      <c r="H14" s="45">
        <v>281.10000000000002</v>
      </c>
      <c r="I14" s="45" t="s">
        <v>97</v>
      </c>
      <c r="J14" s="45">
        <v>411.8</v>
      </c>
      <c r="K14" s="45" t="s">
        <v>97</v>
      </c>
      <c r="L14" s="45">
        <v>848.5</v>
      </c>
      <c r="M14" s="45" t="s">
        <v>97</v>
      </c>
      <c r="N14" s="45">
        <v>462.4</v>
      </c>
      <c r="O14" s="45" t="s">
        <v>97</v>
      </c>
    </row>
    <row r="15" spans="3:15" ht="13.35" customHeight="1" x14ac:dyDescent="0.2">
      <c r="C15" s="44">
        <v>1973</v>
      </c>
      <c r="D15" s="45">
        <v>2100.5</v>
      </c>
      <c r="E15" s="45">
        <v>1197.2</v>
      </c>
      <c r="F15" s="45">
        <v>123.5</v>
      </c>
      <c r="G15" s="45">
        <v>779.8</v>
      </c>
      <c r="H15" s="45">
        <v>294</v>
      </c>
      <c r="I15" s="45" t="s">
        <v>97</v>
      </c>
      <c r="J15" s="45">
        <v>441.7</v>
      </c>
      <c r="K15" s="45" t="s">
        <v>97</v>
      </c>
      <c r="L15" s="45">
        <v>906.3</v>
      </c>
      <c r="M15" s="45" t="s">
        <v>97</v>
      </c>
      <c r="N15" s="45">
        <v>458.6</v>
      </c>
      <c r="O15" s="45" t="s">
        <v>97</v>
      </c>
    </row>
    <row r="16" spans="3:15" ht="13.35" customHeight="1" x14ac:dyDescent="0.2">
      <c r="C16" s="44">
        <v>1974</v>
      </c>
      <c r="D16" s="45">
        <v>1728.5</v>
      </c>
      <c r="E16" s="45">
        <v>940.3</v>
      </c>
      <c r="F16" s="45">
        <v>95.3</v>
      </c>
      <c r="G16" s="45">
        <v>692.9</v>
      </c>
      <c r="H16" s="45">
        <v>231.7</v>
      </c>
      <c r="I16" s="45" t="s">
        <v>97</v>
      </c>
      <c r="J16" s="45">
        <v>377.4</v>
      </c>
      <c r="K16" s="45" t="s">
        <v>97</v>
      </c>
      <c r="L16" s="45">
        <v>755.8</v>
      </c>
      <c r="M16" s="45" t="s">
        <v>97</v>
      </c>
      <c r="N16" s="45">
        <v>363.6</v>
      </c>
      <c r="O16" s="45" t="s">
        <v>97</v>
      </c>
    </row>
    <row r="17" spans="3:15" ht="13.35" customHeight="1" x14ac:dyDescent="0.2">
      <c r="C17" s="44">
        <v>1975</v>
      </c>
      <c r="D17" s="45">
        <v>1317.2</v>
      </c>
      <c r="E17" s="45">
        <v>874.8</v>
      </c>
      <c r="F17" s="45">
        <v>60.4</v>
      </c>
      <c r="G17" s="45">
        <v>381.8</v>
      </c>
      <c r="H17" s="45">
        <v>185.8</v>
      </c>
      <c r="I17" s="45" t="s">
        <v>97</v>
      </c>
      <c r="J17" s="45">
        <v>313.2</v>
      </c>
      <c r="K17" s="45" t="s">
        <v>97</v>
      </c>
      <c r="L17" s="45">
        <v>531.29999999999995</v>
      </c>
      <c r="M17" s="45" t="s">
        <v>97</v>
      </c>
      <c r="N17" s="45">
        <v>286.8</v>
      </c>
      <c r="O17" s="45" t="s">
        <v>97</v>
      </c>
    </row>
    <row r="18" spans="3:15" ht="13.35" customHeight="1" x14ac:dyDescent="0.2">
      <c r="C18" s="44">
        <v>1976</v>
      </c>
      <c r="D18" s="45">
        <v>1377.2</v>
      </c>
      <c r="E18" s="45">
        <v>1034.2</v>
      </c>
      <c r="F18" s="45">
        <v>77.099999999999994</v>
      </c>
      <c r="G18" s="45">
        <v>265.8</v>
      </c>
      <c r="H18" s="45">
        <v>170.2</v>
      </c>
      <c r="I18" s="45" t="s">
        <v>97</v>
      </c>
      <c r="J18" s="45">
        <v>355.6</v>
      </c>
      <c r="K18" s="45" t="s">
        <v>97</v>
      </c>
      <c r="L18" s="45">
        <v>513.20000000000005</v>
      </c>
      <c r="M18" s="45" t="s">
        <v>97</v>
      </c>
      <c r="N18" s="45">
        <v>338.3</v>
      </c>
      <c r="O18" s="45" t="s">
        <v>97</v>
      </c>
    </row>
    <row r="19" spans="3:15" ht="13.35" customHeight="1" x14ac:dyDescent="0.2">
      <c r="C19" s="44">
        <v>1977</v>
      </c>
      <c r="D19" s="45">
        <v>1657.1</v>
      </c>
      <c r="E19" s="45">
        <v>1258.4000000000001</v>
      </c>
      <c r="F19" s="45">
        <v>94.9</v>
      </c>
      <c r="G19" s="45">
        <v>303.7</v>
      </c>
      <c r="H19" s="45">
        <v>176.8</v>
      </c>
      <c r="I19" s="45" t="s">
        <v>97</v>
      </c>
      <c r="J19" s="45">
        <v>400</v>
      </c>
      <c r="K19" s="45" t="s">
        <v>97</v>
      </c>
      <c r="L19" s="45">
        <v>636.1</v>
      </c>
      <c r="M19" s="45" t="s">
        <v>97</v>
      </c>
      <c r="N19" s="45">
        <v>444.2</v>
      </c>
      <c r="O19" s="45" t="s">
        <v>97</v>
      </c>
    </row>
    <row r="20" spans="3:15" ht="13.35" customHeight="1" x14ac:dyDescent="0.2">
      <c r="C20" s="44">
        <v>1978</v>
      </c>
      <c r="D20" s="45">
        <v>1867.5</v>
      </c>
      <c r="E20" s="45">
        <v>1369</v>
      </c>
      <c r="F20" s="45">
        <v>116.1</v>
      </c>
      <c r="G20" s="45">
        <v>382.2</v>
      </c>
      <c r="H20" s="45">
        <v>181.9</v>
      </c>
      <c r="I20" s="45" t="s">
        <v>97</v>
      </c>
      <c r="J20" s="45">
        <v>416.5</v>
      </c>
      <c r="K20" s="45" t="s">
        <v>97</v>
      </c>
      <c r="L20" s="45">
        <v>752</v>
      </c>
      <c r="M20" s="45" t="s">
        <v>97</v>
      </c>
      <c r="N20" s="45">
        <v>517.1</v>
      </c>
      <c r="O20" s="45" t="s">
        <v>97</v>
      </c>
    </row>
    <row r="21" spans="3:15" ht="13.35" customHeight="1" x14ac:dyDescent="0.2">
      <c r="C21" s="44">
        <v>1979</v>
      </c>
      <c r="D21" s="45">
        <v>1870.8</v>
      </c>
      <c r="E21" s="45">
        <v>1301</v>
      </c>
      <c r="F21" s="45">
        <v>124.9</v>
      </c>
      <c r="G21" s="45">
        <v>444.9</v>
      </c>
      <c r="H21" s="45">
        <v>188.4</v>
      </c>
      <c r="I21" s="45">
        <v>135.19999999999999</v>
      </c>
      <c r="J21" s="45">
        <v>414.7</v>
      </c>
      <c r="K21" s="45">
        <v>293.8</v>
      </c>
      <c r="L21" s="45">
        <v>761.7</v>
      </c>
      <c r="M21" s="45">
        <v>534.9</v>
      </c>
      <c r="N21" s="45">
        <v>506</v>
      </c>
      <c r="O21" s="45">
        <v>337.1</v>
      </c>
    </row>
    <row r="22" spans="3:15" ht="13.35" customHeight="1" x14ac:dyDescent="0.2">
      <c r="C22" s="44">
        <v>1980</v>
      </c>
      <c r="D22" s="45">
        <v>1501.6</v>
      </c>
      <c r="E22" s="45">
        <v>956.7</v>
      </c>
      <c r="F22" s="45">
        <v>118.8</v>
      </c>
      <c r="G22" s="45">
        <v>426.3</v>
      </c>
      <c r="H22" s="45">
        <v>146</v>
      </c>
      <c r="I22" s="45">
        <v>99.8</v>
      </c>
      <c r="J22" s="45">
        <v>273.5</v>
      </c>
      <c r="K22" s="45">
        <v>169.6</v>
      </c>
      <c r="L22" s="45">
        <v>696.1</v>
      </c>
      <c r="M22" s="45">
        <v>454.6</v>
      </c>
      <c r="N22" s="45">
        <v>386</v>
      </c>
      <c r="O22" s="45">
        <v>232.8</v>
      </c>
    </row>
    <row r="23" spans="3:15" ht="13.35" customHeight="1" x14ac:dyDescent="0.2">
      <c r="C23" s="44">
        <v>1981</v>
      </c>
      <c r="D23" s="45">
        <v>1265.7</v>
      </c>
      <c r="E23" s="45">
        <v>818.5</v>
      </c>
      <c r="F23" s="45">
        <v>111.4</v>
      </c>
      <c r="G23" s="45">
        <v>335.7</v>
      </c>
      <c r="H23" s="45">
        <v>127.3</v>
      </c>
      <c r="I23" s="45">
        <v>86.9</v>
      </c>
      <c r="J23" s="45">
        <v>217.7</v>
      </c>
      <c r="K23" s="45">
        <v>139.80000000000001</v>
      </c>
      <c r="L23" s="45">
        <v>626.4</v>
      </c>
      <c r="M23" s="45">
        <v>408.4</v>
      </c>
      <c r="N23" s="45">
        <v>294.3</v>
      </c>
      <c r="O23" s="45">
        <v>183.3</v>
      </c>
    </row>
    <row r="24" spans="3:15" ht="13.35" customHeight="1" x14ac:dyDescent="0.2">
      <c r="C24" s="44">
        <v>1982</v>
      </c>
      <c r="D24" s="45">
        <v>1005.5</v>
      </c>
      <c r="E24" s="45">
        <v>631.5</v>
      </c>
      <c r="F24" s="45">
        <v>80.7</v>
      </c>
      <c r="G24" s="45">
        <v>293.10000000000002</v>
      </c>
      <c r="H24" s="45">
        <v>120.5</v>
      </c>
      <c r="I24" s="45">
        <v>79</v>
      </c>
      <c r="J24" s="45">
        <v>143</v>
      </c>
      <c r="K24" s="45">
        <v>92.2</v>
      </c>
      <c r="L24" s="45">
        <v>538.79999999999995</v>
      </c>
      <c r="M24" s="45">
        <v>339.5</v>
      </c>
      <c r="N24" s="45">
        <v>203.2</v>
      </c>
      <c r="O24" s="45">
        <v>120.7</v>
      </c>
    </row>
    <row r="25" spans="3:15" ht="13.35" customHeight="1" x14ac:dyDescent="0.2">
      <c r="C25" s="44">
        <v>1983</v>
      </c>
      <c r="D25" s="45">
        <v>1390.3</v>
      </c>
      <c r="E25" s="45">
        <v>923.7</v>
      </c>
      <c r="F25" s="45">
        <v>92</v>
      </c>
      <c r="G25" s="45">
        <v>374.4</v>
      </c>
      <c r="H25" s="45">
        <v>138.9</v>
      </c>
      <c r="I25" s="45">
        <v>106.1</v>
      </c>
      <c r="J25" s="45">
        <v>200.8</v>
      </c>
      <c r="K25" s="45">
        <v>141.6</v>
      </c>
      <c r="L25" s="45">
        <v>746</v>
      </c>
      <c r="M25" s="45">
        <v>475.9</v>
      </c>
      <c r="N25" s="45">
        <v>304.60000000000002</v>
      </c>
      <c r="O25" s="45">
        <v>200.2</v>
      </c>
    </row>
    <row r="26" spans="3:15" ht="13.35" customHeight="1" x14ac:dyDescent="0.2">
      <c r="C26" s="44">
        <v>1984</v>
      </c>
      <c r="D26" s="45">
        <v>1652.2</v>
      </c>
      <c r="E26" s="45">
        <v>1025.0999999999999</v>
      </c>
      <c r="F26" s="45">
        <v>112.2</v>
      </c>
      <c r="G26" s="45">
        <v>514.79999999999995</v>
      </c>
      <c r="H26" s="45">
        <v>168.2</v>
      </c>
      <c r="I26" s="45">
        <v>128.6</v>
      </c>
      <c r="J26" s="45">
        <v>221.1</v>
      </c>
      <c r="K26" s="45">
        <v>155.80000000000001</v>
      </c>
      <c r="L26" s="45">
        <v>866.6</v>
      </c>
      <c r="M26" s="45">
        <v>508.2</v>
      </c>
      <c r="N26" s="45">
        <v>396.4</v>
      </c>
      <c r="O26" s="45">
        <v>232.5</v>
      </c>
    </row>
    <row r="27" spans="3:15" ht="13.35" customHeight="1" x14ac:dyDescent="0.2">
      <c r="C27" s="44">
        <v>1985</v>
      </c>
      <c r="D27" s="45">
        <v>1703.3</v>
      </c>
      <c r="E27" s="45">
        <v>1072.5</v>
      </c>
      <c r="F27" s="45">
        <v>97.2</v>
      </c>
      <c r="G27" s="45">
        <v>533.6</v>
      </c>
      <c r="H27" s="45">
        <v>213.8</v>
      </c>
      <c r="I27" s="45">
        <v>167.8</v>
      </c>
      <c r="J27" s="45">
        <v>230.5</v>
      </c>
      <c r="K27" s="45">
        <v>151.30000000000001</v>
      </c>
      <c r="L27" s="45">
        <v>812.2</v>
      </c>
      <c r="M27" s="45">
        <v>514</v>
      </c>
      <c r="N27" s="45">
        <v>446.8</v>
      </c>
      <c r="O27" s="45">
        <v>239.4</v>
      </c>
    </row>
    <row r="28" spans="3:15" ht="13.35" customHeight="1" x14ac:dyDescent="0.2">
      <c r="C28" s="44">
        <v>1986</v>
      </c>
      <c r="D28" s="45">
        <v>1756.4</v>
      </c>
      <c r="E28" s="45">
        <v>1120.2</v>
      </c>
      <c r="F28" s="45">
        <v>86.1</v>
      </c>
      <c r="G28" s="45">
        <v>550.1</v>
      </c>
      <c r="H28" s="45">
        <v>254</v>
      </c>
      <c r="I28" s="45">
        <v>193.1</v>
      </c>
      <c r="J28" s="45">
        <v>269.8</v>
      </c>
      <c r="K28" s="45">
        <v>170</v>
      </c>
      <c r="L28" s="45">
        <v>763.8</v>
      </c>
      <c r="M28" s="45">
        <v>504.5</v>
      </c>
      <c r="N28" s="45">
        <v>468.8</v>
      </c>
      <c r="O28" s="45">
        <v>252.6</v>
      </c>
    </row>
    <row r="29" spans="3:15" ht="13.35" customHeight="1" x14ac:dyDescent="0.2">
      <c r="C29" s="44">
        <v>1987</v>
      </c>
      <c r="D29" s="45">
        <v>1668.8</v>
      </c>
      <c r="E29" s="45">
        <v>1122.8</v>
      </c>
      <c r="F29" s="45">
        <v>71.400000000000006</v>
      </c>
      <c r="G29" s="45">
        <v>474.6</v>
      </c>
      <c r="H29" s="45">
        <v>257.39999999999998</v>
      </c>
      <c r="I29" s="45">
        <v>195.8</v>
      </c>
      <c r="J29" s="45">
        <v>302.3</v>
      </c>
      <c r="K29" s="45">
        <v>201.3</v>
      </c>
      <c r="L29" s="45">
        <v>660.4</v>
      </c>
      <c r="M29" s="45">
        <v>467.2</v>
      </c>
      <c r="N29" s="45">
        <v>448.7</v>
      </c>
      <c r="O29" s="45">
        <v>258.5</v>
      </c>
    </row>
    <row r="30" spans="3:15" ht="13.35" customHeight="1" x14ac:dyDescent="0.2">
      <c r="C30" s="44">
        <v>1988</v>
      </c>
      <c r="D30" s="45">
        <v>1529.8</v>
      </c>
      <c r="E30" s="45">
        <v>1084.5999999999999</v>
      </c>
      <c r="F30" s="45">
        <v>56.6</v>
      </c>
      <c r="G30" s="45">
        <v>388.6</v>
      </c>
      <c r="H30" s="45">
        <v>250.2</v>
      </c>
      <c r="I30" s="45">
        <v>187.7</v>
      </c>
      <c r="J30" s="45">
        <v>280.3</v>
      </c>
      <c r="K30" s="45">
        <v>191.3</v>
      </c>
      <c r="L30" s="45">
        <v>594.79999999999995</v>
      </c>
      <c r="M30" s="45">
        <v>457</v>
      </c>
      <c r="N30" s="45">
        <v>404.6</v>
      </c>
      <c r="O30" s="45">
        <v>248.4</v>
      </c>
    </row>
    <row r="31" spans="3:15" ht="13.35" customHeight="1" x14ac:dyDescent="0.2">
      <c r="C31" s="44">
        <v>1989</v>
      </c>
      <c r="D31" s="45">
        <v>1422.8</v>
      </c>
      <c r="E31" s="45">
        <v>1026.3</v>
      </c>
      <c r="F31" s="45">
        <v>58.7</v>
      </c>
      <c r="G31" s="45">
        <v>337.9</v>
      </c>
      <c r="H31" s="45">
        <v>218.8</v>
      </c>
      <c r="I31" s="45">
        <v>159</v>
      </c>
      <c r="J31" s="45">
        <v>267.10000000000002</v>
      </c>
      <c r="K31" s="45">
        <v>190.7</v>
      </c>
      <c r="L31" s="45">
        <v>549.4</v>
      </c>
      <c r="M31" s="45">
        <v>420</v>
      </c>
      <c r="N31" s="45">
        <v>387.5</v>
      </c>
      <c r="O31" s="45">
        <v>256.60000000000002</v>
      </c>
    </row>
    <row r="32" spans="3:15" ht="13.35" customHeight="1" x14ac:dyDescent="0.2">
      <c r="C32" s="44">
        <v>1990</v>
      </c>
      <c r="D32" s="45">
        <v>1308</v>
      </c>
      <c r="E32" s="45">
        <v>966</v>
      </c>
      <c r="F32" s="45">
        <v>44.8</v>
      </c>
      <c r="G32" s="45">
        <v>297.3</v>
      </c>
      <c r="H32" s="45">
        <v>157.69999999999999</v>
      </c>
      <c r="I32" s="45">
        <v>126.7</v>
      </c>
      <c r="J32" s="45">
        <v>263.3</v>
      </c>
      <c r="K32" s="45">
        <v>195</v>
      </c>
      <c r="L32" s="45">
        <v>510.7</v>
      </c>
      <c r="M32" s="45">
        <v>389.3</v>
      </c>
      <c r="N32" s="45">
        <v>376.3</v>
      </c>
      <c r="O32" s="45">
        <v>254.9</v>
      </c>
    </row>
    <row r="33" spans="3:15" ht="13.35" customHeight="1" x14ac:dyDescent="0.2">
      <c r="C33" s="44">
        <v>1991</v>
      </c>
      <c r="D33" s="45">
        <v>1090.8</v>
      </c>
      <c r="E33" s="45">
        <v>837.6</v>
      </c>
      <c r="F33" s="45">
        <v>36.799999999999997</v>
      </c>
      <c r="G33" s="45">
        <v>216.6</v>
      </c>
      <c r="H33" s="45">
        <v>120.1</v>
      </c>
      <c r="I33" s="45">
        <v>99.6</v>
      </c>
      <c r="J33" s="45">
        <v>240.4</v>
      </c>
      <c r="K33" s="45">
        <v>185.3</v>
      </c>
      <c r="L33" s="45">
        <v>438.9</v>
      </c>
      <c r="M33" s="45">
        <v>348.2</v>
      </c>
      <c r="N33" s="45">
        <v>291.3</v>
      </c>
      <c r="O33" s="45">
        <v>204.5</v>
      </c>
    </row>
    <row r="34" spans="3:15" ht="13.35" customHeight="1" x14ac:dyDescent="0.2">
      <c r="C34" s="44">
        <v>1992</v>
      </c>
      <c r="D34" s="45">
        <v>1157.5</v>
      </c>
      <c r="E34" s="45">
        <v>963.6</v>
      </c>
      <c r="F34" s="45">
        <v>36.1</v>
      </c>
      <c r="G34" s="45">
        <v>158</v>
      </c>
      <c r="H34" s="45">
        <v>136.4</v>
      </c>
      <c r="I34" s="45">
        <v>113.7</v>
      </c>
      <c r="J34" s="45">
        <v>268.39999999999998</v>
      </c>
      <c r="K34" s="45">
        <v>218.2</v>
      </c>
      <c r="L34" s="45">
        <v>462.4</v>
      </c>
      <c r="M34" s="45">
        <v>399.6</v>
      </c>
      <c r="N34" s="45">
        <v>290.3</v>
      </c>
      <c r="O34" s="45">
        <v>232.2</v>
      </c>
    </row>
    <row r="35" spans="3:15" ht="13.35" customHeight="1" x14ac:dyDescent="0.2">
      <c r="C35" s="44">
        <v>1993</v>
      </c>
      <c r="D35" s="45">
        <v>1192.7</v>
      </c>
      <c r="E35" s="45">
        <v>1039.4000000000001</v>
      </c>
      <c r="F35" s="45">
        <v>26.3</v>
      </c>
      <c r="G35" s="45">
        <v>127.1</v>
      </c>
      <c r="H35" s="45">
        <v>117.6</v>
      </c>
      <c r="I35" s="45">
        <v>105.2</v>
      </c>
      <c r="J35" s="45">
        <v>273.3</v>
      </c>
      <c r="K35" s="45">
        <v>231.6</v>
      </c>
      <c r="L35" s="45">
        <v>512</v>
      </c>
      <c r="M35" s="45">
        <v>455.7</v>
      </c>
      <c r="N35" s="45">
        <v>290</v>
      </c>
      <c r="O35" s="45">
        <v>246.9</v>
      </c>
    </row>
    <row r="36" spans="3:15" ht="13.35" customHeight="1" x14ac:dyDescent="0.2">
      <c r="C36" s="44">
        <v>1994</v>
      </c>
      <c r="D36" s="45">
        <v>1346.9</v>
      </c>
      <c r="E36" s="45">
        <v>1160.3</v>
      </c>
      <c r="F36" s="45">
        <v>31.8</v>
      </c>
      <c r="G36" s="45">
        <v>154.9</v>
      </c>
      <c r="H36" s="45">
        <v>123.4</v>
      </c>
      <c r="I36" s="45">
        <v>112.9</v>
      </c>
      <c r="J36" s="45">
        <v>307.10000000000002</v>
      </c>
      <c r="K36" s="45">
        <v>255</v>
      </c>
      <c r="L36" s="45">
        <v>580.9</v>
      </c>
      <c r="M36" s="45">
        <v>507.3</v>
      </c>
      <c r="N36" s="45">
        <v>335.5</v>
      </c>
      <c r="O36" s="45">
        <v>285.10000000000002</v>
      </c>
    </row>
    <row r="37" spans="3:15" ht="13.35" customHeight="1" x14ac:dyDescent="0.2">
      <c r="C37" s="44">
        <v>1995</v>
      </c>
      <c r="D37" s="45">
        <v>1312.6</v>
      </c>
      <c r="E37" s="45">
        <v>1065.5</v>
      </c>
      <c r="F37" s="45">
        <v>34.700000000000003</v>
      </c>
      <c r="G37" s="45">
        <v>212.4</v>
      </c>
      <c r="H37" s="45">
        <v>126.9</v>
      </c>
      <c r="I37" s="45">
        <v>107.8</v>
      </c>
      <c r="J37" s="45">
        <v>287.89999999999998</v>
      </c>
      <c r="K37" s="45">
        <v>232.1</v>
      </c>
      <c r="L37" s="45">
        <v>581.1</v>
      </c>
      <c r="M37" s="45">
        <v>472.4</v>
      </c>
      <c r="N37" s="45">
        <v>316.7</v>
      </c>
      <c r="O37" s="45">
        <v>253.2</v>
      </c>
    </row>
    <row r="38" spans="3:15" ht="13.35" customHeight="1" x14ac:dyDescent="0.2">
      <c r="C38" s="44">
        <v>1996</v>
      </c>
      <c r="D38" s="45">
        <v>1412.9</v>
      </c>
      <c r="E38" s="45">
        <v>1128.5</v>
      </c>
      <c r="F38" s="45">
        <v>33.1</v>
      </c>
      <c r="G38" s="45">
        <v>251.3</v>
      </c>
      <c r="H38" s="45">
        <v>125.1</v>
      </c>
      <c r="I38" s="45">
        <v>107.8</v>
      </c>
      <c r="J38" s="45">
        <v>304.5</v>
      </c>
      <c r="K38" s="45">
        <v>244.5</v>
      </c>
      <c r="L38" s="45">
        <v>637.1</v>
      </c>
      <c r="M38" s="45">
        <v>507.3</v>
      </c>
      <c r="N38" s="45">
        <v>346.2</v>
      </c>
      <c r="O38" s="45">
        <v>268.8</v>
      </c>
    </row>
    <row r="39" spans="3:15" ht="13.35" customHeight="1" x14ac:dyDescent="0.2">
      <c r="C39" s="44">
        <v>1997</v>
      </c>
      <c r="D39" s="45">
        <v>1400.5</v>
      </c>
      <c r="E39" s="45">
        <v>1116.4000000000001</v>
      </c>
      <c r="F39" s="45">
        <v>37</v>
      </c>
      <c r="G39" s="45">
        <v>247.1</v>
      </c>
      <c r="H39" s="45">
        <v>134</v>
      </c>
      <c r="I39" s="45">
        <v>115.5</v>
      </c>
      <c r="J39" s="45">
        <v>295.89999999999998</v>
      </c>
      <c r="K39" s="45">
        <v>236.4</v>
      </c>
      <c r="L39" s="45">
        <v>634.1</v>
      </c>
      <c r="M39" s="45">
        <v>505.6</v>
      </c>
      <c r="N39" s="45">
        <v>336.4</v>
      </c>
      <c r="O39" s="45">
        <v>258.89999999999998</v>
      </c>
    </row>
    <row r="40" spans="3:15" ht="13.35" customHeight="1" x14ac:dyDescent="0.2">
      <c r="C40" s="44">
        <v>1998</v>
      </c>
      <c r="D40" s="45">
        <v>1474.2</v>
      </c>
      <c r="E40" s="45">
        <v>1159.7</v>
      </c>
      <c r="F40" s="45">
        <v>40.6</v>
      </c>
      <c r="G40" s="45">
        <v>273.89999999999998</v>
      </c>
      <c r="H40" s="45">
        <v>137.30000000000001</v>
      </c>
      <c r="I40" s="45">
        <v>116.4</v>
      </c>
      <c r="J40" s="45">
        <v>305.10000000000002</v>
      </c>
      <c r="K40" s="45">
        <v>243.5</v>
      </c>
      <c r="L40" s="45">
        <v>671.6</v>
      </c>
      <c r="M40" s="45">
        <v>517.20000000000005</v>
      </c>
      <c r="N40" s="45">
        <v>360.2</v>
      </c>
      <c r="O40" s="45">
        <v>282.5</v>
      </c>
    </row>
    <row r="41" spans="3:15" ht="13.35" customHeight="1" x14ac:dyDescent="0.2">
      <c r="C41" s="44">
        <v>1999</v>
      </c>
      <c r="D41" s="45">
        <v>1604.9</v>
      </c>
      <c r="E41" s="45">
        <v>1270.4000000000001</v>
      </c>
      <c r="F41" s="45">
        <v>35.200000000000003</v>
      </c>
      <c r="G41" s="45">
        <v>299.3</v>
      </c>
      <c r="H41" s="45">
        <v>142.69999999999999</v>
      </c>
      <c r="I41" s="45">
        <v>114.7</v>
      </c>
      <c r="J41" s="45">
        <v>334.7</v>
      </c>
      <c r="K41" s="45">
        <v>276.2</v>
      </c>
      <c r="L41" s="45">
        <v>732.7</v>
      </c>
      <c r="M41" s="45">
        <v>569.70000000000005</v>
      </c>
      <c r="N41" s="45">
        <v>394.8</v>
      </c>
      <c r="O41" s="45">
        <v>309.89999999999998</v>
      </c>
    </row>
    <row r="42" spans="3:15" ht="13.35" customHeight="1" x14ac:dyDescent="0.2">
      <c r="C42" s="44">
        <v>2000</v>
      </c>
      <c r="D42" s="45">
        <v>1573.7</v>
      </c>
      <c r="E42" s="45">
        <v>1241.8</v>
      </c>
      <c r="F42" s="45">
        <v>27.3</v>
      </c>
      <c r="G42" s="45">
        <v>304.7</v>
      </c>
      <c r="H42" s="45">
        <v>146.1</v>
      </c>
      <c r="I42" s="45">
        <v>120.4</v>
      </c>
      <c r="J42" s="45">
        <v>334.4</v>
      </c>
      <c r="K42" s="45">
        <v>268.89999999999998</v>
      </c>
      <c r="L42" s="45">
        <v>729.3</v>
      </c>
      <c r="M42" s="45">
        <v>565.9</v>
      </c>
      <c r="N42" s="45">
        <v>363.9</v>
      </c>
      <c r="O42" s="45">
        <v>286.5</v>
      </c>
    </row>
    <row r="43" spans="3:15" ht="13.35" customHeight="1" x14ac:dyDescent="0.2">
      <c r="C43" s="44">
        <v>2001</v>
      </c>
      <c r="D43" s="45">
        <v>1570.8</v>
      </c>
      <c r="E43" s="45">
        <v>1255.9000000000001</v>
      </c>
      <c r="F43" s="45">
        <v>33.9</v>
      </c>
      <c r="G43" s="45">
        <v>281</v>
      </c>
      <c r="H43" s="45">
        <v>144.80000000000001</v>
      </c>
      <c r="I43" s="45">
        <v>113.7</v>
      </c>
      <c r="J43" s="45">
        <v>316.39999999999998</v>
      </c>
      <c r="K43" s="45">
        <v>261.10000000000002</v>
      </c>
      <c r="L43" s="45">
        <v>726.3</v>
      </c>
      <c r="M43" s="45">
        <v>578.20000000000005</v>
      </c>
      <c r="N43" s="45">
        <v>383.3</v>
      </c>
      <c r="O43" s="45">
        <v>302.89999999999998</v>
      </c>
    </row>
    <row r="44" spans="3:15" ht="13.35" customHeight="1" x14ac:dyDescent="0.2">
      <c r="C44" s="44">
        <v>2002</v>
      </c>
      <c r="D44" s="45">
        <v>1648.4</v>
      </c>
      <c r="E44" s="45">
        <v>1325.1</v>
      </c>
      <c r="F44" s="45">
        <v>35</v>
      </c>
      <c r="G44" s="45">
        <v>288.2</v>
      </c>
      <c r="H44" s="45">
        <v>147.9</v>
      </c>
      <c r="I44" s="45">
        <v>113.3</v>
      </c>
      <c r="J44" s="45">
        <v>329.8</v>
      </c>
      <c r="K44" s="45">
        <v>272</v>
      </c>
      <c r="L44" s="45">
        <v>757.8</v>
      </c>
      <c r="M44" s="45">
        <v>614.79999999999995</v>
      </c>
      <c r="N44" s="45">
        <v>412.8</v>
      </c>
      <c r="O44" s="45">
        <v>325</v>
      </c>
    </row>
    <row r="45" spans="3:15" ht="13.35" customHeight="1" x14ac:dyDescent="0.2">
      <c r="C45" s="44">
        <v>2003</v>
      </c>
      <c r="D45" s="45">
        <v>1678.7</v>
      </c>
      <c r="E45" s="45">
        <v>1386.3</v>
      </c>
      <c r="F45" s="45">
        <v>31.5</v>
      </c>
      <c r="G45" s="45">
        <v>260.8</v>
      </c>
      <c r="H45" s="45">
        <v>154.6</v>
      </c>
      <c r="I45" s="45">
        <v>113.6</v>
      </c>
      <c r="J45" s="45">
        <v>332.2</v>
      </c>
      <c r="K45" s="45">
        <v>274.2</v>
      </c>
      <c r="L45" s="45">
        <v>755.6</v>
      </c>
      <c r="M45" s="45">
        <v>635.5</v>
      </c>
      <c r="N45" s="45">
        <v>436.2</v>
      </c>
      <c r="O45" s="45">
        <v>363.1</v>
      </c>
    </row>
    <row r="46" spans="3:15" ht="13.35" customHeight="1" x14ac:dyDescent="0.2">
      <c r="C46" s="44">
        <v>2004</v>
      </c>
      <c r="D46" s="45">
        <v>1841.9</v>
      </c>
      <c r="E46" s="45">
        <v>1531.5</v>
      </c>
      <c r="F46" s="45">
        <v>23.5</v>
      </c>
      <c r="G46" s="45">
        <v>286.89999999999998</v>
      </c>
      <c r="H46" s="45">
        <v>155.9</v>
      </c>
      <c r="I46" s="45">
        <v>118.9</v>
      </c>
      <c r="J46" s="45">
        <v>362.4</v>
      </c>
      <c r="K46" s="45">
        <v>303.60000000000002</v>
      </c>
      <c r="L46" s="45">
        <v>840.4</v>
      </c>
      <c r="M46" s="45">
        <v>699.8</v>
      </c>
      <c r="N46" s="45">
        <v>483.3</v>
      </c>
      <c r="O46" s="45">
        <v>409.2</v>
      </c>
    </row>
    <row r="47" spans="3:15" ht="13.35" customHeight="1" x14ac:dyDescent="0.2">
      <c r="C47" s="44">
        <v>2005</v>
      </c>
      <c r="D47" s="45">
        <v>1931.4</v>
      </c>
      <c r="E47" s="45">
        <v>1635.9</v>
      </c>
      <c r="F47" s="45">
        <v>37.5</v>
      </c>
      <c r="G47" s="45">
        <v>258</v>
      </c>
      <c r="H47" s="45">
        <v>170.7</v>
      </c>
      <c r="I47" s="45">
        <v>131.69999999999999</v>
      </c>
      <c r="J47" s="45">
        <v>351.9</v>
      </c>
      <c r="K47" s="45">
        <v>307.2</v>
      </c>
      <c r="L47" s="45">
        <v>903.7</v>
      </c>
      <c r="M47" s="45">
        <v>760.5</v>
      </c>
      <c r="N47" s="45">
        <v>505.1</v>
      </c>
      <c r="O47" s="45">
        <v>436.5</v>
      </c>
    </row>
    <row r="48" spans="3:15" ht="13.35" customHeight="1" x14ac:dyDescent="0.2">
      <c r="C48" s="44">
        <v>2006</v>
      </c>
      <c r="D48" s="45">
        <v>1979.4</v>
      </c>
      <c r="E48" s="45">
        <v>1654.5</v>
      </c>
      <c r="F48" s="45">
        <v>40.799999999999997</v>
      </c>
      <c r="G48" s="45">
        <v>284.2</v>
      </c>
      <c r="H48" s="45">
        <v>179.1</v>
      </c>
      <c r="I48" s="45">
        <v>128.30000000000001</v>
      </c>
      <c r="J48" s="45">
        <v>325.10000000000002</v>
      </c>
      <c r="K48" s="45">
        <v>285.5</v>
      </c>
      <c r="L48" s="45">
        <v>986.7</v>
      </c>
      <c r="M48" s="45">
        <v>825.8</v>
      </c>
      <c r="N48" s="45">
        <v>488.6</v>
      </c>
      <c r="O48" s="45">
        <v>414.9</v>
      </c>
    </row>
    <row r="49" spans="1:15" ht="13.35" customHeight="1" x14ac:dyDescent="0.2">
      <c r="A49" s="280" t="s">
        <v>597</v>
      </c>
      <c r="B49" s="280"/>
      <c r="C49" s="44">
        <v>2007</v>
      </c>
      <c r="D49" s="45">
        <v>1502.8</v>
      </c>
      <c r="E49" s="45">
        <v>1218.4000000000001</v>
      </c>
      <c r="F49" s="45">
        <v>31.4</v>
      </c>
      <c r="G49" s="45">
        <v>253</v>
      </c>
      <c r="H49" s="45">
        <v>144.80000000000001</v>
      </c>
      <c r="I49" s="45">
        <v>104.6</v>
      </c>
      <c r="J49" s="45">
        <v>222.7</v>
      </c>
      <c r="K49" s="45">
        <v>188.6</v>
      </c>
      <c r="L49" s="45">
        <v>766.1</v>
      </c>
      <c r="M49" s="45">
        <v>631.5</v>
      </c>
      <c r="N49" s="45">
        <v>369.3</v>
      </c>
      <c r="O49" s="45">
        <v>293.8</v>
      </c>
    </row>
    <row r="50" spans="1:15" ht="13.35" customHeight="1" x14ac:dyDescent="0.2">
      <c r="A50" s="32" t="s">
        <v>599</v>
      </c>
      <c r="B50" s="32" t="s">
        <v>600</v>
      </c>
      <c r="C50" s="44">
        <v>2008</v>
      </c>
      <c r="D50" s="45">
        <v>1119.7</v>
      </c>
      <c r="E50" s="45">
        <v>818.8</v>
      </c>
      <c r="F50" s="45">
        <v>23.7</v>
      </c>
      <c r="G50" s="45">
        <v>277.2</v>
      </c>
      <c r="H50" s="45">
        <v>109.6</v>
      </c>
      <c r="I50" s="45">
        <v>72.900000000000006</v>
      </c>
      <c r="J50" s="45">
        <v>178.2</v>
      </c>
      <c r="K50" s="45">
        <v>138.6</v>
      </c>
      <c r="L50" s="45">
        <v>567.4</v>
      </c>
      <c r="M50" s="45">
        <v>417.5</v>
      </c>
      <c r="N50" s="45">
        <v>264.39999999999998</v>
      </c>
      <c r="O50" s="45">
        <v>189.9</v>
      </c>
    </row>
    <row r="51" spans="1:15" ht="13.35" customHeight="1" x14ac:dyDescent="0.2">
      <c r="A51" s="207">
        <f>AVERAGE(E47:E51)</f>
        <v>1169.5400000000002</v>
      </c>
      <c r="B51" s="207">
        <f>AVERAGE(G47:G51)</f>
        <v>266.44</v>
      </c>
      <c r="C51" s="44">
        <v>2009</v>
      </c>
      <c r="D51" s="45">
        <v>794.4</v>
      </c>
      <c r="E51" s="45">
        <v>520.1</v>
      </c>
      <c r="F51" s="45">
        <v>14.5</v>
      </c>
      <c r="G51" s="45">
        <v>259.8</v>
      </c>
      <c r="H51" s="45">
        <v>94.2</v>
      </c>
      <c r="I51" s="45">
        <v>53.8</v>
      </c>
      <c r="J51" s="45">
        <v>119.2</v>
      </c>
      <c r="K51" s="45">
        <v>89.3</v>
      </c>
      <c r="L51" s="45">
        <v>393.5</v>
      </c>
      <c r="M51" s="45">
        <v>259</v>
      </c>
      <c r="N51" s="45">
        <v>187.5</v>
      </c>
      <c r="O51" s="45">
        <v>118.1</v>
      </c>
    </row>
    <row r="52" spans="1:15" ht="13.35" customHeight="1" x14ac:dyDescent="0.2">
      <c r="A52" s="280"/>
      <c r="B52" s="280"/>
      <c r="C52" s="44">
        <v>2010</v>
      </c>
      <c r="D52" s="45">
        <v>651.70000000000005</v>
      </c>
      <c r="E52" s="45">
        <v>496.3</v>
      </c>
      <c r="F52" s="45">
        <v>8.9</v>
      </c>
      <c r="G52" s="45">
        <v>146.5</v>
      </c>
      <c r="H52" s="45">
        <v>80.400000000000006</v>
      </c>
      <c r="I52" s="45">
        <v>54</v>
      </c>
      <c r="J52" s="45">
        <v>106.9</v>
      </c>
      <c r="K52" s="45">
        <v>81.900000000000006</v>
      </c>
      <c r="L52" s="45">
        <v>316.7</v>
      </c>
      <c r="M52" s="45">
        <v>257.60000000000002</v>
      </c>
      <c r="N52" s="45">
        <v>147.69999999999999</v>
      </c>
      <c r="O52" s="45">
        <v>102.8</v>
      </c>
    </row>
    <row r="53" spans="1:15" ht="13.35" customHeight="1" x14ac:dyDescent="0.2">
      <c r="A53" s="207">
        <f>AVERAGE(E52,E53)</f>
        <v>471.45000000000005</v>
      </c>
      <c r="B53" s="207">
        <f>AVERAGE(G52,G53)</f>
        <v>138.19999999999999</v>
      </c>
      <c r="C53" s="32">
        <v>2011</v>
      </c>
      <c r="D53" s="32">
        <v>584.9</v>
      </c>
      <c r="E53" s="32">
        <v>446.6</v>
      </c>
      <c r="F53" s="32">
        <v>8.4</v>
      </c>
      <c r="G53" s="32">
        <v>129.9</v>
      </c>
      <c r="H53" s="32">
        <v>72.5</v>
      </c>
      <c r="I53" s="32">
        <v>44</v>
      </c>
      <c r="J53" s="32">
        <v>103</v>
      </c>
      <c r="K53" s="32">
        <v>75.900000000000006</v>
      </c>
      <c r="L53" s="32">
        <v>295.5</v>
      </c>
      <c r="M53" s="32">
        <v>235.6</v>
      </c>
      <c r="N53" s="32">
        <v>113.9</v>
      </c>
      <c r="O53" s="32">
        <v>91.2</v>
      </c>
    </row>
    <row r="54" spans="1:15" ht="13.35" customHeight="1" x14ac:dyDescent="0.2">
      <c r="A54" s="280"/>
      <c r="B54" s="280"/>
      <c r="C54" s="32">
        <v>2012</v>
      </c>
      <c r="D54" s="32">
        <v>649.20000000000005</v>
      </c>
      <c r="E54" s="32">
        <v>483</v>
      </c>
      <c r="F54" s="32">
        <v>8.6999999999999993</v>
      </c>
      <c r="G54" s="32">
        <v>157.6</v>
      </c>
      <c r="H54" s="32">
        <v>74.7</v>
      </c>
      <c r="I54" s="32">
        <v>46.8</v>
      </c>
      <c r="J54" s="32">
        <v>110.5</v>
      </c>
      <c r="K54" s="32">
        <v>85.2</v>
      </c>
      <c r="L54" s="32">
        <v>324.60000000000002</v>
      </c>
      <c r="M54" s="32">
        <v>250.4</v>
      </c>
      <c r="N54" s="32">
        <v>139.4</v>
      </c>
      <c r="O54" s="32">
        <v>100.6</v>
      </c>
    </row>
    <row r="55" spans="1:15" ht="13.35" customHeight="1" x14ac:dyDescent="0.2">
      <c r="A55" s="280">
        <f>A53/A51</f>
        <v>0.40310720454195664</v>
      </c>
      <c r="B55" s="280">
        <f>B53/B51</f>
        <v>0.51869088725416601</v>
      </c>
      <c r="C55" s="355">
        <v>2013</v>
      </c>
      <c r="D55" s="356">
        <v>764.4</v>
      </c>
      <c r="E55" s="356">
        <v>569.1</v>
      </c>
      <c r="F55" s="356">
        <v>9.1</v>
      </c>
      <c r="G55" s="356">
        <v>186.2</v>
      </c>
      <c r="H55" s="356">
        <v>75.2</v>
      </c>
      <c r="I55" s="356">
        <v>48.5</v>
      </c>
      <c r="J55" s="356">
        <v>120.6</v>
      </c>
      <c r="K55" s="356">
        <v>95.6</v>
      </c>
      <c r="L55" s="356">
        <v>389.4</v>
      </c>
      <c r="M55" s="356">
        <v>295.89999999999998</v>
      </c>
      <c r="N55" s="356">
        <v>179.2</v>
      </c>
      <c r="O55" s="356">
        <v>129.19999999999999</v>
      </c>
    </row>
    <row r="56" spans="1:15" ht="13.35" customHeight="1" x14ac:dyDescent="0.2">
      <c r="C56" s="355">
        <v>2014</v>
      </c>
      <c r="D56" s="356">
        <v>883.8</v>
      </c>
      <c r="E56" s="356">
        <v>619.5</v>
      </c>
      <c r="F56" s="356">
        <v>8.6999999999999993</v>
      </c>
      <c r="G56" s="356">
        <v>255.6</v>
      </c>
      <c r="H56" s="356">
        <v>88.5</v>
      </c>
      <c r="I56" s="356">
        <v>49.3</v>
      </c>
      <c r="J56" s="356">
        <v>148.80000000000001</v>
      </c>
      <c r="K56" s="356">
        <v>103.4</v>
      </c>
      <c r="L56" s="356">
        <v>441</v>
      </c>
      <c r="M56" s="356">
        <v>329</v>
      </c>
      <c r="N56" s="356">
        <v>205.5</v>
      </c>
      <c r="O56" s="356">
        <v>137.69999999999999</v>
      </c>
    </row>
    <row r="57" spans="1:15" x14ac:dyDescent="0.2">
      <c r="C57" s="355">
        <v>2015</v>
      </c>
      <c r="D57" s="356">
        <v>968.2</v>
      </c>
      <c r="E57" s="356">
        <v>647.9</v>
      </c>
      <c r="F57" s="356">
        <v>10</v>
      </c>
      <c r="G57" s="356">
        <v>310.3</v>
      </c>
      <c r="H57" s="356">
        <v>92.6</v>
      </c>
      <c r="I57" s="356">
        <v>46.6</v>
      </c>
      <c r="J57" s="356">
        <v>154.4</v>
      </c>
      <c r="K57" s="356">
        <v>102.7</v>
      </c>
      <c r="L57" s="356">
        <v>489.8</v>
      </c>
      <c r="M57" s="356">
        <v>351.9</v>
      </c>
      <c r="N57" s="356">
        <v>231.5</v>
      </c>
      <c r="O57" s="356">
        <v>146.69999999999999</v>
      </c>
    </row>
    <row r="58" spans="1:15" x14ac:dyDescent="0.2">
      <c r="C58" s="46"/>
      <c r="D58" s="47"/>
      <c r="E58" s="47"/>
      <c r="F58" s="47"/>
      <c r="G58" s="47"/>
      <c r="H58" s="47"/>
      <c r="I58" s="47"/>
      <c r="J58" s="47"/>
      <c r="K58" s="47"/>
      <c r="L58" s="47"/>
      <c r="M58" s="47"/>
      <c r="N58" s="47"/>
    </row>
    <row r="59" spans="1:15" x14ac:dyDescent="0.2">
      <c r="C59" s="48" t="s">
        <v>98</v>
      </c>
      <c r="D59" s="47"/>
    </row>
    <row r="60" spans="1:15" x14ac:dyDescent="0.2">
      <c r="C60" s="48"/>
      <c r="D60" s="47"/>
    </row>
    <row r="61" spans="1:15" x14ac:dyDescent="0.2">
      <c r="C61" s="49" t="s">
        <v>99</v>
      </c>
      <c r="D61" s="47"/>
    </row>
    <row r="62" spans="1:15" x14ac:dyDescent="0.2">
      <c r="C62" s="49" t="s">
        <v>100</v>
      </c>
      <c r="D62" s="47"/>
    </row>
    <row r="65" spans="3:15" x14ac:dyDescent="0.2">
      <c r="C65" s="32" t="s">
        <v>104</v>
      </c>
      <c r="D65" s="47">
        <f>SUM(D42:D51)</f>
        <v>15641.199999999999</v>
      </c>
      <c r="E65" s="47">
        <f>SUM(E42:E51)</f>
        <v>12588.3</v>
      </c>
    </row>
    <row r="67" spans="3:15" x14ac:dyDescent="0.2">
      <c r="C67" s="32" t="s">
        <v>562</v>
      </c>
      <c r="D67" s="354" t="s">
        <v>563</v>
      </c>
    </row>
    <row r="72" spans="3:15" x14ac:dyDescent="0.2">
      <c r="D72" s="356"/>
      <c r="E72" s="356"/>
      <c r="F72" s="356"/>
      <c r="G72" s="356"/>
      <c r="H72" s="356"/>
      <c r="I72" s="356"/>
      <c r="J72" s="356"/>
      <c r="K72" s="356"/>
      <c r="L72" s="356"/>
      <c r="M72" s="356"/>
      <c r="N72" s="356"/>
      <c r="O72" s="356"/>
    </row>
    <row r="73" spans="3:15" x14ac:dyDescent="0.2">
      <c r="D73" s="356"/>
      <c r="E73" s="356"/>
      <c r="F73" s="356"/>
      <c r="G73" s="356"/>
      <c r="H73" s="356"/>
      <c r="I73" s="356"/>
      <c r="J73" s="356"/>
      <c r="K73" s="356"/>
      <c r="L73" s="356"/>
      <c r="M73" s="356"/>
      <c r="N73" s="356"/>
      <c r="O73" s="356"/>
    </row>
    <row r="74" spans="3:15" x14ac:dyDescent="0.2">
      <c r="D74" s="356"/>
      <c r="E74" s="356"/>
      <c r="F74" s="356"/>
      <c r="G74" s="356"/>
      <c r="H74" s="356"/>
      <c r="I74" s="356"/>
      <c r="J74" s="356"/>
      <c r="K74" s="356"/>
      <c r="L74" s="356"/>
      <c r="M74" s="356"/>
      <c r="N74" s="356"/>
      <c r="O74" s="356"/>
    </row>
    <row r="80" spans="3:15" x14ac:dyDescent="0.2">
      <c r="C80" s="32" t="s">
        <v>564</v>
      </c>
    </row>
    <row r="82" spans="3:6" x14ac:dyDescent="0.2">
      <c r="C82" s="295" t="s">
        <v>565</v>
      </c>
      <c r="E82" s="47">
        <f>E48+E49</f>
        <v>2872.9</v>
      </c>
    </row>
    <row r="83" spans="3:6" x14ac:dyDescent="0.2">
      <c r="C83" s="295" t="s">
        <v>567</v>
      </c>
      <c r="E83" s="47">
        <f>E50+E51</f>
        <v>1338.9</v>
      </c>
      <c r="F83" s="32">
        <f>E83/E82</f>
        <v>0.46604476313133075</v>
      </c>
    </row>
    <row r="84" spans="3:6" x14ac:dyDescent="0.2">
      <c r="C84" s="295" t="s">
        <v>566</v>
      </c>
      <c r="E84" s="47">
        <f>E52+E53</f>
        <v>942.90000000000009</v>
      </c>
      <c r="F84" s="32">
        <f>E84/E83</f>
        <v>0.7042348196280529</v>
      </c>
    </row>
  </sheetData>
  <hyperlinks>
    <hyperlink ref="D67" r:id="rId1" xr:uid="{00000000-0004-0000-1400-000000000000}"/>
  </hyperlinks>
  <printOptions horizontalCentered="1"/>
  <pageMargins left="0.5" right="0.5" top="0.75" bottom="0.75" header="0.5" footer="0.5"/>
  <pageSetup scale="81" fitToHeight="0" orientation="portrait" r:id="rId2"/>
  <headerFooter alignWithMargins="0">
    <oddFoote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57E85-1A85-4538-A9FD-F5851E8911B4}">
  <dimension ref="A1:O66"/>
  <sheetViews>
    <sheetView workbookViewId="0">
      <pane ySplit="9" topLeftCell="A36" activePane="bottomLeft" state="frozen"/>
      <selection activeCell="K21" sqref="K21"/>
      <selection pane="bottomLeft" activeCell="B50" sqref="B50"/>
    </sheetView>
  </sheetViews>
  <sheetFormatPr defaultColWidth="9.140625" defaultRowHeight="12.75" x14ac:dyDescent="0.2"/>
  <cols>
    <col min="1" max="1" width="10" style="355" customWidth="1"/>
    <col min="2" max="256" width="9.140625" style="355"/>
    <col min="257" max="257" width="10" style="355" customWidth="1"/>
    <col min="258" max="512" width="9.140625" style="355"/>
    <col min="513" max="513" width="10" style="355" customWidth="1"/>
    <col min="514" max="768" width="9.140625" style="355"/>
    <col min="769" max="769" width="10" style="355" customWidth="1"/>
    <col min="770" max="1024" width="9.140625" style="355"/>
    <col min="1025" max="1025" width="10" style="355" customWidth="1"/>
    <col min="1026" max="1280" width="9.140625" style="355"/>
    <col min="1281" max="1281" width="10" style="355" customWidth="1"/>
    <col min="1282" max="1536" width="9.140625" style="355"/>
    <col min="1537" max="1537" width="10" style="355" customWidth="1"/>
    <col min="1538" max="1792" width="9.140625" style="355"/>
    <col min="1793" max="1793" width="10" style="355" customWidth="1"/>
    <col min="1794" max="2048" width="9.140625" style="355"/>
    <col min="2049" max="2049" width="10" style="355" customWidth="1"/>
    <col min="2050" max="2304" width="9.140625" style="355"/>
    <col min="2305" max="2305" width="10" style="355" customWidth="1"/>
    <col min="2306" max="2560" width="9.140625" style="355"/>
    <col min="2561" max="2561" width="10" style="355" customWidth="1"/>
    <col min="2562" max="2816" width="9.140625" style="355"/>
    <col min="2817" max="2817" width="10" style="355" customWidth="1"/>
    <col min="2818" max="3072" width="9.140625" style="355"/>
    <col min="3073" max="3073" width="10" style="355" customWidth="1"/>
    <col min="3074" max="3328" width="9.140625" style="355"/>
    <col min="3329" max="3329" width="10" style="355" customWidth="1"/>
    <col min="3330" max="3584" width="9.140625" style="355"/>
    <col min="3585" max="3585" width="10" style="355" customWidth="1"/>
    <col min="3586" max="3840" width="9.140625" style="355"/>
    <col min="3841" max="3841" width="10" style="355" customWidth="1"/>
    <col min="3842" max="4096" width="9.140625" style="355"/>
    <col min="4097" max="4097" width="10" style="355" customWidth="1"/>
    <col min="4098" max="4352" width="9.140625" style="355"/>
    <col min="4353" max="4353" width="10" style="355" customWidth="1"/>
    <col min="4354" max="4608" width="9.140625" style="355"/>
    <col min="4609" max="4609" width="10" style="355" customWidth="1"/>
    <col min="4610" max="4864" width="9.140625" style="355"/>
    <col min="4865" max="4865" width="10" style="355" customWidth="1"/>
    <col min="4866" max="5120" width="9.140625" style="355"/>
    <col min="5121" max="5121" width="10" style="355" customWidth="1"/>
    <col min="5122" max="5376" width="9.140625" style="355"/>
    <col min="5377" max="5377" width="10" style="355" customWidth="1"/>
    <col min="5378" max="5632" width="9.140625" style="355"/>
    <col min="5633" max="5633" width="10" style="355" customWidth="1"/>
    <col min="5634" max="5888" width="9.140625" style="355"/>
    <col min="5889" max="5889" width="10" style="355" customWidth="1"/>
    <col min="5890" max="6144" width="9.140625" style="355"/>
    <col min="6145" max="6145" width="10" style="355" customWidth="1"/>
    <col min="6146" max="6400" width="9.140625" style="355"/>
    <col min="6401" max="6401" width="10" style="355" customWidth="1"/>
    <col min="6402" max="6656" width="9.140625" style="355"/>
    <col min="6657" max="6657" width="10" style="355" customWidth="1"/>
    <col min="6658" max="6912" width="9.140625" style="355"/>
    <col min="6913" max="6913" width="10" style="355" customWidth="1"/>
    <col min="6914" max="7168" width="9.140625" style="355"/>
    <col min="7169" max="7169" width="10" style="355" customWidth="1"/>
    <col min="7170" max="7424" width="9.140625" style="355"/>
    <col min="7425" max="7425" width="10" style="355" customWidth="1"/>
    <col min="7426" max="7680" width="9.140625" style="355"/>
    <col min="7681" max="7681" width="10" style="355" customWidth="1"/>
    <col min="7682" max="7936" width="9.140625" style="355"/>
    <col min="7937" max="7937" width="10" style="355" customWidth="1"/>
    <col min="7938" max="8192" width="9.140625" style="355"/>
    <col min="8193" max="8193" width="10" style="355" customWidth="1"/>
    <col min="8194" max="8448" width="9.140625" style="355"/>
    <col min="8449" max="8449" width="10" style="355" customWidth="1"/>
    <col min="8450" max="8704" width="9.140625" style="355"/>
    <col min="8705" max="8705" width="10" style="355" customWidth="1"/>
    <col min="8706" max="8960" width="9.140625" style="355"/>
    <col min="8961" max="8961" width="10" style="355" customWidth="1"/>
    <col min="8962" max="9216" width="9.140625" style="355"/>
    <col min="9217" max="9217" width="10" style="355" customWidth="1"/>
    <col min="9218" max="9472" width="9.140625" style="355"/>
    <col min="9473" max="9473" width="10" style="355" customWidth="1"/>
    <col min="9474" max="9728" width="9.140625" style="355"/>
    <col min="9729" max="9729" width="10" style="355" customWidth="1"/>
    <col min="9730" max="9984" width="9.140625" style="355"/>
    <col min="9985" max="9985" width="10" style="355" customWidth="1"/>
    <col min="9986" max="10240" width="9.140625" style="355"/>
    <col min="10241" max="10241" width="10" style="355" customWidth="1"/>
    <col min="10242" max="10496" width="9.140625" style="355"/>
    <col min="10497" max="10497" width="10" style="355" customWidth="1"/>
    <col min="10498" max="10752" width="9.140625" style="355"/>
    <col min="10753" max="10753" width="10" style="355" customWidth="1"/>
    <col min="10754" max="11008" width="9.140625" style="355"/>
    <col min="11009" max="11009" width="10" style="355" customWidth="1"/>
    <col min="11010" max="11264" width="9.140625" style="355"/>
    <col min="11265" max="11265" width="10" style="355" customWidth="1"/>
    <col min="11266" max="11520" width="9.140625" style="355"/>
    <col min="11521" max="11521" width="10" style="355" customWidth="1"/>
    <col min="11522" max="11776" width="9.140625" style="355"/>
    <col min="11777" max="11777" width="10" style="355" customWidth="1"/>
    <col min="11778" max="12032" width="9.140625" style="355"/>
    <col min="12033" max="12033" width="10" style="355" customWidth="1"/>
    <col min="12034" max="12288" width="9.140625" style="355"/>
    <col min="12289" max="12289" width="10" style="355" customWidth="1"/>
    <col min="12290" max="12544" width="9.140625" style="355"/>
    <col min="12545" max="12545" width="10" style="355" customWidth="1"/>
    <col min="12546" max="12800" width="9.140625" style="355"/>
    <col min="12801" max="12801" width="10" style="355" customWidth="1"/>
    <col min="12802" max="13056" width="9.140625" style="355"/>
    <col min="13057" max="13057" width="10" style="355" customWidth="1"/>
    <col min="13058" max="13312" width="9.140625" style="355"/>
    <col min="13313" max="13313" width="10" style="355" customWidth="1"/>
    <col min="13314" max="13568" width="9.140625" style="355"/>
    <col min="13569" max="13569" width="10" style="355" customWidth="1"/>
    <col min="13570" max="13824" width="9.140625" style="355"/>
    <col min="13825" max="13825" width="10" style="355" customWidth="1"/>
    <col min="13826" max="14080" width="9.140625" style="355"/>
    <col min="14081" max="14081" width="10" style="355" customWidth="1"/>
    <col min="14082" max="14336" width="9.140625" style="355"/>
    <col min="14337" max="14337" width="10" style="355" customWidth="1"/>
    <col min="14338" max="14592" width="9.140625" style="355"/>
    <col min="14593" max="14593" width="10" style="355" customWidth="1"/>
    <col min="14594" max="14848" width="9.140625" style="355"/>
    <col min="14849" max="14849" width="10" style="355" customWidth="1"/>
    <col min="14850" max="15104" width="9.140625" style="355"/>
    <col min="15105" max="15105" width="10" style="355" customWidth="1"/>
    <col min="15106" max="15360" width="9.140625" style="355"/>
    <col min="15361" max="15361" width="10" style="355" customWidth="1"/>
    <col min="15362" max="15616" width="9.140625" style="355"/>
    <col min="15617" max="15617" width="10" style="355" customWidth="1"/>
    <col min="15618" max="15872" width="9.140625" style="355"/>
    <col min="15873" max="15873" width="10" style="355" customWidth="1"/>
    <col min="15874" max="16128" width="9.140625" style="355"/>
    <col min="16129" max="16129" width="10" style="355" customWidth="1"/>
    <col min="16130" max="16384" width="9.140625" style="355"/>
  </cols>
  <sheetData>
    <row r="1" spans="1:13" ht="15.75" x14ac:dyDescent="0.25">
      <c r="A1" s="30" t="s">
        <v>85</v>
      </c>
      <c r="B1" s="30"/>
      <c r="C1" s="30"/>
      <c r="D1" s="30"/>
      <c r="E1" s="30"/>
      <c r="F1" s="30"/>
      <c r="G1" s="30"/>
      <c r="H1" s="30"/>
      <c r="I1" s="30"/>
      <c r="J1" s="30"/>
      <c r="K1" s="30"/>
      <c r="L1" s="31"/>
      <c r="M1" s="31"/>
    </row>
    <row r="3" spans="1:13" x14ac:dyDescent="0.2">
      <c r="A3" s="33" t="s">
        <v>86</v>
      </c>
      <c r="B3" s="33"/>
      <c r="C3" s="33"/>
      <c r="D3" s="33"/>
      <c r="E3" s="33"/>
      <c r="F3" s="33"/>
      <c r="G3" s="33"/>
      <c r="H3" s="33"/>
      <c r="I3" s="33"/>
      <c r="J3" s="33"/>
      <c r="K3" s="33"/>
      <c r="L3" s="31"/>
      <c r="M3" s="31"/>
    </row>
    <row r="5" spans="1:13" x14ac:dyDescent="0.2">
      <c r="A5" s="31" t="s">
        <v>87</v>
      </c>
      <c r="B5" s="31"/>
      <c r="C5" s="31"/>
      <c r="D5" s="31"/>
      <c r="E5" s="31"/>
      <c r="F5" s="31"/>
      <c r="G5" s="31"/>
      <c r="H5" s="31"/>
      <c r="I5" s="31"/>
      <c r="J5" s="31"/>
      <c r="K5" s="31"/>
      <c r="L5" s="31"/>
      <c r="M5" s="31"/>
    </row>
    <row r="7" spans="1:13" x14ac:dyDescent="0.2">
      <c r="A7" s="34"/>
      <c r="B7" s="35"/>
      <c r="C7" s="36" t="s">
        <v>88</v>
      </c>
      <c r="D7" s="37"/>
      <c r="E7" s="36"/>
      <c r="F7" s="36" t="s">
        <v>89</v>
      </c>
      <c r="G7" s="37"/>
      <c r="H7" s="37"/>
      <c r="I7" s="37"/>
      <c r="J7" s="37"/>
      <c r="K7" s="37"/>
      <c r="L7" s="36"/>
      <c r="M7" s="36"/>
    </row>
    <row r="8" spans="1:13" x14ac:dyDescent="0.2">
      <c r="A8" s="38" t="s">
        <v>90</v>
      </c>
      <c r="B8" s="39" t="s">
        <v>91</v>
      </c>
      <c r="C8" s="39" t="s">
        <v>92</v>
      </c>
      <c r="D8" s="39" t="s">
        <v>93</v>
      </c>
      <c r="E8" s="39" t="s">
        <v>94</v>
      </c>
      <c r="F8" s="40" t="s">
        <v>20</v>
      </c>
      <c r="G8" s="41"/>
      <c r="H8" s="40" t="s">
        <v>21</v>
      </c>
      <c r="I8" s="41"/>
      <c r="J8" s="40" t="s">
        <v>22</v>
      </c>
      <c r="K8" s="41"/>
      <c r="L8" s="40" t="s">
        <v>23</v>
      </c>
      <c r="M8" s="41"/>
    </row>
    <row r="9" spans="1:13" x14ac:dyDescent="0.2">
      <c r="A9" s="42"/>
      <c r="B9" s="43"/>
      <c r="C9" s="43"/>
      <c r="D9" s="43" t="s">
        <v>95</v>
      </c>
      <c r="E9" s="43" t="s">
        <v>96</v>
      </c>
      <c r="F9" s="43" t="s">
        <v>91</v>
      </c>
      <c r="G9" s="43" t="s">
        <v>92</v>
      </c>
      <c r="H9" s="43" t="s">
        <v>91</v>
      </c>
      <c r="I9" s="43" t="s">
        <v>92</v>
      </c>
      <c r="J9" s="43" t="s">
        <v>91</v>
      </c>
      <c r="K9" s="43" t="s">
        <v>92</v>
      </c>
      <c r="L9" s="43" t="s">
        <v>91</v>
      </c>
      <c r="M9" s="43" t="s">
        <v>92</v>
      </c>
    </row>
    <row r="10" spans="1:13" ht="13.35" customHeight="1" x14ac:dyDescent="0.2">
      <c r="A10" s="361">
        <v>1968</v>
      </c>
      <c r="B10" s="356">
        <v>1319.8</v>
      </c>
      <c r="C10" s="356">
        <v>858.6</v>
      </c>
      <c r="D10" s="356">
        <v>77.400000000000006</v>
      </c>
      <c r="E10" s="356">
        <v>383.6</v>
      </c>
      <c r="F10" s="356">
        <v>198.8</v>
      </c>
      <c r="G10" s="356" t="s">
        <v>97</v>
      </c>
      <c r="H10" s="356">
        <v>347.5</v>
      </c>
      <c r="I10" s="356" t="s">
        <v>97</v>
      </c>
      <c r="J10" s="356">
        <v>527.4</v>
      </c>
      <c r="K10" s="356" t="s">
        <v>97</v>
      </c>
      <c r="L10" s="356">
        <v>246.1</v>
      </c>
      <c r="M10" s="356" t="s">
        <v>97</v>
      </c>
    </row>
    <row r="11" spans="1:13" ht="13.35" customHeight="1" x14ac:dyDescent="0.2">
      <c r="A11" s="361">
        <v>1969</v>
      </c>
      <c r="B11" s="356">
        <v>1399</v>
      </c>
      <c r="C11" s="356">
        <v>807.5</v>
      </c>
      <c r="D11" s="356">
        <v>79.8</v>
      </c>
      <c r="E11" s="356">
        <v>512.1</v>
      </c>
      <c r="F11" s="356">
        <v>219.8</v>
      </c>
      <c r="G11" s="356" t="s">
        <v>97</v>
      </c>
      <c r="H11" s="356">
        <v>344.7</v>
      </c>
      <c r="I11" s="356" t="s">
        <v>97</v>
      </c>
      <c r="J11" s="356">
        <v>553.1</v>
      </c>
      <c r="K11" s="356" t="s">
        <v>97</v>
      </c>
      <c r="L11" s="356">
        <v>281.39999999999998</v>
      </c>
      <c r="M11" s="356" t="s">
        <v>97</v>
      </c>
    </row>
    <row r="12" spans="1:13" ht="13.35" customHeight="1" x14ac:dyDescent="0.2">
      <c r="A12" s="361">
        <v>1970</v>
      </c>
      <c r="B12" s="356">
        <v>1418.4</v>
      </c>
      <c r="C12" s="356">
        <v>801.8</v>
      </c>
      <c r="D12" s="356">
        <v>85.1</v>
      </c>
      <c r="E12" s="356">
        <v>531.5</v>
      </c>
      <c r="F12" s="356">
        <v>184.9</v>
      </c>
      <c r="G12" s="356" t="s">
        <v>97</v>
      </c>
      <c r="H12" s="356">
        <v>323.39999999999998</v>
      </c>
      <c r="I12" s="356" t="s">
        <v>97</v>
      </c>
      <c r="J12" s="356">
        <v>594.6</v>
      </c>
      <c r="K12" s="356" t="s">
        <v>97</v>
      </c>
      <c r="L12" s="356">
        <v>315.5</v>
      </c>
      <c r="M12" s="356" t="s">
        <v>97</v>
      </c>
    </row>
    <row r="13" spans="1:13" ht="13.35" customHeight="1" x14ac:dyDescent="0.2">
      <c r="A13" s="361">
        <v>1971</v>
      </c>
      <c r="B13" s="356">
        <v>1706.1</v>
      </c>
      <c r="C13" s="356">
        <v>1014</v>
      </c>
      <c r="D13" s="356">
        <v>106.1</v>
      </c>
      <c r="E13" s="356">
        <v>586.1</v>
      </c>
      <c r="F13" s="356">
        <v>225.8</v>
      </c>
      <c r="G13" s="356" t="s">
        <v>97</v>
      </c>
      <c r="H13" s="356">
        <v>348.1</v>
      </c>
      <c r="I13" s="356" t="s">
        <v>97</v>
      </c>
      <c r="J13" s="356">
        <v>727</v>
      </c>
      <c r="K13" s="356" t="s">
        <v>97</v>
      </c>
      <c r="L13" s="356">
        <v>405.2</v>
      </c>
      <c r="M13" s="356" t="s">
        <v>97</v>
      </c>
    </row>
    <row r="14" spans="1:13" ht="13.35" customHeight="1" x14ac:dyDescent="0.2">
      <c r="A14" s="361">
        <v>1972</v>
      </c>
      <c r="B14" s="356">
        <v>2003.9</v>
      </c>
      <c r="C14" s="356">
        <v>1160.2</v>
      </c>
      <c r="D14" s="356">
        <v>119.2</v>
      </c>
      <c r="E14" s="356">
        <v>724.7</v>
      </c>
      <c r="F14" s="356">
        <v>281.10000000000002</v>
      </c>
      <c r="G14" s="356" t="s">
        <v>97</v>
      </c>
      <c r="H14" s="356">
        <v>411.8</v>
      </c>
      <c r="I14" s="356" t="s">
        <v>97</v>
      </c>
      <c r="J14" s="356">
        <v>848.5</v>
      </c>
      <c r="K14" s="356" t="s">
        <v>97</v>
      </c>
      <c r="L14" s="356">
        <v>462.4</v>
      </c>
      <c r="M14" s="356" t="s">
        <v>97</v>
      </c>
    </row>
    <row r="15" spans="1:13" ht="13.35" customHeight="1" x14ac:dyDescent="0.2">
      <c r="A15" s="361">
        <v>1973</v>
      </c>
      <c r="B15" s="356">
        <v>2100.5</v>
      </c>
      <c r="C15" s="356">
        <v>1197.2</v>
      </c>
      <c r="D15" s="356">
        <v>123.5</v>
      </c>
      <c r="E15" s="356">
        <v>779.8</v>
      </c>
      <c r="F15" s="356">
        <v>294</v>
      </c>
      <c r="G15" s="356" t="s">
        <v>97</v>
      </c>
      <c r="H15" s="356">
        <v>441.7</v>
      </c>
      <c r="I15" s="356" t="s">
        <v>97</v>
      </c>
      <c r="J15" s="356">
        <v>906.3</v>
      </c>
      <c r="K15" s="356" t="s">
        <v>97</v>
      </c>
      <c r="L15" s="356">
        <v>458.6</v>
      </c>
      <c r="M15" s="356" t="s">
        <v>97</v>
      </c>
    </row>
    <row r="16" spans="1:13" ht="13.35" customHeight="1" x14ac:dyDescent="0.2">
      <c r="A16" s="361">
        <v>1974</v>
      </c>
      <c r="B16" s="356">
        <v>1728.5</v>
      </c>
      <c r="C16" s="356">
        <v>940.3</v>
      </c>
      <c r="D16" s="356">
        <v>95.3</v>
      </c>
      <c r="E16" s="356">
        <v>692.9</v>
      </c>
      <c r="F16" s="356">
        <v>231.7</v>
      </c>
      <c r="G16" s="356" t="s">
        <v>97</v>
      </c>
      <c r="H16" s="356">
        <v>377.4</v>
      </c>
      <c r="I16" s="356" t="s">
        <v>97</v>
      </c>
      <c r="J16" s="356">
        <v>755.8</v>
      </c>
      <c r="K16" s="356" t="s">
        <v>97</v>
      </c>
      <c r="L16" s="356">
        <v>363.6</v>
      </c>
      <c r="M16" s="356" t="s">
        <v>97</v>
      </c>
    </row>
    <row r="17" spans="1:13" ht="13.35" customHeight="1" x14ac:dyDescent="0.2">
      <c r="A17" s="361">
        <v>1975</v>
      </c>
      <c r="B17" s="356">
        <v>1317.2</v>
      </c>
      <c r="C17" s="356">
        <v>874.8</v>
      </c>
      <c r="D17" s="356">
        <v>60.4</v>
      </c>
      <c r="E17" s="356">
        <v>381.8</v>
      </c>
      <c r="F17" s="356">
        <v>185.8</v>
      </c>
      <c r="G17" s="356" t="s">
        <v>97</v>
      </c>
      <c r="H17" s="356">
        <v>313.2</v>
      </c>
      <c r="I17" s="356" t="s">
        <v>97</v>
      </c>
      <c r="J17" s="356">
        <v>531.29999999999995</v>
      </c>
      <c r="K17" s="356" t="s">
        <v>97</v>
      </c>
      <c r="L17" s="356">
        <v>286.8</v>
      </c>
      <c r="M17" s="356" t="s">
        <v>97</v>
      </c>
    </row>
    <row r="18" spans="1:13" ht="13.35" customHeight="1" x14ac:dyDescent="0.2">
      <c r="A18" s="361">
        <v>1976</v>
      </c>
      <c r="B18" s="356">
        <v>1377.2</v>
      </c>
      <c r="C18" s="356">
        <v>1034.2</v>
      </c>
      <c r="D18" s="356">
        <v>77.099999999999994</v>
      </c>
      <c r="E18" s="356">
        <v>265.8</v>
      </c>
      <c r="F18" s="356">
        <v>170.2</v>
      </c>
      <c r="G18" s="356" t="s">
        <v>97</v>
      </c>
      <c r="H18" s="356">
        <v>355.6</v>
      </c>
      <c r="I18" s="356" t="s">
        <v>97</v>
      </c>
      <c r="J18" s="356">
        <v>513.20000000000005</v>
      </c>
      <c r="K18" s="356" t="s">
        <v>97</v>
      </c>
      <c r="L18" s="356">
        <v>338.3</v>
      </c>
      <c r="M18" s="356" t="s">
        <v>97</v>
      </c>
    </row>
    <row r="19" spans="1:13" ht="13.35" customHeight="1" x14ac:dyDescent="0.2">
      <c r="A19" s="361">
        <v>1977</v>
      </c>
      <c r="B19" s="356">
        <v>1657.1</v>
      </c>
      <c r="C19" s="356">
        <v>1258.4000000000001</v>
      </c>
      <c r="D19" s="356">
        <v>94.9</v>
      </c>
      <c r="E19" s="356">
        <v>303.7</v>
      </c>
      <c r="F19" s="356">
        <v>176.8</v>
      </c>
      <c r="G19" s="356" t="s">
        <v>97</v>
      </c>
      <c r="H19" s="356">
        <v>400</v>
      </c>
      <c r="I19" s="356" t="s">
        <v>97</v>
      </c>
      <c r="J19" s="356">
        <v>636.1</v>
      </c>
      <c r="K19" s="356" t="s">
        <v>97</v>
      </c>
      <c r="L19" s="356">
        <v>444.2</v>
      </c>
      <c r="M19" s="356" t="s">
        <v>97</v>
      </c>
    </row>
    <row r="20" spans="1:13" ht="13.35" customHeight="1" x14ac:dyDescent="0.2">
      <c r="A20" s="361">
        <v>1978</v>
      </c>
      <c r="B20" s="356">
        <v>1867.5</v>
      </c>
      <c r="C20" s="356">
        <v>1369</v>
      </c>
      <c r="D20" s="356">
        <v>116.1</v>
      </c>
      <c r="E20" s="356">
        <v>382.2</v>
      </c>
      <c r="F20" s="356">
        <v>181.9</v>
      </c>
      <c r="G20" s="356" t="s">
        <v>97</v>
      </c>
      <c r="H20" s="356">
        <v>416.5</v>
      </c>
      <c r="I20" s="356" t="s">
        <v>97</v>
      </c>
      <c r="J20" s="356">
        <v>752</v>
      </c>
      <c r="K20" s="356" t="s">
        <v>97</v>
      </c>
      <c r="L20" s="356">
        <v>517.1</v>
      </c>
      <c r="M20" s="356" t="s">
        <v>97</v>
      </c>
    </row>
    <row r="21" spans="1:13" ht="13.35" customHeight="1" x14ac:dyDescent="0.2">
      <c r="A21" s="361">
        <v>1979</v>
      </c>
      <c r="B21" s="356">
        <v>1870.8</v>
      </c>
      <c r="C21" s="356">
        <v>1301</v>
      </c>
      <c r="D21" s="356">
        <v>124.9</v>
      </c>
      <c r="E21" s="356">
        <v>444.9</v>
      </c>
      <c r="F21" s="356">
        <v>188.4</v>
      </c>
      <c r="G21" s="356">
        <v>135.19999999999999</v>
      </c>
      <c r="H21" s="356">
        <v>414.7</v>
      </c>
      <c r="I21" s="356">
        <v>293.8</v>
      </c>
      <c r="J21" s="356">
        <v>761.7</v>
      </c>
      <c r="K21" s="356">
        <v>534.9</v>
      </c>
      <c r="L21" s="356">
        <v>506</v>
      </c>
      <c r="M21" s="356">
        <v>337.1</v>
      </c>
    </row>
    <row r="22" spans="1:13" ht="13.35" customHeight="1" x14ac:dyDescent="0.2">
      <c r="A22" s="361">
        <v>1980</v>
      </c>
      <c r="B22" s="356">
        <v>1501.6</v>
      </c>
      <c r="C22" s="356">
        <v>956.7</v>
      </c>
      <c r="D22" s="356">
        <v>118.8</v>
      </c>
      <c r="E22" s="356">
        <v>426.3</v>
      </c>
      <c r="F22" s="356">
        <v>146</v>
      </c>
      <c r="G22" s="356">
        <v>99.8</v>
      </c>
      <c r="H22" s="356">
        <v>273.5</v>
      </c>
      <c r="I22" s="356">
        <v>169.6</v>
      </c>
      <c r="J22" s="356">
        <v>696.1</v>
      </c>
      <c r="K22" s="356">
        <v>454.6</v>
      </c>
      <c r="L22" s="356">
        <v>386</v>
      </c>
      <c r="M22" s="356">
        <v>232.8</v>
      </c>
    </row>
    <row r="23" spans="1:13" ht="13.35" customHeight="1" x14ac:dyDescent="0.2">
      <c r="A23" s="361">
        <v>1981</v>
      </c>
      <c r="B23" s="356">
        <v>1265.7</v>
      </c>
      <c r="C23" s="356">
        <v>818.5</v>
      </c>
      <c r="D23" s="356">
        <v>111.4</v>
      </c>
      <c r="E23" s="356">
        <v>335.7</v>
      </c>
      <c r="F23" s="356">
        <v>127.3</v>
      </c>
      <c r="G23" s="356">
        <v>86.9</v>
      </c>
      <c r="H23" s="356">
        <v>217.7</v>
      </c>
      <c r="I23" s="356">
        <v>139.80000000000001</v>
      </c>
      <c r="J23" s="356">
        <v>626.4</v>
      </c>
      <c r="K23" s="356">
        <v>408.4</v>
      </c>
      <c r="L23" s="356">
        <v>294.3</v>
      </c>
      <c r="M23" s="356">
        <v>183.3</v>
      </c>
    </row>
    <row r="24" spans="1:13" ht="13.35" customHeight="1" x14ac:dyDescent="0.2">
      <c r="A24" s="361">
        <v>1982</v>
      </c>
      <c r="B24" s="356">
        <v>1005.5</v>
      </c>
      <c r="C24" s="356">
        <v>631.5</v>
      </c>
      <c r="D24" s="356">
        <v>80.7</v>
      </c>
      <c r="E24" s="356">
        <v>293.10000000000002</v>
      </c>
      <c r="F24" s="356">
        <v>120.5</v>
      </c>
      <c r="G24" s="356">
        <v>79</v>
      </c>
      <c r="H24" s="356">
        <v>143</v>
      </c>
      <c r="I24" s="356">
        <v>92.2</v>
      </c>
      <c r="J24" s="356">
        <v>538.79999999999995</v>
      </c>
      <c r="K24" s="356">
        <v>339.5</v>
      </c>
      <c r="L24" s="356">
        <v>203.2</v>
      </c>
      <c r="M24" s="356">
        <v>120.7</v>
      </c>
    </row>
    <row r="25" spans="1:13" ht="13.35" customHeight="1" x14ac:dyDescent="0.2">
      <c r="A25" s="361">
        <v>1983</v>
      </c>
      <c r="B25" s="356">
        <v>1390.3</v>
      </c>
      <c r="C25" s="356">
        <v>923.7</v>
      </c>
      <c r="D25" s="356">
        <v>92</v>
      </c>
      <c r="E25" s="356">
        <v>374.4</v>
      </c>
      <c r="F25" s="356">
        <v>138.9</v>
      </c>
      <c r="G25" s="356">
        <v>106.1</v>
      </c>
      <c r="H25" s="356">
        <v>200.8</v>
      </c>
      <c r="I25" s="356">
        <v>141.6</v>
      </c>
      <c r="J25" s="356">
        <v>746</v>
      </c>
      <c r="K25" s="356">
        <v>475.9</v>
      </c>
      <c r="L25" s="356">
        <v>304.60000000000002</v>
      </c>
      <c r="M25" s="356">
        <v>200.2</v>
      </c>
    </row>
    <row r="26" spans="1:13" ht="13.35" customHeight="1" x14ac:dyDescent="0.2">
      <c r="A26" s="361">
        <v>1984</v>
      </c>
      <c r="B26" s="356">
        <v>1652.2</v>
      </c>
      <c r="C26" s="356">
        <v>1025.0999999999999</v>
      </c>
      <c r="D26" s="356">
        <v>112.2</v>
      </c>
      <c r="E26" s="356">
        <v>514.79999999999995</v>
      </c>
      <c r="F26" s="356">
        <v>168.2</v>
      </c>
      <c r="G26" s="356">
        <v>128.6</v>
      </c>
      <c r="H26" s="356">
        <v>221.1</v>
      </c>
      <c r="I26" s="356">
        <v>155.80000000000001</v>
      </c>
      <c r="J26" s="356">
        <v>866.6</v>
      </c>
      <c r="K26" s="356">
        <v>508.2</v>
      </c>
      <c r="L26" s="356">
        <v>396.4</v>
      </c>
      <c r="M26" s="356">
        <v>232.5</v>
      </c>
    </row>
    <row r="27" spans="1:13" ht="13.35" customHeight="1" x14ac:dyDescent="0.2">
      <c r="A27" s="361">
        <v>1985</v>
      </c>
      <c r="B27" s="356">
        <v>1703.3</v>
      </c>
      <c r="C27" s="356">
        <v>1072.5</v>
      </c>
      <c r="D27" s="356">
        <v>97.2</v>
      </c>
      <c r="E27" s="356">
        <v>533.6</v>
      </c>
      <c r="F27" s="356">
        <v>213.8</v>
      </c>
      <c r="G27" s="356">
        <v>167.8</v>
      </c>
      <c r="H27" s="356">
        <v>230.5</v>
      </c>
      <c r="I27" s="356">
        <v>151.30000000000001</v>
      </c>
      <c r="J27" s="356">
        <v>812.2</v>
      </c>
      <c r="K27" s="356">
        <v>514</v>
      </c>
      <c r="L27" s="356">
        <v>446.8</v>
      </c>
      <c r="M27" s="356">
        <v>239.4</v>
      </c>
    </row>
    <row r="28" spans="1:13" ht="13.35" customHeight="1" x14ac:dyDescent="0.2">
      <c r="A28" s="361">
        <v>1986</v>
      </c>
      <c r="B28" s="356">
        <v>1756.4</v>
      </c>
      <c r="C28" s="356">
        <v>1120.2</v>
      </c>
      <c r="D28" s="356">
        <v>86.1</v>
      </c>
      <c r="E28" s="356">
        <v>550.1</v>
      </c>
      <c r="F28" s="356">
        <v>254</v>
      </c>
      <c r="G28" s="356">
        <v>193.1</v>
      </c>
      <c r="H28" s="356">
        <v>269.8</v>
      </c>
      <c r="I28" s="356">
        <v>170</v>
      </c>
      <c r="J28" s="356">
        <v>763.8</v>
      </c>
      <c r="K28" s="356">
        <v>504.5</v>
      </c>
      <c r="L28" s="356">
        <v>468.8</v>
      </c>
      <c r="M28" s="356">
        <v>252.6</v>
      </c>
    </row>
    <row r="29" spans="1:13" ht="13.35" customHeight="1" x14ac:dyDescent="0.2">
      <c r="A29" s="361">
        <v>1987</v>
      </c>
      <c r="B29" s="356">
        <v>1668.8</v>
      </c>
      <c r="C29" s="356">
        <v>1122.8</v>
      </c>
      <c r="D29" s="356">
        <v>71.400000000000006</v>
      </c>
      <c r="E29" s="356">
        <v>474.6</v>
      </c>
      <c r="F29" s="356">
        <v>257.39999999999998</v>
      </c>
      <c r="G29" s="356">
        <v>195.8</v>
      </c>
      <c r="H29" s="356">
        <v>302.3</v>
      </c>
      <c r="I29" s="356">
        <v>201.3</v>
      </c>
      <c r="J29" s="356">
        <v>660.4</v>
      </c>
      <c r="K29" s="356">
        <v>467.2</v>
      </c>
      <c r="L29" s="356">
        <v>448.7</v>
      </c>
      <c r="M29" s="356">
        <v>258.5</v>
      </c>
    </row>
    <row r="30" spans="1:13" ht="13.35" customHeight="1" x14ac:dyDescent="0.2">
      <c r="A30" s="361">
        <v>1988</v>
      </c>
      <c r="B30" s="356">
        <v>1529.8</v>
      </c>
      <c r="C30" s="356">
        <v>1084.5999999999999</v>
      </c>
      <c r="D30" s="356">
        <v>56.6</v>
      </c>
      <c r="E30" s="356">
        <v>388.6</v>
      </c>
      <c r="F30" s="356">
        <v>250.2</v>
      </c>
      <c r="G30" s="356">
        <v>187.7</v>
      </c>
      <c r="H30" s="356">
        <v>280.3</v>
      </c>
      <c r="I30" s="356">
        <v>191.3</v>
      </c>
      <c r="J30" s="356">
        <v>594.79999999999995</v>
      </c>
      <c r="K30" s="356">
        <v>457</v>
      </c>
      <c r="L30" s="356">
        <v>404.6</v>
      </c>
      <c r="M30" s="356">
        <v>248.4</v>
      </c>
    </row>
    <row r="31" spans="1:13" ht="13.35" customHeight="1" x14ac:dyDescent="0.2">
      <c r="A31" s="361">
        <v>1989</v>
      </c>
      <c r="B31" s="356">
        <v>1422.8</v>
      </c>
      <c r="C31" s="356">
        <v>1026.3</v>
      </c>
      <c r="D31" s="356">
        <v>58.7</v>
      </c>
      <c r="E31" s="356">
        <v>337.9</v>
      </c>
      <c r="F31" s="356">
        <v>218.8</v>
      </c>
      <c r="G31" s="356">
        <v>159</v>
      </c>
      <c r="H31" s="356">
        <v>267.10000000000002</v>
      </c>
      <c r="I31" s="356">
        <v>190.7</v>
      </c>
      <c r="J31" s="356">
        <v>549.4</v>
      </c>
      <c r="K31" s="356">
        <v>420</v>
      </c>
      <c r="L31" s="356">
        <v>387.5</v>
      </c>
      <c r="M31" s="356">
        <v>256.60000000000002</v>
      </c>
    </row>
    <row r="32" spans="1:13" ht="13.35" customHeight="1" x14ac:dyDescent="0.2">
      <c r="A32" s="361">
        <v>1990</v>
      </c>
      <c r="B32" s="356">
        <v>1308</v>
      </c>
      <c r="C32" s="356">
        <v>966</v>
      </c>
      <c r="D32" s="356">
        <v>44.8</v>
      </c>
      <c r="E32" s="356">
        <v>297.3</v>
      </c>
      <c r="F32" s="356">
        <v>157.69999999999999</v>
      </c>
      <c r="G32" s="356">
        <v>126.7</v>
      </c>
      <c r="H32" s="356">
        <v>263.3</v>
      </c>
      <c r="I32" s="356">
        <v>195</v>
      </c>
      <c r="J32" s="356">
        <v>510.7</v>
      </c>
      <c r="K32" s="356">
        <v>389.3</v>
      </c>
      <c r="L32" s="356">
        <v>376.3</v>
      </c>
      <c r="M32" s="356">
        <v>254.9</v>
      </c>
    </row>
    <row r="33" spans="1:13" ht="13.35" customHeight="1" x14ac:dyDescent="0.2">
      <c r="A33" s="361">
        <v>1991</v>
      </c>
      <c r="B33" s="356">
        <v>1090.8</v>
      </c>
      <c r="C33" s="356">
        <v>837.6</v>
      </c>
      <c r="D33" s="356">
        <v>36.799999999999997</v>
      </c>
      <c r="E33" s="356">
        <v>216.6</v>
      </c>
      <c r="F33" s="356">
        <v>120.1</v>
      </c>
      <c r="G33" s="356">
        <v>99.6</v>
      </c>
      <c r="H33" s="356">
        <v>240.4</v>
      </c>
      <c r="I33" s="356">
        <v>185.3</v>
      </c>
      <c r="J33" s="356">
        <v>438.9</v>
      </c>
      <c r="K33" s="356">
        <v>348.2</v>
      </c>
      <c r="L33" s="356">
        <v>291.3</v>
      </c>
      <c r="M33" s="356">
        <v>204.5</v>
      </c>
    </row>
    <row r="34" spans="1:13" ht="13.35" customHeight="1" x14ac:dyDescent="0.2">
      <c r="A34" s="361">
        <v>1992</v>
      </c>
      <c r="B34" s="356">
        <v>1157.5</v>
      </c>
      <c r="C34" s="356">
        <v>963.6</v>
      </c>
      <c r="D34" s="356">
        <v>36.1</v>
      </c>
      <c r="E34" s="356">
        <v>158</v>
      </c>
      <c r="F34" s="356">
        <v>136.4</v>
      </c>
      <c r="G34" s="356">
        <v>113.7</v>
      </c>
      <c r="H34" s="356">
        <v>268.39999999999998</v>
      </c>
      <c r="I34" s="356">
        <v>218.2</v>
      </c>
      <c r="J34" s="356">
        <v>462.4</v>
      </c>
      <c r="K34" s="356">
        <v>399.6</v>
      </c>
      <c r="L34" s="356">
        <v>290.3</v>
      </c>
      <c r="M34" s="356">
        <v>232.2</v>
      </c>
    </row>
    <row r="35" spans="1:13" ht="13.35" customHeight="1" x14ac:dyDescent="0.2">
      <c r="A35" s="361">
        <v>1993</v>
      </c>
      <c r="B35" s="356">
        <v>1192.7</v>
      </c>
      <c r="C35" s="356">
        <v>1039.4000000000001</v>
      </c>
      <c r="D35" s="356">
        <v>26.3</v>
      </c>
      <c r="E35" s="356">
        <v>127.1</v>
      </c>
      <c r="F35" s="356">
        <v>117.6</v>
      </c>
      <c r="G35" s="356">
        <v>105.2</v>
      </c>
      <c r="H35" s="356">
        <v>273.3</v>
      </c>
      <c r="I35" s="356">
        <v>231.6</v>
      </c>
      <c r="J35" s="356">
        <v>512</v>
      </c>
      <c r="K35" s="356">
        <v>455.7</v>
      </c>
      <c r="L35" s="356">
        <v>290</v>
      </c>
      <c r="M35" s="356">
        <v>246.9</v>
      </c>
    </row>
    <row r="36" spans="1:13" ht="13.35" customHeight="1" x14ac:dyDescent="0.2">
      <c r="A36" s="361">
        <v>1994</v>
      </c>
      <c r="B36" s="356">
        <v>1346.9</v>
      </c>
      <c r="C36" s="356">
        <v>1160.3</v>
      </c>
      <c r="D36" s="356">
        <v>31.8</v>
      </c>
      <c r="E36" s="356">
        <v>154.9</v>
      </c>
      <c r="F36" s="356">
        <v>123.4</v>
      </c>
      <c r="G36" s="356">
        <v>112.9</v>
      </c>
      <c r="H36" s="356">
        <v>307.10000000000002</v>
      </c>
      <c r="I36" s="356">
        <v>255</v>
      </c>
      <c r="J36" s="356">
        <v>580.9</v>
      </c>
      <c r="K36" s="356">
        <v>507.3</v>
      </c>
      <c r="L36" s="356">
        <v>335.5</v>
      </c>
      <c r="M36" s="356">
        <v>285.10000000000002</v>
      </c>
    </row>
    <row r="37" spans="1:13" ht="13.35" customHeight="1" x14ac:dyDescent="0.2">
      <c r="A37" s="361">
        <v>1995</v>
      </c>
      <c r="B37" s="356">
        <v>1312.6</v>
      </c>
      <c r="C37" s="356">
        <v>1065.5</v>
      </c>
      <c r="D37" s="356">
        <v>34.700000000000003</v>
      </c>
      <c r="E37" s="356">
        <v>212.4</v>
      </c>
      <c r="F37" s="356">
        <v>126.9</v>
      </c>
      <c r="G37" s="356">
        <v>107.8</v>
      </c>
      <c r="H37" s="356">
        <v>287.89999999999998</v>
      </c>
      <c r="I37" s="356">
        <v>232.1</v>
      </c>
      <c r="J37" s="356">
        <v>581.1</v>
      </c>
      <c r="K37" s="356">
        <v>472.4</v>
      </c>
      <c r="L37" s="356">
        <v>316.7</v>
      </c>
      <c r="M37" s="356">
        <v>253.2</v>
      </c>
    </row>
    <row r="38" spans="1:13" ht="13.35" customHeight="1" x14ac:dyDescent="0.2">
      <c r="A38" s="361">
        <v>1996</v>
      </c>
      <c r="B38" s="356">
        <v>1412.9</v>
      </c>
      <c r="C38" s="356">
        <v>1128.5</v>
      </c>
      <c r="D38" s="356">
        <v>33.1</v>
      </c>
      <c r="E38" s="356">
        <v>251.3</v>
      </c>
      <c r="F38" s="356">
        <v>125.1</v>
      </c>
      <c r="G38" s="356">
        <v>107.8</v>
      </c>
      <c r="H38" s="356">
        <v>304.5</v>
      </c>
      <c r="I38" s="356">
        <v>244.5</v>
      </c>
      <c r="J38" s="356">
        <v>637.1</v>
      </c>
      <c r="K38" s="356">
        <v>507.3</v>
      </c>
      <c r="L38" s="356">
        <v>346.2</v>
      </c>
      <c r="M38" s="356">
        <v>268.8</v>
      </c>
    </row>
    <row r="39" spans="1:13" ht="13.35" customHeight="1" x14ac:dyDescent="0.2">
      <c r="A39" s="361">
        <v>1997</v>
      </c>
      <c r="B39" s="356">
        <v>1400.5</v>
      </c>
      <c r="C39" s="356">
        <v>1116.4000000000001</v>
      </c>
      <c r="D39" s="356">
        <v>37</v>
      </c>
      <c r="E39" s="356">
        <v>247.1</v>
      </c>
      <c r="F39" s="356">
        <v>134</v>
      </c>
      <c r="G39" s="356">
        <v>115.5</v>
      </c>
      <c r="H39" s="356">
        <v>295.89999999999998</v>
      </c>
      <c r="I39" s="356">
        <v>236.4</v>
      </c>
      <c r="J39" s="356">
        <v>634.1</v>
      </c>
      <c r="K39" s="356">
        <v>505.6</v>
      </c>
      <c r="L39" s="356">
        <v>336.4</v>
      </c>
      <c r="M39" s="356">
        <v>258.89999999999998</v>
      </c>
    </row>
    <row r="40" spans="1:13" ht="13.35" customHeight="1" x14ac:dyDescent="0.2">
      <c r="A40" s="361">
        <v>1998</v>
      </c>
      <c r="B40" s="356">
        <v>1474.2</v>
      </c>
      <c r="C40" s="356">
        <v>1159.7</v>
      </c>
      <c r="D40" s="356">
        <v>40.6</v>
      </c>
      <c r="E40" s="356">
        <v>273.89999999999998</v>
      </c>
      <c r="F40" s="356">
        <v>137.30000000000001</v>
      </c>
      <c r="G40" s="356">
        <v>116.4</v>
      </c>
      <c r="H40" s="356">
        <v>305.10000000000002</v>
      </c>
      <c r="I40" s="356">
        <v>243.5</v>
      </c>
      <c r="J40" s="356">
        <v>671.6</v>
      </c>
      <c r="K40" s="356">
        <v>517.20000000000005</v>
      </c>
      <c r="L40" s="356">
        <v>360.2</v>
      </c>
      <c r="M40" s="356">
        <v>282.5</v>
      </c>
    </row>
    <row r="41" spans="1:13" ht="13.35" customHeight="1" x14ac:dyDescent="0.2">
      <c r="A41" s="361">
        <v>1999</v>
      </c>
      <c r="B41" s="356">
        <v>1604.9</v>
      </c>
      <c r="C41" s="356">
        <v>1270.4000000000001</v>
      </c>
      <c r="D41" s="356">
        <v>35.200000000000003</v>
      </c>
      <c r="E41" s="356">
        <v>299.3</v>
      </c>
      <c r="F41" s="356">
        <v>142.69999999999999</v>
      </c>
      <c r="G41" s="356">
        <v>114.7</v>
      </c>
      <c r="H41" s="356">
        <v>334.7</v>
      </c>
      <c r="I41" s="356">
        <v>276.2</v>
      </c>
      <c r="J41" s="356">
        <v>732.7</v>
      </c>
      <c r="K41" s="356">
        <v>569.70000000000005</v>
      </c>
      <c r="L41" s="356">
        <v>394.8</v>
      </c>
      <c r="M41" s="356">
        <v>309.89999999999998</v>
      </c>
    </row>
    <row r="42" spans="1:13" ht="13.35" customHeight="1" x14ac:dyDescent="0.2">
      <c r="A42" s="361">
        <v>2000</v>
      </c>
      <c r="B42" s="356">
        <v>1573.7</v>
      </c>
      <c r="C42" s="356">
        <v>1241.8</v>
      </c>
      <c r="D42" s="356">
        <v>27.3</v>
      </c>
      <c r="E42" s="356">
        <v>304.7</v>
      </c>
      <c r="F42" s="356">
        <v>146.1</v>
      </c>
      <c r="G42" s="356">
        <v>120.4</v>
      </c>
      <c r="H42" s="356">
        <v>334.4</v>
      </c>
      <c r="I42" s="356">
        <v>268.89999999999998</v>
      </c>
      <c r="J42" s="356">
        <v>729.3</v>
      </c>
      <c r="K42" s="356">
        <v>565.9</v>
      </c>
      <c r="L42" s="356">
        <v>363.9</v>
      </c>
      <c r="M42" s="356">
        <v>286.5</v>
      </c>
    </row>
    <row r="43" spans="1:13" ht="13.35" customHeight="1" x14ac:dyDescent="0.2">
      <c r="A43" s="361">
        <v>2001</v>
      </c>
      <c r="B43" s="356">
        <v>1570.8</v>
      </c>
      <c r="C43" s="356">
        <v>1255.9000000000001</v>
      </c>
      <c r="D43" s="356">
        <v>33.9</v>
      </c>
      <c r="E43" s="356">
        <v>281</v>
      </c>
      <c r="F43" s="356">
        <v>144.80000000000001</v>
      </c>
      <c r="G43" s="356">
        <v>113.7</v>
      </c>
      <c r="H43" s="356">
        <v>316.39999999999998</v>
      </c>
      <c r="I43" s="356">
        <v>261.10000000000002</v>
      </c>
      <c r="J43" s="356">
        <v>726.3</v>
      </c>
      <c r="K43" s="356">
        <v>578.20000000000005</v>
      </c>
      <c r="L43" s="356">
        <v>383.3</v>
      </c>
      <c r="M43" s="356">
        <v>302.89999999999998</v>
      </c>
    </row>
    <row r="44" spans="1:13" ht="13.35" customHeight="1" x14ac:dyDescent="0.2">
      <c r="A44" s="361">
        <v>2002</v>
      </c>
      <c r="B44" s="356">
        <v>1648.4</v>
      </c>
      <c r="C44" s="356">
        <v>1325.1</v>
      </c>
      <c r="D44" s="356">
        <v>35</v>
      </c>
      <c r="E44" s="356">
        <v>288.2</v>
      </c>
      <c r="F44" s="356">
        <v>147.9</v>
      </c>
      <c r="G44" s="356">
        <v>113.3</v>
      </c>
      <c r="H44" s="356">
        <v>329.8</v>
      </c>
      <c r="I44" s="356">
        <v>272</v>
      </c>
      <c r="J44" s="356">
        <v>757.8</v>
      </c>
      <c r="K44" s="356">
        <v>614.79999999999995</v>
      </c>
      <c r="L44" s="356">
        <v>412.8</v>
      </c>
      <c r="M44" s="356">
        <v>325</v>
      </c>
    </row>
    <row r="45" spans="1:13" ht="13.35" customHeight="1" x14ac:dyDescent="0.2">
      <c r="A45" s="361">
        <v>2003</v>
      </c>
      <c r="B45" s="356">
        <v>1678.7</v>
      </c>
      <c r="C45" s="356">
        <v>1386.3</v>
      </c>
      <c r="D45" s="356">
        <v>31.5</v>
      </c>
      <c r="E45" s="356">
        <v>260.8</v>
      </c>
      <c r="F45" s="356">
        <v>154.6</v>
      </c>
      <c r="G45" s="356">
        <v>113.6</v>
      </c>
      <c r="H45" s="356">
        <v>332.2</v>
      </c>
      <c r="I45" s="356">
        <v>274.2</v>
      </c>
      <c r="J45" s="356">
        <v>755.6</v>
      </c>
      <c r="K45" s="356">
        <v>635.5</v>
      </c>
      <c r="L45" s="356">
        <v>436.2</v>
      </c>
      <c r="M45" s="356">
        <v>363.1</v>
      </c>
    </row>
    <row r="46" spans="1:13" ht="13.35" customHeight="1" x14ac:dyDescent="0.2">
      <c r="A46" s="361">
        <v>2004</v>
      </c>
      <c r="B46" s="356">
        <v>1841.9</v>
      </c>
      <c r="C46" s="356">
        <v>1531.5</v>
      </c>
      <c r="D46" s="356">
        <v>23.5</v>
      </c>
      <c r="E46" s="356">
        <v>286.89999999999998</v>
      </c>
      <c r="F46" s="356">
        <v>155.9</v>
      </c>
      <c r="G46" s="356">
        <v>118.9</v>
      </c>
      <c r="H46" s="356">
        <v>362.4</v>
      </c>
      <c r="I46" s="356">
        <v>303.60000000000002</v>
      </c>
      <c r="J46" s="356">
        <v>840.4</v>
      </c>
      <c r="K46" s="356">
        <v>699.8</v>
      </c>
      <c r="L46" s="356">
        <v>483.3</v>
      </c>
      <c r="M46" s="356">
        <v>409.2</v>
      </c>
    </row>
    <row r="47" spans="1:13" ht="13.35" customHeight="1" x14ac:dyDescent="0.2">
      <c r="A47" s="361">
        <v>2005</v>
      </c>
      <c r="B47" s="356">
        <v>1931.4</v>
      </c>
      <c r="C47" s="356">
        <v>1635.9</v>
      </c>
      <c r="D47" s="356">
        <v>37.5</v>
      </c>
      <c r="E47" s="356">
        <v>258</v>
      </c>
      <c r="F47" s="356">
        <v>170.7</v>
      </c>
      <c r="G47" s="356">
        <v>131.69999999999999</v>
      </c>
      <c r="H47" s="356">
        <v>351.9</v>
      </c>
      <c r="I47" s="356">
        <v>307.2</v>
      </c>
      <c r="J47" s="356">
        <v>903.7</v>
      </c>
      <c r="K47" s="356">
        <v>760.5</v>
      </c>
      <c r="L47" s="356">
        <v>505.1</v>
      </c>
      <c r="M47" s="356">
        <v>436.5</v>
      </c>
    </row>
    <row r="48" spans="1:13" ht="13.35" customHeight="1" x14ac:dyDescent="0.2">
      <c r="A48" s="361">
        <v>2006</v>
      </c>
      <c r="B48" s="356">
        <v>1979.4</v>
      </c>
      <c r="C48" s="356">
        <v>1654.5</v>
      </c>
      <c r="D48" s="356">
        <v>40.799999999999997</v>
      </c>
      <c r="E48" s="356">
        <v>284.2</v>
      </c>
      <c r="F48" s="356">
        <v>179.1</v>
      </c>
      <c r="G48" s="356">
        <v>128.30000000000001</v>
      </c>
      <c r="H48" s="356">
        <v>325.10000000000002</v>
      </c>
      <c r="I48" s="356">
        <v>285.5</v>
      </c>
      <c r="J48" s="356">
        <v>986.7</v>
      </c>
      <c r="K48" s="356">
        <v>825.8</v>
      </c>
      <c r="L48" s="356">
        <v>488.6</v>
      </c>
      <c r="M48" s="356">
        <v>414.9</v>
      </c>
    </row>
    <row r="49" spans="1:15" ht="13.35" customHeight="1" x14ac:dyDescent="0.2">
      <c r="A49" s="361">
        <v>2007</v>
      </c>
      <c r="B49" s="356">
        <v>1502.8</v>
      </c>
      <c r="C49" s="356">
        <v>1218.4000000000001</v>
      </c>
      <c r="D49" s="356">
        <v>31.4</v>
      </c>
      <c r="E49" s="356">
        <v>253</v>
      </c>
      <c r="F49" s="356">
        <v>144.80000000000001</v>
      </c>
      <c r="G49" s="356">
        <v>104.6</v>
      </c>
      <c r="H49" s="356">
        <v>222.7</v>
      </c>
      <c r="I49" s="356">
        <v>188.6</v>
      </c>
      <c r="J49" s="356">
        <v>766.1</v>
      </c>
      <c r="K49" s="356">
        <v>631.5</v>
      </c>
      <c r="L49" s="356">
        <v>369.3</v>
      </c>
      <c r="M49" s="356">
        <v>293.8</v>
      </c>
    </row>
    <row r="50" spans="1:15" ht="13.35" customHeight="1" x14ac:dyDescent="0.2">
      <c r="A50" s="361">
        <v>2008</v>
      </c>
      <c r="B50" s="356">
        <v>1119.7</v>
      </c>
      <c r="C50" s="356">
        <v>818.8</v>
      </c>
      <c r="D50" s="356">
        <v>23.7</v>
      </c>
      <c r="E50" s="356">
        <v>277.2</v>
      </c>
      <c r="F50" s="356">
        <v>109.6</v>
      </c>
      <c r="G50" s="356">
        <v>72.900000000000006</v>
      </c>
      <c r="H50" s="356">
        <v>178.2</v>
      </c>
      <c r="I50" s="356">
        <v>138.6</v>
      </c>
      <c r="J50" s="356">
        <v>567.4</v>
      </c>
      <c r="K50" s="356">
        <v>417.5</v>
      </c>
      <c r="L50" s="356">
        <v>264.39999999999998</v>
      </c>
      <c r="M50" s="356">
        <v>189.9</v>
      </c>
    </row>
    <row r="51" spans="1:15" ht="13.35" customHeight="1" x14ac:dyDescent="0.2">
      <c r="A51" s="361">
        <v>2009</v>
      </c>
      <c r="B51" s="356">
        <v>794.4</v>
      </c>
      <c r="C51" s="356">
        <v>520.1</v>
      </c>
      <c r="D51" s="356">
        <v>14.5</v>
      </c>
      <c r="E51" s="356">
        <v>259.8</v>
      </c>
      <c r="F51" s="356">
        <v>94.2</v>
      </c>
      <c r="G51" s="356">
        <v>53.8</v>
      </c>
      <c r="H51" s="356">
        <v>119.2</v>
      </c>
      <c r="I51" s="356">
        <v>89.3</v>
      </c>
      <c r="J51" s="356">
        <v>393.5</v>
      </c>
      <c r="K51" s="356">
        <v>259</v>
      </c>
      <c r="L51" s="356">
        <v>187.5</v>
      </c>
      <c r="M51" s="356">
        <v>118.1</v>
      </c>
    </row>
    <row r="52" spans="1:15" ht="13.35" customHeight="1" x14ac:dyDescent="0.2">
      <c r="A52" s="361">
        <v>2010</v>
      </c>
      <c r="B52" s="356">
        <v>651.70000000000005</v>
      </c>
      <c r="C52" s="356">
        <v>496.3</v>
      </c>
      <c r="D52" s="356">
        <v>8.9</v>
      </c>
      <c r="E52" s="356">
        <v>146.5</v>
      </c>
      <c r="F52" s="356">
        <v>80.400000000000006</v>
      </c>
      <c r="G52" s="356">
        <v>54</v>
      </c>
      <c r="H52" s="356">
        <v>106.9</v>
      </c>
      <c r="I52" s="356">
        <v>81.900000000000006</v>
      </c>
      <c r="J52" s="356">
        <v>316.7</v>
      </c>
      <c r="K52" s="356">
        <v>257.60000000000002</v>
      </c>
      <c r="L52" s="356">
        <v>147.69999999999999</v>
      </c>
      <c r="M52" s="356">
        <v>102.8</v>
      </c>
    </row>
    <row r="53" spans="1:15" ht="13.35" customHeight="1" x14ac:dyDescent="0.2">
      <c r="A53" s="361">
        <v>2011</v>
      </c>
      <c r="B53" s="356">
        <v>584.9</v>
      </c>
      <c r="C53" s="356">
        <v>446.6</v>
      </c>
      <c r="D53" s="356">
        <v>8.4</v>
      </c>
      <c r="E53" s="356">
        <v>129.9</v>
      </c>
      <c r="F53" s="356">
        <v>72.5</v>
      </c>
      <c r="G53" s="356">
        <v>44</v>
      </c>
      <c r="H53" s="356">
        <v>103</v>
      </c>
      <c r="I53" s="356">
        <v>75.900000000000006</v>
      </c>
      <c r="J53" s="356">
        <v>295.5</v>
      </c>
      <c r="K53" s="356">
        <v>235.6</v>
      </c>
      <c r="L53" s="356">
        <v>113.9</v>
      </c>
      <c r="M53" s="356">
        <v>91.2</v>
      </c>
    </row>
    <row r="54" spans="1:15" ht="13.35" customHeight="1" x14ac:dyDescent="0.2">
      <c r="A54" s="361">
        <v>2012</v>
      </c>
      <c r="B54" s="356">
        <v>649.20000000000005</v>
      </c>
      <c r="C54" s="356">
        <v>483</v>
      </c>
      <c r="D54" s="356">
        <v>8.6999999999999993</v>
      </c>
      <c r="E54" s="356">
        <v>157.6</v>
      </c>
      <c r="F54" s="356">
        <v>74.7</v>
      </c>
      <c r="G54" s="356">
        <v>46.8</v>
      </c>
      <c r="H54" s="356">
        <v>110.5</v>
      </c>
      <c r="I54" s="356">
        <v>85.2</v>
      </c>
      <c r="J54" s="356">
        <v>324.60000000000002</v>
      </c>
      <c r="K54" s="356">
        <v>250.4</v>
      </c>
      <c r="L54" s="356">
        <v>139.4</v>
      </c>
      <c r="M54" s="356">
        <v>100.6</v>
      </c>
    </row>
    <row r="55" spans="1:15" ht="13.35" customHeight="1" x14ac:dyDescent="0.2">
      <c r="A55" s="361">
        <v>2013</v>
      </c>
      <c r="B55" s="356">
        <v>764.4</v>
      </c>
      <c r="C55" s="356">
        <v>569.1</v>
      </c>
      <c r="D55" s="356">
        <v>9.1</v>
      </c>
      <c r="E55" s="356">
        <v>186.2</v>
      </c>
      <c r="F55" s="356">
        <v>75.2</v>
      </c>
      <c r="G55" s="356">
        <v>48.5</v>
      </c>
      <c r="H55" s="356">
        <v>120.6</v>
      </c>
      <c r="I55" s="356">
        <v>95.6</v>
      </c>
      <c r="J55" s="356">
        <v>389.4</v>
      </c>
      <c r="K55" s="356">
        <v>295.89999999999998</v>
      </c>
      <c r="L55" s="356">
        <v>179.2</v>
      </c>
      <c r="M55" s="356">
        <v>129.19999999999999</v>
      </c>
    </row>
    <row r="56" spans="1:15" ht="13.35" customHeight="1" x14ac:dyDescent="0.2">
      <c r="A56" s="361">
        <v>2014</v>
      </c>
      <c r="B56" s="356">
        <v>883.8</v>
      </c>
      <c r="C56" s="356">
        <v>619.5</v>
      </c>
      <c r="D56" s="356">
        <v>8.6999999999999993</v>
      </c>
      <c r="E56" s="356">
        <v>255.6</v>
      </c>
      <c r="F56" s="356">
        <v>88.5</v>
      </c>
      <c r="G56" s="356">
        <v>49.3</v>
      </c>
      <c r="H56" s="356">
        <v>148.80000000000001</v>
      </c>
      <c r="I56" s="356">
        <v>103.4</v>
      </c>
      <c r="J56" s="356">
        <v>441</v>
      </c>
      <c r="K56" s="356">
        <v>329</v>
      </c>
      <c r="L56" s="356">
        <v>205.5</v>
      </c>
      <c r="M56" s="356">
        <v>137.69999999999999</v>
      </c>
    </row>
    <row r="57" spans="1:15" ht="13.35" customHeight="1" x14ac:dyDescent="0.2">
      <c r="A57" s="361">
        <v>2015</v>
      </c>
      <c r="B57" s="356">
        <v>968.2</v>
      </c>
      <c r="C57" s="356">
        <v>647.9</v>
      </c>
      <c r="D57" s="356">
        <v>10</v>
      </c>
      <c r="E57" s="356">
        <v>310.3</v>
      </c>
      <c r="F57" s="356">
        <v>92.6</v>
      </c>
      <c r="G57" s="356">
        <v>46.6</v>
      </c>
      <c r="H57" s="356">
        <v>154.4</v>
      </c>
      <c r="I57" s="356">
        <v>102.7</v>
      </c>
      <c r="J57" s="356">
        <v>489.8</v>
      </c>
      <c r="K57" s="356">
        <v>351.9</v>
      </c>
      <c r="L57" s="356">
        <v>231.5</v>
      </c>
      <c r="M57" s="356">
        <v>146.69999999999999</v>
      </c>
    </row>
    <row r="58" spans="1:15" ht="13.35" customHeight="1" x14ac:dyDescent="0.2">
      <c r="A58" s="361">
        <v>2016</v>
      </c>
      <c r="B58" s="356">
        <v>1059.7</v>
      </c>
      <c r="C58" s="356">
        <v>738.4</v>
      </c>
      <c r="D58" s="356">
        <v>10.4</v>
      </c>
      <c r="E58" s="356">
        <v>311</v>
      </c>
      <c r="F58" s="356">
        <v>99.5</v>
      </c>
      <c r="G58" s="356">
        <v>55.2</v>
      </c>
      <c r="H58" s="356">
        <v>164</v>
      </c>
      <c r="I58" s="356">
        <v>116.8</v>
      </c>
      <c r="J58" s="356">
        <v>551.29999999999995</v>
      </c>
      <c r="K58" s="356">
        <v>402.9</v>
      </c>
      <c r="L58" s="356">
        <v>245</v>
      </c>
      <c r="M58" s="356">
        <v>163.5</v>
      </c>
    </row>
    <row r="59" spans="1:15" ht="13.35" customHeight="1" x14ac:dyDescent="0.2">
      <c r="A59" s="361">
        <v>2017</v>
      </c>
      <c r="B59" s="356">
        <v>1152.9000000000001</v>
      </c>
      <c r="C59" s="356">
        <v>795.3</v>
      </c>
      <c r="D59" s="356">
        <v>10.7</v>
      </c>
      <c r="E59" s="356">
        <v>346.9</v>
      </c>
      <c r="F59" s="356">
        <v>115.7</v>
      </c>
      <c r="G59" s="356">
        <v>59</v>
      </c>
      <c r="H59" s="356">
        <v>172.3</v>
      </c>
      <c r="I59" s="356">
        <v>120.5</v>
      </c>
      <c r="J59" s="356">
        <v>594.70000000000005</v>
      </c>
      <c r="K59" s="356">
        <v>435.5</v>
      </c>
      <c r="L59" s="356">
        <v>270.3</v>
      </c>
      <c r="M59" s="356">
        <v>180.4</v>
      </c>
    </row>
    <row r="60" spans="1:15" ht="13.35" customHeight="1" x14ac:dyDescent="0.2">
      <c r="A60" s="361">
        <v>2018</v>
      </c>
      <c r="B60" s="356">
        <v>1184.9000000000001</v>
      </c>
      <c r="C60" s="356">
        <v>840.2</v>
      </c>
      <c r="D60" s="356">
        <v>9</v>
      </c>
      <c r="E60" s="356">
        <v>335.6</v>
      </c>
      <c r="F60" s="356">
        <v>107.8</v>
      </c>
      <c r="G60" s="356">
        <v>54.2</v>
      </c>
      <c r="H60" s="356">
        <v>168.8</v>
      </c>
      <c r="I60" s="356">
        <v>124.4</v>
      </c>
      <c r="J60" s="356">
        <v>593.79999999999995</v>
      </c>
      <c r="K60" s="356">
        <v>448</v>
      </c>
      <c r="L60" s="356">
        <v>314.39999999999998</v>
      </c>
      <c r="M60" s="356">
        <v>213.6</v>
      </c>
      <c r="O60" s="355">
        <v>444</v>
      </c>
    </row>
    <row r="61" spans="1:15" x14ac:dyDescent="0.2">
      <c r="A61" s="46"/>
      <c r="B61" s="362"/>
      <c r="C61" s="362"/>
      <c r="D61" s="362"/>
      <c r="E61" s="362"/>
      <c r="F61" s="362"/>
      <c r="G61" s="362"/>
      <c r="H61" s="362"/>
      <c r="I61" s="362"/>
      <c r="J61" s="362"/>
      <c r="K61" s="362"/>
      <c r="L61" s="362"/>
      <c r="M61" s="362"/>
    </row>
    <row r="62" spans="1:15" x14ac:dyDescent="0.2">
      <c r="A62" s="46"/>
      <c r="B62" s="47"/>
      <c r="C62" s="47"/>
      <c r="D62" s="47"/>
      <c r="E62" s="47"/>
      <c r="F62" s="47"/>
      <c r="G62" s="47"/>
      <c r="H62" s="47"/>
      <c r="I62" s="47"/>
      <c r="J62" s="47"/>
      <c r="K62" s="47"/>
      <c r="L62" s="47"/>
    </row>
    <row r="63" spans="1:15" x14ac:dyDescent="0.2">
      <c r="A63" s="48" t="s">
        <v>98</v>
      </c>
      <c r="B63" s="47"/>
    </row>
    <row r="64" spans="1:15" x14ac:dyDescent="0.2">
      <c r="A64" s="48"/>
      <c r="B64" s="47"/>
    </row>
    <row r="65" spans="1:2" x14ac:dyDescent="0.2">
      <c r="A65" s="363" t="s">
        <v>99</v>
      </c>
      <c r="B65" s="47"/>
    </row>
    <row r="66" spans="1:2" x14ac:dyDescent="0.2">
      <c r="A66" s="363" t="s">
        <v>100</v>
      </c>
      <c r="B66" s="47"/>
    </row>
  </sheetData>
  <printOptions horizontalCentered="1"/>
  <pageMargins left="0.5" right="0.5" top="0.5" bottom="0.5" header="0.5" footer="0.25"/>
  <pageSetup scale="80" fitToWidth="0" fitToHeight="0" orientation="portrait" r:id="rId1"/>
  <headerFooter alignWithMargins="0">
    <oddFooter>Page &amp;P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O61"/>
  <sheetViews>
    <sheetView zoomScaleNormal="100" workbookViewId="0">
      <selection activeCell="D22" sqref="D22"/>
    </sheetView>
  </sheetViews>
  <sheetFormatPr defaultColWidth="8.5703125" defaultRowHeight="12.75" x14ac:dyDescent="0.2"/>
  <cols>
    <col min="1" max="1" width="8.5703125" style="85" customWidth="1"/>
    <col min="2" max="5" width="8.5703125" style="51"/>
    <col min="6" max="6" width="9.42578125" style="51" bestFit="1" customWidth="1"/>
    <col min="7" max="16384" width="8.5703125" style="51"/>
  </cols>
  <sheetData>
    <row r="1" spans="1:15" ht="18.75" x14ac:dyDescent="0.25">
      <c r="A1" s="464" t="s">
        <v>114</v>
      </c>
      <c r="B1" s="465"/>
      <c r="C1" s="465"/>
      <c r="D1" s="465"/>
      <c r="E1" s="465"/>
      <c r="F1" s="465"/>
      <c r="G1" s="465"/>
      <c r="H1" s="465"/>
      <c r="I1" s="465"/>
      <c r="J1" s="465"/>
      <c r="K1" s="465"/>
      <c r="L1" s="465"/>
      <c r="M1" s="465"/>
      <c r="N1" s="465"/>
      <c r="O1" s="465"/>
    </row>
    <row r="2" spans="1:15" x14ac:dyDescent="0.2">
      <c r="A2" s="466" t="s">
        <v>115</v>
      </c>
      <c r="B2" s="466"/>
      <c r="C2" s="466"/>
      <c r="D2" s="466"/>
      <c r="E2" s="466"/>
      <c r="F2" s="466"/>
      <c r="G2" s="466"/>
      <c r="H2" s="466"/>
      <c r="I2" s="466"/>
      <c r="J2" s="466"/>
      <c r="K2" s="466"/>
      <c r="L2" s="466"/>
      <c r="M2" s="466"/>
      <c r="N2" s="466"/>
      <c r="O2" s="466"/>
    </row>
    <row r="3" spans="1:15" ht="13.5" thickBot="1" x14ac:dyDescent="0.25">
      <c r="A3" s="52" t="s">
        <v>26</v>
      </c>
      <c r="B3" s="53"/>
      <c r="C3" s="53"/>
      <c r="D3" s="53"/>
      <c r="E3" s="53"/>
      <c r="F3" s="53"/>
      <c r="G3" s="53"/>
      <c r="H3" s="53"/>
      <c r="I3" s="53"/>
      <c r="J3" s="53"/>
      <c r="K3" s="53"/>
      <c r="L3" s="53"/>
      <c r="M3" s="53"/>
      <c r="N3" s="53"/>
      <c r="O3" s="53"/>
    </row>
    <row r="4" spans="1:15" x14ac:dyDescent="0.2">
      <c r="A4" s="54"/>
      <c r="B4" s="467" t="s">
        <v>116</v>
      </c>
      <c r="C4" s="467"/>
      <c r="D4" s="467"/>
      <c r="E4" s="467"/>
      <c r="F4" s="467"/>
      <c r="G4" s="467"/>
      <c r="H4" s="468"/>
      <c r="I4" s="467" t="s">
        <v>117</v>
      </c>
      <c r="J4" s="467"/>
      <c r="K4" s="467"/>
      <c r="L4" s="467"/>
      <c r="M4" s="467"/>
      <c r="N4" s="467"/>
      <c r="O4" s="467"/>
    </row>
    <row r="5" spans="1:15" x14ac:dyDescent="0.2">
      <c r="A5" s="55"/>
      <c r="B5" s="56"/>
      <c r="C5" s="57"/>
      <c r="D5" s="56"/>
      <c r="E5" s="58"/>
      <c r="F5" s="59" t="s">
        <v>118</v>
      </c>
      <c r="G5" s="59"/>
      <c r="H5" s="60"/>
      <c r="I5" s="61"/>
      <c r="J5" s="57"/>
      <c r="K5" s="56"/>
      <c r="L5" s="58"/>
      <c r="M5" s="59" t="s">
        <v>118</v>
      </c>
      <c r="N5" s="59"/>
      <c r="O5" s="62"/>
    </row>
    <row r="6" spans="1:15" x14ac:dyDescent="0.2">
      <c r="A6" s="55"/>
      <c r="B6" s="63" t="s">
        <v>119</v>
      </c>
      <c r="C6" s="64" t="s">
        <v>120</v>
      </c>
      <c r="D6" s="64" t="s">
        <v>121</v>
      </c>
      <c r="E6" s="64" t="s">
        <v>122</v>
      </c>
      <c r="F6" s="64"/>
      <c r="G6" s="64"/>
      <c r="H6" s="65"/>
      <c r="I6" s="64" t="s">
        <v>119</v>
      </c>
      <c r="J6" s="64" t="s">
        <v>120</v>
      </c>
      <c r="K6" s="64" t="s">
        <v>121</v>
      </c>
      <c r="L6" s="64" t="s">
        <v>122</v>
      </c>
      <c r="M6" s="64"/>
      <c r="N6" s="64"/>
      <c r="O6" s="66"/>
    </row>
    <row r="7" spans="1:15" ht="13.5" thickBot="1" x14ac:dyDescent="0.25">
      <c r="A7" s="67" t="s">
        <v>90</v>
      </c>
      <c r="B7" s="68" t="s">
        <v>123</v>
      </c>
      <c r="C7" s="69" t="s">
        <v>124</v>
      </c>
      <c r="D7" s="69" t="s">
        <v>124</v>
      </c>
      <c r="E7" s="69" t="s">
        <v>125</v>
      </c>
      <c r="F7" s="69" t="s">
        <v>21</v>
      </c>
      <c r="G7" s="69" t="s">
        <v>22</v>
      </c>
      <c r="H7" s="70" t="s">
        <v>23</v>
      </c>
      <c r="I7" s="71" t="s">
        <v>123</v>
      </c>
      <c r="J7" s="69" t="s">
        <v>124</v>
      </c>
      <c r="K7" s="69" t="s">
        <v>124</v>
      </c>
      <c r="L7" s="69" t="s">
        <v>125</v>
      </c>
      <c r="M7" s="69" t="s">
        <v>21</v>
      </c>
      <c r="N7" s="69" t="s">
        <v>22</v>
      </c>
      <c r="O7" s="72" t="s">
        <v>23</v>
      </c>
    </row>
    <row r="8" spans="1:15" x14ac:dyDescent="0.2">
      <c r="A8" s="55"/>
      <c r="B8" s="73"/>
      <c r="C8" s="73"/>
      <c r="D8" s="73"/>
      <c r="E8" s="73"/>
      <c r="F8" s="73"/>
      <c r="G8" s="73"/>
      <c r="H8" s="74"/>
      <c r="I8" s="73"/>
      <c r="J8" s="73"/>
      <c r="K8" s="73"/>
      <c r="L8" s="73"/>
      <c r="M8" s="73"/>
      <c r="N8" s="73"/>
      <c r="O8" s="75"/>
    </row>
    <row r="9" spans="1:15" x14ac:dyDescent="0.2">
      <c r="A9" s="55">
        <v>1973</v>
      </c>
      <c r="B9" s="73">
        <v>1525</v>
      </c>
      <c r="C9" s="73">
        <v>1625</v>
      </c>
      <c r="D9" s="73">
        <v>1380</v>
      </c>
      <c r="E9" s="73">
        <v>1450</v>
      </c>
      <c r="F9" s="73">
        <v>1445</v>
      </c>
      <c r="G9" s="73">
        <v>1555</v>
      </c>
      <c r="H9" s="74">
        <v>1575</v>
      </c>
      <c r="I9" s="73">
        <v>1660</v>
      </c>
      <c r="J9" s="73">
        <v>1760</v>
      </c>
      <c r="K9" s="73">
        <v>1490</v>
      </c>
      <c r="L9" s="73">
        <v>1595</v>
      </c>
      <c r="M9" s="73">
        <v>1615</v>
      </c>
      <c r="N9" s="73">
        <v>1670</v>
      </c>
      <c r="O9" s="75">
        <v>1715</v>
      </c>
    </row>
    <row r="10" spans="1:15" x14ac:dyDescent="0.2">
      <c r="A10" s="55">
        <v>1974</v>
      </c>
      <c r="B10" s="73">
        <v>1560</v>
      </c>
      <c r="C10" s="73">
        <v>1665</v>
      </c>
      <c r="D10" s="73">
        <v>1405</v>
      </c>
      <c r="E10" s="73">
        <v>1465</v>
      </c>
      <c r="F10" s="73">
        <v>1490</v>
      </c>
      <c r="G10" s="73">
        <v>1640</v>
      </c>
      <c r="H10" s="74">
        <v>1540</v>
      </c>
      <c r="I10" s="73">
        <v>1695</v>
      </c>
      <c r="J10" s="73">
        <v>1785</v>
      </c>
      <c r="K10" s="73">
        <v>1545</v>
      </c>
      <c r="L10" s="73">
        <v>1600</v>
      </c>
      <c r="M10" s="73">
        <v>1660</v>
      </c>
      <c r="N10" s="73">
        <v>1760</v>
      </c>
      <c r="O10" s="75">
        <v>1660</v>
      </c>
    </row>
    <row r="11" spans="1:15" x14ac:dyDescent="0.2">
      <c r="A11" s="55">
        <v>1975</v>
      </c>
      <c r="B11" s="73">
        <v>1535</v>
      </c>
      <c r="C11" s="73">
        <v>1630</v>
      </c>
      <c r="D11" s="73">
        <v>1365</v>
      </c>
      <c r="E11" s="73">
        <v>1405</v>
      </c>
      <c r="F11" s="73">
        <v>1460</v>
      </c>
      <c r="G11" s="73">
        <v>1605</v>
      </c>
      <c r="H11" s="74">
        <v>1510</v>
      </c>
      <c r="I11" s="73">
        <v>1645</v>
      </c>
      <c r="J11" s="73">
        <v>1735</v>
      </c>
      <c r="K11" s="73">
        <v>1490</v>
      </c>
      <c r="L11" s="73">
        <v>1575</v>
      </c>
      <c r="M11" s="73">
        <v>1580</v>
      </c>
      <c r="N11" s="73">
        <v>1705</v>
      </c>
      <c r="O11" s="75">
        <v>1635</v>
      </c>
    </row>
    <row r="12" spans="1:15" x14ac:dyDescent="0.2">
      <c r="A12" s="55">
        <v>1976</v>
      </c>
      <c r="B12" s="73">
        <v>1590</v>
      </c>
      <c r="C12" s="73">
        <v>1675</v>
      </c>
      <c r="D12" s="73">
        <v>1425</v>
      </c>
      <c r="E12" s="73">
        <v>1505</v>
      </c>
      <c r="F12" s="73">
        <v>1495</v>
      </c>
      <c r="G12" s="73">
        <v>1660</v>
      </c>
      <c r="H12" s="74">
        <v>1565</v>
      </c>
      <c r="I12" s="73">
        <v>1700</v>
      </c>
      <c r="J12" s="73">
        <v>1775</v>
      </c>
      <c r="K12" s="73">
        <v>1560</v>
      </c>
      <c r="L12" s="73">
        <v>1630</v>
      </c>
      <c r="M12" s="73">
        <v>1655</v>
      </c>
      <c r="N12" s="73">
        <v>1755</v>
      </c>
      <c r="O12" s="75">
        <v>1685</v>
      </c>
    </row>
    <row r="13" spans="1:15" x14ac:dyDescent="0.2">
      <c r="A13" s="55">
        <v>1977</v>
      </c>
      <c r="B13" s="73">
        <v>1610</v>
      </c>
      <c r="C13" s="73">
        <v>1705</v>
      </c>
      <c r="D13" s="73">
        <v>1440</v>
      </c>
      <c r="E13" s="73">
        <v>1540</v>
      </c>
      <c r="F13" s="73">
        <v>1540</v>
      </c>
      <c r="G13" s="73">
        <v>1660</v>
      </c>
      <c r="H13" s="74">
        <v>1615</v>
      </c>
      <c r="I13" s="73">
        <v>1720</v>
      </c>
      <c r="J13" s="73">
        <v>1795</v>
      </c>
      <c r="K13" s="73">
        <v>1565</v>
      </c>
      <c r="L13" s="73">
        <v>1650</v>
      </c>
      <c r="M13" s="73">
        <v>1650</v>
      </c>
      <c r="N13" s="73">
        <v>1770</v>
      </c>
      <c r="O13" s="75">
        <v>1730</v>
      </c>
    </row>
    <row r="14" spans="1:15" x14ac:dyDescent="0.2">
      <c r="A14" s="55">
        <v>1978</v>
      </c>
      <c r="B14" s="73">
        <v>1655</v>
      </c>
      <c r="C14" s="73">
        <v>1735</v>
      </c>
      <c r="D14" s="73">
        <v>1490</v>
      </c>
      <c r="E14" s="73">
        <v>1640</v>
      </c>
      <c r="F14" s="73">
        <v>1615</v>
      </c>
      <c r="G14" s="73">
        <v>1685</v>
      </c>
      <c r="H14" s="74">
        <v>1630</v>
      </c>
      <c r="I14" s="73">
        <v>1755</v>
      </c>
      <c r="J14" s="73">
        <v>1830</v>
      </c>
      <c r="K14" s="73">
        <v>1610</v>
      </c>
      <c r="L14" s="73">
        <v>1730</v>
      </c>
      <c r="M14" s="73">
        <v>1730</v>
      </c>
      <c r="N14" s="73">
        <v>1785</v>
      </c>
      <c r="O14" s="75">
        <v>1740</v>
      </c>
    </row>
    <row r="15" spans="1:15" x14ac:dyDescent="0.2">
      <c r="A15" s="55">
        <v>1979</v>
      </c>
      <c r="B15" s="73">
        <v>1645</v>
      </c>
      <c r="C15" s="73">
        <v>1735</v>
      </c>
      <c r="D15" s="73">
        <v>1485</v>
      </c>
      <c r="E15" s="73">
        <v>1690</v>
      </c>
      <c r="F15" s="73">
        <v>1605</v>
      </c>
      <c r="G15" s="73">
        <v>1675</v>
      </c>
      <c r="H15" s="74">
        <v>1625</v>
      </c>
      <c r="I15" s="73">
        <v>1760</v>
      </c>
      <c r="J15" s="73">
        <v>1845</v>
      </c>
      <c r="K15" s="73">
        <v>1605</v>
      </c>
      <c r="L15" s="73">
        <v>1795</v>
      </c>
      <c r="M15" s="73">
        <v>1720</v>
      </c>
      <c r="N15" s="73">
        <v>1795</v>
      </c>
      <c r="O15" s="75">
        <v>1730</v>
      </c>
    </row>
    <row r="16" spans="1:15" x14ac:dyDescent="0.2">
      <c r="A16" s="55">
        <v>1980</v>
      </c>
      <c r="B16" s="73">
        <v>1595</v>
      </c>
      <c r="C16" s="73">
        <v>1670</v>
      </c>
      <c r="D16" s="73">
        <v>1450</v>
      </c>
      <c r="E16" s="73">
        <v>1660</v>
      </c>
      <c r="F16" s="73">
        <v>1520</v>
      </c>
      <c r="G16" s="73">
        <v>1615</v>
      </c>
      <c r="H16" s="74">
        <v>1570</v>
      </c>
      <c r="I16" s="73">
        <v>1740</v>
      </c>
      <c r="J16" s="73">
        <v>1825</v>
      </c>
      <c r="K16" s="73">
        <v>1575</v>
      </c>
      <c r="L16" s="73">
        <v>1770</v>
      </c>
      <c r="M16" s="73">
        <v>1685</v>
      </c>
      <c r="N16" s="73">
        <v>1750</v>
      </c>
      <c r="O16" s="75">
        <v>1735</v>
      </c>
    </row>
    <row r="17" spans="1:15" x14ac:dyDescent="0.2">
      <c r="A17" s="55">
        <v>1981</v>
      </c>
      <c r="B17" s="73">
        <v>1550</v>
      </c>
      <c r="C17" s="73">
        <v>1650</v>
      </c>
      <c r="D17" s="73">
        <v>1415</v>
      </c>
      <c r="E17" s="73">
        <v>1655</v>
      </c>
      <c r="F17" s="73">
        <v>1480</v>
      </c>
      <c r="G17" s="73">
        <v>1540</v>
      </c>
      <c r="H17" s="74">
        <v>1580</v>
      </c>
      <c r="I17" s="73">
        <v>1720</v>
      </c>
      <c r="J17" s="73">
        <v>1820</v>
      </c>
      <c r="K17" s="73">
        <v>1535</v>
      </c>
      <c r="L17" s="73">
        <v>1805</v>
      </c>
      <c r="M17" s="73">
        <v>1670</v>
      </c>
      <c r="N17" s="73">
        <v>1715</v>
      </c>
      <c r="O17" s="75">
        <v>1735</v>
      </c>
    </row>
    <row r="18" spans="1:15" x14ac:dyDescent="0.2">
      <c r="A18" s="55">
        <v>1982</v>
      </c>
      <c r="B18" s="73">
        <v>1520</v>
      </c>
      <c r="C18" s="73">
        <v>1600</v>
      </c>
      <c r="D18" s="73">
        <v>1355</v>
      </c>
      <c r="E18" s="73">
        <v>1605</v>
      </c>
      <c r="F18" s="73">
        <v>1405</v>
      </c>
      <c r="G18" s="73">
        <v>1500</v>
      </c>
      <c r="H18" s="74">
        <v>1595</v>
      </c>
      <c r="I18" s="73">
        <v>1710</v>
      </c>
      <c r="J18" s="73">
        <v>1795</v>
      </c>
      <c r="K18" s="73">
        <v>1545</v>
      </c>
      <c r="L18" s="73">
        <v>1755</v>
      </c>
      <c r="M18" s="73">
        <v>1655</v>
      </c>
      <c r="N18" s="73">
        <v>1700</v>
      </c>
      <c r="O18" s="75">
        <v>1740</v>
      </c>
    </row>
    <row r="19" spans="1:15" x14ac:dyDescent="0.2">
      <c r="A19" s="55">
        <v>1983</v>
      </c>
      <c r="B19" s="73">
        <v>1565</v>
      </c>
      <c r="C19" s="73">
        <v>1610</v>
      </c>
      <c r="D19" s="73">
        <v>1445</v>
      </c>
      <c r="E19" s="73">
        <v>1650</v>
      </c>
      <c r="F19" s="73">
        <v>1515</v>
      </c>
      <c r="G19" s="73">
        <v>1565</v>
      </c>
      <c r="H19" s="74">
        <v>1545</v>
      </c>
      <c r="I19" s="73">
        <v>1725</v>
      </c>
      <c r="J19" s="73">
        <v>1785</v>
      </c>
      <c r="K19" s="73">
        <v>1570</v>
      </c>
      <c r="L19" s="73">
        <v>1795</v>
      </c>
      <c r="M19" s="73">
        <v>1735</v>
      </c>
      <c r="N19" s="73">
        <v>1720</v>
      </c>
      <c r="O19" s="75">
        <v>1695</v>
      </c>
    </row>
    <row r="20" spans="1:15" x14ac:dyDescent="0.2">
      <c r="A20" s="55">
        <v>1984</v>
      </c>
      <c r="B20" s="73">
        <v>1605</v>
      </c>
      <c r="C20" s="73">
        <v>1645</v>
      </c>
      <c r="D20" s="73">
        <v>1495</v>
      </c>
      <c r="E20" s="73">
        <v>1665</v>
      </c>
      <c r="F20" s="73">
        <v>1600</v>
      </c>
      <c r="G20" s="73">
        <v>1590</v>
      </c>
      <c r="H20" s="74">
        <v>1610</v>
      </c>
      <c r="I20" s="73">
        <v>1780</v>
      </c>
      <c r="J20" s="73">
        <v>1840</v>
      </c>
      <c r="K20" s="73">
        <v>1600</v>
      </c>
      <c r="L20" s="73">
        <v>1860</v>
      </c>
      <c r="M20" s="73">
        <v>1800</v>
      </c>
      <c r="N20" s="73">
        <v>1750</v>
      </c>
      <c r="O20" s="75">
        <v>1785</v>
      </c>
    </row>
    <row r="21" spans="1:15" x14ac:dyDescent="0.2">
      <c r="A21" s="55">
        <v>1985</v>
      </c>
      <c r="B21" s="73">
        <v>1605</v>
      </c>
      <c r="C21" s="73">
        <v>1655</v>
      </c>
      <c r="D21" s="73">
        <v>1445</v>
      </c>
      <c r="E21" s="73">
        <v>1655</v>
      </c>
      <c r="F21" s="73">
        <v>1625</v>
      </c>
      <c r="G21" s="73">
        <v>1590</v>
      </c>
      <c r="H21" s="74">
        <v>1595</v>
      </c>
      <c r="I21" s="73">
        <v>1785</v>
      </c>
      <c r="J21" s="73">
        <v>1830</v>
      </c>
      <c r="K21" s="73">
        <v>1610</v>
      </c>
      <c r="L21" s="73">
        <v>1830</v>
      </c>
      <c r="M21" s="73">
        <v>1820</v>
      </c>
      <c r="N21" s="73">
        <v>1765</v>
      </c>
      <c r="O21" s="75">
        <v>1770</v>
      </c>
    </row>
    <row r="22" spans="1:15" x14ac:dyDescent="0.2">
      <c r="A22" s="55">
        <v>1986</v>
      </c>
      <c r="B22" s="73">
        <v>1660</v>
      </c>
      <c r="C22" s="73">
        <v>1700</v>
      </c>
      <c r="D22" s="73">
        <v>1470</v>
      </c>
      <c r="E22" s="73">
        <v>1695</v>
      </c>
      <c r="F22" s="73">
        <v>1685</v>
      </c>
      <c r="G22" s="73">
        <v>1655</v>
      </c>
      <c r="H22" s="74">
        <v>1635</v>
      </c>
      <c r="I22" s="73">
        <v>1825</v>
      </c>
      <c r="J22" s="73">
        <v>1865</v>
      </c>
      <c r="K22" s="73">
        <v>1640</v>
      </c>
      <c r="L22" s="73">
        <v>1850</v>
      </c>
      <c r="M22" s="73">
        <v>1855</v>
      </c>
      <c r="N22" s="73">
        <v>1825</v>
      </c>
      <c r="O22" s="75">
        <v>1800</v>
      </c>
    </row>
    <row r="23" spans="1:15" x14ac:dyDescent="0.2">
      <c r="A23" s="55">
        <v>1987</v>
      </c>
      <c r="B23" s="73">
        <v>1755</v>
      </c>
      <c r="C23" s="73">
        <v>1800</v>
      </c>
      <c r="D23" s="73">
        <v>1565</v>
      </c>
      <c r="E23" s="73">
        <v>1840</v>
      </c>
      <c r="F23" s="73">
        <v>1740</v>
      </c>
      <c r="G23" s="73">
        <v>1755</v>
      </c>
      <c r="H23" s="74">
        <v>1730</v>
      </c>
      <c r="I23" s="73">
        <v>1905</v>
      </c>
      <c r="J23" s="73">
        <v>1950</v>
      </c>
      <c r="K23" s="73">
        <v>1700</v>
      </c>
      <c r="L23" s="73">
        <v>1955</v>
      </c>
      <c r="M23" s="73">
        <v>1890</v>
      </c>
      <c r="N23" s="73">
        <v>1915</v>
      </c>
      <c r="O23" s="75">
        <v>1870</v>
      </c>
    </row>
    <row r="24" spans="1:15" x14ac:dyDescent="0.2">
      <c r="A24" s="55">
        <v>1988</v>
      </c>
      <c r="B24" s="73">
        <v>1810</v>
      </c>
      <c r="C24" s="73">
        <v>1880</v>
      </c>
      <c r="D24" s="73">
        <v>1570</v>
      </c>
      <c r="E24" s="73">
        <v>1810</v>
      </c>
      <c r="F24" s="73">
        <v>1840</v>
      </c>
      <c r="G24" s="73">
        <v>1790</v>
      </c>
      <c r="H24" s="74">
        <v>1845</v>
      </c>
      <c r="I24" s="73">
        <v>1995</v>
      </c>
      <c r="J24" s="73">
        <v>2055</v>
      </c>
      <c r="K24" s="73">
        <v>1750</v>
      </c>
      <c r="L24" s="73">
        <v>2005</v>
      </c>
      <c r="M24" s="73">
        <v>2015</v>
      </c>
      <c r="N24" s="73">
        <v>1985</v>
      </c>
      <c r="O24" s="75">
        <v>1995</v>
      </c>
    </row>
    <row r="25" spans="1:15" x14ac:dyDescent="0.2">
      <c r="A25" s="55">
        <v>1989</v>
      </c>
      <c r="B25" s="73">
        <v>1850</v>
      </c>
      <c r="C25" s="73">
        <v>1920</v>
      </c>
      <c r="D25" s="73">
        <v>1570</v>
      </c>
      <c r="E25" s="73">
        <v>1870</v>
      </c>
      <c r="F25" s="73">
        <v>1800</v>
      </c>
      <c r="G25" s="73">
        <v>1815</v>
      </c>
      <c r="H25" s="74">
        <v>1910</v>
      </c>
      <c r="I25" s="73">
        <v>2035</v>
      </c>
      <c r="J25" s="73">
        <v>2105</v>
      </c>
      <c r="K25" s="73">
        <v>1750</v>
      </c>
      <c r="L25" s="73">
        <v>2075</v>
      </c>
      <c r="M25" s="73">
        <v>1970</v>
      </c>
      <c r="N25" s="73">
        <v>2030</v>
      </c>
      <c r="O25" s="75">
        <v>2065</v>
      </c>
    </row>
    <row r="26" spans="1:15" x14ac:dyDescent="0.2">
      <c r="A26" s="55">
        <v>1990</v>
      </c>
      <c r="B26" s="73">
        <v>1905</v>
      </c>
      <c r="C26" s="73">
        <v>1985</v>
      </c>
      <c r="D26" s="73">
        <v>1630</v>
      </c>
      <c r="E26" s="73">
        <v>1955</v>
      </c>
      <c r="F26" s="73">
        <v>1850</v>
      </c>
      <c r="G26" s="73">
        <v>1855</v>
      </c>
      <c r="H26" s="74">
        <v>1985</v>
      </c>
      <c r="I26" s="73">
        <v>2080</v>
      </c>
      <c r="J26" s="73">
        <v>2155</v>
      </c>
      <c r="K26" s="73">
        <v>1800</v>
      </c>
      <c r="L26" s="73">
        <v>2105</v>
      </c>
      <c r="M26" s="73">
        <v>2005</v>
      </c>
      <c r="N26" s="73">
        <v>2055</v>
      </c>
      <c r="O26" s="75">
        <v>2160</v>
      </c>
    </row>
    <row r="27" spans="1:15" x14ac:dyDescent="0.2">
      <c r="A27" s="55">
        <v>1991</v>
      </c>
      <c r="B27" s="73">
        <v>1890</v>
      </c>
      <c r="C27" s="73">
        <v>1970</v>
      </c>
      <c r="D27" s="73">
        <v>1635</v>
      </c>
      <c r="E27" s="73">
        <v>1950</v>
      </c>
      <c r="F27" s="73">
        <v>1800</v>
      </c>
      <c r="G27" s="73">
        <v>1870</v>
      </c>
      <c r="H27" s="74">
        <v>1980</v>
      </c>
      <c r="I27" s="73">
        <v>2075</v>
      </c>
      <c r="J27" s="73">
        <v>2155</v>
      </c>
      <c r="K27" s="73">
        <v>1815</v>
      </c>
      <c r="L27" s="73">
        <v>2105</v>
      </c>
      <c r="M27" s="73">
        <v>1990</v>
      </c>
      <c r="N27" s="73">
        <v>2065</v>
      </c>
      <c r="O27" s="75">
        <v>2155</v>
      </c>
    </row>
    <row r="28" spans="1:15" x14ac:dyDescent="0.2">
      <c r="A28" s="55">
        <v>1992</v>
      </c>
      <c r="B28" s="73">
        <v>1920</v>
      </c>
      <c r="C28" s="73">
        <v>1990</v>
      </c>
      <c r="D28" s="73">
        <v>1700</v>
      </c>
      <c r="E28" s="73">
        <v>2000</v>
      </c>
      <c r="F28" s="73">
        <v>1870</v>
      </c>
      <c r="G28" s="73">
        <v>1945</v>
      </c>
      <c r="H28" s="74">
        <v>1890</v>
      </c>
      <c r="I28" s="73">
        <v>2095</v>
      </c>
      <c r="J28" s="73">
        <v>2160</v>
      </c>
      <c r="K28" s="73">
        <v>1870</v>
      </c>
      <c r="L28" s="73">
        <v>2115</v>
      </c>
      <c r="M28" s="73">
        <v>2020</v>
      </c>
      <c r="N28" s="73">
        <v>2130</v>
      </c>
      <c r="O28" s="75">
        <v>2090</v>
      </c>
    </row>
    <row r="29" spans="1:15" x14ac:dyDescent="0.2">
      <c r="A29" s="55">
        <v>1993</v>
      </c>
      <c r="B29" s="73">
        <v>1945</v>
      </c>
      <c r="C29" s="73">
        <v>2000</v>
      </c>
      <c r="D29" s="73">
        <v>1700</v>
      </c>
      <c r="E29" s="73">
        <v>2050</v>
      </c>
      <c r="F29" s="73">
        <v>1855</v>
      </c>
      <c r="G29" s="73">
        <v>2000</v>
      </c>
      <c r="H29" s="74">
        <v>1845</v>
      </c>
      <c r="I29" s="73">
        <v>2095</v>
      </c>
      <c r="J29" s="73">
        <v>2160</v>
      </c>
      <c r="K29" s="73">
        <v>1860</v>
      </c>
      <c r="L29" s="73">
        <v>2160</v>
      </c>
      <c r="M29" s="73">
        <v>2025</v>
      </c>
      <c r="N29" s="73">
        <v>2150</v>
      </c>
      <c r="O29" s="75">
        <v>2050</v>
      </c>
    </row>
    <row r="30" spans="1:15" x14ac:dyDescent="0.2">
      <c r="A30" s="55">
        <v>1994</v>
      </c>
      <c r="B30" s="73">
        <v>1940</v>
      </c>
      <c r="C30" s="73">
        <v>1995</v>
      </c>
      <c r="D30" s="73">
        <v>1700</v>
      </c>
      <c r="E30" s="73">
        <v>2035</v>
      </c>
      <c r="F30" s="73">
        <v>1850</v>
      </c>
      <c r="G30" s="73">
        <v>2000</v>
      </c>
      <c r="H30" s="74">
        <v>1835</v>
      </c>
      <c r="I30" s="73">
        <v>2100</v>
      </c>
      <c r="J30" s="73">
        <v>2160</v>
      </c>
      <c r="K30" s="73">
        <v>1865</v>
      </c>
      <c r="L30" s="73">
        <v>2195</v>
      </c>
      <c r="M30" s="73">
        <v>2025</v>
      </c>
      <c r="N30" s="73">
        <v>2165</v>
      </c>
      <c r="O30" s="75">
        <v>2025</v>
      </c>
    </row>
    <row r="31" spans="1:15" x14ac:dyDescent="0.2">
      <c r="A31" s="55">
        <v>1995</v>
      </c>
      <c r="B31" s="73">
        <v>1920</v>
      </c>
      <c r="C31" s="73">
        <v>1975</v>
      </c>
      <c r="D31" s="73">
        <v>1720</v>
      </c>
      <c r="E31" s="73">
        <v>2095</v>
      </c>
      <c r="F31" s="73">
        <v>1850</v>
      </c>
      <c r="G31" s="73">
        <v>1945</v>
      </c>
      <c r="H31" s="74">
        <v>1835</v>
      </c>
      <c r="I31" s="73">
        <v>2095</v>
      </c>
      <c r="J31" s="73">
        <v>2150</v>
      </c>
      <c r="K31" s="73">
        <v>1870</v>
      </c>
      <c r="L31" s="73">
        <v>2240</v>
      </c>
      <c r="M31" s="73">
        <v>2020</v>
      </c>
      <c r="N31" s="73">
        <v>2125</v>
      </c>
      <c r="O31" s="75">
        <v>2045</v>
      </c>
    </row>
    <row r="32" spans="1:15" x14ac:dyDescent="0.2">
      <c r="A32" s="55">
        <v>1996</v>
      </c>
      <c r="B32" s="73">
        <v>1950</v>
      </c>
      <c r="C32" s="73">
        <v>2000</v>
      </c>
      <c r="D32" s="73">
        <v>1735</v>
      </c>
      <c r="E32" s="73">
        <v>2100</v>
      </c>
      <c r="F32" s="73">
        <v>1900</v>
      </c>
      <c r="G32" s="73">
        <v>1995</v>
      </c>
      <c r="H32" s="74">
        <v>1890</v>
      </c>
      <c r="I32" s="73">
        <v>2120</v>
      </c>
      <c r="J32" s="73">
        <v>2170</v>
      </c>
      <c r="K32" s="73">
        <v>1915</v>
      </c>
      <c r="L32" s="73">
        <v>2280</v>
      </c>
      <c r="M32" s="73">
        <v>2025</v>
      </c>
      <c r="N32" s="73">
        <v>2160</v>
      </c>
      <c r="O32" s="75">
        <v>2070</v>
      </c>
    </row>
    <row r="33" spans="1:15" x14ac:dyDescent="0.2">
      <c r="A33" s="55">
        <v>1997</v>
      </c>
      <c r="B33" s="73">
        <v>1975</v>
      </c>
      <c r="C33" s="73">
        <v>2015</v>
      </c>
      <c r="D33" s="73">
        <v>1765</v>
      </c>
      <c r="E33" s="73">
        <v>2130</v>
      </c>
      <c r="F33" s="73">
        <v>1900</v>
      </c>
      <c r="G33" s="73">
        <v>2000</v>
      </c>
      <c r="H33" s="74">
        <v>1930</v>
      </c>
      <c r="I33" s="73">
        <v>2150</v>
      </c>
      <c r="J33" s="73">
        <v>2200</v>
      </c>
      <c r="K33" s="73">
        <v>1955</v>
      </c>
      <c r="L33" s="73">
        <v>2265</v>
      </c>
      <c r="M33" s="73">
        <v>2065</v>
      </c>
      <c r="N33" s="73">
        <v>2175</v>
      </c>
      <c r="O33" s="75">
        <v>2135</v>
      </c>
    </row>
    <row r="34" spans="1:15" x14ac:dyDescent="0.2">
      <c r="A34" s="55">
        <v>1998</v>
      </c>
      <c r="B34" s="73">
        <v>2000</v>
      </c>
      <c r="C34" s="73">
        <v>2050</v>
      </c>
      <c r="D34" s="73">
        <v>1750</v>
      </c>
      <c r="E34" s="73">
        <v>2100</v>
      </c>
      <c r="F34" s="73">
        <v>1945</v>
      </c>
      <c r="G34" s="73">
        <v>2000</v>
      </c>
      <c r="H34" s="74">
        <v>1985</v>
      </c>
      <c r="I34" s="73">
        <v>2190</v>
      </c>
      <c r="J34" s="73">
        <v>2250</v>
      </c>
      <c r="K34" s="73">
        <v>1930</v>
      </c>
      <c r="L34" s="73">
        <v>2270</v>
      </c>
      <c r="M34" s="73">
        <v>2125</v>
      </c>
      <c r="N34" s="73">
        <v>2200</v>
      </c>
      <c r="O34" s="75">
        <v>2200</v>
      </c>
    </row>
    <row r="35" spans="1:15" x14ac:dyDescent="0.2">
      <c r="A35" s="55">
        <v>1999</v>
      </c>
      <c r="B35" s="73">
        <v>2028</v>
      </c>
      <c r="C35" s="73">
        <v>2089</v>
      </c>
      <c r="D35" s="73">
        <v>1811</v>
      </c>
      <c r="E35" s="73">
        <v>2175</v>
      </c>
      <c r="F35" s="73">
        <v>1937</v>
      </c>
      <c r="G35" s="73">
        <v>2044</v>
      </c>
      <c r="H35" s="74">
        <v>2001</v>
      </c>
      <c r="I35" s="73">
        <v>2223</v>
      </c>
      <c r="J35" s="73">
        <v>2274</v>
      </c>
      <c r="K35" s="73">
        <v>1991</v>
      </c>
      <c r="L35" s="73">
        <v>2298</v>
      </c>
      <c r="M35" s="73">
        <v>2135</v>
      </c>
      <c r="N35" s="73">
        <v>2244</v>
      </c>
      <c r="O35" s="75">
        <v>2234</v>
      </c>
    </row>
    <row r="36" spans="1:15" x14ac:dyDescent="0.2">
      <c r="A36" s="55">
        <v>2000</v>
      </c>
      <c r="B36" s="73">
        <v>2057</v>
      </c>
      <c r="C36" s="73">
        <v>2121</v>
      </c>
      <c r="D36" s="73">
        <v>1824</v>
      </c>
      <c r="E36" s="73">
        <v>2266</v>
      </c>
      <c r="F36" s="73">
        <v>1971</v>
      </c>
      <c r="G36" s="73">
        <v>2075</v>
      </c>
      <c r="H36" s="74">
        <v>2014</v>
      </c>
      <c r="I36" s="73">
        <v>2266</v>
      </c>
      <c r="J36" s="73">
        <v>2321</v>
      </c>
      <c r="K36" s="73">
        <v>2024</v>
      </c>
      <c r="L36" s="73">
        <v>2435</v>
      </c>
      <c r="M36" s="73">
        <v>2170</v>
      </c>
      <c r="N36" s="73">
        <v>2287</v>
      </c>
      <c r="O36" s="75">
        <v>2244</v>
      </c>
    </row>
    <row r="37" spans="1:15" x14ac:dyDescent="0.2">
      <c r="A37" s="55">
        <v>2001</v>
      </c>
      <c r="B37" s="73">
        <v>2103</v>
      </c>
      <c r="C37" s="73">
        <v>2152</v>
      </c>
      <c r="D37" s="73">
        <v>1905</v>
      </c>
      <c r="E37" s="73">
        <v>2305</v>
      </c>
      <c r="F37" s="73">
        <v>1965</v>
      </c>
      <c r="G37" s="73">
        <v>2128</v>
      </c>
      <c r="H37" s="74">
        <v>2080</v>
      </c>
      <c r="I37" s="73">
        <v>2324</v>
      </c>
      <c r="J37" s="73">
        <v>2361</v>
      </c>
      <c r="K37" s="73">
        <v>2162</v>
      </c>
      <c r="L37" s="73">
        <v>2466</v>
      </c>
      <c r="M37" s="73">
        <v>2209</v>
      </c>
      <c r="N37" s="73">
        <v>2351</v>
      </c>
      <c r="O37" s="75">
        <v>2317</v>
      </c>
    </row>
    <row r="38" spans="1:15" x14ac:dyDescent="0.2">
      <c r="A38" s="55">
        <v>2002</v>
      </c>
      <c r="B38" s="73">
        <v>2114</v>
      </c>
      <c r="C38" s="73">
        <v>2171</v>
      </c>
      <c r="D38" s="73">
        <v>1884</v>
      </c>
      <c r="E38" s="73">
        <v>2330</v>
      </c>
      <c r="F38" s="73">
        <v>1979</v>
      </c>
      <c r="G38" s="73">
        <v>2120</v>
      </c>
      <c r="H38" s="74">
        <v>2127</v>
      </c>
      <c r="I38" s="73">
        <v>2320</v>
      </c>
      <c r="J38" s="73">
        <v>2379</v>
      </c>
      <c r="K38" s="73">
        <v>2068</v>
      </c>
      <c r="L38" s="73">
        <v>2516</v>
      </c>
      <c r="M38" s="73">
        <v>2209</v>
      </c>
      <c r="N38" s="73">
        <v>2317</v>
      </c>
      <c r="O38" s="75">
        <v>2350</v>
      </c>
    </row>
    <row r="39" spans="1:15" x14ac:dyDescent="0.2">
      <c r="A39" s="55">
        <v>2003</v>
      </c>
      <c r="B39" s="73">
        <v>2137</v>
      </c>
      <c r="C39" s="73">
        <v>2177</v>
      </c>
      <c r="D39" s="73">
        <v>1941</v>
      </c>
      <c r="E39" s="73">
        <v>2288</v>
      </c>
      <c r="F39" s="73">
        <v>1998</v>
      </c>
      <c r="G39" s="73">
        <v>2142</v>
      </c>
      <c r="H39" s="74">
        <v>2166</v>
      </c>
      <c r="I39" s="73">
        <v>2330</v>
      </c>
      <c r="J39" s="73">
        <v>2382</v>
      </c>
      <c r="K39" s="73">
        <v>2113</v>
      </c>
      <c r="L39" s="73">
        <v>2443</v>
      </c>
      <c r="M39" s="73">
        <v>2198</v>
      </c>
      <c r="N39" s="73">
        <v>2335</v>
      </c>
      <c r="O39" s="75">
        <v>2387</v>
      </c>
    </row>
    <row r="40" spans="1:15" x14ac:dyDescent="0.2">
      <c r="A40" s="55">
        <v>2004</v>
      </c>
      <c r="B40" s="73">
        <v>2140</v>
      </c>
      <c r="C40" s="73">
        <v>2207</v>
      </c>
      <c r="D40" s="73">
        <v>1933</v>
      </c>
      <c r="E40" s="73">
        <v>2361</v>
      </c>
      <c r="F40" s="73">
        <v>1993</v>
      </c>
      <c r="G40" s="73">
        <v>2164</v>
      </c>
      <c r="H40" s="74">
        <v>2149</v>
      </c>
      <c r="I40" s="73">
        <v>2349</v>
      </c>
      <c r="J40" s="73">
        <v>2402</v>
      </c>
      <c r="K40" s="73">
        <v>2122</v>
      </c>
      <c r="L40" s="73">
        <v>2543</v>
      </c>
      <c r="M40" s="73">
        <v>2222</v>
      </c>
      <c r="N40" s="73">
        <v>2368</v>
      </c>
      <c r="O40" s="75">
        <v>2352</v>
      </c>
    </row>
    <row r="41" spans="1:15" x14ac:dyDescent="0.2">
      <c r="A41" s="55">
        <v>2005</v>
      </c>
      <c r="B41" s="73">
        <v>2227</v>
      </c>
      <c r="C41" s="73">
        <v>2273</v>
      </c>
      <c r="D41" s="73">
        <v>1952</v>
      </c>
      <c r="E41" s="73">
        <v>2339</v>
      </c>
      <c r="F41" s="73">
        <v>2054</v>
      </c>
      <c r="G41" s="73">
        <v>2259</v>
      </c>
      <c r="H41" s="74">
        <v>2236</v>
      </c>
      <c r="I41" s="73">
        <v>2434</v>
      </c>
      <c r="J41" s="73">
        <v>2479</v>
      </c>
      <c r="K41" s="73">
        <v>2137</v>
      </c>
      <c r="L41" s="73">
        <v>2556</v>
      </c>
      <c r="M41" s="73">
        <v>2310</v>
      </c>
      <c r="N41" s="73">
        <v>2463</v>
      </c>
      <c r="O41" s="75">
        <v>2434</v>
      </c>
    </row>
    <row r="42" spans="1:15" x14ac:dyDescent="0.2">
      <c r="A42" s="55">
        <v>2006</v>
      </c>
      <c r="B42" s="73">
        <v>2248</v>
      </c>
      <c r="C42" s="73">
        <v>2305</v>
      </c>
      <c r="D42" s="73">
        <v>1909</v>
      </c>
      <c r="E42" s="73">
        <v>2395</v>
      </c>
      <c r="F42" s="73">
        <v>2035</v>
      </c>
      <c r="G42" s="73">
        <v>2286</v>
      </c>
      <c r="H42" s="74">
        <v>2275</v>
      </c>
      <c r="I42" s="73">
        <v>2469</v>
      </c>
      <c r="J42" s="73">
        <v>2519</v>
      </c>
      <c r="K42" s="73">
        <v>2120</v>
      </c>
      <c r="L42" s="73">
        <v>2612</v>
      </c>
      <c r="M42" s="73">
        <v>2290</v>
      </c>
      <c r="N42" s="73">
        <v>2499</v>
      </c>
      <c r="O42" s="75">
        <v>2488</v>
      </c>
    </row>
    <row r="43" spans="1:15" x14ac:dyDescent="0.2">
      <c r="A43" s="55">
        <v>2007</v>
      </c>
      <c r="B43" s="73">
        <v>2277</v>
      </c>
      <c r="C43" s="73">
        <v>2319</v>
      </c>
      <c r="D43" s="73">
        <v>1956</v>
      </c>
      <c r="E43" s="73">
        <v>2281</v>
      </c>
      <c r="F43" s="73">
        <v>2064</v>
      </c>
      <c r="G43" s="73">
        <v>2325</v>
      </c>
      <c r="H43" s="74">
        <v>2286</v>
      </c>
      <c r="I43" s="73">
        <v>2521</v>
      </c>
      <c r="J43" s="73">
        <v>2581</v>
      </c>
      <c r="K43" s="73">
        <v>2133</v>
      </c>
      <c r="L43" s="73">
        <v>2550</v>
      </c>
      <c r="M43" s="73">
        <v>2328</v>
      </c>
      <c r="N43" s="73">
        <v>2573</v>
      </c>
      <c r="O43" s="75">
        <v>2524</v>
      </c>
    </row>
    <row r="44" spans="1:15" x14ac:dyDescent="0.2">
      <c r="A44" s="55">
        <v>2008</v>
      </c>
      <c r="B44" s="73">
        <v>2215</v>
      </c>
      <c r="C44" s="73">
        <v>2270</v>
      </c>
      <c r="D44" s="73">
        <v>1963</v>
      </c>
      <c r="E44" s="73">
        <v>2312</v>
      </c>
      <c r="F44" s="73">
        <v>2019</v>
      </c>
      <c r="G44" s="73">
        <v>2266</v>
      </c>
      <c r="H44" s="74">
        <v>2216</v>
      </c>
      <c r="I44" s="73">
        <v>2519</v>
      </c>
      <c r="J44" s="73">
        <v>2582</v>
      </c>
      <c r="K44" s="73">
        <v>2203</v>
      </c>
      <c r="L44" s="73">
        <v>2651</v>
      </c>
      <c r="M44" s="73">
        <v>2331</v>
      </c>
      <c r="N44" s="73">
        <v>2564</v>
      </c>
      <c r="O44" s="75">
        <v>2508</v>
      </c>
    </row>
    <row r="45" spans="1:15" x14ac:dyDescent="0.2">
      <c r="A45" s="55">
        <v>2009</v>
      </c>
      <c r="B45" s="73">
        <v>2135</v>
      </c>
      <c r="C45" s="73">
        <v>2185</v>
      </c>
      <c r="D45" s="73">
        <v>1909</v>
      </c>
      <c r="E45" s="73">
        <v>2211</v>
      </c>
      <c r="F45" s="73">
        <v>1931</v>
      </c>
      <c r="G45" s="73">
        <v>2198</v>
      </c>
      <c r="H45" s="74">
        <v>2140</v>
      </c>
      <c r="I45" s="73">
        <v>2438</v>
      </c>
      <c r="J45" s="73">
        <v>2490</v>
      </c>
      <c r="K45" s="73">
        <v>2156</v>
      </c>
      <c r="L45" s="73">
        <v>2594</v>
      </c>
      <c r="M45" s="73">
        <v>2216</v>
      </c>
      <c r="N45" s="73">
        <v>2488</v>
      </c>
      <c r="O45" s="75">
        <v>2434</v>
      </c>
    </row>
    <row r="46" spans="1:15" x14ac:dyDescent="0.2">
      <c r="A46" s="55">
        <v>2010</v>
      </c>
      <c r="B46" s="73">
        <v>2169</v>
      </c>
      <c r="C46" s="73">
        <v>2203</v>
      </c>
      <c r="D46" s="73">
        <v>1877</v>
      </c>
      <c r="E46" s="73">
        <v>2336</v>
      </c>
      <c r="F46" s="73">
        <v>2001</v>
      </c>
      <c r="G46" s="73">
        <v>2184</v>
      </c>
      <c r="H46" s="74">
        <v>2143</v>
      </c>
      <c r="I46" s="73">
        <v>2392</v>
      </c>
      <c r="J46" s="73">
        <v>2443</v>
      </c>
      <c r="K46" s="73">
        <v>2091</v>
      </c>
      <c r="L46" s="73">
        <v>2613</v>
      </c>
      <c r="M46" s="73">
        <v>2265</v>
      </c>
      <c r="N46" s="73">
        <v>2393</v>
      </c>
      <c r="O46" s="75">
        <v>2386</v>
      </c>
    </row>
    <row r="47" spans="1:15" x14ac:dyDescent="0.2">
      <c r="A47" s="55">
        <f t="shared" ref="A47:O47" si="0">A60</f>
        <v>2011</v>
      </c>
      <c r="B47" s="73">
        <f t="shared" si="0"/>
        <v>2233</v>
      </c>
      <c r="C47" s="73">
        <f t="shared" si="0"/>
        <v>2293</v>
      </c>
      <c r="D47" s="73">
        <f t="shared" si="0"/>
        <v>1833</v>
      </c>
      <c r="E47" s="73">
        <f t="shared" si="0"/>
        <v>2335</v>
      </c>
      <c r="F47" s="73">
        <f t="shared" si="0"/>
        <v>2015</v>
      </c>
      <c r="G47" s="73">
        <f t="shared" si="0"/>
        <v>2303</v>
      </c>
      <c r="H47" s="74">
        <f t="shared" si="0"/>
        <v>2199</v>
      </c>
      <c r="I47" s="73">
        <f t="shared" si="0"/>
        <v>2480</v>
      </c>
      <c r="J47" s="73">
        <f t="shared" si="0"/>
        <v>2550</v>
      </c>
      <c r="K47" s="73">
        <f t="shared" si="0"/>
        <v>2060</v>
      </c>
      <c r="L47" s="73">
        <f t="shared" si="0"/>
        <v>2559</v>
      </c>
      <c r="M47" s="73">
        <f t="shared" si="0"/>
        <v>2287</v>
      </c>
      <c r="N47" s="73">
        <f t="shared" si="0"/>
        <v>2538</v>
      </c>
      <c r="O47" s="75">
        <f t="shared" si="0"/>
        <v>2457</v>
      </c>
    </row>
    <row r="48" spans="1:15" x14ac:dyDescent="0.2">
      <c r="A48" s="55">
        <f t="shared" ref="A48:O48" si="1">A61</f>
        <v>2012</v>
      </c>
      <c r="B48" s="73">
        <f t="shared" si="1"/>
        <v>2306</v>
      </c>
      <c r="C48" s="73">
        <f t="shared" si="1"/>
        <v>2353</v>
      </c>
      <c r="D48" s="73">
        <f t="shared" si="1"/>
        <v>1911</v>
      </c>
      <c r="E48" s="73">
        <f t="shared" si="1"/>
        <v>2302</v>
      </c>
      <c r="F48" s="73">
        <f t="shared" si="1"/>
        <v>2150</v>
      </c>
      <c r="G48" s="73">
        <f t="shared" si="1"/>
        <v>2381</v>
      </c>
      <c r="H48" s="74">
        <f t="shared" si="1"/>
        <v>2281</v>
      </c>
      <c r="I48" s="73">
        <f t="shared" si="1"/>
        <v>2505</v>
      </c>
      <c r="J48" s="73">
        <f t="shared" si="1"/>
        <v>2563</v>
      </c>
      <c r="K48" s="73">
        <f t="shared" si="1"/>
        <v>2118</v>
      </c>
      <c r="L48" s="73">
        <f t="shared" si="1"/>
        <v>2582</v>
      </c>
      <c r="M48" s="73">
        <f t="shared" si="1"/>
        <v>2341</v>
      </c>
      <c r="N48" s="73">
        <f t="shared" si="1"/>
        <v>2549</v>
      </c>
      <c r="O48" s="75">
        <f t="shared" si="1"/>
        <v>2502</v>
      </c>
    </row>
    <row r="49" spans="1:15" x14ac:dyDescent="0.2">
      <c r="A49" s="55"/>
      <c r="B49" s="73"/>
      <c r="C49" s="73"/>
      <c r="D49" s="73"/>
      <c r="E49" s="73"/>
      <c r="F49" s="73"/>
      <c r="G49" s="73"/>
      <c r="H49" s="74"/>
      <c r="I49" s="73"/>
      <c r="J49" s="73"/>
      <c r="K49" s="73"/>
      <c r="L49" s="73"/>
      <c r="M49" s="73"/>
      <c r="N49" s="73"/>
      <c r="O49" s="76"/>
    </row>
    <row r="50" spans="1:15" ht="13.5" thickBot="1" x14ac:dyDescent="0.25">
      <c r="A50" s="77" t="s">
        <v>126</v>
      </c>
      <c r="B50" s="78">
        <v>2</v>
      </c>
      <c r="C50" s="69">
        <v>2</v>
      </c>
      <c r="D50" s="69">
        <v>4</v>
      </c>
      <c r="E50" s="79">
        <v>6</v>
      </c>
      <c r="F50" s="79">
        <v>3</v>
      </c>
      <c r="G50" s="79">
        <v>4</v>
      </c>
      <c r="H50" s="80">
        <v>3</v>
      </c>
      <c r="I50" s="79">
        <v>2</v>
      </c>
      <c r="J50" s="69">
        <v>2</v>
      </c>
      <c r="K50" s="69">
        <v>4</v>
      </c>
      <c r="L50" s="79">
        <v>6</v>
      </c>
      <c r="M50" s="79">
        <v>2</v>
      </c>
      <c r="N50" s="79">
        <v>3</v>
      </c>
      <c r="O50" s="81">
        <v>4</v>
      </c>
    </row>
    <row r="51" spans="1:15" x14ac:dyDescent="0.2">
      <c r="A51" s="82"/>
      <c r="B51" s="53"/>
      <c r="C51" s="53"/>
      <c r="D51" s="53"/>
      <c r="E51" s="53"/>
      <c r="F51" s="53"/>
      <c r="G51" s="53"/>
      <c r="H51" s="53"/>
      <c r="I51" s="53"/>
      <c r="J51" s="53"/>
      <c r="K51" s="53"/>
      <c r="L51" s="53"/>
      <c r="M51" s="53"/>
      <c r="N51" s="53"/>
      <c r="O51" s="53"/>
    </row>
    <row r="52" spans="1:15" x14ac:dyDescent="0.2">
      <c r="A52" s="83" t="s">
        <v>127</v>
      </c>
      <c r="B52" s="53"/>
      <c r="C52" s="53"/>
      <c r="D52" s="53"/>
      <c r="E52" s="53"/>
      <c r="F52" s="53"/>
      <c r="G52" s="53"/>
    </row>
    <row r="53" spans="1:15" x14ac:dyDescent="0.2">
      <c r="A53" s="82" t="s">
        <v>128</v>
      </c>
      <c r="B53" s="53"/>
      <c r="C53" s="53"/>
      <c r="D53" s="53"/>
      <c r="E53" s="53"/>
      <c r="F53" s="53"/>
      <c r="G53" s="53"/>
    </row>
    <row r="54" spans="1:15" x14ac:dyDescent="0.2">
      <c r="A54" s="84" t="s">
        <v>129</v>
      </c>
      <c r="B54" s="53"/>
      <c r="C54" s="53"/>
      <c r="D54" s="53"/>
      <c r="E54" s="53"/>
      <c r="F54" s="53"/>
      <c r="G54" s="53"/>
    </row>
    <row r="55" spans="1:15" x14ac:dyDescent="0.2">
      <c r="A55" s="84" t="s">
        <v>130</v>
      </c>
      <c r="B55" s="53"/>
      <c r="C55" s="53"/>
      <c r="D55" s="53"/>
      <c r="E55" s="53"/>
      <c r="F55" s="53"/>
      <c r="G55" s="53"/>
    </row>
    <row r="56" spans="1:15" x14ac:dyDescent="0.2">
      <c r="B56" s="53"/>
      <c r="C56" s="53"/>
      <c r="D56" s="53"/>
      <c r="E56" s="53"/>
      <c r="F56" s="53"/>
      <c r="G56" s="53"/>
    </row>
    <row r="57" spans="1:15" ht="14.25" x14ac:dyDescent="0.2">
      <c r="A57" s="86" t="s">
        <v>131</v>
      </c>
      <c r="B57" s="53"/>
      <c r="C57" s="53"/>
      <c r="D57" s="53"/>
      <c r="E57" s="53"/>
      <c r="F57" s="53"/>
      <c r="G57" s="53"/>
      <c r="H57" s="53"/>
      <c r="I57" s="53"/>
      <c r="J57" s="53"/>
      <c r="K57" s="53"/>
      <c r="L57" s="53"/>
      <c r="M57" s="53"/>
      <c r="N57" s="53"/>
      <c r="O57" s="53"/>
    </row>
    <row r="58" spans="1:15" ht="14.25" x14ac:dyDescent="0.2">
      <c r="A58" s="87" t="s">
        <v>569</v>
      </c>
      <c r="B58" s="53"/>
      <c r="C58" s="53"/>
      <c r="D58" s="53"/>
      <c r="E58" s="53"/>
      <c r="F58" s="296">
        <v>41620</v>
      </c>
      <c r="G58" s="53"/>
      <c r="H58" s="53"/>
      <c r="I58" s="53"/>
      <c r="J58" s="53"/>
      <c r="K58" s="53"/>
      <c r="L58" s="53"/>
      <c r="M58" s="53"/>
      <c r="N58" s="53"/>
      <c r="O58" s="53"/>
    </row>
    <row r="59" spans="1:15" x14ac:dyDescent="0.2">
      <c r="A59" s="82">
        <v>2010</v>
      </c>
      <c r="B59" s="53">
        <v>2169</v>
      </c>
      <c r="C59" s="53">
        <v>2203</v>
      </c>
      <c r="D59" s="53">
        <v>1877</v>
      </c>
      <c r="E59" s="53">
        <v>2336</v>
      </c>
      <c r="F59" s="53">
        <v>2001</v>
      </c>
      <c r="G59" s="53">
        <v>2184</v>
      </c>
      <c r="H59" s="53">
        <v>2143</v>
      </c>
      <c r="I59" s="53">
        <v>2392</v>
      </c>
      <c r="J59" s="53">
        <v>2443</v>
      </c>
      <c r="K59" s="53">
        <v>2091</v>
      </c>
      <c r="L59" s="53">
        <v>2613</v>
      </c>
      <c r="M59" s="53">
        <v>2265</v>
      </c>
      <c r="N59" s="53">
        <v>2393</v>
      </c>
      <c r="O59" s="53">
        <v>2386</v>
      </c>
    </row>
    <row r="60" spans="1:15" x14ac:dyDescent="0.2">
      <c r="A60" s="85">
        <v>2011</v>
      </c>
      <c r="B60" s="51">
        <v>2233</v>
      </c>
      <c r="C60" s="51">
        <v>2293</v>
      </c>
      <c r="D60" s="51">
        <v>1833</v>
      </c>
      <c r="E60" s="51">
        <v>2335</v>
      </c>
      <c r="F60" s="51">
        <v>2015</v>
      </c>
      <c r="G60" s="51">
        <v>2303</v>
      </c>
      <c r="H60" s="51">
        <v>2199</v>
      </c>
      <c r="I60" s="51">
        <v>2480</v>
      </c>
      <c r="J60" s="51">
        <v>2550</v>
      </c>
      <c r="K60" s="51">
        <v>2060</v>
      </c>
      <c r="L60" s="51">
        <v>2559</v>
      </c>
      <c r="M60" s="51">
        <v>2287</v>
      </c>
      <c r="N60" s="51">
        <v>2538</v>
      </c>
      <c r="O60" s="51">
        <v>2457</v>
      </c>
    </row>
    <row r="61" spans="1:15" x14ac:dyDescent="0.2">
      <c r="A61" s="85">
        <v>2012</v>
      </c>
      <c r="B61" s="51">
        <v>2306</v>
      </c>
      <c r="C61" s="51">
        <v>2353</v>
      </c>
      <c r="D61" s="51">
        <v>1911</v>
      </c>
      <c r="E61" s="51">
        <v>2302</v>
      </c>
      <c r="F61" s="51">
        <v>2150</v>
      </c>
      <c r="G61" s="51">
        <v>2381</v>
      </c>
      <c r="H61" s="51">
        <v>2281</v>
      </c>
      <c r="I61" s="51">
        <v>2505</v>
      </c>
      <c r="J61" s="51">
        <v>2563</v>
      </c>
      <c r="K61" s="51">
        <v>2118</v>
      </c>
      <c r="L61" s="51">
        <v>2582</v>
      </c>
      <c r="M61" s="51">
        <v>2341</v>
      </c>
      <c r="N61" s="51">
        <v>2549</v>
      </c>
      <c r="O61" s="51">
        <v>2502</v>
      </c>
    </row>
  </sheetData>
  <mergeCells count="4">
    <mergeCell ref="A1:O1"/>
    <mergeCell ref="A2:O2"/>
    <mergeCell ref="B4:H4"/>
    <mergeCell ref="I4:O4"/>
  </mergeCells>
  <printOptions horizontalCentered="1"/>
  <pageMargins left="0.25" right="0.25" top="0.25" bottom="0.25" header="0.5" footer="0.5"/>
  <pageSetup scale="8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1F7CB-88C6-434B-884E-00E7F1F12E23}">
  <dimension ref="A1:M69"/>
  <sheetViews>
    <sheetView zoomScaleNormal="100" workbookViewId="0">
      <pane ySplit="7" topLeftCell="A8" activePane="bottomLeft" state="frozen"/>
      <selection activeCell="K21" sqref="K21"/>
      <selection pane="bottomLeft" activeCell="A35" sqref="A35"/>
    </sheetView>
  </sheetViews>
  <sheetFormatPr defaultColWidth="8.5703125" defaultRowHeight="12.75" x14ac:dyDescent="0.2"/>
  <cols>
    <col min="1" max="1" width="8.5703125" style="363" customWidth="1"/>
    <col min="2" max="11" width="12.140625" style="362" customWidth="1"/>
    <col min="12" max="257" width="8.5703125" style="362"/>
    <col min="258" max="267" width="12.140625" style="362" customWidth="1"/>
    <col min="268" max="513" width="8.5703125" style="362"/>
    <col min="514" max="523" width="12.140625" style="362" customWidth="1"/>
    <col min="524" max="769" width="8.5703125" style="362"/>
    <col min="770" max="779" width="12.140625" style="362" customWidth="1"/>
    <col min="780" max="1025" width="8.5703125" style="362"/>
    <col min="1026" max="1035" width="12.140625" style="362" customWidth="1"/>
    <col min="1036" max="1281" width="8.5703125" style="362"/>
    <col min="1282" max="1291" width="12.140625" style="362" customWidth="1"/>
    <col min="1292" max="1537" width="8.5703125" style="362"/>
    <col min="1538" max="1547" width="12.140625" style="362" customWidth="1"/>
    <col min="1548" max="1793" width="8.5703125" style="362"/>
    <col min="1794" max="1803" width="12.140625" style="362" customWidth="1"/>
    <col min="1804" max="2049" width="8.5703125" style="362"/>
    <col min="2050" max="2059" width="12.140625" style="362" customWidth="1"/>
    <col min="2060" max="2305" width="8.5703125" style="362"/>
    <col min="2306" max="2315" width="12.140625" style="362" customWidth="1"/>
    <col min="2316" max="2561" width="8.5703125" style="362"/>
    <col min="2562" max="2571" width="12.140625" style="362" customWidth="1"/>
    <col min="2572" max="2817" width="8.5703125" style="362"/>
    <col min="2818" max="2827" width="12.140625" style="362" customWidth="1"/>
    <col min="2828" max="3073" width="8.5703125" style="362"/>
    <col min="3074" max="3083" width="12.140625" style="362" customWidth="1"/>
    <col min="3084" max="3329" width="8.5703125" style="362"/>
    <col min="3330" max="3339" width="12.140625" style="362" customWidth="1"/>
    <col min="3340" max="3585" width="8.5703125" style="362"/>
    <col min="3586" max="3595" width="12.140625" style="362" customWidth="1"/>
    <col min="3596" max="3841" width="8.5703125" style="362"/>
    <col min="3842" max="3851" width="12.140625" style="362" customWidth="1"/>
    <col min="3852" max="4097" width="8.5703125" style="362"/>
    <col min="4098" max="4107" width="12.140625" style="362" customWidth="1"/>
    <col min="4108" max="4353" width="8.5703125" style="362"/>
    <col min="4354" max="4363" width="12.140625" style="362" customWidth="1"/>
    <col min="4364" max="4609" width="8.5703125" style="362"/>
    <col min="4610" max="4619" width="12.140625" style="362" customWidth="1"/>
    <col min="4620" max="4865" width="8.5703125" style="362"/>
    <col min="4866" max="4875" width="12.140625" style="362" customWidth="1"/>
    <col min="4876" max="5121" width="8.5703125" style="362"/>
    <col min="5122" max="5131" width="12.140625" style="362" customWidth="1"/>
    <col min="5132" max="5377" width="8.5703125" style="362"/>
    <col min="5378" max="5387" width="12.140625" style="362" customWidth="1"/>
    <col min="5388" max="5633" width="8.5703125" style="362"/>
    <col min="5634" max="5643" width="12.140625" style="362" customWidth="1"/>
    <col min="5644" max="5889" width="8.5703125" style="362"/>
    <col min="5890" max="5899" width="12.140625" style="362" customWidth="1"/>
    <col min="5900" max="6145" width="8.5703125" style="362"/>
    <col min="6146" max="6155" width="12.140625" style="362" customWidth="1"/>
    <col min="6156" max="6401" width="8.5703125" style="362"/>
    <col min="6402" max="6411" width="12.140625" style="362" customWidth="1"/>
    <col min="6412" max="6657" width="8.5703125" style="362"/>
    <col min="6658" max="6667" width="12.140625" style="362" customWidth="1"/>
    <col min="6668" max="6913" width="8.5703125" style="362"/>
    <col min="6914" max="6923" width="12.140625" style="362" customWidth="1"/>
    <col min="6924" max="7169" width="8.5703125" style="362"/>
    <col min="7170" max="7179" width="12.140625" style="362" customWidth="1"/>
    <col min="7180" max="7425" width="8.5703125" style="362"/>
    <col min="7426" max="7435" width="12.140625" style="362" customWidth="1"/>
    <col min="7436" max="7681" width="8.5703125" style="362"/>
    <col min="7682" max="7691" width="12.140625" style="362" customWidth="1"/>
    <col min="7692" max="7937" width="8.5703125" style="362"/>
    <col min="7938" max="7947" width="12.140625" style="362" customWidth="1"/>
    <col min="7948" max="8193" width="8.5703125" style="362"/>
    <col min="8194" max="8203" width="12.140625" style="362" customWidth="1"/>
    <col min="8204" max="8449" width="8.5703125" style="362"/>
    <col min="8450" max="8459" width="12.140625" style="362" customWidth="1"/>
    <col min="8460" max="8705" width="8.5703125" style="362"/>
    <col min="8706" max="8715" width="12.140625" style="362" customWidth="1"/>
    <col min="8716" max="8961" width="8.5703125" style="362"/>
    <col min="8962" max="8971" width="12.140625" style="362" customWidth="1"/>
    <col min="8972" max="9217" width="8.5703125" style="362"/>
    <col min="9218" max="9227" width="12.140625" style="362" customWidth="1"/>
    <col min="9228" max="9473" width="8.5703125" style="362"/>
    <col min="9474" max="9483" width="12.140625" style="362" customWidth="1"/>
    <col min="9484" max="9729" width="8.5703125" style="362"/>
    <col min="9730" max="9739" width="12.140625" style="362" customWidth="1"/>
    <col min="9740" max="9985" width="8.5703125" style="362"/>
    <col min="9986" max="9995" width="12.140625" style="362" customWidth="1"/>
    <col min="9996" max="10241" width="8.5703125" style="362"/>
    <col min="10242" max="10251" width="12.140625" style="362" customWidth="1"/>
    <col min="10252" max="10497" width="8.5703125" style="362"/>
    <col min="10498" max="10507" width="12.140625" style="362" customWidth="1"/>
    <col min="10508" max="10753" width="8.5703125" style="362"/>
    <col min="10754" max="10763" width="12.140625" style="362" customWidth="1"/>
    <col min="10764" max="11009" width="8.5703125" style="362"/>
    <col min="11010" max="11019" width="12.140625" style="362" customWidth="1"/>
    <col min="11020" max="11265" width="8.5703125" style="362"/>
    <col min="11266" max="11275" width="12.140625" style="362" customWidth="1"/>
    <col min="11276" max="11521" width="8.5703125" style="362"/>
    <col min="11522" max="11531" width="12.140625" style="362" customWidth="1"/>
    <col min="11532" max="11777" width="8.5703125" style="362"/>
    <col min="11778" max="11787" width="12.140625" style="362" customWidth="1"/>
    <col min="11788" max="12033" width="8.5703125" style="362"/>
    <col min="12034" max="12043" width="12.140625" style="362" customWidth="1"/>
    <col min="12044" max="12289" width="8.5703125" style="362"/>
    <col min="12290" max="12299" width="12.140625" style="362" customWidth="1"/>
    <col min="12300" max="12545" width="8.5703125" style="362"/>
    <col min="12546" max="12555" width="12.140625" style="362" customWidth="1"/>
    <col min="12556" max="12801" width="8.5703125" style="362"/>
    <col min="12802" max="12811" width="12.140625" style="362" customWidth="1"/>
    <col min="12812" max="13057" width="8.5703125" style="362"/>
    <col min="13058" max="13067" width="12.140625" style="362" customWidth="1"/>
    <col min="13068" max="13313" width="8.5703125" style="362"/>
    <col min="13314" max="13323" width="12.140625" style="362" customWidth="1"/>
    <col min="13324" max="13569" width="8.5703125" style="362"/>
    <col min="13570" max="13579" width="12.140625" style="362" customWidth="1"/>
    <col min="13580" max="13825" width="8.5703125" style="362"/>
    <col min="13826" max="13835" width="12.140625" style="362" customWidth="1"/>
    <col min="13836" max="14081" width="8.5703125" style="362"/>
    <col min="14082" max="14091" width="12.140625" style="362" customWidth="1"/>
    <col min="14092" max="14337" width="8.5703125" style="362"/>
    <col min="14338" max="14347" width="12.140625" style="362" customWidth="1"/>
    <col min="14348" max="14593" width="8.5703125" style="362"/>
    <col min="14594" max="14603" width="12.140625" style="362" customWidth="1"/>
    <col min="14604" max="14849" width="8.5703125" style="362"/>
    <col min="14850" max="14859" width="12.140625" style="362" customWidth="1"/>
    <col min="14860" max="15105" width="8.5703125" style="362"/>
    <col min="15106" max="15115" width="12.140625" style="362" customWidth="1"/>
    <col min="15116" max="15361" width="8.5703125" style="362"/>
    <col min="15362" max="15371" width="12.140625" style="362" customWidth="1"/>
    <col min="15372" max="15617" width="8.5703125" style="362"/>
    <col min="15618" max="15627" width="12.140625" style="362" customWidth="1"/>
    <col min="15628" max="15873" width="8.5703125" style="362"/>
    <col min="15874" max="15883" width="12.140625" style="362" customWidth="1"/>
    <col min="15884" max="16129" width="8.5703125" style="362"/>
    <col min="16130" max="16139" width="12.140625" style="362" customWidth="1"/>
    <col min="16140" max="16384" width="8.5703125" style="362"/>
  </cols>
  <sheetData>
    <row r="1" spans="1:13" ht="18.75" x14ac:dyDescent="0.25">
      <c r="A1" s="469" t="s">
        <v>611</v>
      </c>
      <c r="B1" s="469"/>
      <c r="C1" s="469"/>
      <c r="D1" s="469"/>
      <c r="E1" s="469"/>
      <c r="F1" s="469"/>
      <c r="G1" s="469"/>
      <c r="H1" s="469"/>
      <c r="I1" s="469"/>
      <c r="J1" s="469"/>
      <c r="K1" s="469"/>
    </row>
    <row r="2" spans="1:13" x14ac:dyDescent="0.2">
      <c r="A2" s="470" t="s">
        <v>115</v>
      </c>
      <c r="B2" s="470"/>
      <c r="C2" s="470"/>
      <c r="D2" s="470"/>
      <c r="E2" s="470"/>
      <c r="F2" s="470"/>
      <c r="G2" s="470"/>
      <c r="H2" s="470"/>
      <c r="I2" s="470"/>
      <c r="J2" s="470"/>
      <c r="K2" s="470"/>
    </row>
    <row r="3" spans="1:13" ht="13.5" thickBot="1" x14ac:dyDescent="0.25">
      <c r="A3" s="364" t="s">
        <v>26</v>
      </c>
    </row>
    <row r="4" spans="1:13" x14ac:dyDescent="0.2">
      <c r="A4" s="365"/>
      <c r="B4" s="471" t="s">
        <v>116</v>
      </c>
      <c r="C4" s="471"/>
      <c r="D4" s="471"/>
      <c r="E4" s="471"/>
      <c r="F4" s="472"/>
      <c r="G4" s="471" t="s">
        <v>117</v>
      </c>
      <c r="H4" s="471"/>
      <c r="I4" s="471"/>
      <c r="J4" s="471"/>
      <c r="K4" s="471"/>
    </row>
    <row r="5" spans="1:13" x14ac:dyDescent="0.2">
      <c r="A5" s="366"/>
      <c r="B5" s="367"/>
      <c r="C5" s="368"/>
      <c r="D5" s="369" t="s">
        <v>118</v>
      </c>
      <c r="E5" s="369"/>
      <c r="F5" s="370"/>
      <c r="G5" s="371"/>
      <c r="H5" s="368"/>
      <c r="I5" s="369" t="s">
        <v>118</v>
      </c>
      <c r="J5" s="369"/>
      <c r="K5" s="372"/>
    </row>
    <row r="6" spans="1:13" x14ac:dyDescent="0.2">
      <c r="A6" s="373" t="s">
        <v>90</v>
      </c>
      <c r="B6" s="374" t="s">
        <v>119</v>
      </c>
      <c r="C6" s="375" t="s">
        <v>122</v>
      </c>
      <c r="D6" s="375"/>
      <c r="E6" s="375"/>
      <c r="F6" s="376"/>
      <c r="G6" s="375" t="s">
        <v>119</v>
      </c>
      <c r="H6" s="375" t="s">
        <v>122</v>
      </c>
      <c r="I6" s="375"/>
      <c r="J6" s="375"/>
      <c r="K6" s="377"/>
    </row>
    <row r="7" spans="1:13" ht="13.5" thickBot="1" x14ac:dyDescent="0.25">
      <c r="A7" s="378"/>
      <c r="B7" s="379" t="s">
        <v>123</v>
      </c>
      <c r="C7" s="379" t="s">
        <v>125</v>
      </c>
      <c r="D7" s="379" t="s">
        <v>21</v>
      </c>
      <c r="E7" s="379" t="s">
        <v>22</v>
      </c>
      <c r="F7" s="380" t="s">
        <v>23</v>
      </c>
      <c r="G7" s="381" t="s">
        <v>123</v>
      </c>
      <c r="H7" s="379" t="s">
        <v>125</v>
      </c>
      <c r="I7" s="379" t="s">
        <v>21</v>
      </c>
      <c r="J7" s="379" t="s">
        <v>22</v>
      </c>
      <c r="K7" s="382" t="s">
        <v>23</v>
      </c>
    </row>
    <row r="8" spans="1:13" x14ac:dyDescent="0.2">
      <c r="A8" s="366"/>
      <c r="B8" s="383"/>
      <c r="C8" s="383"/>
      <c r="D8" s="383"/>
      <c r="E8" s="383"/>
      <c r="F8" s="384"/>
      <c r="G8" s="383"/>
      <c r="H8" s="383"/>
      <c r="I8" s="383"/>
      <c r="J8" s="383"/>
      <c r="M8" s="362" t="s">
        <v>612</v>
      </c>
    </row>
    <row r="9" spans="1:13" x14ac:dyDescent="0.2">
      <c r="A9" s="366">
        <v>1973</v>
      </c>
      <c r="B9" s="383">
        <v>1525</v>
      </c>
      <c r="C9" s="383">
        <v>1450</v>
      </c>
      <c r="D9" s="383">
        <v>1445</v>
      </c>
      <c r="E9" s="383">
        <v>1555</v>
      </c>
      <c r="F9" s="384">
        <v>1575</v>
      </c>
      <c r="G9" s="383">
        <v>1660</v>
      </c>
      <c r="H9" s="383">
        <v>1595</v>
      </c>
      <c r="I9" s="383">
        <v>1615</v>
      </c>
      <c r="J9" s="383">
        <v>1670</v>
      </c>
      <c r="K9" s="362">
        <v>1715</v>
      </c>
      <c r="M9" s="385">
        <f>G9/B9</f>
        <v>1.0885245901639344</v>
      </c>
    </row>
    <row r="10" spans="1:13" x14ac:dyDescent="0.2">
      <c r="A10" s="366">
        <v>1974</v>
      </c>
      <c r="B10" s="383">
        <v>1560</v>
      </c>
      <c r="C10" s="383">
        <v>1465</v>
      </c>
      <c r="D10" s="383">
        <v>1490</v>
      </c>
      <c r="E10" s="383">
        <v>1640</v>
      </c>
      <c r="F10" s="384">
        <v>1540</v>
      </c>
      <c r="G10" s="383">
        <v>1695</v>
      </c>
      <c r="H10" s="383">
        <v>1600</v>
      </c>
      <c r="I10" s="383">
        <v>1660</v>
      </c>
      <c r="J10" s="383">
        <v>1760</v>
      </c>
      <c r="K10" s="362">
        <v>1660</v>
      </c>
      <c r="M10" s="385">
        <f t="shared" ref="M10:M54" si="0">G10/B10</f>
        <v>1.0865384615384615</v>
      </c>
    </row>
    <row r="11" spans="1:13" x14ac:dyDescent="0.2">
      <c r="A11" s="366">
        <v>1975</v>
      </c>
      <c r="B11" s="383">
        <v>1535</v>
      </c>
      <c r="C11" s="383">
        <v>1405</v>
      </c>
      <c r="D11" s="383">
        <v>1460</v>
      </c>
      <c r="E11" s="383">
        <v>1605</v>
      </c>
      <c r="F11" s="384">
        <v>1510</v>
      </c>
      <c r="G11" s="383">
        <v>1645</v>
      </c>
      <c r="H11" s="383">
        <v>1575</v>
      </c>
      <c r="I11" s="383">
        <v>1580</v>
      </c>
      <c r="J11" s="383">
        <v>1705</v>
      </c>
      <c r="K11" s="362">
        <v>1635</v>
      </c>
      <c r="M11" s="385">
        <f t="shared" si="0"/>
        <v>1.0716612377850163</v>
      </c>
    </row>
    <row r="12" spans="1:13" x14ac:dyDescent="0.2">
      <c r="A12" s="366">
        <v>1976</v>
      </c>
      <c r="B12" s="383">
        <v>1590</v>
      </c>
      <c r="C12" s="383">
        <v>1505</v>
      </c>
      <c r="D12" s="383">
        <v>1495</v>
      </c>
      <c r="E12" s="383">
        <v>1660</v>
      </c>
      <c r="F12" s="384">
        <v>1565</v>
      </c>
      <c r="G12" s="383">
        <v>1700</v>
      </c>
      <c r="H12" s="383">
        <v>1630</v>
      </c>
      <c r="I12" s="383">
        <v>1655</v>
      </c>
      <c r="J12" s="383">
        <v>1755</v>
      </c>
      <c r="K12" s="362">
        <v>1685</v>
      </c>
      <c r="M12" s="385">
        <f t="shared" si="0"/>
        <v>1.0691823899371069</v>
      </c>
    </row>
    <row r="13" spans="1:13" x14ac:dyDescent="0.2">
      <c r="A13" s="366">
        <v>1977</v>
      </c>
      <c r="B13" s="383">
        <v>1610</v>
      </c>
      <c r="C13" s="383">
        <v>1540</v>
      </c>
      <c r="D13" s="383">
        <v>1540</v>
      </c>
      <c r="E13" s="383">
        <v>1660</v>
      </c>
      <c r="F13" s="384">
        <v>1615</v>
      </c>
      <c r="G13" s="383">
        <v>1720</v>
      </c>
      <c r="H13" s="383">
        <v>1650</v>
      </c>
      <c r="I13" s="383">
        <v>1650</v>
      </c>
      <c r="J13" s="383">
        <v>1770</v>
      </c>
      <c r="K13" s="362">
        <v>1730</v>
      </c>
      <c r="M13" s="385">
        <f t="shared" si="0"/>
        <v>1.0683229813664596</v>
      </c>
    </row>
    <row r="14" spans="1:13" x14ac:dyDescent="0.2">
      <c r="A14" s="366">
        <v>1978</v>
      </c>
      <c r="B14" s="383">
        <v>1655</v>
      </c>
      <c r="C14" s="383">
        <v>1640</v>
      </c>
      <c r="D14" s="383">
        <v>1615</v>
      </c>
      <c r="E14" s="383">
        <v>1685</v>
      </c>
      <c r="F14" s="384">
        <v>1630</v>
      </c>
      <c r="G14" s="383">
        <v>1755</v>
      </c>
      <c r="H14" s="383">
        <v>1730</v>
      </c>
      <c r="I14" s="383">
        <v>1730</v>
      </c>
      <c r="J14" s="383">
        <v>1785</v>
      </c>
      <c r="K14" s="362">
        <v>1740</v>
      </c>
      <c r="M14" s="385">
        <f t="shared" si="0"/>
        <v>1.0604229607250755</v>
      </c>
    </row>
    <row r="15" spans="1:13" x14ac:dyDescent="0.2">
      <c r="A15" s="366">
        <v>1979</v>
      </c>
      <c r="B15" s="383">
        <v>1645</v>
      </c>
      <c r="C15" s="383">
        <v>1690</v>
      </c>
      <c r="D15" s="383">
        <v>1605</v>
      </c>
      <c r="E15" s="383">
        <v>1675</v>
      </c>
      <c r="F15" s="384">
        <v>1625</v>
      </c>
      <c r="G15" s="383">
        <v>1760</v>
      </c>
      <c r="H15" s="383">
        <v>1795</v>
      </c>
      <c r="I15" s="383">
        <v>1720</v>
      </c>
      <c r="J15" s="383">
        <v>1795</v>
      </c>
      <c r="K15" s="362">
        <v>1730</v>
      </c>
      <c r="M15" s="385">
        <f t="shared" si="0"/>
        <v>1.0699088145896656</v>
      </c>
    </row>
    <row r="16" spans="1:13" x14ac:dyDescent="0.2">
      <c r="A16" s="366">
        <v>1980</v>
      </c>
      <c r="B16" s="383">
        <v>1595</v>
      </c>
      <c r="C16" s="383">
        <v>1660</v>
      </c>
      <c r="D16" s="383">
        <v>1520</v>
      </c>
      <c r="E16" s="383">
        <v>1615</v>
      </c>
      <c r="F16" s="384">
        <v>1570</v>
      </c>
      <c r="G16" s="383">
        <v>1740</v>
      </c>
      <c r="H16" s="383">
        <v>1770</v>
      </c>
      <c r="I16" s="383">
        <v>1685</v>
      </c>
      <c r="J16" s="383">
        <v>1750</v>
      </c>
      <c r="K16" s="362">
        <v>1735</v>
      </c>
      <c r="M16" s="385">
        <f t="shared" si="0"/>
        <v>1.0909090909090908</v>
      </c>
    </row>
    <row r="17" spans="1:13" x14ac:dyDescent="0.2">
      <c r="A17" s="366">
        <v>1981</v>
      </c>
      <c r="B17" s="383">
        <v>1550</v>
      </c>
      <c r="C17" s="383">
        <v>1655</v>
      </c>
      <c r="D17" s="383">
        <v>1480</v>
      </c>
      <c r="E17" s="383">
        <v>1540</v>
      </c>
      <c r="F17" s="384">
        <v>1580</v>
      </c>
      <c r="G17" s="383">
        <v>1720</v>
      </c>
      <c r="H17" s="383">
        <v>1805</v>
      </c>
      <c r="I17" s="383">
        <v>1670</v>
      </c>
      <c r="J17" s="383">
        <v>1715</v>
      </c>
      <c r="K17" s="362">
        <v>1735</v>
      </c>
      <c r="M17" s="385">
        <f t="shared" si="0"/>
        <v>1.1096774193548387</v>
      </c>
    </row>
    <row r="18" spans="1:13" x14ac:dyDescent="0.2">
      <c r="A18" s="366">
        <v>1982</v>
      </c>
      <c r="B18" s="383">
        <v>1520</v>
      </c>
      <c r="C18" s="383">
        <v>1605</v>
      </c>
      <c r="D18" s="383">
        <v>1405</v>
      </c>
      <c r="E18" s="383">
        <v>1500</v>
      </c>
      <c r="F18" s="384">
        <v>1595</v>
      </c>
      <c r="G18" s="383">
        <v>1710</v>
      </c>
      <c r="H18" s="383">
        <v>1755</v>
      </c>
      <c r="I18" s="383">
        <v>1655</v>
      </c>
      <c r="J18" s="383">
        <v>1700</v>
      </c>
      <c r="K18" s="362">
        <v>1740</v>
      </c>
      <c r="M18" s="385">
        <f t="shared" si="0"/>
        <v>1.125</v>
      </c>
    </row>
    <row r="19" spans="1:13" x14ac:dyDescent="0.2">
      <c r="A19" s="366">
        <v>1983</v>
      </c>
      <c r="B19" s="383">
        <v>1565</v>
      </c>
      <c r="C19" s="383">
        <v>1650</v>
      </c>
      <c r="D19" s="383">
        <v>1515</v>
      </c>
      <c r="E19" s="383">
        <v>1565</v>
      </c>
      <c r="F19" s="384">
        <v>1545</v>
      </c>
      <c r="G19" s="383">
        <v>1725</v>
      </c>
      <c r="H19" s="383">
        <v>1795</v>
      </c>
      <c r="I19" s="383">
        <v>1735</v>
      </c>
      <c r="J19" s="383">
        <v>1720</v>
      </c>
      <c r="K19" s="362">
        <v>1695</v>
      </c>
      <c r="M19" s="385">
        <f t="shared" si="0"/>
        <v>1.1022364217252396</v>
      </c>
    </row>
    <row r="20" spans="1:13" x14ac:dyDescent="0.2">
      <c r="A20" s="366">
        <v>1984</v>
      </c>
      <c r="B20" s="383">
        <v>1605</v>
      </c>
      <c r="C20" s="383">
        <v>1665</v>
      </c>
      <c r="D20" s="383">
        <v>1600</v>
      </c>
      <c r="E20" s="383">
        <v>1590</v>
      </c>
      <c r="F20" s="384">
        <v>1610</v>
      </c>
      <c r="G20" s="383">
        <v>1780</v>
      </c>
      <c r="H20" s="383">
        <v>1860</v>
      </c>
      <c r="I20" s="383">
        <v>1800</v>
      </c>
      <c r="J20" s="383">
        <v>1750</v>
      </c>
      <c r="K20" s="362">
        <v>1785</v>
      </c>
      <c r="M20" s="385">
        <f t="shared" si="0"/>
        <v>1.1090342679127725</v>
      </c>
    </row>
    <row r="21" spans="1:13" x14ac:dyDescent="0.2">
      <c r="A21" s="366">
        <v>1985</v>
      </c>
      <c r="B21" s="383">
        <v>1605</v>
      </c>
      <c r="C21" s="383">
        <v>1655</v>
      </c>
      <c r="D21" s="383">
        <v>1625</v>
      </c>
      <c r="E21" s="383">
        <v>1590</v>
      </c>
      <c r="F21" s="384">
        <v>1595</v>
      </c>
      <c r="G21" s="383">
        <v>1785</v>
      </c>
      <c r="H21" s="383">
        <v>1830</v>
      </c>
      <c r="I21" s="383">
        <v>1820</v>
      </c>
      <c r="J21" s="383">
        <v>1765</v>
      </c>
      <c r="K21" s="362">
        <v>1770</v>
      </c>
      <c r="M21" s="385">
        <f t="shared" si="0"/>
        <v>1.1121495327102804</v>
      </c>
    </row>
    <row r="22" spans="1:13" x14ac:dyDescent="0.2">
      <c r="A22" s="366">
        <v>1986</v>
      </c>
      <c r="B22" s="383">
        <v>1660</v>
      </c>
      <c r="C22" s="383">
        <v>1695</v>
      </c>
      <c r="D22" s="383">
        <v>1685</v>
      </c>
      <c r="E22" s="383">
        <v>1655</v>
      </c>
      <c r="F22" s="384">
        <v>1635</v>
      </c>
      <c r="G22" s="383">
        <v>1825</v>
      </c>
      <c r="H22" s="383">
        <v>1850</v>
      </c>
      <c r="I22" s="383">
        <v>1855</v>
      </c>
      <c r="J22" s="383">
        <v>1825</v>
      </c>
      <c r="K22" s="362">
        <v>1800</v>
      </c>
      <c r="M22" s="385">
        <f t="shared" si="0"/>
        <v>1.0993975903614457</v>
      </c>
    </row>
    <row r="23" spans="1:13" x14ac:dyDescent="0.2">
      <c r="A23" s="366">
        <v>1987</v>
      </c>
      <c r="B23" s="383">
        <v>1755</v>
      </c>
      <c r="C23" s="383">
        <v>1840</v>
      </c>
      <c r="D23" s="383">
        <v>1740</v>
      </c>
      <c r="E23" s="383">
        <v>1755</v>
      </c>
      <c r="F23" s="384">
        <v>1730</v>
      </c>
      <c r="G23" s="383">
        <v>1905</v>
      </c>
      <c r="H23" s="383">
        <v>1955</v>
      </c>
      <c r="I23" s="383">
        <v>1890</v>
      </c>
      <c r="J23" s="383">
        <v>1915</v>
      </c>
      <c r="K23" s="362">
        <v>1870</v>
      </c>
      <c r="M23" s="385">
        <f t="shared" si="0"/>
        <v>1.0854700854700854</v>
      </c>
    </row>
    <row r="24" spans="1:13" x14ac:dyDescent="0.2">
      <c r="A24" s="366">
        <v>1988</v>
      </c>
      <c r="B24" s="383">
        <v>1810</v>
      </c>
      <c r="C24" s="383">
        <v>1810</v>
      </c>
      <c r="D24" s="383">
        <v>1840</v>
      </c>
      <c r="E24" s="383">
        <v>1790</v>
      </c>
      <c r="F24" s="384">
        <v>1845</v>
      </c>
      <c r="G24" s="383">
        <v>1995</v>
      </c>
      <c r="H24" s="383">
        <v>2005</v>
      </c>
      <c r="I24" s="383">
        <v>2015</v>
      </c>
      <c r="J24" s="383">
        <v>1985</v>
      </c>
      <c r="K24" s="362">
        <v>1995</v>
      </c>
      <c r="M24" s="385">
        <f t="shared" si="0"/>
        <v>1.1022099447513811</v>
      </c>
    </row>
    <row r="25" spans="1:13" x14ac:dyDescent="0.2">
      <c r="A25" s="366">
        <v>1989</v>
      </c>
      <c r="B25" s="383">
        <v>1850</v>
      </c>
      <c r="C25" s="383">
        <v>1870</v>
      </c>
      <c r="D25" s="383">
        <v>1800</v>
      </c>
      <c r="E25" s="383">
        <v>1815</v>
      </c>
      <c r="F25" s="384">
        <v>1910</v>
      </c>
      <c r="G25" s="383">
        <v>2035</v>
      </c>
      <c r="H25" s="383">
        <v>2075</v>
      </c>
      <c r="I25" s="383">
        <v>1970</v>
      </c>
      <c r="J25" s="383">
        <v>2030</v>
      </c>
      <c r="K25" s="362">
        <v>2065</v>
      </c>
      <c r="M25" s="385">
        <f t="shared" si="0"/>
        <v>1.1000000000000001</v>
      </c>
    </row>
    <row r="26" spans="1:13" x14ac:dyDescent="0.2">
      <c r="A26" s="366">
        <v>1990</v>
      </c>
      <c r="B26" s="383">
        <v>1905</v>
      </c>
      <c r="C26" s="383">
        <v>1955</v>
      </c>
      <c r="D26" s="383">
        <v>1850</v>
      </c>
      <c r="E26" s="383">
        <v>1855</v>
      </c>
      <c r="F26" s="384">
        <v>1985</v>
      </c>
      <c r="G26" s="383">
        <v>2080</v>
      </c>
      <c r="H26" s="383">
        <v>2105</v>
      </c>
      <c r="I26" s="383">
        <v>2005</v>
      </c>
      <c r="J26" s="383">
        <v>2055</v>
      </c>
      <c r="K26" s="362">
        <v>2160</v>
      </c>
      <c r="M26" s="385">
        <f t="shared" si="0"/>
        <v>1.0918635170603674</v>
      </c>
    </row>
    <row r="27" spans="1:13" x14ac:dyDescent="0.2">
      <c r="A27" s="366">
        <v>1991</v>
      </c>
      <c r="B27" s="383">
        <v>1890</v>
      </c>
      <c r="C27" s="383">
        <v>1950</v>
      </c>
      <c r="D27" s="383">
        <v>1800</v>
      </c>
      <c r="E27" s="383">
        <v>1870</v>
      </c>
      <c r="F27" s="384">
        <v>1980</v>
      </c>
      <c r="G27" s="383">
        <v>2075</v>
      </c>
      <c r="H27" s="383">
        <v>2105</v>
      </c>
      <c r="I27" s="383">
        <v>1990</v>
      </c>
      <c r="J27" s="383">
        <v>2065</v>
      </c>
      <c r="K27" s="362">
        <v>2155</v>
      </c>
      <c r="M27" s="385">
        <f t="shared" si="0"/>
        <v>1.0978835978835979</v>
      </c>
    </row>
    <row r="28" spans="1:13" x14ac:dyDescent="0.2">
      <c r="A28" s="366">
        <v>1992</v>
      </c>
      <c r="B28" s="383">
        <v>1920</v>
      </c>
      <c r="C28" s="383">
        <v>2000</v>
      </c>
      <c r="D28" s="383">
        <v>1870</v>
      </c>
      <c r="E28" s="383">
        <v>1945</v>
      </c>
      <c r="F28" s="384">
        <v>1890</v>
      </c>
      <c r="G28" s="383">
        <v>2095</v>
      </c>
      <c r="H28" s="383">
        <v>2115</v>
      </c>
      <c r="I28" s="383">
        <v>2020</v>
      </c>
      <c r="J28" s="383">
        <v>2130</v>
      </c>
      <c r="K28" s="362">
        <v>2090</v>
      </c>
      <c r="M28" s="385">
        <f t="shared" si="0"/>
        <v>1.0911458333333333</v>
      </c>
    </row>
    <row r="29" spans="1:13" x14ac:dyDescent="0.2">
      <c r="A29" s="366">
        <v>1993</v>
      </c>
      <c r="B29" s="383">
        <v>1945</v>
      </c>
      <c r="C29" s="383">
        <v>2050</v>
      </c>
      <c r="D29" s="383">
        <v>1855</v>
      </c>
      <c r="E29" s="383">
        <v>2000</v>
      </c>
      <c r="F29" s="384">
        <v>1845</v>
      </c>
      <c r="G29" s="383">
        <v>2095</v>
      </c>
      <c r="H29" s="383">
        <v>2160</v>
      </c>
      <c r="I29" s="383">
        <v>2025</v>
      </c>
      <c r="J29" s="383">
        <v>2150</v>
      </c>
      <c r="K29" s="362">
        <v>2050</v>
      </c>
      <c r="M29" s="385">
        <f t="shared" si="0"/>
        <v>1.0771208226221081</v>
      </c>
    </row>
    <row r="30" spans="1:13" x14ac:dyDescent="0.2">
      <c r="A30" s="366">
        <v>1994</v>
      </c>
      <c r="B30" s="383">
        <v>1940</v>
      </c>
      <c r="C30" s="383">
        <v>2035</v>
      </c>
      <c r="D30" s="383">
        <v>1850</v>
      </c>
      <c r="E30" s="383">
        <v>2000</v>
      </c>
      <c r="F30" s="384">
        <v>1835</v>
      </c>
      <c r="G30" s="383">
        <v>2100</v>
      </c>
      <c r="H30" s="383">
        <v>2195</v>
      </c>
      <c r="I30" s="383">
        <v>2025</v>
      </c>
      <c r="J30" s="383">
        <v>2165</v>
      </c>
      <c r="K30" s="362">
        <v>2025</v>
      </c>
      <c r="M30" s="385">
        <f t="shared" si="0"/>
        <v>1.0824742268041236</v>
      </c>
    </row>
    <row r="31" spans="1:13" x14ac:dyDescent="0.2">
      <c r="A31" s="366">
        <v>1995</v>
      </c>
      <c r="B31" s="383">
        <v>1920</v>
      </c>
      <c r="C31" s="383">
        <v>2095</v>
      </c>
      <c r="D31" s="383">
        <v>1850</v>
      </c>
      <c r="E31" s="383">
        <v>1945</v>
      </c>
      <c r="F31" s="384">
        <v>1835</v>
      </c>
      <c r="G31" s="383">
        <v>2095</v>
      </c>
      <c r="H31" s="383">
        <v>2240</v>
      </c>
      <c r="I31" s="383">
        <v>2020</v>
      </c>
      <c r="J31" s="383">
        <v>2125</v>
      </c>
      <c r="K31" s="362">
        <v>2045</v>
      </c>
      <c r="M31" s="385">
        <f t="shared" si="0"/>
        <v>1.0911458333333333</v>
      </c>
    </row>
    <row r="32" spans="1:13" x14ac:dyDescent="0.2">
      <c r="A32" s="366">
        <v>1996</v>
      </c>
      <c r="B32" s="383">
        <v>1950</v>
      </c>
      <c r="C32" s="383">
        <v>2100</v>
      </c>
      <c r="D32" s="383">
        <v>1900</v>
      </c>
      <c r="E32" s="383">
        <v>1995</v>
      </c>
      <c r="F32" s="384">
        <v>1890</v>
      </c>
      <c r="G32" s="383">
        <v>2120</v>
      </c>
      <c r="H32" s="383">
        <v>2280</v>
      </c>
      <c r="I32" s="383">
        <v>2025</v>
      </c>
      <c r="J32" s="383">
        <v>2160</v>
      </c>
      <c r="K32" s="362">
        <v>2070</v>
      </c>
      <c r="M32" s="385">
        <f t="shared" si="0"/>
        <v>1.0871794871794871</v>
      </c>
    </row>
    <row r="33" spans="1:13" x14ac:dyDescent="0.2">
      <c r="A33" s="366">
        <v>1997</v>
      </c>
      <c r="B33" s="383">
        <v>1975</v>
      </c>
      <c r="C33" s="383">
        <v>2130</v>
      </c>
      <c r="D33" s="383">
        <v>1900</v>
      </c>
      <c r="E33" s="383">
        <v>2000</v>
      </c>
      <c r="F33" s="384">
        <v>1930</v>
      </c>
      <c r="G33" s="383">
        <v>2150</v>
      </c>
      <c r="H33" s="383">
        <v>2265</v>
      </c>
      <c r="I33" s="383">
        <v>2065</v>
      </c>
      <c r="J33" s="383">
        <v>2175</v>
      </c>
      <c r="K33" s="362">
        <v>2135</v>
      </c>
      <c r="M33" s="385">
        <f t="shared" si="0"/>
        <v>1.0886075949367089</v>
      </c>
    </row>
    <row r="34" spans="1:13" x14ac:dyDescent="0.2">
      <c r="A34" s="366">
        <v>1998</v>
      </c>
      <c r="B34" s="383">
        <v>2000</v>
      </c>
      <c r="C34" s="383">
        <v>2100</v>
      </c>
      <c r="D34" s="383">
        <v>1945</v>
      </c>
      <c r="E34" s="383">
        <v>2000</v>
      </c>
      <c r="F34" s="384">
        <v>1985</v>
      </c>
      <c r="G34" s="383">
        <v>2190</v>
      </c>
      <c r="H34" s="383">
        <v>2270</v>
      </c>
      <c r="I34" s="383">
        <v>2125</v>
      </c>
      <c r="J34" s="383">
        <v>2200</v>
      </c>
      <c r="K34" s="362">
        <v>2200</v>
      </c>
      <c r="M34" s="385">
        <f t="shared" si="0"/>
        <v>1.095</v>
      </c>
    </row>
    <row r="35" spans="1:13" x14ac:dyDescent="0.2">
      <c r="A35" s="366">
        <v>1999</v>
      </c>
      <c r="B35" s="383">
        <v>2028</v>
      </c>
      <c r="C35" s="383">
        <v>2175</v>
      </c>
      <c r="D35" s="383">
        <v>1937</v>
      </c>
      <c r="E35" s="383">
        <v>2044</v>
      </c>
      <c r="F35" s="384">
        <v>2001</v>
      </c>
      <c r="G35" s="383">
        <v>2223</v>
      </c>
      <c r="H35" s="383">
        <v>2298</v>
      </c>
      <c r="I35" s="383">
        <v>2135</v>
      </c>
      <c r="J35" s="383">
        <v>2244</v>
      </c>
      <c r="K35" s="362">
        <v>2234</v>
      </c>
      <c r="M35" s="385">
        <f t="shared" si="0"/>
        <v>1.0961538461538463</v>
      </c>
    </row>
    <row r="36" spans="1:13" x14ac:dyDescent="0.2">
      <c r="A36" s="366">
        <v>2000</v>
      </c>
      <c r="B36" s="383">
        <v>2057</v>
      </c>
      <c r="C36" s="383">
        <v>2266</v>
      </c>
      <c r="D36" s="383">
        <v>1971</v>
      </c>
      <c r="E36" s="383">
        <v>2075</v>
      </c>
      <c r="F36" s="384">
        <v>2014</v>
      </c>
      <c r="G36" s="383">
        <v>2266</v>
      </c>
      <c r="H36" s="383">
        <v>2435</v>
      </c>
      <c r="I36" s="383">
        <v>2170</v>
      </c>
      <c r="J36" s="383">
        <v>2287</v>
      </c>
      <c r="K36" s="362">
        <v>2244</v>
      </c>
      <c r="M36" s="385">
        <f t="shared" si="0"/>
        <v>1.1016042780748663</v>
      </c>
    </row>
    <row r="37" spans="1:13" x14ac:dyDescent="0.2">
      <c r="A37" s="366">
        <v>2001</v>
      </c>
      <c r="B37" s="383">
        <v>2103</v>
      </c>
      <c r="C37" s="383">
        <v>2305</v>
      </c>
      <c r="D37" s="383">
        <v>1965</v>
      </c>
      <c r="E37" s="383">
        <v>2128</v>
      </c>
      <c r="F37" s="384">
        <v>2080</v>
      </c>
      <c r="G37" s="383">
        <v>2324</v>
      </c>
      <c r="H37" s="383">
        <v>2466</v>
      </c>
      <c r="I37" s="383">
        <v>2209</v>
      </c>
      <c r="J37" s="383">
        <v>2351</v>
      </c>
      <c r="K37" s="362">
        <v>2317</v>
      </c>
      <c r="M37" s="385">
        <f t="shared" si="0"/>
        <v>1.1050879695672848</v>
      </c>
    </row>
    <row r="38" spans="1:13" x14ac:dyDescent="0.2">
      <c r="A38" s="366">
        <v>2002</v>
      </c>
      <c r="B38" s="383">
        <v>2114</v>
      </c>
      <c r="C38" s="383">
        <v>2330</v>
      </c>
      <c r="D38" s="383">
        <v>1979</v>
      </c>
      <c r="E38" s="383">
        <v>2120</v>
      </c>
      <c r="F38" s="384">
        <v>2127</v>
      </c>
      <c r="G38" s="383">
        <v>2320</v>
      </c>
      <c r="H38" s="383">
        <v>2516</v>
      </c>
      <c r="I38" s="383">
        <v>2209</v>
      </c>
      <c r="J38" s="383">
        <v>2317</v>
      </c>
      <c r="K38" s="362">
        <v>2350</v>
      </c>
      <c r="M38" s="385">
        <f t="shared" si="0"/>
        <v>1.0974456007568589</v>
      </c>
    </row>
    <row r="39" spans="1:13" x14ac:dyDescent="0.2">
      <c r="A39" s="366">
        <v>2003</v>
      </c>
      <c r="B39" s="383">
        <v>2137</v>
      </c>
      <c r="C39" s="383">
        <v>2288</v>
      </c>
      <c r="D39" s="383">
        <v>1998</v>
      </c>
      <c r="E39" s="383">
        <v>2142</v>
      </c>
      <c r="F39" s="384">
        <v>2166</v>
      </c>
      <c r="G39" s="383">
        <v>2330</v>
      </c>
      <c r="H39" s="383">
        <v>2443</v>
      </c>
      <c r="I39" s="383">
        <v>2198</v>
      </c>
      <c r="J39" s="383">
        <v>2335</v>
      </c>
      <c r="K39" s="362">
        <v>2387</v>
      </c>
      <c r="M39" s="385">
        <f t="shared" si="0"/>
        <v>1.0903135236312587</v>
      </c>
    </row>
    <row r="40" spans="1:13" x14ac:dyDescent="0.2">
      <c r="A40" s="366">
        <v>2004</v>
      </c>
      <c r="B40" s="383">
        <v>2140</v>
      </c>
      <c r="C40" s="383">
        <v>2361</v>
      </c>
      <c r="D40" s="383">
        <v>1993</v>
      </c>
      <c r="E40" s="383">
        <v>2164</v>
      </c>
      <c r="F40" s="384">
        <v>2149</v>
      </c>
      <c r="G40" s="383">
        <v>2349</v>
      </c>
      <c r="H40" s="383">
        <v>2543</v>
      </c>
      <c r="I40" s="383">
        <v>2222</v>
      </c>
      <c r="J40" s="383">
        <v>2368</v>
      </c>
      <c r="K40" s="362">
        <v>2352</v>
      </c>
      <c r="M40" s="385">
        <f t="shared" si="0"/>
        <v>1.0976635514018691</v>
      </c>
    </row>
    <row r="41" spans="1:13" x14ac:dyDescent="0.2">
      <c r="A41" s="366">
        <v>2005</v>
      </c>
      <c r="B41" s="383">
        <v>2227</v>
      </c>
      <c r="C41" s="383">
        <v>2339</v>
      </c>
      <c r="D41" s="383">
        <v>2054</v>
      </c>
      <c r="E41" s="383">
        <v>2259</v>
      </c>
      <c r="F41" s="384">
        <v>2236</v>
      </c>
      <c r="G41" s="383">
        <v>2434</v>
      </c>
      <c r="H41" s="383">
        <v>2556</v>
      </c>
      <c r="I41" s="383">
        <v>2310</v>
      </c>
      <c r="J41" s="383">
        <v>2463</v>
      </c>
      <c r="K41" s="362">
        <v>2434</v>
      </c>
      <c r="M41" s="385">
        <f t="shared" si="0"/>
        <v>1.0929501571621014</v>
      </c>
    </row>
    <row r="42" spans="1:13" x14ac:dyDescent="0.2">
      <c r="A42" s="366">
        <v>2006</v>
      </c>
      <c r="B42" s="383">
        <v>2248</v>
      </c>
      <c r="C42" s="383">
        <v>2395</v>
      </c>
      <c r="D42" s="383">
        <v>2035</v>
      </c>
      <c r="E42" s="383">
        <v>2286</v>
      </c>
      <c r="F42" s="384">
        <v>2275</v>
      </c>
      <c r="G42" s="383">
        <v>2469</v>
      </c>
      <c r="H42" s="383">
        <v>2612</v>
      </c>
      <c r="I42" s="383">
        <v>2290</v>
      </c>
      <c r="J42" s="383">
        <v>2499</v>
      </c>
      <c r="K42" s="362">
        <v>2488</v>
      </c>
      <c r="M42" s="385">
        <f t="shared" si="0"/>
        <v>1.0983096085409252</v>
      </c>
    </row>
    <row r="43" spans="1:13" x14ac:dyDescent="0.2">
      <c r="A43" s="366">
        <v>2007</v>
      </c>
      <c r="B43" s="383">
        <v>2277</v>
      </c>
      <c r="C43" s="383">
        <v>2281</v>
      </c>
      <c r="D43" s="383">
        <v>2064</v>
      </c>
      <c r="E43" s="383">
        <v>2325</v>
      </c>
      <c r="F43" s="384">
        <v>2286</v>
      </c>
      <c r="G43" s="383">
        <v>2521</v>
      </c>
      <c r="H43" s="383">
        <v>2550</v>
      </c>
      <c r="I43" s="383">
        <v>2328</v>
      </c>
      <c r="J43" s="383">
        <v>2573</v>
      </c>
      <c r="K43" s="362">
        <v>2524</v>
      </c>
      <c r="M43" s="385">
        <f t="shared" si="0"/>
        <v>1.1071585419411507</v>
      </c>
    </row>
    <row r="44" spans="1:13" x14ac:dyDescent="0.2">
      <c r="A44" s="366">
        <v>2008</v>
      </c>
      <c r="B44" s="383">
        <v>2215</v>
      </c>
      <c r="C44" s="383">
        <v>2312</v>
      </c>
      <c r="D44" s="383">
        <v>2019</v>
      </c>
      <c r="E44" s="383">
        <v>2266</v>
      </c>
      <c r="F44" s="384">
        <v>2216</v>
      </c>
      <c r="G44" s="383">
        <v>2519</v>
      </c>
      <c r="H44" s="383">
        <v>2651</v>
      </c>
      <c r="I44" s="383">
        <v>2331</v>
      </c>
      <c r="J44" s="383">
        <v>2564</v>
      </c>
      <c r="K44" s="362">
        <v>2508</v>
      </c>
      <c r="M44" s="385">
        <f t="shared" si="0"/>
        <v>1.1372460496613996</v>
      </c>
    </row>
    <row r="45" spans="1:13" x14ac:dyDescent="0.2">
      <c r="A45" s="366">
        <v>2009</v>
      </c>
      <c r="B45" s="383">
        <v>2135</v>
      </c>
      <c r="C45" s="383">
        <v>2211</v>
      </c>
      <c r="D45" s="383">
        <v>1931</v>
      </c>
      <c r="E45" s="383">
        <v>2198</v>
      </c>
      <c r="F45" s="384">
        <v>2140</v>
      </c>
      <c r="G45" s="383">
        <v>2438</v>
      </c>
      <c r="H45" s="383">
        <v>2594</v>
      </c>
      <c r="I45" s="383">
        <v>2216</v>
      </c>
      <c r="J45" s="383">
        <v>2488</v>
      </c>
      <c r="K45" s="362">
        <v>2434</v>
      </c>
      <c r="M45" s="385">
        <f t="shared" si="0"/>
        <v>1.1419203747072599</v>
      </c>
    </row>
    <row r="46" spans="1:13" x14ac:dyDescent="0.2">
      <c r="A46" s="366">
        <v>2010</v>
      </c>
      <c r="B46" s="383">
        <v>2169</v>
      </c>
      <c r="C46" s="383">
        <v>2336</v>
      </c>
      <c r="D46" s="383">
        <v>2001</v>
      </c>
      <c r="E46" s="383">
        <v>2184</v>
      </c>
      <c r="F46" s="384">
        <v>2143</v>
      </c>
      <c r="G46" s="383">
        <v>2392</v>
      </c>
      <c r="H46" s="383">
        <v>2613</v>
      </c>
      <c r="I46" s="383">
        <v>2265</v>
      </c>
      <c r="J46" s="383">
        <v>2393</v>
      </c>
      <c r="K46" s="362">
        <v>2386</v>
      </c>
      <c r="M46" s="385">
        <f t="shared" si="0"/>
        <v>1.1028123559243892</v>
      </c>
    </row>
    <row r="47" spans="1:13" x14ac:dyDescent="0.2">
      <c r="A47" s="366">
        <v>2011</v>
      </c>
      <c r="B47" s="383">
        <v>2233</v>
      </c>
      <c r="C47" s="383">
        <v>2335</v>
      </c>
      <c r="D47" s="383">
        <v>2015</v>
      </c>
      <c r="E47" s="383">
        <v>2303</v>
      </c>
      <c r="F47" s="384">
        <v>2199</v>
      </c>
      <c r="G47" s="383">
        <v>2480</v>
      </c>
      <c r="H47" s="383">
        <v>2559</v>
      </c>
      <c r="I47" s="383">
        <v>2287</v>
      </c>
      <c r="J47" s="383">
        <v>2538</v>
      </c>
      <c r="K47" s="362">
        <v>2457</v>
      </c>
      <c r="M47" s="385">
        <f t="shared" si="0"/>
        <v>1.1106135244066278</v>
      </c>
    </row>
    <row r="48" spans="1:13" x14ac:dyDescent="0.2">
      <c r="A48" s="366">
        <v>2012</v>
      </c>
      <c r="B48" s="383">
        <v>2306</v>
      </c>
      <c r="C48" s="383">
        <v>2302</v>
      </c>
      <c r="D48" s="383">
        <v>2150</v>
      </c>
      <c r="E48" s="383">
        <v>2381</v>
      </c>
      <c r="F48" s="384">
        <v>2281</v>
      </c>
      <c r="G48" s="383">
        <v>2505</v>
      </c>
      <c r="H48" s="383">
        <v>2582</v>
      </c>
      <c r="I48" s="383">
        <v>2341</v>
      </c>
      <c r="J48" s="383">
        <v>2549</v>
      </c>
      <c r="K48" s="362">
        <v>2502</v>
      </c>
      <c r="M48" s="385">
        <f t="shared" si="0"/>
        <v>1.0862966175195143</v>
      </c>
    </row>
    <row r="49" spans="1:13" x14ac:dyDescent="0.2">
      <c r="A49" s="366">
        <v>2013</v>
      </c>
      <c r="B49" s="383">
        <v>2384</v>
      </c>
      <c r="C49" s="383">
        <v>2337</v>
      </c>
      <c r="D49" s="383">
        <v>2177</v>
      </c>
      <c r="E49" s="383">
        <v>2469</v>
      </c>
      <c r="F49" s="384">
        <v>2360</v>
      </c>
      <c r="G49" s="383">
        <v>2598</v>
      </c>
      <c r="H49" s="383">
        <v>2635</v>
      </c>
      <c r="I49" s="383">
        <v>2398</v>
      </c>
      <c r="J49" s="383">
        <v>2689</v>
      </c>
      <c r="K49" s="362">
        <v>2523</v>
      </c>
      <c r="M49" s="385">
        <f t="shared" si="0"/>
        <v>1.0897651006711409</v>
      </c>
    </row>
    <row r="50" spans="1:13" x14ac:dyDescent="0.2">
      <c r="A50" s="366">
        <v>2014</v>
      </c>
      <c r="B50" s="383">
        <v>2453</v>
      </c>
      <c r="C50" s="383">
        <v>2370</v>
      </c>
      <c r="D50" s="383">
        <v>2400</v>
      </c>
      <c r="E50" s="383">
        <v>2498</v>
      </c>
      <c r="F50" s="384">
        <v>2453</v>
      </c>
      <c r="G50" s="383">
        <v>2657</v>
      </c>
      <c r="H50" s="383">
        <v>2617</v>
      </c>
      <c r="I50" s="383">
        <v>2574</v>
      </c>
      <c r="J50" s="383">
        <v>2711</v>
      </c>
      <c r="K50" s="362">
        <v>2603</v>
      </c>
      <c r="M50" s="385">
        <f t="shared" si="0"/>
        <v>1.0831634732980024</v>
      </c>
    </row>
    <row r="51" spans="1:13" x14ac:dyDescent="0.2">
      <c r="A51" s="366">
        <v>2015</v>
      </c>
      <c r="B51" s="383">
        <v>2467</v>
      </c>
      <c r="C51" s="383">
        <v>2492</v>
      </c>
      <c r="D51" s="383">
        <v>2320</v>
      </c>
      <c r="E51" s="383">
        <v>2517</v>
      </c>
      <c r="F51" s="384">
        <v>2435</v>
      </c>
      <c r="G51" s="383">
        <v>2687</v>
      </c>
      <c r="H51" s="383">
        <v>2792</v>
      </c>
      <c r="I51" s="383">
        <v>2526</v>
      </c>
      <c r="J51" s="383">
        <v>2750</v>
      </c>
      <c r="K51" s="362">
        <v>2615</v>
      </c>
      <c r="M51" s="385">
        <f t="shared" si="0"/>
        <v>1.0891771382245643</v>
      </c>
    </row>
    <row r="52" spans="1:13" x14ac:dyDescent="0.2">
      <c r="A52" s="366">
        <v>2016</v>
      </c>
      <c r="B52" s="383">
        <v>2422</v>
      </c>
      <c r="C52" s="383">
        <v>2469</v>
      </c>
      <c r="D52" s="383">
        <v>2297</v>
      </c>
      <c r="E52" s="383">
        <v>2450</v>
      </c>
      <c r="F52" s="384">
        <v>2430</v>
      </c>
      <c r="G52" s="383">
        <v>2640</v>
      </c>
      <c r="H52" s="383">
        <v>2796</v>
      </c>
      <c r="I52" s="383">
        <v>2474</v>
      </c>
      <c r="J52" s="383">
        <v>2671</v>
      </c>
      <c r="K52" s="362">
        <v>2632</v>
      </c>
      <c r="M52" s="385">
        <f t="shared" si="0"/>
        <v>1.0900082576383154</v>
      </c>
    </row>
    <row r="53" spans="1:13" x14ac:dyDescent="0.2">
      <c r="A53" s="366">
        <v>2017</v>
      </c>
      <c r="B53" s="383">
        <v>2426</v>
      </c>
      <c r="C53" s="383">
        <v>2488</v>
      </c>
      <c r="D53" s="383">
        <v>2254</v>
      </c>
      <c r="E53" s="383">
        <v>2480</v>
      </c>
      <c r="F53" s="384">
        <v>2398</v>
      </c>
      <c r="G53" s="383">
        <v>2631</v>
      </c>
      <c r="H53" s="383">
        <v>2760</v>
      </c>
      <c r="I53" s="383">
        <v>2446</v>
      </c>
      <c r="J53" s="383">
        <v>2700</v>
      </c>
      <c r="K53" s="362">
        <v>2548</v>
      </c>
      <c r="M53" s="385">
        <f t="shared" si="0"/>
        <v>1.0845012366034625</v>
      </c>
    </row>
    <row r="54" spans="1:13" x14ac:dyDescent="0.2">
      <c r="A54" s="366">
        <v>2018</v>
      </c>
      <c r="B54" s="383">
        <v>2386</v>
      </c>
      <c r="C54" s="383">
        <v>2488</v>
      </c>
      <c r="D54" s="383">
        <v>2180</v>
      </c>
      <c r="E54" s="383">
        <v>2445</v>
      </c>
      <c r="F54" s="384">
        <v>2341</v>
      </c>
      <c r="G54" s="383">
        <v>2588</v>
      </c>
      <c r="H54" s="383">
        <v>2822</v>
      </c>
      <c r="I54" s="383">
        <v>2378</v>
      </c>
      <c r="J54" s="383">
        <v>2648</v>
      </c>
      <c r="K54" s="362">
        <v>2527</v>
      </c>
      <c r="M54" s="385">
        <f t="shared" si="0"/>
        <v>1.0846605196982397</v>
      </c>
    </row>
    <row r="55" spans="1:13" x14ac:dyDescent="0.2">
      <c r="A55" s="366"/>
      <c r="B55" s="383"/>
      <c r="C55" s="383"/>
      <c r="D55" s="383"/>
      <c r="E55" s="383"/>
      <c r="F55" s="384"/>
      <c r="G55" s="383"/>
      <c r="H55" s="383"/>
      <c r="I55" s="383"/>
      <c r="J55" s="383"/>
    </row>
    <row r="56" spans="1:13" ht="13.5" thickBot="1" x14ac:dyDescent="0.25">
      <c r="A56" s="386" t="s">
        <v>126</v>
      </c>
      <c r="B56" s="387">
        <v>2</v>
      </c>
      <c r="C56" s="388">
        <v>5</v>
      </c>
      <c r="D56" s="388">
        <v>4</v>
      </c>
      <c r="E56" s="388">
        <v>3</v>
      </c>
      <c r="F56" s="389">
        <v>3</v>
      </c>
      <c r="G56" s="388">
        <v>2</v>
      </c>
      <c r="H56" s="388">
        <v>6</v>
      </c>
      <c r="I56" s="388">
        <v>3</v>
      </c>
      <c r="J56" s="388">
        <v>2</v>
      </c>
      <c r="K56" s="390">
        <v>2</v>
      </c>
    </row>
    <row r="58" spans="1:13" s="391" customFormat="1" x14ac:dyDescent="0.2">
      <c r="A58" s="363" t="s">
        <v>613</v>
      </c>
    </row>
    <row r="59" spans="1:13" s="391" customFormat="1" x14ac:dyDescent="0.2">
      <c r="A59" s="363" t="s">
        <v>614</v>
      </c>
    </row>
    <row r="60" spans="1:13" s="391" customFormat="1" x14ac:dyDescent="0.2">
      <c r="A60" s="363" t="s">
        <v>615</v>
      </c>
    </row>
    <row r="61" spans="1:13" s="391" customFormat="1" x14ac:dyDescent="0.2">
      <c r="A61" s="363" t="s">
        <v>616</v>
      </c>
    </row>
    <row r="62" spans="1:13" s="391" customFormat="1" x14ac:dyDescent="0.2">
      <c r="A62" s="363" t="s">
        <v>617</v>
      </c>
    </row>
    <row r="63" spans="1:13" s="391" customFormat="1" x14ac:dyDescent="0.2">
      <c r="A63" s="363" t="s">
        <v>618</v>
      </c>
    </row>
    <row r="64" spans="1:13" s="391" customFormat="1" x14ac:dyDescent="0.2">
      <c r="A64" s="363" t="s">
        <v>619</v>
      </c>
    </row>
    <row r="66" spans="1:1" ht="14.25" x14ac:dyDescent="0.2">
      <c r="A66" s="392" t="s">
        <v>131</v>
      </c>
    </row>
    <row r="69" spans="1:1" x14ac:dyDescent="0.2">
      <c r="A69" s="363" t="s">
        <v>620</v>
      </c>
    </row>
  </sheetData>
  <mergeCells count="4">
    <mergeCell ref="A1:K1"/>
    <mergeCell ref="A2:K2"/>
    <mergeCell ref="B4:F4"/>
    <mergeCell ref="G4:K4"/>
  </mergeCells>
  <printOptions horizontalCentered="1"/>
  <pageMargins left="0.25" right="0.25" top="0.25" bottom="0.25" header="0.5" footer="0.5"/>
  <pageSetup scale="75"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C3:E50"/>
  <sheetViews>
    <sheetView topLeftCell="E34" workbookViewId="0">
      <selection activeCell="O60" sqref="O60"/>
    </sheetView>
  </sheetViews>
  <sheetFormatPr defaultRowHeight="12.75" x14ac:dyDescent="0.2"/>
  <cols>
    <col min="4" max="4" width="10" customWidth="1"/>
  </cols>
  <sheetData>
    <row r="3" spans="3:5" x14ac:dyDescent="0.2">
      <c r="D3" t="s">
        <v>710</v>
      </c>
      <c r="E3" t="s">
        <v>709</v>
      </c>
    </row>
    <row r="4" spans="3:5" x14ac:dyDescent="0.2">
      <c r="C4">
        <f>SFTotalMedAvgSqFt_2012!A9</f>
        <v>1973</v>
      </c>
      <c r="D4" s="282">
        <f>SFTotalMedAvgSqFt!G9</f>
        <v>1660</v>
      </c>
    </row>
    <row r="5" spans="3:5" x14ac:dyDescent="0.2">
      <c r="C5">
        <f>SFTotalMedAvgSqFt_2012!A10</f>
        <v>1974</v>
      </c>
      <c r="D5" s="344">
        <f>SFTotalMedAvgSqFt!G10</f>
        <v>1695</v>
      </c>
    </row>
    <row r="6" spans="3:5" x14ac:dyDescent="0.2">
      <c r="C6">
        <f>SFTotalMedAvgSqFt_2012!A11</f>
        <v>1975</v>
      </c>
      <c r="D6" s="344">
        <f>SFTotalMedAvgSqFt!G11</f>
        <v>1645</v>
      </c>
    </row>
    <row r="7" spans="3:5" x14ac:dyDescent="0.2">
      <c r="C7">
        <f>SFTotalMedAvgSqFt_2012!A12</f>
        <v>1976</v>
      </c>
      <c r="D7" s="344">
        <f>SFTotalMedAvgSqFt!G12</f>
        <v>1700</v>
      </c>
    </row>
    <row r="8" spans="3:5" x14ac:dyDescent="0.2">
      <c r="C8">
        <f>SFTotalMedAvgSqFt_2012!A13</f>
        <v>1977</v>
      </c>
      <c r="D8" s="344">
        <f>SFTotalMedAvgSqFt!G13</f>
        <v>1720</v>
      </c>
    </row>
    <row r="9" spans="3:5" x14ac:dyDescent="0.2">
      <c r="C9">
        <f>SFTotalMedAvgSqFt_2012!A14</f>
        <v>1978</v>
      </c>
      <c r="D9" s="344">
        <f>SFTotalMedAvgSqFt!G14</f>
        <v>1755</v>
      </c>
    </row>
    <row r="10" spans="3:5" x14ac:dyDescent="0.2">
      <c r="C10">
        <f>SFTotalMedAvgSqFt_2012!A15</f>
        <v>1979</v>
      </c>
      <c r="D10" s="344">
        <f>SFTotalMedAvgSqFt!G15</f>
        <v>1760</v>
      </c>
    </row>
    <row r="11" spans="3:5" x14ac:dyDescent="0.2">
      <c r="C11">
        <f>SFTotalMedAvgSqFt_2012!A16</f>
        <v>1980</v>
      </c>
      <c r="D11" s="344">
        <f>SFTotalMedAvgSqFt!G16</f>
        <v>1740</v>
      </c>
    </row>
    <row r="12" spans="3:5" x14ac:dyDescent="0.2">
      <c r="C12">
        <f>SFTotalMedAvgSqFt_2012!A17</f>
        <v>1981</v>
      </c>
      <c r="D12" s="344">
        <f>SFTotalMedAvgSqFt!G17</f>
        <v>1720</v>
      </c>
    </row>
    <row r="13" spans="3:5" x14ac:dyDescent="0.2">
      <c r="C13">
        <f>SFTotalMedAvgSqFt_2012!A18</f>
        <v>1982</v>
      </c>
      <c r="D13" s="344">
        <f>SFTotalMedAvgSqFt!G18</f>
        <v>1710</v>
      </c>
    </row>
    <row r="14" spans="3:5" x14ac:dyDescent="0.2">
      <c r="C14">
        <f>SFTotalMedAvgSqFt_2012!A19</f>
        <v>1983</v>
      </c>
      <c r="D14" s="344">
        <f>SFTotalMedAvgSqFt!G19</f>
        <v>1725</v>
      </c>
    </row>
    <row r="15" spans="3:5" x14ac:dyDescent="0.2">
      <c r="C15">
        <f>SFTotalMedAvgSqFt_2012!A20</f>
        <v>1984</v>
      </c>
      <c r="D15" s="344">
        <f>SFTotalMedAvgSqFt!G20</f>
        <v>1780</v>
      </c>
    </row>
    <row r="16" spans="3:5" x14ac:dyDescent="0.2">
      <c r="C16">
        <f>SFTotalMedAvgSqFt_2012!A21</f>
        <v>1985</v>
      </c>
      <c r="D16" s="344">
        <f>SFTotalMedAvgSqFt!G21</f>
        <v>1785</v>
      </c>
      <c r="E16" s="344">
        <f>Compare_size!F12</f>
        <v>1849.0897575916233</v>
      </c>
    </row>
    <row r="17" spans="3:5" x14ac:dyDescent="0.2">
      <c r="C17">
        <f>SFTotalMedAvgSqFt_2012!A22</f>
        <v>1986</v>
      </c>
      <c r="D17" s="344">
        <f>SFTotalMedAvgSqFt!G22</f>
        <v>1825</v>
      </c>
      <c r="E17" s="344">
        <f>Compare_size!F13</f>
        <v>1845.3032226028363</v>
      </c>
    </row>
    <row r="18" spans="3:5" x14ac:dyDescent="0.2">
      <c r="C18">
        <f>SFTotalMedAvgSqFt_2012!A23</f>
        <v>1987</v>
      </c>
      <c r="D18" s="344">
        <f>SFTotalMedAvgSqFt!G23</f>
        <v>1905</v>
      </c>
      <c r="E18" s="344">
        <f>Compare_size!F14</f>
        <v>1858.8984015399869</v>
      </c>
    </row>
    <row r="19" spans="3:5" x14ac:dyDescent="0.2">
      <c r="C19">
        <f>SFTotalMedAvgSqFt_2012!A24</f>
        <v>1988</v>
      </c>
      <c r="D19" s="344">
        <f>SFTotalMedAvgSqFt!G24</f>
        <v>1995</v>
      </c>
      <c r="E19" s="344">
        <f>Compare_size!F15</f>
        <v>1873.0173648555019</v>
      </c>
    </row>
    <row r="20" spans="3:5" x14ac:dyDescent="0.2">
      <c r="C20">
        <f>SFTotalMedAvgSqFt_2012!A25</f>
        <v>1989</v>
      </c>
      <c r="D20" s="344">
        <f>SFTotalMedAvgSqFt!G25</f>
        <v>2035</v>
      </c>
      <c r="E20" s="344">
        <f>Compare_size!F16</f>
        <v>1886.7306152316403</v>
      </c>
    </row>
    <row r="21" spans="3:5" x14ac:dyDescent="0.2">
      <c r="C21">
        <f>SFTotalMedAvgSqFt_2012!A26</f>
        <v>1990</v>
      </c>
      <c r="D21" s="344">
        <f>SFTotalMedAvgSqFt!G26</f>
        <v>2080</v>
      </c>
      <c r="E21" s="344">
        <f>Compare_size!F17</f>
        <v>1900.3434366128959</v>
      </c>
    </row>
    <row r="22" spans="3:5" x14ac:dyDescent="0.2">
      <c r="C22">
        <f>SFTotalMedAvgSqFt_2012!A27</f>
        <v>1991</v>
      </c>
      <c r="D22" s="344">
        <f>SFTotalMedAvgSqFt!G27</f>
        <v>2075</v>
      </c>
      <c r="E22" s="344">
        <f>Compare_size!F18</f>
        <v>1911.5195446207103</v>
      </c>
    </row>
    <row r="23" spans="3:5" x14ac:dyDescent="0.2">
      <c r="C23">
        <f>SFTotalMedAvgSqFt_2012!A28</f>
        <v>1992</v>
      </c>
      <c r="D23" s="344">
        <f>SFTotalMedAvgSqFt!G28</f>
        <v>2095</v>
      </c>
      <c r="E23" s="344">
        <f>Compare_size!F19</f>
        <v>1927.3581296870789</v>
      </c>
    </row>
    <row r="24" spans="3:5" x14ac:dyDescent="0.2">
      <c r="C24">
        <f>SFTotalMedAvgSqFt_2012!A29</f>
        <v>1993</v>
      </c>
      <c r="D24" s="344">
        <f>SFTotalMedAvgSqFt!G29</f>
        <v>2095</v>
      </c>
      <c r="E24" s="344">
        <f>Compare_size!F20</f>
        <v>1942.5931442659185</v>
      </c>
    </row>
    <row r="25" spans="3:5" x14ac:dyDescent="0.2">
      <c r="C25">
        <f>SFTotalMedAvgSqFt_2012!A30</f>
        <v>1994</v>
      </c>
      <c r="D25" s="344">
        <f>SFTotalMedAvgSqFt!G30</f>
        <v>2100</v>
      </c>
      <c r="E25" s="344">
        <f>Compare_size!F21</f>
        <v>1958.9665470585048</v>
      </c>
    </row>
    <row r="26" spans="3:5" x14ac:dyDescent="0.2">
      <c r="C26">
        <f>SFTotalMedAvgSqFt_2012!A31</f>
        <v>1995</v>
      </c>
      <c r="D26" s="344">
        <f>SFTotalMedAvgSqFt!G31</f>
        <v>2095</v>
      </c>
      <c r="E26" s="344">
        <f>Compare_size!F22</f>
        <v>1971.0324425429283</v>
      </c>
    </row>
    <row r="27" spans="3:5" x14ac:dyDescent="0.2">
      <c r="C27">
        <f>SFTotalMedAvgSqFt_2012!A32</f>
        <v>1996</v>
      </c>
      <c r="D27" s="344">
        <f>SFTotalMedAvgSqFt!G32</f>
        <v>2120</v>
      </c>
      <c r="E27" s="344">
        <f>Compare_size!F23</f>
        <v>1985.8302610578116</v>
      </c>
    </row>
    <row r="28" spans="3:5" x14ac:dyDescent="0.2">
      <c r="C28">
        <f>SFTotalMedAvgSqFt_2012!A33</f>
        <v>1997</v>
      </c>
      <c r="D28" s="344">
        <f>SFTotalMedAvgSqFt!G33</f>
        <v>2150</v>
      </c>
      <c r="E28" s="344">
        <f>Compare_size!F24</f>
        <v>1999.5975694016099</v>
      </c>
    </row>
    <row r="29" spans="3:5" x14ac:dyDescent="0.2">
      <c r="C29">
        <f>SFTotalMedAvgSqFt_2012!A34</f>
        <v>1998</v>
      </c>
      <c r="D29" s="344">
        <f>SFTotalMedAvgSqFt!G34</f>
        <v>2190</v>
      </c>
      <c r="E29" s="344">
        <f>Compare_size!F25</f>
        <v>2014.7570219038193</v>
      </c>
    </row>
    <row r="30" spans="3:5" x14ac:dyDescent="0.2">
      <c r="C30">
        <f>SFTotalMedAvgSqFt_2012!A35</f>
        <v>1999</v>
      </c>
      <c r="D30" s="344">
        <f>SFTotalMedAvgSqFt!G35</f>
        <v>2223</v>
      </c>
      <c r="E30" s="344">
        <f>Compare_size!F26</f>
        <v>2031.8227956659466</v>
      </c>
    </row>
    <row r="31" spans="3:5" x14ac:dyDescent="0.2">
      <c r="C31">
        <f>SFTotalMedAvgSqFt_2012!A36</f>
        <v>2000</v>
      </c>
      <c r="D31" s="344">
        <f>SFTotalMedAvgSqFt!G36</f>
        <v>2266</v>
      </c>
      <c r="E31" s="344">
        <f>Compare_size!F27</f>
        <v>2047.063356998982</v>
      </c>
    </row>
    <row r="32" spans="3:5" x14ac:dyDescent="0.2">
      <c r="C32">
        <f>SFTotalMedAvgSqFt_2012!A37</f>
        <v>2001</v>
      </c>
      <c r="D32" s="344">
        <f>SFTotalMedAvgSqFt!G37</f>
        <v>2324</v>
      </c>
      <c r="E32" s="344">
        <f>Compare_size!F28</f>
        <v>2063.6263714567831</v>
      </c>
    </row>
    <row r="33" spans="3:5" x14ac:dyDescent="0.2">
      <c r="C33">
        <f>SFTotalMedAvgSqFt_2012!A38</f>
        <v>2002</v>
      </c>
      <c r="D33" s="344">
        <f>SFTotalMedAvgSqFt!G38</f>
        <v>2320</v>
      </c>
      <c r="E33" s="344">
        <f>Compare_size!F29</f>
        <v>2080.8927473426156</v>
      </c>
    </row>
    <row r="34" spans="3:5" x14ac:dyDescent="0.2">
      <c r="C34">
        <f>SFTotalMedAvgSqFt_2012!A39</f>
        <v>2003</v>
      </c>
      <c r="D34" s="344">
        <f>SFTotalMedAvgSqFt!G39</f>
        <v>2330</v>
      </c>
      <c r="E34" s="344">
        <f>Compare_size!F30</f>
        <v>2098.1730969428168</v>
      </c>
    </row>
    <row r="35" spans="3:5" x14ac:dyDescent="0.2">
      <c r="C35">
        <f>SFTotalMedAvgSqFt_2012!A40</f>
        <v>2004</v>
      </c>
      <c r="D35" s="344">
        <f>SFTotalMedAvgSqFt!G40</f>
        <v>2349</v>
      </c>
      <c r="E35" s="344">
        <f>Compare_size!F31</f>
        <v>2117.5026549267072</v>
      </c>
    </row>
    <row r="36" spans="3:5" x14ac:dyDescent="0.2">
      <c r="C36">
        <f>SFTotalMedAvgSqFt_2012!A41</f>
        <v>2005</v>
      </c>
      <c r="D36" s="344">
        <f>SFTotalMedAvgSqFt!G41</f>
        <v>2434</v>
      </c>
      <c r="E36" s="344">
        <f>Compare_size!F32</f>
        <v>2138.3776791572573</v>
      </c>
    </row>
    <row r="37" spans="3:5" x14ac:dyDescent="0.2">
      <c r="C37">
        <f>SFTotalMedAvgSqFt_2012!A42</f>
        <v>2006</v>
      </c>
      <c r="D37" s="344">
        <f>SFTotalMedAvgSqFt!G42</f>
        <v>2469</v>
      </c>
      <c r="E37" s="344">
        <f>Compare_size!F33</f>
        <v>2158.3309177961414</v>
      </c>
    </row>
    <row r="38" spans="3:5" x14ac:dyDescent="0.2">
      <c r="C38">
        <f>SFTotalMedAvgSqFt_2012!A43</f>
        <v>2007</v>
      </c>
      <c r="D38" s="344">
        <f>SFTotalMedAvgSqFt!G43</f>
        <v>2521</v>
      </c>
      <c r="E38" s="344">
        <f>Compare_size!F34</f>
        <v>2168.9358849751275</v>
      </c>
    </row>
    <row r="39" spans="3:5" x14ac:dyDescent="0.2">
      <c r="C39">
        <f>SFTotalMedAvgSqFt_2012!A44</f>
        <v>2008</v>
      </c>
      <c r="D39" s="344">
        <f>SFTotalMedAvgSqFt!G44</f>
        <v>2519</v>
      </c>
      <c r="E39" s="344">
        <f>Compare_size!F35</f>
        <v>2176.1427273015274</v>
      </c>
    </row>
    <row r="40" spans="3:5" x14ac:dyDescent="0.2">
      <c r="C40">
        <f>SFTotalMedAvgSqFt_2012!A45</f>
        <v>2009</v>
      </c>
      <c r="D40" s="344">
        <f>SFTotalMedAvgSqFt!G45</f>
        <v>2438</v>
      </c>
      <c r="E40" s="344">
        <f>Compare_size!F36</f>
        <v>2181.3182757931095</v>
      </c>
    </row>
    <row r="41" spans="3:5" x14ac:dyDescent="0.2">
      <c r="C41">
        <f>SFTotalMedAvgSqFt_2012!A46</f>
        <v>2010</v>
      </c>
      <c r="D41" s="344">
        <f>SFTotalMedAvgSqFt!G46</f>
        <v>2392</v>
      </c>
      <c r="E41" s="344">
        <f>Compare_size!F37</f>
        <v>2184.4367550310162</v>
      </c>
    </row>
    <row r="42" spans="3:5" x14ac:dyDescent="0.2">
      <c r="C42" s="280">
        <f>SFTotalMedAvgSqFt_2012!A47</f>
        <v>2011</v>
      </c>
      <c r="D42" s="344">
        <f>SFTotalMedAvgSqFt!G47</f>
        <v>2480</v>
      </c>
      <c r="E42" s="344">
        <f>Compare_size!F38</f>
        <v>2188.3259705873934</v>
      </c>
    </row>
    <row r="43" spans="3:5" x14ac:dyDescent="0.2">
      <c r="C43" s="280">
        <f>SFTotalMedAvgSqFt_2012!A48</f>
        <v>2012</v>
      </c>
      <c r="D43" s="344">
        <f>SFTotalMedAvgSqFt!G48</f>
        <v>2505</v>
      </c>
      <c r="E43" s="344">
        <f>Compare_size!F39</f>
        <v>2195.6739625779692</v>
      </c>
    </row>
    <row r="44" spans="3:5" x14ac:dyDescent="0.2">
      <c r="C44">
        <v>2013</v>
      </c>
      <c r="D44" s="344">
        <f>SFTotalMedAvgSqFt!G49</f>
        <v>2598</v>
      </c>
      <c r="E44" s="344">
        <f>Compare_size!F40</f>
        <v>2204.949636600667</v>
      </c>
    </row>
    <row r="45" spans="3:5" x14ac:dyDescent="0.2">
      <c r="C45">
        <v>2014</v>
      </c>
      <c r="D45" s="344">
        <f>SFTotalMedAvgSqFt!G50</f>
        <v>2657</v>
      </c>
      <c r="E45" s="344">
        <f>Compare_size!F41</f>
        <v>2216.5775967088935</v>
      </c>
    </row>
    <row r="46" spans="3:5" x14ac:dyDescent="0.2">
      <c r="C46">
        <v>2015</v>
      </c>
      <c r="D46" s="344">
        <f>SFTotalMedAvgSqFt!G51</f>
        <v>2687</v>
      </c>
      <c r="E46" s="344">
        <f>Compare_size!F42</f>
        <v>2228.3029555662597</v>
      </c>
    </row>
    <row r="47" spans="3:5" x14ac:dyDescent="0.2">
      <c r="C47">
        <v>2016</v>
      </c>
      <c r="D47" s="344">
        <f>SFTotalMedAvgSqFt!G52</f>
        <v>2640</v>
      </c>
      <c r="E47" s="344">
        <f>Compare_size!F43</f>
        <v>2241.0865690417086</v>
      </c>
    </row>
    <row r="48" spans="3:5" x14ac:dyDescent="0.2">
      <c r="C48">
        <v>2017</v>
      </c>
      <c r="D48" s="344">
        <f>SFTotalMedAvgSqFt!G53</f>
        <v>2631</v>
      </c>
      <c r="E48" s="344">
        <f>Compare_size!F44</f>
        <v>2253.6687918388634</v>
      </c>
    </row>
    <row r="49" spans="3:5" x14ac:dyDescent="0.2">
      <c r="C49">
        <v>2018</v>
      </c>
      <c r="D49" s="344">
        <f>SFTotalMedAvgSqFt!G54</f>
        <v>2588</v>
      </c>
      <c r="E49" s="344">
        <f>Compare_size!F45</f>
        <v>2265.8145288234605</v>
      </c>
    </row>
    <row r="50" spans="3:5" x14ac:dyDescent="0.2">
      <c r="D50" s="344"/>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C5:AR45"/>
  <sheetViews>
    <sheetView workbookViewId="0">
      <selection activeCell="H19" sqref="H19"/>
    </sheetView>
  </sheetViews>
  <sheetFormatPr defaultRowHeight="12.75" x14ac:dyDescent="0.2"/>
  <sheetData>
    <row r="5" spans="3:44" x14ac:dyDescent="0.2">
      <c r="C5" t="s">
        <v>27</v>
      </c>
      <c r="U5" t="s">
        <v>32</v>
      </c>
      <c r="AJ5" t="s">
        <v>369</v>
      </c>
    </row>
    <row r="6" spans="3:44" x14ac:dyDescent="0.2">
      <c r="D6" t="s">
        <v>366</v>
      </c>
      <c r="E6" t="s">
        <v>367</v>
      </c>
      <c r="F6" t="s">
        <v>368</v>
      </c>
      <c r="J6">
        <f>RECS_4_adj!M38</f>
        <v>1980</v>
      </c>
      <c r="K6">
        <f>RECS_4_adj!W38</f>
        <v>2113.8543516873888</v>
      </c>
      <c r="V6" t="s">
        <v>366</v>
      </c>
      <c r="W6" t="s">
        <v>367</v>
      </c>
      <c r="X6" t="s">
        <v>368</v>
      </c>
      <c r="AB6">
        <f>RECS_4_adj!M38</f>
        <v>1980</v>
      </c>
      <c r="AC6">
        <f>RECS_4_adj!X38</f>
        <v>950.72463768115927</v>
      </c>
      <c r="AK6" t="s">
        <v>366</v>
      </c>
      <c r="AL6" t="s">
        <v>367</v>
      </c>
      <c r="AM6" t="s">
        <v>368</v>
      </c>
      <c r="AQ6">
        <f>RECS_4_adj!M38</f>
        <v>1980</v>
      </c>
      <c r="AR6">
        <f>RECS_4_adj!O38</f>
        <v>826.08695652173913</v>
      </c>
    </row>
    <row r="7" spans="3:44" x14ac:dyDescent="0.2">
      <c r="C7">
        <v>1980</v>
      </c>
      <c r="J7">
        <f>RECS_4_adj!M39</f>
        <v>1981</v>
      </c>
      <c r="K7">
        <f>RECS_4_adj!W39</f>
        <v>2084.3749999999995</v>
      </c>
      <c r="U7">
        <v>1984</v>
      </c>
      <c r="V7">
        <f>AC9</f>
        <v>961.86440677966084</v>
      </c>
      <c r="AB7">
        <f>RECS_4_adj!M39</f>
        <v>1981</v>
      </c>
      <c r="AC7">
        <f>RECS_4_adj!X39</f>
        <v>960.09389671361498</v>
      </c>
      <c r="AJ7">
        <v>1984</v>
      </c>
      <c r="AK7">
        <f>AR9</f>
        <v>843.13725490196077</v>
      </c>
      <c r="AQ7">
        <f>RECS_4_adj!M39</f>
        <v>1981</v>
      </c>
      <c r="AR7">
        <f>RECS_4_adj!O39</f>
        <v>880.95238095238096</v>
      </c>
    </row>
    <row r="8" spans="3:44" x14ac:dyDescent="0.2">
      <c r="C8">
        <v>1981</v>
      </c>
      <c r="J8">
        <f>RECS_4_adj!M40</f>
        <v>1982</v>
      </c>
      <c r="K8">
        <f>RECS_4_adj!W40</f>
        <v>2040.9012131715776</v>
      </c>
      <c r="U8">
        <f>U7+1</f>
        <v>1985</v>
      </c>
      <c r="X8">
        <f>Total_stock_MF!BY15</f>
        <v>879.97883608349616</v>
      </c>
      <c r="AB8">
        <f>RECS_4_adj!M40</f>
        <v>1982</v>
      </c>
      <c r="AC8">
        <f>RECS_4_adj!X40</f>
        <v>953.81165919282523</v>
      </c>
      <c r="AJ8">
        <f>AJ7+1</f>
        <v>1985</v>
      </c>
      <c r="AM8">
        <f>Total_stock_MH!CB15</f>
        <v>954.35186550619778</v>
      </c>
      <c r="AQ8">
        <f>RECS_4_adj!M40</f>
        <v>1982</v>
      </c>
      <c r="AR8">
        <f>RECS_4_adj!O40</f>
        <v>870.27027027027032</v>
      </c>
    </row>
    <row r="9" spans="3:44" x14ac:dyDescent="0.2">
      <c r="C9">
        <v>1982</v>
      </c>
      <c r="J9">
        <f>RECS_4_adj!M41</f>
        <v>1984</v>
      </c>
      <c r="K9">
        <f>RECS_4_adj!W41</f>
        <v>2037.5</v>
      </c>
      <c r="U9">
        <f t="shared" ref="U9:U33" si="0">U8+1</f>
        <v>1986</v>
      </c>
      <c r="X9">
        <f>Total_stock_MF!BY16</f>
        <v>885.02143928853911</v>
      </c>
      <c r="AB9">
        <f>RECS_4_adj!M41</f>
        <v>1984</v>
      </c>
      <c r="AC9">
        <f>RECS_4_adj!X41</f>
        <v>961.86440677966084</v>
      </c>
      <c r="AJ9">
        <f t="shared" ref="AJ9:AJ33" si="1">AJ8+1</f>
        <v>1986</v>
      </c>
      <c r="AM9">
        <f>Total_stock_MH!CB16</f>
        <v>977.00910754756694</v>
      </c>
      <c r="AQ9">
        <f>RECS_4_adj!M41</f>
        <v>1984</v>
      </c>
      <c r="AR9">
        <f>RECS_4_adj!O41</f>
        <v>843.13725490196077</v>
      </c>
    </row>
    <row r="10" spans="3:44" x14ac:dyDescent="0.2">
      <c r="C10">
        <v>1983</v>
      </c>
      <c r="J10">
        <f>RECS_4_adj!M42</f>
        <v>1987</v>
      </c>
      <c r="K10">
        <f>RECS_4_adj!W42</f>
        <v>2130.0826446280989</v>
      </c>
      <c r="U10">
        <f t="shared" si="0"/>
        <v>1987</v>
      </c>
      <c r="V10">
        <f>AC10</f>
        <v>941.6</v>
      </c>
      <c r="X10">
        <f>Total_stock_MF!BY17</f>
        <v>890.96263291844662</v>
      </c>
      <c r="AB10">
        <f>RECS_4_adj!M42</f>
        <v>1987</v>
      </c>
      <c r="AC10">
        <f>RECS_4_adj!X42</f>
        <v>941.6</v>
      </c>
      <c r="AJ10">
        <f t="shared" si="1"/>
        <v>1987</v>
      </c>
      <c r="AK10">
        <f>AR10</f>
        <v>864.70588235294122</v>
      </c>
      <c r="AM10">
        <f>Total_stock_MH!CB17</f>
        <v>970.86001576404033</v>
      </c>
      <c r="AQ10">
        <f>RECS_4_adj!M42</f>
        <v>1987</v>
      </c>
      <c r="AR10">
        <f>RECS_4_adj!O42</f>
        <v>864.70588235294122</v>
      </c>
    </row>
    <row r="11" spans="3:44" x14ac:dyDescent="0.2">
      <c r="C11">
        <v>1984</v>
      </c>
      <c r="D11" s="344">
        <f>K9</f>
        <v>2037.5</v>
      </c>
      <c r="E11" s="344"/>
      <c r="F11" s="344"/>
      <c r="J11">
        <f>RECS_4_adj!M43</f>
        <v>1990</v>
      </c>
      <c r="K11">
        <f>RECS_4_adj!W43</f>
        <v>2187.4223602484471</v>
      </c>
      <c r="U11">
        <f t="shared" si="0"/>
        <v>1988</v>
      </c>
      <c r="X11">
        <f>Total_stock_MF!BY18</f>
        <v>896.98650383590393</v>
      </c>
      <c r="AB11">
        <f>RECS_4_adj!M43</f>
        <v>1990</v>
      </c>
      <c r="AC11">
        <f>RECS_4_adj!X43</f>
        <v>961.47540983606575</v>
      </c>
      <c r="AJ11">
        <f t="shared" si="1"/>
        <v>1988</v>
      </c>
      <c r="AM11">
        <f>Total_stock_MH!CB18</f>
        <v>982.21269958327377</v>
      </c>
      <c r="AQ11">
        <f>RECS_4_adj!M43</f>
        <v>1990</v>
      </c>
      <c r="AR11">
        <f>RECS_4_adj!O43</f>
        <v>942.30769230769226</v>
      </c>
    </row>
    <row r="12" spans="3:44" x14ac:dyDescent="0.2">
      <c r="C12">
        <f>C11+1</f>
        <v>1985</v>
      </c>
      <c r="D12" s="344"/>
      <c r="E12" s="344"/>
      <c r="F12" s="344">
        <f>Total_stock_SF!BX15</f>
        <v>1849.0897575916233</v>
      </c>
      <c r="J12">
        <f>RECS_4_adj!M44</f>
        <v>1993</v>
      </c>
      <c r="K12">
        <f>RECS_4_adj!W44</f>
        <v>2278.443113772455</v>
      </c>
      <c r="U12">
        <f t="shared" si="0"/>
        <v>1989</v>
      </c>
      <c r="X12">
        <f>Total_stock_MF!BY19</f>
        <v>903.04135256457528</v>
      </c>
      <c r="AB12">
        <f>RECS_4_adj!M44</f>
        <v>1993</v>
      </c>
      <c r="AC12">
        <f>RECS_4_adj!X44</f>
        <v>974.38016528925618</v>
      </c>
      <c r="AJ12">
        <f t="shared" si="1"/>
        <v>1989</v>
      </c>
      <c r="AM12">
        <f>Total_stock_MH!CB19</f>
        <v>992.91059394783224</v>
      </c>
      <c r="AQ12">
        <f>RECS_4_adj!M44</f>
        <v>1993</v>
      </c>
      <c r="AR12">
        <f>RECS_4_adj!O44</f>
        <v>971.42857142857156</v>
      </c>
    </row>
    <row r="13" spans="3:44" x14ac:dyDescent="0.2">
      <c r="C13">
        <f t="shared" ref="C13:C42" si="2">C12+1</f>
        <v>1986</v>
      </c>
      <c r="D13" s="344"/>
      <c r="E13" s="344"/>
      <c r="F13" s="344">
        <f>Total_stock_SF!BX16</f>
        <v>1845.3032226028363</v>
      </c>
      <c r="J13">
        <f>RECS_4_adj!M45</f>
        <v>1997</v>
      </c>
      <c r="K13">
        <f>RECS_4_adj!W45</f>
        <v>1946.5400271370422</v>
      </c>
      <c r="U13">
        <f t="shared" si="0"/>
        <v>1990</v>
      </c>
      <c r="V13">
        <f>AC11</f>
        <v>961.47540983606575</v>
      </c>
      <c r="X13">
        <f>Total_stock_MF!BY20</f>
        <v>909.15456607172416</v>
      </c>
      <c r="AB13">
        <f>RECS_4_adj!M45</f>
        <v>1997</v>
      </c>
      <c r="AC13">
        <f>RECS_4_adj!X45</f>
        <v>891.12149532710282</v>
      </c>
      <c r="AJ13">
        <f t="shared" si="1"/>
        <v>1990</v>
      </c>
      <c r="AK13">
        <f>AR11</f>
        <v>942.30769230769226</v>
      </c>
      <c r="AM13">
        <f>Total_stock_MH!CB20</f>
        <v>995.86454273750974</v>
      </c>
      <c r="AQ13">
        <f>RECS_4_adj!M45</f>
        <v>1997</v>
      </c>
      <c r="AR13">
        <f>RECS_4_adj!O45</f>
        <v>995.23809523809518</v>
      </c>
    </row>
    <row r="14" spans="3:44" x14ac:dyDescent="0.2">
      <c r="C14">
        <f t="shared" si="2"/>
        <v>1987</v>
      </c>
      <c r="D14" s="344">
        <f>K10</f>
        <v>2130.0826446280989</v>
      </c>
      <c r="E14" s="344"/>
      <c r="F14" s="344">
        <f>Total_stock_SF!BX17</f>
        <v>1858.8984015399869</v>
      </c>
      <c r="J14">
        <f>RECS_4_adj!M46</f>
        <v>2001</v>
      </c>
      <c r="K14">
        <f>RECS_4_adj!W46</f>
        <v>2527.1542950196772</v>
      </c>
      <c r="U14">
        <f t="shared" si="0"/>
        <v>1991</v>
      </c>
      <c r="X14">
        <f>Total_stock_MF!BY21</f>
        <v>915.39550307600496</v>
      </c>
      <c r="AB14">
        <f>RECS_4_adj!M46</f>
        <v>2001</v>
      </c>
      <c r="AC14">
        <f>RECS_4_adj!X46</f>
        <v>1042.652776205035</v>
      </c>
      <c r="AJ14">
        <f t="shared" si="1"/>
        <v>1991</v>
      </c>
      <c r="AM14">
        <f>Total_stock_MH!CB21</f>
        <v>996.53341562446144</v>
      </c>
      <c r="AQ14">
        <f>RECS_4_adj!M46</f>
        <v>2001</v>
      </c>
      <c r="AR14">
        <f>RECS_4_adj!O46</f>
        <v>1062.151043197179</v>
      </c>
    </row>
    <row r="15" spans="3:44" x14ac:dyDescent="0.2">
      <c r="C15">
        <f t="shared" si="2"/>
        <v>1988</v>
      </c>
      <c r="D15" s="344"/>
      <c r="E15" s="344"/>
      <c r="F15" s="344">
        <f>Total_stock_SF!BX18</f>
        <v>1873.0173648555019</v>
      </c>
      <c r="J15">
        <f>RECS_4_adj!M47</f>
        <v>2005</v>
      </c>
      <c r="K15">
        <f>RECS_4_adj!W47</f>
        <v>2837.89508364833</v>
      </c>
      <c r="U15">
        <f t="shared" si="0"/>
        <v>1992</v>
      </c>
      <c r="X15">
        <f>Total_stock_MF!BY22</f>
        <v>921.7008969505714</v>
      </c>
      <c r="AB15">
        <f>RECS_4_adj!M47</f>
        <v>2005</v>
      </c>
      <c r="AC15">
        <f>RECS_4_adj!X47</f>
        <v>1500.9954637388805</v>
      </c>
      <c r="AJ15">
        <f t="shared" si="1"/>
        <v>1992</v>
      </c>
      <c r="AM15">
        <f>Total_stock_MH!CB22</f>
        <v>1013.2329684304387</v>
      </c>
      <c r="AQ15">
        <f>RECS_4_adj!M47</f>
        <v>2005</v>
      </c>
      <c r="AR15">
        <f>RECS_4_adj!O47</f>
        <v>1062.0089797723372</v>
      </c>
    </row>
    <row r="16" spans="3:44" x14ac:dyDescent="0.2">
      <c r="C16">
        <f t="shared" si="2"/>
        <v>1989</v>
      </c>
      <c r="D16" s="344"/>
      <c r="E16" s="344"/>
      <c r="F16" s="344">
        <f>Total_stock_SF!BX19</f>
        <v>1886.7306152316403</v>
      </c>
      <c r="J16">
        <v>2009</v>
      </c>
      <c r="K16">
        <f>(178.4+11.9)/(71.8+6.7)*1000</f>
        <v>2424.2038216560509</v>
      </c>
      <c r="U16">
        <f t="shared" si="0"/>
        <v>1993</v>
      </c>
      <c r="V16">
        <f>AC12</f>
        <v>974.38016528925618</v>
      </c>
      <c r="X16">
        <f>Total_stock_MF!BY23</f>
        <v>928.05458802007388</v>
      </c>
      <c r="AJ16">
        <f t="shared" si="1"/>
        <v>1993</v>
      </c>
      <c r="AK16">
        <f>AR12</f>
        <v>971.42857142857156</v>
      </c>
      <c r="AM16">
        <f>Total_stock_MH!CB23</f>
        <v>1030.9221771543705</v>
      </c>
    </row>
    <row r="17" spans="3:39" x14ac:dyDescent="0.2">
      <c r="C17">
        <f t="shared" si="2"/>
        <v>1990</v>
      </c>
      <c r="D17" s="344">
        <f>K11</f>
        <v>2187.4223602484471</v>
      </c>
      <c r="E17" s="344"/>
      <c r="F17" s="344">
        <f>Total_stock_SF!BX20</f>
        <v>1900.3434366128959</v>
      </c>
      <c r="J17">
        <v>2015</v>
      </c>
      <c r="K17">
        <f>(188.6+12.4)/(73.9+7)*1000</f>
        <v>2484.5488257107536</v>
      </c>
      <c r="U17">
        <f t="shared" si="0"/>
        <v>1994</v>
      </c>
      <c r="X17">
        <f>Total_stock_MF!BY24</f>
        <v>934.34322745575696</v>
      </c>
      <c r="AJ17">
        <f t="shared" si="1"/>
        <v>1994</v>
      </c>
      <c r="AM17">
        <f>Total_stock_MH!CB24</f>
        <v>1045.5797344747084</v>
      </c>
    </row>
    <row r="18" spans="3:39" x14ac:dyDescent="0.2">
      <c r="C18">
        <f t="shared" si="2"/>
        <v>1991</v>
      </c>
      <c r="D18" s="344"/>
      <c r="E18" s="344"/>
      <c r="F18" s="344">
        <f>Total_stock_SF!BX21</f>
        <v>1911.5195446207103</v>
      </c>
      <c r="U18">
        <f t="shared" si="0"/>
        <v>1995</v>
      </c>
      <c r="X18">
        <f>Total_stock_MF!BY25</f>
        <v>940.55070733286357</v>
      </c>
      <c r="AJ18">
        <f t="shared" si="1"/>
        <v>1995</v>
      </c>
      <c r="AM18">
        <f>Total_stock_MH!CB25</f>
        <v>1059.8847308197724</v>
      </c>
    </row>
    <row r="19" spans="3:39" x14ac:dyDescent="0.2">
      <c r="C19">
        <f t="shared" si="2"/>
        <v>1992</v>
      </c>
      <c r="D19" s="344"/>
      <c r="E19" s="344"/>
      <c r="F19" s="344">
        <f>Total_stock_SF!BX22</f>
        <v>1927.3581296870789</v>
      </c>
      <c r="U19">
        <f t="shared" si="0"/>
        <v>1996</v>
      </c>
      <c r="X19">
        <f>Total_stock_MF!BY26</f>
        <v>946.71647200580912</v>
      </c>
      <c r="AJ19">
        <f t="shared" si="1"/>
        <v>1996</v>
      </c>
      <c r="AL19">
        <f>Total_stock_MH!BZ27</f>
        <v>1104.2098786708018</v>
      </c>
      <c r="AM19">
        <f>Total_stock_MH!CB26</f>
        <v>1085.7819420196381</v>
      </c>
    </row>
    <row r="20" spans="3:39" x14ac:dyDescent="0.2">
      <c r="C20">
        <f t="shared" si="2"/>
        <v>1993</v>
      </c>
      <c r="D20" s="344">
        <f>K12</f>
        <v>2278.443113772455</v>
      </c>
      <c r="E20" s="344"/>
      <c r="F20" s="344">
        <f>Total_stock_SF!BX23</f>
        <v>1942.5931442659185</v>
      </c>
      <c r="U20">
        <f t="shared" si="0"/>
        <v>1997</v>
      </c>
      <c r="W20">
        <f>Total_stock_MF!BW27</f>
        <v>809.06447582775183</v>
      </c>
      <c r="X20">
        <f>Total_stock_MF!BY27</f>
        <v>952.89159669529545</v>
      </c>
      <c r="AJ20">
        <f t="shared" si="1"/>
        <v>1997</v>
      </c>
      <c r="AM20">
        <f>Total_stock_MH!CB27</f>
        <v>1111.0975457810732</v>
      </c>
    </row>
    <row r="21" spans="3:39" x14ac:dyDescent="0.2">
      <c r="C21">
        <f t="shared" si="2"/>
        <v>1994</v>
      </c>
      <c r="D21" s="344"/>
      <c r="E21" s="344"/>
      <c r="F21" s="344">
        <f>Total_stock_SF!BX24</f>
        <v>1958.9665470585048</v>
      </c>
      <c r="U21">
        <f t="shared" si="0"/>
        <v>1998</v>
      </c>
      <c r="X21">
        <f>Total_stock_MF!BY28</f>
        <v>959.00833258054308</v>
      </c>
      <c r="AJ21">
        <f t="shared" si="1"/>
        <v>1998</v>
      </c>
      <c r="AL21">
        <f>Total_stock_MH!BZ29</f>
        <v>1149.6427179994562</v>
      </c>
      <c r="AM21">
        <f>Total_stock_MH!CB28</f>
        <v>1123.5335229034454</v>
      </c>
    </row>
    <row r="22" spans="3:39" x14ac:dyDescent="0.2">
      <c r="C22">
        <f t="shared" si="2"/>
        <v>1995</v>
      </c>
      <c r="D22" s="344"/>
      <c r="E22" s="344"/>
      <c r="F22" s="344">
        <f>Total_stock_SF!BX25</f>
        <v>1971.0324425429283</v>
      </c>
      <c r="U22">
        <f t="shared" si="0"/>
        <v>1999</v>
      </c>
      <c r="W22">
        <f>Total_stock_MF!BW29</f>
        <v>939.00179310083502</v>
      </c>
      <c r="X22">
        <f>Total_stock_MF!BY29</f>
        <v>965.09559848366632</v>
      </c>
      <c r="AJ22">
        <f t="shared" si="1"/>
        <v>1999</v>
      </c>
      <c r="AM22">
        <f>Total_stock_MH!CB29</f>
        <v>1130.4534454478821</v>
      </c>
    </row>
    <row r="23" spans="3:39" x14ac:dyDescent="0.2">
      <c r="C23">
        <f t="shared" si="2"/>
        <v>1996</v>
      </c>
      <c r="D23" s="344"/>
      <c r="E23" s="344"/>
      <c r="F23" s="344">
        <f>Total_stock_SF!BX26</f>
        <v>1985.8302610578116</v>
      </c>
      <c r="U23">
        <f t="shared" si="0"/>
        <v>2000</v>
      </c>
      <c r="X23">
        <f>Total_stock_MF!BY30</f>
        <v>977.27393424980266</v>
      </c>
      <c r="AJ23">
        <f t="shared" si="1"/>
        <v>2000</v>
      </c>
      <c r="AL23">
        <f>Total_stock_MH!BZ31</f>
        <v>1229.2074668695225</v>
      </c>
      <c r="AM23">
        <f>Total_stock_MH!CB30</f>
        <v>0</v>
      </c>
    </row>
    <row r="24" spans="3:39" x14ac:dyDescent="0.2">
      <c r="C24">
        <f t="shared" si="2"/>
        <v>1997</v>
      </c>
      <c r="D24" s="344"/>
      <c r="E24" s="344">
        <f>Total_stock_SF!BW27</f>
        <v>1921.3143841971068</v>
      </c>
      <c r="F24" s="344">
        <f>Total_stock_SF!BX27</f>
        <v>1999.5975694016099</v>
      </c>
      <c r="U24">
        <f t="shared" si="0"/>
        <v>2001</v>
      </c>
      <c r="V24">
        <f>AC14</f>
        <v>1042.652776205035</v>
      </c>
      <c r="W24">
        <f>Total_stock_MF!BW31</f>
        <v>966.64024447608347</v>
      </c>
      <c r="X24">
        <f>Total_stock_MF!BY31</f>
        <v>989.4836370651999</v>
      </c>
      <c r="AJ24">
        <f t="shared" si="1"/>
        <v>2001</v>
      </c>
      <c r="AK24">
        <f>AR14</f>
        <v>1062.151043197179</v>
      </c>
      <c r="AM24">
        <f>Total_stock_MH!CB31</f>
        <v>0</v>
      </c>
    </row>
    <row r="25" spans="3:39" x14ac:dyDescent="0.2">
      <c r="C25">
        <f t="shared" si="2"/>
        <v>1998</v>
      </c>
      <c r="D25" s="344"/>
      <c r="E25" s="344"/>
      <c r="F25" s="344">
        <f>Total_stock_SF!BX28</f>
        <v>2014.7570219038193</v>
      </c>
      <c r="U25">
        <f t="shared" si="0"/>
        <v>2002</v>
      </c>
      <c r="X25">
        <f>Total_stock_MF!BY32</f>
        <v>1001.6596308751476</v>
      </c>
      <c r="AJ25">
        <f t="shared" si="1"/>
        <v>2002</v>
      </c>
      <c r="AL25">
        <f>Total_stock_MH!BZ33</f>
        <v>1268.4660737351862</v>
      </c>
      <c r="AM25">
        <f>Total_stock_MH!CB32</f>
        <v>0</v>
      </c>
    </row>
    <row r="26" spans="3:39" x14ac:dyDescent="0.2">
      <c r="C26">
        <f t="shared" si="2"/>
        <v>1999</v>
      </c>
      <c r="D26" s="344"/>
      <c r="E26" s="344">
        <f>Total_stock_SF!BW29</f>
        <v>2035.1812359418229</v>
      </c>
      <c r="F26" s="344">
        <f>Total_stock_SF!BX29</f>
        <v>2031.8227956659466</v>
      </c>
      <c r="U26">
        <f t="shared" si="0"/>
        <v>2003</v>
      </c>
      <c r="W26">
        <f>Total_stock_MF!BW33</f>
        <v>998.22785189173953</v>
      </c>
      <c r="X26">
        <f>Total_stock_MF!BY33</f>
        <v>1013.9565728355617</v>
      </c>
      <c r="AJ26">
        <f t="shared" si="1"/>
        <v>2003</v>
      </c>
      <c r="AM26">
        <f>Total_stock_MH!CB33</f>
        <v>0</v>
      </c>
    </row>
    <row r="27" spans="3:39" x14ac:dyDescent="0.2">
      <c r="C27">
        <f t="shared" si="2"/>
        <v>2000</v>
      </c>
      <c r="D27" s="344"/>
      <c r="E27" s="344"/>
      <c r="F27" s="344">
        <f>Total_stock_SF!BX30</f>
        <v>2047.063356998982</v>
      </c>
      <c r="U27">
        <f t="shared" si="0"/>
        <v>2004</v>
      </c>
      <c r="X27">
        <f>Total_stock_MF!BY34</f>
        <v>1026.1587076010171</v>
      </c>
      <c r="AJ27">
        <f t="shared" si="1"/>
        <v>2004</v>
      </c>
      <c r="AL27">
        <f>Total_stock_MH!BZ35</f>
        <v>1346.6940504418583</v>
      </c>
      <c r="AM27">
        <f>Total_stock_MH!CB34</f>
        <v>0</v>
      </c>
    </row>
    <row r="28" spans="3:39" x14ac:dyDescent="0.2">
      <c r="C28">
        <f t="shared" si="2"/>
        <v>2001</v>
      </c>
      <c r="D28" s="344">
        <f>K14</f>
        <v>2527.1542950196772</v>
      </c>
      <c r="E28" s="344">
        <f>Total_stock_SF!BW31</f>
        <v>2027.4533925593496</v>
      </c>
      <c r="F28" s="344">
        <f>Total_stock_SF!BX31</f>
        <v>2063.6263714567831</v>
      </c>
      <c r="U28">
        <f t="shared" si="0"/>
        <v>2005</v>
      </c>
      <c r="V28">
        <f>AC15</f>
        <v>1500.9954637388805</v>
      </c>
      <c r="W28">
        <f>Total_stock_MF!BW35</f>
        <v>1008.8160270695414</v>
      </c>
      <c r="X28">
        <f>Total_stock_MF!BY35</f>
        <v>1038.3891399947063</v>
      </c>
      <c r="AJ28">
        <f t="shared" si="1"/>
        <v>2005</v>
      </c>
      <c r="AK28">
        <f>AR15</f>
        <v>1062.0089797723372</v>
      </c>
      <c r="AM28">
        <f>Total_stock_MH!CB35</f>
        <v>0</v>
      </c>
    </row>
    <row r="29" spans="3:39" x14ac:dyDescent="0.2">
      <c r="C29">
        <f t="shared" si="2"/>
        <v>2002</v>
      </c>
      <c r="D29" s="344"/>
      <c r="E29" s="344"/>
      <c r="F29" s="344">
        <f>Total_stock_SF!BX32</f>
        <v>2080.8927473426156</v>
      </c>
      <c r="U29">
        <f t="shared" si="0"/>
        <v>2006</v>
      </c>
      <c r="X29">
        <f>Total_stock_MF!BY36</f>
        <v>1050.477264485454</v>
      </c>
      <c r="AJ29">
        <f t="shared" si="1"/>
        <v>2006</v>
      </c>
      <c r="AL29">
        <f>Total_stock_MH!BZ37</f>
        <v>1359.370966205578</v>
      </c>
      <c r="AM29">
        <f>Total_stock_MH!CB36</f>
        <v>0</v>
      </c>
    </row>
    <row r="30" spans="3:39" x14ac:dyDescent="0.2">
      <c r="C30">
        <f t="shared" si="2"/>
        <v>2003</v>
      </c>
      <c r="D30" s="344"/>
      <c r="E30" s="344">
        <f>Total_stock_SF!BW33</f>
        <v>2100.7245703310732</v>
      </c>
      <c r="F30" s="344">
        <f>Total_stock_SF!BX33</f>
        <v>2098.1730969428168</v>
      </c>
      <c r="U30">
        <f t="shared" si="0"/>
        <v>2007</v>
      </c>
      <c r="W30">
        <f>Total_stock_MF!BW37</f>
        <v>1021.032830224587</v>
      </c>
      <c r="X30">
        <f>Total_stock_MF!BY37</f>
        <v>1062.7283899746192</v>
      </c>
      <c r="AJ30">
        <f t="shared" si="1"/>
        <v>2007</v>
      </c>
      <c r="AM30">
        <f>Total_stock_MH!CB37</f>
        <v>0</v>
      </c>
    </row>
    <row r="31" spans="3:39" x14ac:dyDescent="0.2">
      <c r="C31">
        <f t="shared" si="2"/>
        <v>2004</v>
      </c>
      <c r="D31" s="344"/>
      <c r="E31" s="344"/>
      <c r="F31" s="344">
        <f>Total_stock_SF!BX34</f>
        <v>2117.5026549267072</v>
      </c>
      <c r="U31">
        <f t="shared" si="0"/>
        <v>2008</v>
      </c>
      <c r="X31">
        <f>Total_stock_MF!BY38</f>
        <v>1074.8867594945316</v>
      </c>
      <c r="AJ31">
        <f t="shared" si="1"/>
        <v>2008</v>
      </c>
      <c r="AL31">
        <f>Total_stock_MH!BZ39</f>
        <v>1456.4439457961512</v>
      </c>
      <c r="AM31">
        <f>Total_stock_MH!CB38</f>
        <v>0</v>
      </c>
    </row>
    <row r="32" spans="3:39" x14ac:dyDescent="0.2">
      <c r="C32">
        <f t="shared" si="2"/>
        <v>2005</v>
      </c>
      <c r="D32" s="344">
        <f>K15</f>
        <v>2837.89508364833</v>
      </c>
      <c r="E32" s="344">
        <f>Total_stock_SF!BW35</f>
        <v>2164.1037414509847</v>
      </c>
      <c r="F32" s="344">
        <f>Total_stock_SF!BX35</f>
        <v>2138.3776791572573</v>
      </c>
      <c r="U32">
        <f t="shared" si="0"/>
        <v>2009</v>
      </c>
      <c r="W32">
        <f>Total_stock_MF!BW39</f>
        <v>1042.6252707255142</v>
      </c>
      <c r="X32">
        <f>Total_stock_MF!BY39</f>
        <v>1085.2175462863579</v>
      </c>
      <c r="AJ32">
        <f t="shared" si="1"/>
        <v>2009</v>
      </c>
      <c r="AM32">
        <f>Total_stock_MH!CB39</f>
        <v>0</v>
      </c>
    </row>
    <row r="33" spans="3:39" x14ac:dyDescent="0.2">
      <c r="C33">
        <f t="shared" si="2"/>
        <v>2006</v>
      </c>
      <c r="D33" s="344"/>
      <c r="E33" s="344"/>
      <c r="F33" s="344">
        <f>Total_stock_SF!BX36</f>
        <v>2158.3309177961414</v>
      </c>
      <c r="U33">
        <f t="shared" si="0"/>
        <v>2010</v>
      </c>
      <c r="X33">
        <f>Total_stock_MF!BY40</f>
        <v>1096.0168453689239</v>
      </c>
      <c r="AJ33">
        <f t="shared" si="1"/>
        <v>2010</v>
      </c>
      <c r="AM33">
        <f>Total_stock_MH!CB40</f>
        <v>0</v>
      </c>
    </row>
    <row r="34" spans="3:39" x14ac:dyDescent="0.2">
      <c r="C34">
        <f t="shared" si="2"/>
        <v>2007</v>
      </c>
      <c r="D34" s="344"/>
      <c r="E34" s="344">
        <f>Total_stock_SF!BW37</f>
        <v>2180.0622521425626</v>
      </c>
      <c r="F34" s="344">
        <f>Total_stock_SF!BX37</f>
        <v>2168.9358849751275</v>
      </c>
    </row>
    <row r="35" spans="3:39" x14ac:dyDescent="0.2">
      <c r="C35">
        <f t="shared" si="2"/>
        <v>2008</v>
      </c>
      <c r="D35" s="344"/>
      <c r="E35" s="344"/>
      <c r="F35" s="344">
        <f>Total_stock_SF!BX38</f>
        <v>2176.1427273015274</v>
      </c>
    </row>
    <row r="36" spans="3:39" x14ac:dyDescent="0.2">
      <c r="C36">
        <f t="shared" si="2"/>
        <v>2009</v>
      </c>
      <c r="D36" s="344">
        <f>K16</f>
        <v>2424.2038216560509</v>
      </c>
      <c r="E36" s="344">
        <f>Total_stock_SF!BW39</f>
        <v>2192.3844424420886</v>
      </c>
      <c r="F36" s="344">
        <f>Total_stock_SF!BX39</f>
        <v>2181.3182757931095</v>
      </c>
    </row>
    <row r="37" spans="3:39" x14ac:dyDescent="0.2">
      <c r="C37">
        <f t="shared" si="2"/>
        <v>2010</v>
      </c>
      <c r="D37" s="344"/>
      <c r="E37" s="344"/>
      <c r="F37" s="344">
        <f>Total_stock_SF!BX40</f>
        <v>2184.4367550310162</v>
      </c>
    </row>
    <row r="38" spans="3:39" x14ac:dyDescent="0.2">
      <c r="C38" s="341">
        <f t="shared" si="2"/>
        <v>2011</v>
      </c>
      <c r="D38" s="344"/>
      <c r="E38" s="344">
        <f>Total_stock_SF!BW41</f>
        <v>2201.2684808712961</v>
      </c>
      <c r="F38" s="344">
        <f>Total_stock_SF!BX41</f>
        <v>2188.3259705873934</v>
      </c>
    </row>
    <row r="39" spans="3:39" x14ac:dyDescent="0.2">
      <c r="C39" s="341">
        <f t="shared" si="2"/>
        <v>2012</v>
      </c>
      <c r="D39" s="344"/>
      <c r="E39" s="344"/>
      <c r="F39" s="344">
        <f>Total_stock_SF!BX42</f>
        <v>2195.6739625779692</v>
      </c>
    </row>
    <row r="40" spans="3:39" x14ac:dyDescent="0.2">
      <c r="C40" s="341">
        <f t="shared" si="2"/>
        <v>2013</v>
      </c>
      <c r="D40" s="344"/>
      <c r="E40" s="344">
        <f>Total_stock_SF!BW43</f>
        <v>2217.3604819525503</v>
      </c>
      <c r="F40" s="344">
        <f>Total_stock_SF!BX43</f>
        <v>2204.949636600667</v>
      </c>
    </row>
    <row r="41" spans="3:39" x14ac:dyDescent="0.2">
      <c r="C41" s="341">
        <f t="shared" si="2"/>
        <v>2014</v>
      </c>
      <c r="D41" s="344"/>
      <c r="E41" s="344"/>
      <c r="F41" s="344">
        <f>Total_stock_SF!BX44</f>
        <v>2216.5775967088935</v>
      </c>
    </row>
    <row r="42" spans="3:39" x14ac:dyDescent="0.2">
      <c r="C42" s="341">
        <f t="shared" si="2"/>
        <v>2015</v>
      </c>
      <c r="D42" s="344">
        <f>K17</f>
        <v>2484.5488257107536</v>
      </c>
      <c r="E42" s="344"/>
      <c r="F42" s="344">
        <f>Total_stock_SF!BX45</f>
        <v>2228.3029555662597</v>
      </c>
    </row>
    <row r="43" spans="3:39" x14ac:dyDescent="0.2">
      <c r="C43">
        <v>2016</v>
      </c>
      <c r="D43" s="344"/>
      <c r="E43" s="344"/>
      <c r="F43" s="344">
        <f>Total_stock_SF!BX46</f>
        <v>2241.0865690417086</v>
      </c>
    </row>
    <row r="44" spans="3:39" x14ac:dyDescent="0.2">
      <c r="C44">
        <v>2017</v>
      </c>
      <c r="D44" s="344"/>
      <c r="E44" s="344"/>
      <c r="F44" s="344">
        <f>Total_stock_SF!BX47</f>
        <v>2253.6687918388634</v>
      </c>
    </row>
    <row r="45" spans="3:39" x14ac:dyDescent="0.2">
      <c r="C45">
        <v>2018</v>
      </c>
      <c r="D45" s="344"/>
      <c r="E45" s="344"/>
      <c r="F45" s="344">
        <f>Total_stock_SF!BX48</f>
        <v>2265.8145288234605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D5:AW164"/>
  <sheetViews>
    <sheetView topLeftCell="A61" workbookViewId="0">
      <selection activeCell="G68" sqref="G68"/>
    </sheetView>
  </sheetViews>
  <sheetFormatPr defaultRowHeight="12.75" x14ac:dyDescent="0.2"/>
  <cols>
    <col min="5" max="5" width="12.28515625" customWidth="1"/>
    <col min="6" max="6" width="10.28515625" customWidth="1"/>
  </cols>
  <sheetData>
    <row r="5" spans="4:24" ht="39" thickBot="1" x14ac:dyDescent="0.25">
      <c r="D5" s="16"/>
      <c r="E5" s="256" t="s">
        <v>371</v>
      </c>
      <c r="F5" s="256" t="s">
        <v>416</v>
      </c>
      <c r="G5" s="256" t="s">
        <v>156</v>
      </c>
      <c r="U5" t="s">
        <v>373</v>
      </c>
      <c r="V5" t="s">
        <v>374</v>
      </c>
      <c r="W5" t="s">
        <v>375</v>
      </c>
    </row>
    <row r="6" spans="4:24" x14ac:dyDescent="0.2">
      <c r="D6">
        <f>1984</f>
        <v>1984</v>
      </c>
      <c r="F6" s="7">
        <f>Time_series!C12</f>
        <v>142.67050289687137</v>
      </c>
      <c r="G6">
        <f>Q9</f>
        <v>144.36000000000001</v>
      </c>
      <c r="P6">
        <f>RECS_4_adj!M9</f>
        <v>1980</v>
      </c>
      <c r="Q6">
        <f>RECS_4_adj!N9</f>
        <v>142.5</v>
      </c>
      <c r="T6">
        <f>RECS_4_adj!AL8</f>
        <v>1980</v>
      </c>
      <c r="U6">
        <f>RECS_4_adj!AM8</f>
        <v>34.85</v>
      </c>
      <c r="V6">
        <f>RECS_4_adj!AN8</f>
        <v>40.799999999999997</v>
      </c>
      <c r="W6">
        <f>RECS_4_adj!AO8</f>
        <v>42.18</v>
      </c>
      <c r="X6">
        <f>RECS_4_adj!AP8</f>
        <v>24.67</v>
      </c>
    </row>
    <row r="7" spans="4:24" x14ac:dyDescent="0.2">
      <c r="D7">
        <f>D6+1</f>
        <v>1985</v>
      </c>
      <c r="E7">
        <f>'Final Floorspace Estimates'!X10</f>
        <v>132.16236136402537</v>
      </c>
      <c r="F7" s="7">
        <f>Time_series!C13</f>
        <v>146.99176488816488</v>
      </c>
      <c r="P7">
        <f>RECS_4_adj!M10</f>
        <v>1981</v>
      </c>
      <c r="Q7">
        <f>RECS_4_adj!N10</f>
        <v>144.19999999999999</v>
      </c>
      <c r="T7">
        <f>RECS_4_adj!AL9</f>
        <v>1981</v>
      </c>
      <c r="U7">
        <f>RECS_4_adj!AM9</f>
        <v>35.08</v>
      </c>
      <c r="V7">
        <f>RECS_4_adj!AN9</f>
        <v>41.47</v>
      </c>
      <c r="W7">
        <f>RECS_4_adj!AO9</f>
        <v>42.59</v>
      </c>
      <c r="X7">
        <f>RECS_4_adj!AP9</f>
        <v>25.06</v>
      </c>
    </row>
    <row r="8" spans="4:24" x14ac:dyDescent="0.2">
      <c r="D8">
        <f t="shared" ref="D8:D32" si="0">D7+1</f>
        <v>1986</v>
      </c>
      <c r="E8">
        <f>'Final Floorspace Estimates'!X11</f>
        <v>134.61919118115864</v>
      </c>
      <c r="F8" s="7">
        <f>Time_series!C14</f>
        <v>151.652212994058</v>
      </c>
      <c r="P8">
        <f>RECS_4_adj!M11</f>
        <v>1982</v>
      </c>
      <c r="Q8">
        <f>RECS_4_adj!N11</f>
        <v>142.25</v>
      </c>
      <c r="T8">
        <f>RECS_4_adj!AL10</f>
        <v>1982</v>
      </c>
      <c r="U8">
        <f>RECS_4_adj!AM10</f>
        <v>34.35</v>
      </c>
      <c r="V8">
        <f>RECS_4_adj!AN10</f>
        <v>39.92</v>
      </c>
      <c r="W8">
        <f>RECS_4_adj!AO10</f>
        <v>43.69</v>
      </c>
      <c r="X8">
        <f>RECS_4_adj!AP10</f>
        <v>24.29</v>
      </c>
    </row>
    <row r="9" spans="4:24" x14ac:dyDescent="0.2">
      <c r="D9">
        <f t="shared" si="0"/>
        <v>1987</v>
      </c>
      <c r="E9">
        <f>'Final Floorspace Estimates'!X12</f>
        <v>137.99515865725226</v>
      </c>
      <c r="F9" s="7">
        <f>Time_series!C15</f>
        <v>155.23220763274335</v>
      </c>
      <c r="G9">
        <f>Q10</f>
        <v>156.82</v>
      </c>
      <c r="P9">
        <f>RECS_4_adj!M12</f>
        <v>1984</v>
      </c>
      <c r="Q9">
        <f>RECS_4_adj!N12</f>
        <v>144.36000000000001</v>
      </c>
      <c r="T9">
        <f>RECS_4_adj!AL11</f>
        <v>1984</v>
      </c>
      <c r="U9">
        <f>RECS_4_adj!AM11</f>
        <v>35.020000000000003</v>
      </c>
      <c r="V9">
        <f>RECS_4_adj!AN11</f>
        <v>39.14</v>
      </c>
      <c r="W9">
        <f>RECS_4_adj!AO11</f>
        <v>44.52</v>
      </c>
      <c r="X9">
        <f>RECS_4_adj!AP11</f>
        <v>25.68</v>
      </c>
    </row>
    <row r="10" spans="4:24" x14ac:dyDescent="0.2">
      <c r="D10">
        <f t="shared" si="0"/>
        <v>1988</v>
      </c>
      <c r="E10">
        <f>'Final Floorspace Estimates'!X13</f>
        <v>141.4266030475458</v>
      </c>
      <c r="F10" s="7">
        <f>Time_series!C16</f>
        <v>160.09502829316344</v>
      </c>
      <c r="P10">
        <f>RECS_4_adj!M13</f>
        <v>1987</v>
      </c>
      <c r="Q10">
        <f>RECS_4_adj!N13</f>
        <v>156.82</v>
      </c>
      <c r="T10">
        <f>RECS_4_adj!AL12</f>
        <v>1987</v>
      </c>
      <c r="U10">
        <f>RECS_4_adj!AM12</f>
        <v>36.82</v>
      </c>
      <c r="V10">
        <f>RECS_4_adj!AN12</f>
        <v>44.27</v>
      </c>
      <c r="W10">
        <f>RECS_4_adj!AO12</f>
        <v>47.13</v>
      </c>
      <c r="X10">
        <f>RECS_4_adj!AP12</f>
        <v>28.59</v>
      </c>
    </row>
    <row r="11" spans="4:24" x14ac:dyDescent="0.2">
      <c r="D11">
        <f t="shared" si="0"/>
        <v>1989</v>
      </c>
      <c r="E11">
        <f>'Final Floorspace Estimates'!X14</f>
        <v>144.69674020800079</v>
      </c>
      <c r="F11" s="7">
        <f>Time_series!C17</f>
        <v>165.12202883026924</v>
      </c>
      <c r="P11">
        <f>RECS_4_adj!M14</f>
        <v>1990</v>
      </c>
      <c r="Q11">
        <f>RECS_4_adj!N14</f>
        <v>169.23</v>
      </c>
      <c r="T11">
        <f>RECS_4_adj!AL13</f>
        <v>1990</v>
      </c>
      <c r="U11">
        <f>RECS_4_adj!AM13</f>
        <v>40.35</v>
      </c>
      <c r="V11">
        <f>RECS_4_adj!AN13</f>
        <v>46.94</v>
      </c>
      <c r="W11">
        <f>RECS_4_adj!AO13</f>
        <v>52.44</v>
      </c>
      <c r="X11">
        <f>RECS_4_adj!AP13</f>
        <v>29.5</v>
      </c>
    </row>
    <row r="12" spans="4:24" x14ac:dyDescent="0.2">
      <c r="D12">
        <f t="shared" si="0"/>
        <v>1990</v>
      </c>
      <c r="E12">
        <f>'Final Floorspace Estimates'!X15</f>
        <v>146.8348737793923</v>
      </c>
      <c r="F12" s="7">
        <f>Time_series!C18</f>
        <v>168.05439159574465</v>
      </c>
      <c r="G12">
        <f>Q11</f>
        <v>169.23</v>
      </c>
      <c r="P12">
        <f>RECS_4_adj!M15</f>
        <v>1993</v>
      </c>
      <c r="Q12">
        <f>RECS_4_adj!N15</f>
        <v>181.23</v>
      </c>
      <c r="T12">
        <f>RECS_4_adj!AL14</f>
        <v>1993</v>
      </c>
      <c r="U12">
        <f>RECS_4_adj!AM14</f>
        <v>40.049999999999997</v>
      </c>
      <c r="V12">
        <f>RECS_4_adj!AN14</f>
        <v>50.57</v>
      </c>
      <c r="W12">
        <f>RECS_4_adj!AO14</f>
        <v>57.15</v>
      </c>
      <c r="X12">
        <f>RECS_4_adj!AP14</f>
        <v>33.46</v>
      </c>
    </row>
    <row r="13" spans="4:24" x14ac:dyDescent="0.2">
      <c r="D13">
        <f t="shared" si="0"/>
        <v>1991</v>
      </c>
      <c r="E13">
        <f>'Final Floorspace Estimates'!X16</f>
        <v>148.46585451720881</v>
      </c>
      <c r="F13" s="7">
        <f>Time_series!C19</f>
        <v>172.16956690439326</v>
      </c>
      <c r="P13">
        <f>RECS_4_adj!M16</f>
        <v>1997</v>
      </c>
      <c r="Q13">
        <f>RECS_4_adj!N16</f>
        <v>168.81</v>
      </c>
      <c r="T13">
        <f>RECS_4_adj!AL15</f>
        <v>1997</v>
      </c>
      <c r="U13">
        <f>RECS_4_adj!AM15</f>
        <v>34.58</v>
      </c>
      <c r="V13">
        <f>RECS_4_adj!AN15</f>
        <v>46.1</v>
      </c>
      <c r="W13">
        <f>RECS_4_adj!AO15</f>
        <v>56.12</v>
      </c>
      <c r="X13">
        <f>RECS_4_adj!AP15</f>
        <v>32</v>
      </c>
    </row>
    <row r="14" spans="4:24" x14ac:dyDescent="0.2">
      <c r="D14">
        <f t="shared" si="0"/>
        <v>1992</v>
      </c>
      <c r="E14">
        <f>'Final Floorspace Estimates'!X17</f>
        <v>152.17549392110175</v>
      </c>
      <c r="F14" s="7">
        <f>Time_series!C20</f>
        <v>177.12719345923185</v>
      </c>
      <c r="P14">
        <f>RECS_4_adj!M17</f>
        <v>2001</v>
      </c>
      <c r="Q14">
        <f>RECS_4_adj!N17</f>
        <v>221.078</v>
      </c>
      <c r="T14">
        <f>RECS_4_adj!AL16</f>
        <v>2001</v>
      </c>
      <c r="U14">
        <f>RECS_4_adj!AM16</f>
        <v>45.283999999999999</v>
      </c>
      <c r="V14">
        <f>RECS_4_adj!AN16</f>
        <v>58.18</v>
      </c>
      <c r="W14">
        <f>RECS_4_adj!AO16</f>
        <v>76.631</v>
      </c>
      <c r="X14">
        <f>RECS_4_adj!AP16</f>
        <v>40.982999999999997</v>
      </c>
    </row>
    <row r="15" spans="4:24" x14ac:dyDescent="0.2">
      <c r="D15">
        <f t="shared" si="0"/>
        <v>1993</v>
      </c>
      <c r="E15">
        <f>'Final Floorspace Estimates'!X18</f>
        <v>156.02413991968692</v>
      </c>
      <c r="F15" s="7">
        <f>Time_series!C21</f>
        <v>181.08103336787565</v>
      </c>
      <c r="G15">
        <f>Q12</f>
        <v>181.23</v>
      </c>
      <c r="P15">
        <f>RECS_4_adj!M18</f>
        <v>2005</v>
      </c>
      <c r="Q15">
        <f>RECS_4_adj!N18</f>
        <v>256.46441422906003</v>
      </c>
      <c r="T15">
        <f>RECS_4_adj!AL17</f>
        <v>2005</v>
      </c>
      <c r="U15">
        <f>RECS_4_adj!AM17</f>
        <v>49.864922252650004</v>
      </c>
      <c r="V15">
        <f>RECS_4_adj!AN17</f>
        <v>65.690008157039998</v>
      </c>
      <c r="W15">
        <f>RECS_4_adj!AO17</f>
        <v>93.432181800190008</v>
      </c>
      <c r="X15">
        <f>RECS_4_adj!AP17</f>
        <v>47.477302019180001</v>
      </c>
    </row>
    <row r="16" spans="4:24" x14ac:dyDescent="0.2">
      <c r="D16">
        <f t="shared" si="0"/>
        <v>1994</v>
      </c>
      <c r="E16">
        <f>'Final Floorspace Estimates'!X19</f>
        <v>159.4766053085998</v>
      </c>
      <c r="F16" s="7">
        <f>Time_series!C22</f>
        <v>185.69757992987459</v>
      </c>
    </row>
    <row r="17" spans="4:7" x14ac:dyDescent="0.2">
      <c r="D17">
        <f t="shared" si="0"/>
        <v>1995</v>
      </c>
      <c r="E17">
        <f>'Final Floorspace Estimates'!X20</f>
        <v>162.82974350917578</v>
      </c>
      <c r="F17" s="7">
        <f>Time_series!C23</f>
        <v>192.74274162472835</v>
      </c>
    </row>
    <row r="18" spans="4:7" x14ac:dyDescent="0.2">
      <c r="D18">
        <f t="shared" si="0"/>
        <v>1996</v>
      </c>
      <c r="E18">
        <f>'Final Floorspace Estimates'!X21</f>
        <v>165.39799563374189</v>
      </c>
      <c r="F18" s="7">
        <f>Time_series!C24</f>
        <v>197.49013448973238</v>
      </c>
    </row>
    <row r="19" spans="4:7" x14ac:dyDescent="0.2">
      <c r="D19">
        <f t="shared" si="0"/>
        <v>1997</v>
      </c>
      <c r="E19">
        <f>'Final Floorspace Estimates'!X22</f>
        <v>167.95457064110761</v>
      </c>
      <c r="F19" s="7">
        <f>Time_series!C25</f>
        <v>203.8432695113201</v>
      </c>
      <c r="G19">
        <f>Q13</f>
        <v>168.81</v>
      </c>
    </row>
    <row r="20" spans="4:7" x14ac:dyDescent="0.2">
      <c r="D20">
        <f t="shared" si="0"/>
        <v>1998</v>
      </c>
      <c r="E20">
        <f>'Final Floorspace Estimates'!X23</f>
        <v>171.54183932820428</v>
      </c>
      <c r="F20" s="7">
        <f>Time_series!C26</f>
        <v>208.62932140979257</v>
      </c>
    </row>
    <row r="21" spans="4:7" x14ac:dyDescent="0.2">
      <c r="D21">
        <f t="shared" si="0"/>
        <v>1999</v>
      </c>
      <c r="E21">
        <f>'Final Floorspace Estimates'!X24</f>
        <v>175.48799076983966</v>
      </c>
      <c r="F21" s="7">
        <f>Time_series!C27</f>
        <v>213.51672013010224</v>
      </c>
    </row>
    <row r="22" spans="4:7" x14ac:dyDescent="0.2">
      <c r="D22">
        <f t="shared" si="0"/>
        <v>2000</v>
      </c>
      <c r="E22">
        <f>'Final Floorspace Estimates'!X25</f>
        <v>179.03994827520614</v>
      </c>
      <c r="F22" s="7">
        <f>Time_series!C28</f>
        <v>218.50614083826025</v>
      </c>
    </row>
    <row r="23" spans="4:7" x14ac:dyDescent="0.2">
      <c r="D23">
        <f t="shared" si="0"/>
        <v>2001</v>
      </c>
      <c r="E23">
        <f>'Final Floorspace Estimates'!X26</f>
        <v>182.6294879029748</v>
      </c>
      <c r="F23" s="7">
        <f>Time_series!C29</f>
        <v>223.5982233644861</v>
      </c>
      <c r="G23">
        <f>Q14</f>
        <v>221.078</v>
      </c>
    </row>
    <row r="24" spans="4:7" x14ac:dyDescent="0.2">
      <c r="D24">
        <f t="shared" si="0"/>
        <v>2002</v>
      </c>
      <c r="E24">
        <f>'Final Floorspace Estimates'!X27</f>
        <v>185.74703781664377</v>
      </c>
      <c r="F24" s="7">
        <f>Time_series!C30</f>
        <v>229.15556104698237</v>
      </c>
    </row>
    <row r="25" spans="4:7" x14ac:dyDescent="0.2">
      <c r="D25">
        <f t="shared" si="0"/>
        <v>2003</v>
      </c>
      <c r="E25">
        <f>'Final Floorspace Estimates'!X28</f>
        <v>188.92329033636062</v>
      </c>
      <c r="F25" s="7">
        <f>Time_series!C31</f>
        <v>236.71265154104569</v>
      </c>
    </row>
    <row r="26" spans="4:7" x14ac:dyDescent="0.2">
      <c r="D26">
        <f t="shared" si="0"/>
        <v>2004</v>
      </c>
      <c r="E26">
        <f>'Final Floorspace Estimates'!X29</f>
        <v>193.10030811704971</v>
      </c>
      <c r="F26" s="7">
        <f>Time_series!C32</f>
        <v>241.6708950003636</v>
      </c>
    </row>
    <row r="27" spans="4:7" x14ac:dyDescent="0.2">
      <c r="D27">
        <f t="shared" si="0"/>
        <v>2005</v>
      </c>
      <c r="E27">
        <f>'Final Floorspace Estimates'!X30</f>
        <v>197.6324965263909</v>
      </c>
      <c r="F27" s="7">
        <f>Time_series!C33</f>
        <v>248.04241495135557</v>
      </c>
      <c r="G27">
        <f>Q15</f>
        <v>256.46441422906003</v>
      </c>
    </row>
    <row r="28" spans="4:7" x14ac:dyDescent="0.2">
      <c r="D28">
        <f t="shared" si="0"/>
        <v>2006</v>
      </c>
      <c r="E28">
        <f>'Final Floorspace Estimates'!X31</f>
        <v>201.2029422171851</v>
      </c>
      <c r="F28" s="7">
        <f>Time_series!C34</f>
        <v>252.22044492082662</v>
      </c>
    </row>
    <row r="29" spans="4:7" x14ac:dyDescent="0.2">
      <c r="D29">
        <f t="shared" si="0"/>
        <v>2007</v>
      </c>
      <c r="E29">
        <f>'Final Floorspace Estimates'!X32</f>
        <v>203.58189249713297</v>
      </c>
      <c r="F29" s="7">
        <f>Time_series!C35</f>
        <v>257.98300621365854</v>
      </c>
    </row>
    <row r="30" spans="4:7" x14ac:dyDescent="0.2">
      <c r="D30">
        <f t="shared" si="0"/>
        <v>2008</v>
      </c>
      <c r="E30">
        <f>'Final Floorspace Estimates'!X33</f>
        <v>205.694290350221</v>
      </c>
      <c r="F30" s="7">
        <f>Time_series!C36</f>
        <v>261.90928622658834</v>
      </c>
    </row>
    <row r="31" spans="4:7" x14ac:dyDescent="0.2">
      <c r="D31">
        <f t="shared" si="0"/>
        <v>2009</v>
      </c>
      <c r="E31">
        <f>'Final Floorspace Estimates'!X34</f>
        <v>206.97299259453433</v>
      </c>
      <c r="F31" s="7">
        <f>Time_series!C37</f>
        <v>265.03926399223411</v>
      </c>
      <c r="G31">
        <v>223.9</v>
      </c>
    </row>
    <row r="32" spans="4:7" x14ac:dyDescent="0.2">
      <c r="D32">
        <f t="shared" si="0"/>
        <v>2010</v>
      </c>
      <c r="E32">
        <f>'Final Floorspace Estimates'!X35</f>
        <v>209.18127082446983</v>
      </c>
    </row>
    <row r="34" spans="4:49" x14ac:dyDescent="0.2">
      <c r="E34">
        <f>E31/E7</f>
        <v>1.5660509577643824</v>
      </c>
      <c r="F34">
        <f>F31/F7</f>
        <v>1.8030892015881488</v>
      </c>
    </row>
    <row r="36" spans="4:49" ht="18" x14ac:dyDescent="0.25">
      <c r="F36">
        <f>E34/F34</f>
        <v>0.86853770539195474</v>
      </c>
      <c r="S36" s="281" t="s">
        <v>498</v>
      </c>
      <c r="AG36" s="286" t="s">
        <v>32</v>
      </c>
      <c r="AU36" s="286" t="s">
        <v>33</v>
      </c>
      <c r="AV36" s="280"/>
      <c r="AW36" s="280"/>
    </row>
    <row r="37" spans="4:49" x14ac:dyDescent="0.2">
      <c r="AU37" s="280"/>
      <c r="AV37" s="280"/>
      <c r="AW37" s="280"/>
    </row>
    <row r="38" spans="4:49" x14ac:dyDescent="0.2">
      <c r="E38">
        <f>E22/E7</f>
        <v>1.3546969532578348</v>
      </c>
      <c r="F38">
        <f>F22/F7</f>
        <v>1.4865196087992096</v>
      </c>
      <c r="AU38" s="280"/>
      <c r="AV38" s="280"/>
      <c r="AW38" s="280"/>
    </row>
    <row r="39" spans="4:49" x14ac:dyDescent="0.2">
      <c r="AU39" s="280"/>
      <c r="AV39" s="280"/>
      <c r="AW39" s="280"/>
    </row>
    <row r="40" spans="4:49" ht="18" x14ac:dyDescent="0.25">
      <c r="E40" s="209" t="s">
        <v>20</v>
      </c>
      <c r="I40" s="288">
        <v>0.5</v>
      </c>
      <c r="AU40" s="280"/>
      <c r="AV40" s="280"/>
      <c r="AW40" s="280"/>
    </row>
    <row r="41" spans="4:49" x14ac:dyDescent="0.2">
      <c r="AU41" s="280"/>
      <c r="AV41" s="280"/>
      <c r="AW41" s="280"/>
    </row>
    <row r="42" spans="4:49" x14ac:dyDescent="0.2">
      <c r="E42" t="s">
        <v>371</v>
      </c>
      <c r="G42" t="s">
        <v>372</v>
      </c>
      <c r="T42" s="280" t="s">
        <v>371</v>
      </c>
      <c r="U42" t="s">
        <v>156</v>
      </c>
      <c r="AG42" s="280"/>
      <c r="AH42" s="280" t="s">
        <v>371</v>
      </c>
      <c r="AI42" s="280" t="s">
        <v>156</v>
      </c>
      <c r="AU42" s="280"/>
      <c r="AV42" s="280" t="s">
        <v>371</v>
      </c>
      <c r="AW42" s="280" t="s">
        <v>156</v>
      </c>
    </row>
    <row r="43" spans="4:49" x14ac:dyDescent="0.2">
      <c r="D43">
        <f>1984</f>
        <v>1984</v>
      </c>
      <c r="F43" s="7"/>
      <c r="G43">
        <f>U9</f>
        <v>35.020000000000003</v>
      </c>
      <c r="S43">
        <f>D43</f>
        <v>1984</v>
      </c>
      <c r="U43">
        <f>RECS_4_adj!$BQ$11</f>
        <v>2536.6972477064219</v>
      </c>
      <c r="AG43" s="280">
        <f>S43</f>
        <v>1984</v>
      </c>
      <c r="AH43" s="280"/>
      <c r="AI43" s="280">
        <f>RECS_4_adj!$BR$11</f>
        <v>1002.9411764705882</v>
      </c>
      <c r="AU43" s="280">
        <f>AG43</f>
        <v>1984</v>
      </c>
      <c r="AV43" s="280"/>
      <c r="AW43" s="280">
        <f>RECS_4_adj!$BL$11</f>
        <v>785.71428571428578</v>
      </c>
    </row>
    <row r="44" spans="4:49" x14ac:dyDescent="0.2">
      <c r="D44">
        <f>D43+1</f>
        <v>1985</v>
      </c>
      <c r="E44">
        <f>'Final Floorspace Estimates'!X49</f>
        <v>30.295053407897139</v>
      </c>
      <c r="F44" s="7"/>
      <c r="S44" s="280">
        <f t="shared" ref="S44:S69" si="1">D44</f>
        <v>1985</v>
      </c>
      <c r="T44" s="282">
        <f>'Final Floorspace Estimates'!Q49</f>
        <v>2210.8753731937936</v>
      </c>
      <c r="U44" s="280"/>
      <c r="AG44" s="280">
        <f t="shared" ref="AG44:AG69" si="2">S44</f>
        <v>1985</v>
      </c>
      <c r="AH44" s="282">
        <f>'Final Floorspace Estimates'!R49</f>
        <v>881.17623091966152</v>
      </c>
      <c r="AI44" s="280"/>
      <c r="AU44" s="280">
        <f t="shared" ref="AU44:AU69" si="3">AG44</f>
        <v>1985</v>
      </c>
      <c r="AV44" s="282">
        <f>'Final Floorspace Estimates'!S49</f>
        <v>845.21973168316833</v>
      </c>
      <c r="AW44" s="280"/>
    </row>
    <row r="45" spans="4:49" x14ac:dyDescent="0.2">
      <c r="D45">
        <f t="shared" ref="D45:D69" si="4">D44+1</f>
        <v>1986</v>
      </c>
      <c r="E45">
        <f>'Final Floorspace Estimates'!X50</f>
        <v>30.643275658947726</v>
      </c>
      <c r="F45" s="7"/>
      <c r="S45" s="280">
        <f t="shared" si="1"/>
        <v>1986</v>
      </c>
      <c r="T45" s="282">
        <f>'Final Floorspace Estimates'!Q50</f>
        <v>2200.5827262593102</v>
      </c>
      <c r="AG45" s="280">
        <f t="shared" si="2"/>
        <v>1986</v>
      </c>
      <c r="AH45" s="282">
        <f>'Final Floorspace Estimates'!R50</f>
        <v>903.0171667026591</v>
      </c>
      <c r="AI45" s="280"/>
      <c r="AU45" s="280">
        <f t="shared" si="3"/>
        <v>1986</v>
      </c>
      <c r="AV45" s="282">
        <f>'Final Floorspace Estimates'!S50</f>
        <v>851.44375770749866</v>
      </c>
      <c r="AW45" s="280"/>
    </row>
    <row r="46" spans="4:49" x14ac:dyDescent="0.2">
      <c r="D46">
        <f t="shared" si="4"/>
        <v>1987</v>
      </c>
      <c r="E46">
        <f>'Final Floorspace Estimates'!X51</f>
        <v>31.175276157783056</v>
      </c>
      <c r="F46" s="7"/>
      <c r="G46">
        <f>U10</f>
        <v>36.82</v>
      </c>
      <c r="S46" s="280">
        <f t="shared" si="1"/>
        <v>1987</v>
      </c>
      <c r="T46" s="282">
        <f>'Final Floorspace Estimates'!Q51</f>
        <v>2210.9511086489065</v>
      </c>
      <c r="U46" s="280">
        <f>RECS_4_adj!$BQ$12</f>
        <v>2608.1081081081084</v>
      </c>
      <c r="AG46" s="280">
        <f t="shared" si="2"/>
        <v>1987</v>
      </c>
      <c r="AH46" s="282">
        <f>'Final Floorspace Estimates'!R51</f>
        <v>920.52633933356401</v>
      </c>
      <c r="AI46" s="280">
        <f>RECS_4_adj!$BR$12</f>
        <v>1006.8493150684932</v>
      </c>
      <c r="AU46" s="280">
        <f t="shared" si="3"/>
        <v>1987</v>
      </c>
      <c r="AV46" s="282">
        <f>'Final Floorspace Estimates'!S51</f>
        <v>850.58308135372886</v>
      </c>
      <c r="AW46" s="280">
        <f>RECS_4_adj!$BL$12</f>
        <v>742.85714285714289</v>
      </c>
    </row>
    <row r="47" spans="4:49" x14ac:dyDescent="0.2">
      <c r="D47">
        <f t="shared" si="4"/>
        <v>1988</v>
      </c>
      <c r="E47">
        <f>'Final Floorspace Estimates'!X52</f>
        <v>31.825092179685441</v>
      </c>
      <c r="F47" s="7"/>
      <c r="S47" s="280">
        <f t="shared" si="1"/>
        <v>1988</v>
      </c>
      <c r="T47" s="282">
        <f>'Final Floorspace Estimates'!Q52</f>
        <v>2220.1825045673518</v>
      </c>
      <c r="AG47" s="280">
        <f t="shared" si="2"/>
        <v>1988</v>
      </c>
      <c r="AH47" s="282">
        <f>'Final Floorspace Estimates'!R52</f>
        <v>933.37586330542263</v>
      </c>
      <c r="AI47" s="280"/>
      <c r="AU47" s="280">
        <f t="shared" si="3"/>
        <v>1988</v>
      </c>
      <c r="AV47" s="282">
        <f>'Final Floorspace Estimates'!S52</f>
        <v>875.86520240246648</v>
      </c>
      <c r="AW47" s="280"/>
    </row>
    <row r="48" spans="4:49" x14ac:dyDescent="0.2">
      <c r="D48">
        <f t="shared" si="4"/>
        <v>1989</v>
      </c>
      <c r="E48">
        <f>'Final Floorspace Estimates'!X53</f>
        <v>32.425595185412007</v>
      </c>
      <c r="F48" s="7"/>
      <c r="S48" s="280">
        <f t="shared" si="1"/>
        <v>1989</v>
      </c>
      <c r="T48" s="282">
        <f>'Final Floorspace Estimates'!Q53</f>
        <v>2228.8417064469086</v>
      </c>
      <c r="AG48" s="280">
        <f t="shared" si="2"/>
        <v>1989</v>
      </c>
      <c r="AH48" s="282">
        <f>'Final Floorspace Estimates'!R53</f>
        <v>944.18800515475073</v>
      </c>
      <c r="AI48" s="280"/>
      <c r="AU48" s="280">
        <f t="shared" si="3"/>
        <v>1989</v>
      </c>
      <c r="AV48" s="282">
        <f>'Final Floorspace Estimates'!S53</f>
        <v>901.13793578367506</v>
      </c>
      <c r="AW48" s="280"/>
    </row>
    <row r="49" spans="4:49" x14ac:dyDescent="0.2">
      <c r="D49">
        <f t="shared" si="4"/>
        <v>1990</v>
      </c>
      <c r="E49">
        <f>'Final Floorspace Estimates'!X54</f>
        <v>32.67223968353165</v>
      </c>
      <c r="F49" s="7"/>
      <c r="G49">
        <f>U11</f>
        <v>40.35</v>
      </c>
      <c r="S49" s="280">
        <f t="shared" si="1"/>
        <v>1990</v>
      </c>
      <c r="T49" s="282">
        <f>'Final Floorspace Estimates'!Q54</f>
        <v>2238.4674236149899</v>
      </c>
      <c r="U49" s="280">
        <f>RECS_4_adj!$BQ$13</f>
        <v>2716.8067226890753</v>
      </c>
      <c r="AG49" s="280">
        <f t="shared" si="2"/>
        <v>1990</v>
      </c>
      <c r="AH49" s="282">
        <f>'Final Floorspace Estimates'!R54</f>
        <v>952.53691624183045</v>
      </c>
      <c r="AI49" s="280">
        <f>RECS_4_adj!$BR$13</f>
        <v>1108.8235294117649</v>
      </c>
      <c r="AU49" s="280">
        <f t="shared" si="3"/>
        <v>1990</v>
      </c>
      <c r="AV49" s="282">
        <f>'Final Floorspace Estimates'!S54</f>
        <v>926.90299356528942</v>
      </c>
      <c r="AW49" s="280">
        <f>RECS_4_adj!$BL$13</f>
        <v>980</v>
      </c>
    </row>
    <row r="50" spans="4:49" x14ac:dyDescent="0.2">
      <c r="D50">
        <f t="shared" si="4"/>
        <v>1991</v>
      </c>
      <c r="E50">
        <f>'Final Floorspace Estimates'!X55</f>
        <v>32.803248557776286</v>
      </c>
      <c r="F50" s="7"/>
      <c r="S50" s="280">
        <f t="shared" si="1"/>
        <v>1991</v>
      </c>
      <c r="T50" s="282">
        <f>'Final Floorspace Estimates'!Q55</f>
        <v>2245.1528909301387</v>
      </c>
      <c r="AG50" s="280">
        <f t="shared" si="2"/>
        <v>1991</v>
      </c>
      <c r="AH50" s="282">
        <f>'Final Floorspace Estimates'!R55</f>
        <v>956.81702335077614</v>
      </c>
      <c r="AI50" s="280"/>
      <c r="AU50" s="280">
        <f t="shared" si="3"/>
        <v>1991</v>
      </c>
      <c r="AV50" s="282">
        <f>'Final Floorspace Estimates'!S55</f>
        <v>942.57787216735608</v>
      </c>
      <c r="AW50" s="280"/>
    </row>
    <row r="51" spans="4:49" x14ac:dyDescent="0.2">
      <c r="D51">
        <f t="shared" si="4"/>
        <v>1992</v>
      </c>
      <c r="E51">
        <f>'Final Floorspace Estimates'!X56</f>
        <v>33.123810811152985</v>
      </c>
      <c r="F51" s="7"/>
      <c r="S51" s="280">
        <f t="shared" si="1"/>
        <v>1992</v>
      </c>
      <c r="T51" s="282">
        <f>'Final Floorspace Estimates'!Q56</f>
        <v>2257.3942484998056</v>
      </c>
      <c r="AG51" s="280">
        <f t="shared" si="2"/>
        <v>1992</v>
      </c>
      <c r="AH51" s="282">
        <f>'Final Floorspace Estimates'!R56</f>
        <v>958.25941757315297</v>
      </c>
      <c r="AI51" s="280"/>
      <c r="AU51" s="280">
        <f t="shared" si="3"/>
        <v>1992</v>
      </c>
      <c r="AV51" s="282">
        <f>'Final Floorspace Estimates'!S56</f>
        <v>956.87964215044394</v>
      </c>
      <c r="AW51" s="280"/>
    </row>
    <row r="52" spans="4:49" x14ac:dyDescent="0.2">
      <c r="D52">
        <f t="shared" si="4"/>
        <v>1993</v>
      </c>
      <c r="E52">
        <f>'Final Floorspace Estimates'!X57</f>
        <v>33.442004088055405</v>
      </c>
      <c r="F52" s="7"/>
      <c r="G52">
        <f>U12</f>
        <v>40.049999999999997</v>
      </c>
      <c r="S52" s="280">
        <f t="shared" si="1"/>
        <v>1993</v>
      </c>
      <c r="T52" s="282">
        <f>'Final Floorspace Estimates'!Q57</f>
        <v>2268.7816902601294</v>
      </c>
      <c r="U52" s="280">
        <f>RECS_4_adj!$BQ$14</f>
        <v>2678.9915966386552</v>
      </c>
      <c r="AG52" s="280">
        <f t="shared" si="2"/>
        <v>1993</v>
      </c>
      <c r="AH52" s="282">
        <f>'Final Floorspace Estimates'!R57</f>
        <v>957.87497706299905</v>
      </c>
      <c r="AI52" s="280">
        <f>RECS_4_adj!$BR$14</f>
        <v>1095.7142857142856</v>
      </c>
      <c r="AU52" s="280">
        <f t="shared" si="3"/>
        <v>1993</v>
      </c>
      <c r="AV52" s="282">
        <f>'Final Floorspace Estimates'!S57</f>
        <v>971.15029726572789</v>
      </c>
      <c r="AW52" s="280">
        <f>RECS_4_adj!$BL$14</f>
        <v>1000</v>
      </c>
    </row>
    <row r="53" spans="4:49" x14ac:dyDescent="0.2">
      <c r="D53">
        <f t="shared" si="4"/>
        <v>1994</v>
      </c>
      <c r="E53">
        <f>'Final Floorspace Estimates'!X58</f>
        <v>33.794844080936734</v>
      </c>
      <c r="F53" s="7"/>
      <c r="S53" s="280">
        <f t="shared" si="1"/>
        <v>1994</v>
      </c>
      <c r="T53" s="282">
        <f>'Final Floorspace Estimates'!Q58</f>
        <v>2280.7512113695507</v>
      </c>
      <c r="AG53" s="280">
        <f t="shared" si="2"/>
        <v>1994</v>
      </c>
      <c r="AH53" s="282">
        <f>'Final Floorspace Estimates'!R58</f>
        <v>959.8397668758256</v>
      </c>
      <c r="AI53" s="280"/>
      <c r="AU53" s="280">
        <f t="shared" si="3"/>
        <v>1994</v>
      </c>
      <c r="AV53" s="282">
        <f>'Final Floorspace Estimates'!S58</f>
        <v>980.03782948940227</v>
      </c>
      <c r="AW53" s="280"/>
    </row>
    <row r="54" spans="4:49" x14ac:dyDescent="0.2">
      <c r="D54">
        <f t="shared" si="4"/>
        <v>1995</v>
      </c>
      <c r="E54">
        <f>'Final Floorspace Estimates'!X59</f>
        <v>34.120822974170473</v>
      </c>
      <c r="F54" s="7"/>
      <c r="S54" s="280">
        <f t="shared" si="1"/>
        <v>1995</v>
      </c>
      <c r="T54" s="282">
        <f>'Final Floorspace Estimates'!Q59</f>
        <v>2287.5754219306482</v>
      </c>
      <c r="AG54" s="280">
        <f t="shared" si="2"/>
        <v>1995</v>
      </c>
      <c r="AH54" s="282">
        <f>'Final Floorspace Estimates'!R59</f>
        <v>965.29348040924094</v>
      </c>
      <c r="AI54" s="280"/>
      <c r="AU54" s="280">
        <f t="shared" si="3"/>
        <v>1995</v>
      </c>
      <c r="AV54" s="282">
        <f>'Final Floorspace Estimates'!S59</f>
        <v>988.92427029099304</v>
      </c>
      <c r="AW54" s="280"/>
    </row>
    <row r="55" spans="4:49" x14ac:dyDescent="0.2">
      <c r="D55">
        <f t="shared" si="4"/>
        <v>1996</v>
      </c>
      <c r="E55">
        <f>'Final Floorspace Estimates'!X60</f>
        <v>34.685693592890182</v>
      </c>
      <c r="F55" s="7"/>
      <c r="S55" s="280">
        <f t="shared" si="1"/>
        <v>1996</v>
      </c>
      <c r="T55" s="282">
        <f>'Final Floorspace Estimates'!Q60</f>
        <v>2296.895761448669</v>
      </c>
      <c r="AG55" s="280">
        <f t="shared" si="2"/>
        <v>1996</v>
      </c>
      <c r="AH55" s="282">
        <f>'Final Floorspace Estimates'!R60</f>
        <v>973.20080331561928</v>
      </c>
      <c r="AI55" s="280"/>
      <c r="AU55" s="280">
        <f t="shared" si="3"/>
        <v>1996</v>
      </c>
      <c r="AV55" s="282">
        <f>'Final Floorspace Estimates'!S60</f>
        <v>997.43505547803636</v>
      </c>
      <c r="AW55" s="280"/>
    </row>
    <row r="56" spans="4:49" x14ac:dyDescent="0.2">
      <c r="D56">
        <f t="shared" si="4"/>
        <v>1997</v>
      </c>
      <c r="E56">
        <f>'Final Floorspace Estimates'!X61</f>
        <v>35.250382714846289</v>
      </c>
      <c r="F56" s="7"/>
      <c r="G56">
        <f>U13</f>
        <v>34.58</v>
      </c>
      <c r="S56" s="280">
        <f t="shared" si="1"/>
        <v>1997</v>
      </c>
      <c r="T56" s="282">
        <f>'Final Floorspace Estimates'!Q61</f>
        <v>2304.9525414517602</v>
      </c>
      <c r="U56" s="280">
        <f>RECS_4_adj!$BQ$15</f>
        <v>2116.6666666666665</v>
      </c>
      <c r="AG56" s="280">
        <f t="shared" si="2"/>
        <v>1997</v>
      </c>
      <c r="AH56" s="282">
        <f>'Final Floorspace Estimates'!R61</f>
        <v>981.50339752977959</v>
      </c>
      <c r="AI56" s="280">
        <f>RECS_4_adj!$BR$15</f>
        <v>890.90909090909099</v>
      </c>
      <c r="AU56" s="280">
        <f t="shared" si="3"/>
        <v>1997</v>
      </c>
      <c r="AV56" s="282">
        <f>'Final Floorspace Estimates'!S61</f>
        <v>1005.9384095410609</v>
      </c>
      <c r="AW56" s="280">
        <f>RECS_4_adj!$BL$15</f>
        <v>940</v>
      </c>
    </row>
    <row r="57" spans="4:49" x14ac:dyDescent="0.2">
      <c r="D57">
        <f t="shared" si="4"/>
        <v>1998</v>
      </c>
      <c r="E57">
        <f>'Final Floorspace Estimates'!X62</f>
        <v>35.929642010942651</v>
      </c>
      <c r="F57" s="7"/>
      <c r="S57" s="280">
        <f t="shared" si="1"/>
        <v>1998</v>
      </c>
      <c r="T57" s="282">
        <f>'Final Floorspace Estimates'!Q62</f>
        <v>2314.7078079697585</v>
      </c>
      <c r="AG57" s="280">
        <f t="shared" si="2"/>
        <v>1998</v>
      </c>
      <c r="AH57" s="282">
        <f>'Final Floorspace Estimates'!R62</f>
        <v>987.59061570803999</v>
      </c>
      <c r="AI57" s="280"/>
      <c r="AU57" s="280">
        <f t="shared" si="3"/>
        <v>1998</v>
      </c>
      <c r="AV57" s="282">
        <f>'Final Floorspace Estimates'!S62</f>
        <v>1014.6864753431329</v>
      </c>
      <c r="AW57" s="280"/>
    </row>
    <row r="58" spans="4:49" x14ac:dyDescent="0.2">
      <c r="D58">
        <f t="shared" si="4"/>
        <v>1999</v>
      </c>
      <c r="E58">
        <f>'Final Floorspace Estimates'!X63</f>
        <v>36.685997888937528</v>
      </c>
      <c r="F58" s="7"/>
      <c r="S58" s="280">
        <f t="shared" si="1"/>
        <v>1999</v>
      </c>
      <c r="T58" s="282">
        <f>'Final Floorspace Estimates'!Q63</f>
        <v>2326.5701260482642</v>
      </c>
      <c r="AG58" s="280">
        <f t="shared" si="2"/>
        <v>1999</v>
      </c>
      <c r="AH58" s="282">
        <f>'Final Floorspace Estimates'!R63</f>
        <v>995.19754252016173</v>
      </c>
      <c r="AI58" s="280"/>
      <c r="AU58" s="280">
        <f t="shared" si="3"/>
        <v>1999</v>
      </c>
      <c r="AV58" s="282">
        <f>'Final Floorspace Estimates'!S63</f>
        <v>1023.4312534805125</v>
      </c>
      <c r="AW58" s="280"/>
    </row>
    <row r="59" spans="4:49" x14ac:dyDescent="0.2">
      <c r="D59">
        <f t="shared" si="4"/>
        <v>2000</v>
      </c>
      <c r="E59">
        <f>'Final Floorspace Estimates'!X64</f>
        <v>37.150451147479217</v>
      </c>
      <c r="F59" s="7"/>
      <c r="S59" s="280">
        <f t="shared" si="1"/>
        <v>2000</v>
      </c>
      <c r="T59" s="282">
        <f>'Final Floorspace Estimates'!Q64</f>
        <v>2332.666389273144</v>
      </c>
      <c r="AG59" s="280">
        <f t="shared" si="2"/>
        <v>2000</v>
      </c>
      <c r="AH59" s="282">
        <f>'Final Floorspace Estimates'!R64</f>
        <v>1007.0812575398804</v>
      </c>
      <c r="AI59" s="280"/>
      <c r="AU59" s="280">
        <f t="shared" si="3"/>
        <v>2000</v>
      </c>
      <c r="AV59" s="282">
        <f>'Final Floorspace Estimates'!S64</f>
        <v>1032.1867283831136</v>
      </c>
      <c r="AW59" s="280"/>
    </row>
    <row r="60" spans="4:49" x14ac:dyDescent="0.2">
      <c r="D60">
        <f t="shared" si="4"/>
        <v>2001</v>
      </c>
      <c r="E60">
        <f>'Final Floorspace Estimates'!X65</f>
        <v>37.615996433606391</v>
      </c>
      <c r="F60" s="7"/>
      <c r="G60">
        <f>U14</f>
        <v>45.283999999999999</v>
      </c>
      <c r="S60" s="280">
        <f t="shared" si="1"/>
        <v>2001</v>
      </c>
      <c r="T60" s="282">
        <f>'Final Floorspace Estimates'!Q65</f>
        <v>2340.0163058317612</v>
      </c>
      <c r="U60" s="280">
        <f>RECS_4_adj!$BQ$16</f>
        <v>2918.1515403830135</v>
      </c>
      <c r="AG60" s="280">
        <f t="shared" si="2"/>
        <v>2001</v>
      </c>
      <c r="AH60" s="282">
        <f>'Final Floorspace Estimates'!R65</f>
        <v>1018.3795592837155</v>
      </c>
      <c r="AI60" s="280">
        <f>RECS_4_adj!$BR$16</f>
        <v>1258.4299262381455</v>
      </c>
      <c r="AU60" s="280">
        <f t="shared" si="3"/>
        <v>2001</v>
      </c>
      <c r="AV60" s="282">
        <f>'Final Floorspace Estimates'!S65</f>
        <v>1040.9391511585568</v>
      </c>
      <c r="AW60" s="280">
        <f>RECS_4_adj!$BL$16</f>
        <v>1045.9418070444103</v>
      </c>
    </row>
    <row r="61" spans="4:49" x14ac:dyDescent="0.2">
      <c r="D61">
        <f t="shared" si="4"/>
        <v>2002</v>
      </c>
      <c r="E61">
        <f>'Final Floorspace Estimates'!X66</f>
        <v>37.923216202434688</v>
      </c>
      <c r="F61" s="7"/>
      <c r="S61" s="280">
        <f t="shared" si="1"/>
        <v>2002</v>
      </c>
      <c r="T61" s="282">
        <f>'Final Floorspace Estimates'!Q66</f>
        <v>2347.8942057437698</v>
      </c>
      <c r="AG61" s="280">
        <f t="shared" si="2"/>
        <v>2002</v>
      </c>
      <c r="AH61" s="282">
        <f>'Final Floorspace Estimates'!R66</f>
        <v>1030.5088620167755</v>
      </c>
      <c r="AI61" s="280"/>
      <c r="AU61" s="280">
        <f t="shared" si="3"/>
        <v>2002</v>
      </c>
      <c r="AV61" s="282">
        <f>'Final Floorspace Estimates'!S66</f>
        <v>1040.8053292171417</v>
      </c>
      <c r="AW61" s="280"/>
    </row>
    <row r="62" spans="4:49" x14ac:dyDescent="0.2">
      <c r="D62">
        <f t="shared" si="4"/>
        <v>2003</v>
      </c>
      <c r="E62">
        <f>'Final Floorspace Estimates'!X67</f>
        <v>38.231358204590848</v>
      </c>
      <c r="F62" s="7"/>
      <c r="S62" s="280">
        <f t="shared" si="1"/>
        <v>2003</v>
      </c>
      <c r="T62" s="282">
        <f>'Final Floorspace Estimates'!Q67</f>
        <v>2355.5448440439927</v>
      </c>
      <c r="AG62" s="280">
        <f t="shared" si="2"/>
        <v>2003</v>
      </c>
      <c r="AH62" s="282">
        <f>'Final Floorspace Estimates'!R67</f>
        <v>1041.0369580136548</v>
      </c>
      <c r="AI62" s="280"/>
      <c r="AU62" s="280">
        <f t="shared" si="3"/>
        <v>2003</v>
      </c>
      <c r="AV62" s="282">
        <f>'Final Floorspace Estimates'!S67</f>
        <v>1040.6715425593231</v>
      </c>
      <c r="AW62" s="280"/>
    </row>
    <row r="63" spans="4:49" x14ac:dyDescent="0.2">
      <c r="D63">
        <f t="shared" si="4"/>
        <v>2004</v>
      </c>
      <c r="E63">
        <f>'Final Floorspace Estimates'!X68</f>
        <v>38.588555492771604</v>
      </c>
      <c r="F63" s="7"/>
      <c r="S63" s="280">
        <f t="shared" si="1"/>
        <v>2004</v>
      </c>
      <c r="T63" s="282">
        <f>'Final Floorspace Estimates'!Q68</f>
        <v>2365.649431375768</v>
      </c>
      <c r="AG63" s="280">
        <f t="shared" si="2"/>
        <v>2004</v>
      </c>
      <c r="AH63" s="282">
        <f>'Final Floorspace Estimates'!R68</f>
        <v>1053.2649416125205</v>
      </c>
      <c r="AI63" s="280"/>
      <c r="AU63" s="280">
        <f t="shared" si="3"/>
        <v>2004</v>
      </c>
      <c r="AV63" s="282">
        <f>'Final Floorspace Estimates'!S68</f>
        <v>1040.8135584565664</v>
      </c>
      <c r="AW63" s="280"/>
    </row>
    <row r="64" spans="4:49" x14ac:dyDescent="0.2">
      <c r="D64">
        <f t="shared" si="4"/>
        <v>2005</v>
      </c>
      <c r="E64">
        <f>'Final Floorspace Estimates'!X69</f>
        <v>38.992871452908545</v>
      </c>
      <c r="F64" s="7"/>
      <c r="G64">
        <f>U15</f>
        <v>49.864922252650004</v>
      </c>
      <c r="S64" s="280">
        <f t="shared" si="1"/>
        <v>2005</v>
      </c>
      <c r="T64" s="282">
        <f>'Final Floorspace Estimates'!Q69</f>
        <v>2377.1489671103736</v>
      </c>
      <c r="U64" s="51">
        <f>RECS_4_adj!$BQ$17</f>
        <v>3188.7106725438157</v>
      </c>
      <c r="AG64" s="280">
        <f t="shared" si="2"/>
        <v>2005</v>
      </c>
      <c r="AH64" s="282">
        <f>'Final Floorspace Estimates'!R69</f>
        <v>1065.0102704116591</v>
      </c>
      <c r="AI64" s="51">
        <f>RECS_4_adj!$BR$17</f>
        <v>976.3198334693792</v>
      </c>
      <c r="AU64" s="280">
        <f t="shared" si="3"/>
        <v>2005</v>
      </c>
      <c r="AV64" s="282">
        <f>'Final Floorspace Estimates'!S69</f>
        <v>1040.9556121850267</v>
      </c>
      <c r="AW64" s="51">
        <f>RECS_4_adj!$BL$17</f>
        <v>902.67872100069917</v>
      </c>
    </row>
    <row r="65" spans="4:49" x14ac:dyDescent="0.2">
      <c r="D65">
        <f t="shared" si="4"/>
        <v>2006</v>
      </c>
      <c r="E65">
        <f>'Final Floorspace Estimates'!X70</f>
        <v>39.23206519932063</v>
      </c>
      <c r="F65" s="7"/>
      <c r="S65" s="280">
        <f t="shared" si="1"/>
        <v>2006</v>
      </c>
      <c r="T65" s="282">
        <f>'Final Floorspace Estimates'!Q70</f>
        <v>2387.0639008160288</v>
      </c>
      <c r="AG65" s="280">
        <f t="shared" si="2"/>
        <v>2006</v>
      </c>
      <c r="AH65" s="282">
        <f>'Final Floorspace Estimates'!R70</f>
        <v>1079.7737299662372</v>
      </c>
      <c r="AI65" s="280"/>
      <c r="AU65" s="280">
        <f t="shared" si="3"/>
        <v>2006</v>
      </c>
      <c r="AV65" s="282">
        <f>'Final Floorspace Estimates'!S70</f>
        <v>1046.9342633921822</v>
      </c>
      <c r="AW65" s="280"/>
    </row>
    <row r="66" spans="4:49" x14ac:dyDescent="0.2">
      <c r="D66">
        <f t="shared" si="4"/>
        <v>2007</v>
      </c>
      <c r="E66">
        <f>'Final Floorspace Estimates'!X71</f>
        <v>39.231788515015019</v>
      </c>
      <c r="F66" s="7"/>
      <c r="S66" s="280">
        <f t="shared" si="1"/>
        <v>2007</v>
      </c>
      <c r="T66" s="282">
        <f>'Final Floorspace Estimates'!Q71</f>
        <v>2386.3705237276445</v>
      </c>
      <c r="AG66" s="280">
        <f t="shared" si="2"/>
        <v>2007</v>
      </c>
      <c r="AH66" s="282">
        <f>'Final Floorspace Estimates'!R71</f>
        <v>1092.2574042079102</v>
      </c>
      <c r="AI66" s="280"/>
      <c r="AU66" s="280">
        <f t="shared" si="3"/>
        <v>2007</v>
      </c>
      <c r="AV66" s="282">
        <f>'Final Floorspace Estimates'!S71</f>
        <v>1052.9112561435811</v>
      </c>
      <c r="AW66" s="280"/>
    </row>
    <row r="67" spans="4:49" x14ac:dyDescent="0.2">
      <c r="D67">
        <f t="shared" si="4"/>
        <v>2008</v>
      </c>
      <c r="E67">
        <f>'Final Floorspace Estimates'!X72</f>
        <v>39.462988294859123</v>
      </c>
      <c r="F67" s="7"/>
      <c r="S67" s="280">
        <f t="shared" si="1"/>
        <v>2008</v>
      </c>
      <c r="T67" s="282">
        <f>'Final Floorspace Estimates'!Q72</f>
        <v>2381.2073254248489</v>
      </c>
      <c r="AG67" s="280">
        <f t="shared" si="2"/>
        <v>2008</v>
      </c>
      <c r="AH67" s="282">
        <f>'Final Floorspace Estimates'!R72</f>
        <v>1099.2838912223935</v>
      </c>
      <c r="AI67" s="280"/>
      <c r="AU67" s="280">
        <f t="shared" si="3"/>
        <v>2008</v>
      </c>
      <c r="AV67" s="282">
        <f>'Final Floorspace Estimates'!S72</f>
        <v>1058.7123521659119</v>
      </c>
      <c r="AW67" s="280"/>
    </row>
    <row r="68" spans="4:49" x14ac:dyDescent="0.2">
      <c r="D68">
        <f t="shared" si="4"/>
        <v>2009</v>
      </c>
      <c r="E68">
        <f>'Final Floorspace Estimates'!X73</f>
        <v>39.534348268440539</v>
      </c>
      <c r="F68" s="7"/>
      <c r="S68" s="280">
        <f t="shared" si="1"/>
        <v>2009</v>
      </c>
      <c r="T68" s="282">
        <f>'Final Floorspace Estimates'!Q73</f>
        <v>2373.7481279244716</v>
      </c>
      <c r="AG68" s="280">
        <f t="shared" si="2"/>
        <v>2009</v>
      </c>
      <c r="AH68" s="282">
        <f>'Final Floorspace Estimates'!R73</f>
        <v>1104.5533649133347</v>
      </c>
      <c r="AI68" s="280"/>
      <c r="AU68" s="280">
        <f t="shared" si="3"/>
        <v>2009</v>
      </c>
      <c r="AV68" s="282">
        <f>'Final Floorspace Estimates'!S73</f>
        <v>1064.5099314082058</v>
      </c>
      <c r="AW68" s="280"/>
    </row>
    <row r="69" spans="4:49" x14ac:dyDescent="0.2">
      <c r="D69">
        <f t="shared" si="4"/>
        <v>2010</v>
      </c>
      <c r="E69">
        <f>'Final Floorspace Estimates'!X74</f>
        <v>39.539739908516438</v>
      </c>
      <c r="S69" s="280">
        <f t="shared" si="1"/>
        <v>2010</v>
      </c>
      <c r="T69" s="282">
        <f>'Final Floorspace Estimates'!Q74</f>
        <v>2363.9490731536794</v>
      </c>
      <c r="AG69" s="280">
        <f t="shared" si="2"/>
        <v>2010</v>
      </c>
      <c r="AH69" s="282">
        <f>'Final Floorspace Estimates'!R74</f>
        <v>1110.4992214375932</v>
      </c>
      <c r="AI69" s="280"/>
      <c r="AU69" s="280">
        <f t="shared" si="3"/>
        <v>2010</v>
      </c>
      <c r="AV69" s="282">
        <f>'Final Floorspace Estimates'!S74</f>
        <v>1081.5134406937368</v>
      </c>
      <c r="AW69" s="280"/>
    </row>
    <row r="70" spans="4:49" s="280" customFormat="1" x14ac:dyDescent="0.2">
      <c r="T70" s="282"/>
    </row>
    <row r="72" spans="4:49" x14ac:dyDescent="0.2">
      <c r="E72" t="s">
        <v>21</v>
      </c>
      <c r="I72" s="288">
        <v>-0.5</v>
      </c>
      <c r="S72" s="280"/>
      <c r="T72" s="280" t="s">
        <v>371</v>
      </c>
      <c r="U72" s="280" t="s">
        <v>156</v>
      </c>
      <c r="AG72" s="280"/>
      <c r="AH72" s="280" t="s">
        <v>371</v>
      </c>
      <c r="AI72" s="280" t="s">
        <v>156</v>
      </c>
      <c r="AU72" s="280"/>
      <c r="AV72" s="280" t="s">
        <v>371</v>
      </c>
      <c r="AW72" s="280" t="s">
        <v>156</v>
      </c>
    </row>
    <row r="73" spans="4:49" x14ac:dyDescent="0.2">
      <c r="S73" s="280">
        <f>S43</f>
        <v>1984</v>
      </c>
      <c r="T73" s="280"/>
      <c r="U73" s="280">
        <f>RECS_4_adj!$BQ$26</f>
        <v>2195.2054794520545</v>
      </c>
      <c r="AG73" s="280">
        <f>AG43</f>
        <v>1984</v>
      </c>
      <c r="AH73" s="280"/>
      <c r="AI73" s="280">
        <f>RECS_4_adj!$BR$26</f>
        <v>1033.8983050847457</v>
      </c>
      <c r="AU73" s="280">
        <f>AU43</f>
        <v>1984</v>
      </c>
      <c r="AV73" s="280"/>
      <c r="AW73" s="280">
        <f>RECS_4_adj!$BL$26</f>
        <v>899.99999999999989</v>
      </c>
    </row>
    <row r="74" spans="4:49" x14ac:dyDescent="0.2">
      <c r="E74" t="s">
        <v>371</v>
      </c>
      <c r="G74" t="s">
        <v>372</v>
      </c>
      <c r="S74" s="280">
        <f t="shared" ref="S74:S99" si="5">S44</f>
        <v>1985</v>
      </c>
      <c r="T74" s="282">
        <f>'Final Floorspace Estimates'!Q90</f>
        <v>1863.4839380310086</v>
      </c>
      <c r="U74" s="280"/>
      <c r="AG74" s="280">
        <f t="shared" ref="AG74:AG99" si="6">AG44</f>
        <v>1985</v>
      </c>
      <c r="AH74" s="282">
        <f>'Final Floorspace Estimates'!R90</f>
        <v>850.45869663083533</v>
      </c>
      <c r="AI74" s="280"/>
      <c r="AU74" s="280">
        <f t="shared" ref="AU74:AU99" si="7">AU44</f>
        <v>1985</v>
      </c>
      <c r="AV74" s="282">
        <f>'Final Floorspace Estimates'!S90</f>
        <v>812.20990421477688</v>
      </c>
      <c r="AW74" s="280"/>
    </row>
    <row r="75" spans="4:49" x14ac:dyDescent="0.2">
      <c r="D75">
        <f>1984</f>
        <v>1984</v>
      </c>
      <c r="F75" s="7"/>
      <c r="G75">
        <f>V9</f>
        <v>39.14</v>
      </c>
      <c r="S75" s="280">
        <f t="shared" si="5"/>
        <v>1986</v>
      </c>
      <c r="T75" s="282">
        <f>'Final Floorspace Estimates'!Q91</f>
        <v>1861.4362465494105</v>
      </c>
      <c r="U75" s="280"/>
      <c r="AG75" s="280">
        <f t="shared" si="6"/>
        <v>1986</v>
      </c>
      <c r="AH75" s="282">
        <f>'Final Floorspace Estimates'!R91</f>
        <v>870.88149077750643</v>
      </c>
      <c r="AI75" s="280"/>
      <c r="AU75" s="280">
        <f t="shared" si="7"/>
        <v>1986</v>
      </c>
      <c r="AV75" s="282">
        <f>'Final Floorspace Estimates'!S91</f>
        <v>818.19085259015924</v>
      </c>
      <c r="AW75" s="280"/>
    </row>
    <row r="76" spans="4:49" x14ac:dyDescent="0.2">
      <c r="D76">
        <f>D75+1</f>
        <v>1985</v>
      </c>
      <c r="E76">
        <f>'Final Floorspace Estimates'!X90</f>
        <v>34.388131631610612</v>
      </c>
      <c r="F76" s="7"/>
      <c r="S76" s="280">
        <f t="shared" si="5"/>
        <v>1987</v>
      </c>
      <c r="T76" s="282">
        <f>'Final Floorspace Estimates'!Q92</f>
        <v>1876.8986714209402</v>
      </c>
      <c r="U76" s="280">
        <f>RECS_4_adj!$BQ$27</f>
        <v>2433.3333333333335</v>
      </c>
      <c r="AG76" s="280">
        <f t="shared" si="6"/>
        <v>1987</v>
      </c>
      <c r="AH76" s="282">
        <f>'Final Floorspace Estimates'!R92</f>
        <v>887.09906481981852</v>
      </c>
      <c r="AI76" s="280">
        <f>RECS_4_adj!$BR$27</f>
        <v>979.62962962962956</v>
      </c>
      <c r="AU76" s="280">
        <f t="shared" si="7"/>
        <v>1987</v>
      </c>
      <c r="AV76" s="282">
        <f>'Final Floorspace Estimates'!S92</f>
        <v>817.36378971804288</v>
      </c>
      <c r="AW76" s="280">
        <f>RECS_4_adj!$BL$27</f>
        <v>850.00000000000011</v>
      </c>
    </row>
    <row r="77" spans="4:49" x14ac:dyDescent="0.2">
      <c r="D77">
        <f t="shared" ref="D77:D101" si="8">D76+1</f>
        <v>1986</v>
      </c>
      <c r="E77">
        <f>'Final Floorspace Estimates'!X91</f>
        <v>34.54575359515156</v>
      </c>
      <c r="F77" s="7"/>
      <c r="S77" s="280">
        <f t="shared" si="5"/>
        <v>1988</v>
      </c>
      <c r="T77" s="282">
        <f>'Final Floorspace Estimates'!Q93</f>
        <v>1891.488674516366</v>
      </c>
      <c r="U77" s="280"/>
      <c r="AG77" s="280">
        <f t="shared" si="6"/>
        <v>1988</v>
      </c>
      <c r="AH77" s="282">
        <f>'Final Floorspace Estimates'!R93</f>
        <v>898.80517018082764</v>
      </c>
      <c r="AI77" s="280"/>
      <c r="AU77" s="280">
        <f t="shared" si="7"/>
        <v>1988</v>
      </c>
      <c r="AV77" s="282">
        <f>'Final Floorspace Estimates'!S93</f>
        <v>841.65852438360662</v>
      </c>
      <c r="AW77" s="280"/>
    </row>
    <row r="78" spans="4:49" x14ac:dyDescent="0.2">
      <c r="D78">
        <f t="shared" si="8"/>
        <v>1987</v>
      </c>
      <c r="E78">
        <f>'Final Floorspace Estimates'!X92</f>
        <v>34.933795547035174</v>
      </c>
      <c r="F78" s="7"/>
      <c r="G78">
        <f>V10</f>
        <v>44.27</v>
      </c>
      <c r="S78" s="280">
        <f t="shared" si="5"/>
        <v>1989</v>
      </c>
      <c r="T78" s="282">
        <f>'Final Floorspace Estimates'!Q94</f>
        <v>1905.6794515361767</v>
      </c>
      <c r="U78" s="280"/>
      <c r="AG78" s="280">
        <f t="shared" si="6"/>
        <v>1989</v>
      </c>
      <c r="AH78" s="282">
        <f>'Final Floorspace Estimates'!R94</f>
        <v>908.53322663690312</v>
      </c>
      <c r="AI78" s="280"/>
      <c r="AU78" s="280">
        <f t="shared" si="7"/>
        <v>1989</v>
      </c>
      <c r="AV78" s="282">
        <f>'Final Floorspace Estimates'!S94</f>
        <v>865.94423801445168</v>
      </c>
      <c r="AW78" s="280"/>
    </row>
    <row r="79" spans="4:49" x14ac:dyDescent="0.2">
      <c r="D79">
        <f t="shared" si="8"/>
        <v>1988</v>
      </c>
      <c r="E79">
        <f>'Final Floorspace Estimates'!X93</f>
        <v>35.760123071070126</v>
      </c>
      <c r="F79" s="7"/>
      <c r="S79" s="280">
        <f t="shared" si="5"/>
        <v>1990</v>
      </c>
      <c r="T79" s="282">
        <f>'Final Floorspace Estimates'!Q95</f>
        <v>1920.7867416165016</v>
      </c>
      <c r="U79" s="280">
        <f>RECS_4_adj!$BQ$28</f>
        <v>2478.75</v>
      </c>
      <c r="AG79" s="280">
        <f t="shared" si="6"/>
        <v>1990</v>
      </c>
      <c r="AH79" s="282">
        <f>'Final Floorspace Estimates'!R95</f>
        <v>915.87823287908418</v>
      </c>
      <c r="AI79" s="280">
        <f>RECS_4_adj!$BR$28</f>
        <v>1041.818181818182</v>
      </c>
      <c r="AU79" s="280">
        <f t="shared" si="7"/>
        <v>1990</v>
      </c>
      <c r="AV79" s="282">
        <f>'Final Floorspace Estimates'!S95</f>
        <v>890.70304844972145</v>
      </c>
      <c r="AW79" s="280">
        <f>RECS_4_adj!$BL$28</f>
        <v>962.5</v>
      </c>
    </row>
    <row r="80" spans="4:49" x14ac:dyDescent="0.2">
      <c r="D80">
        <f t="shared" si="8"/>
        <v>1989</v>
      </c>
      <c r="E80">
        <f>'Final Floorspace Estimates'!X94</f>
        <v>36.547631200535513</v>
      </c>
      <c r="F80" s="7"/>
      <c r="S80" s="280">
        <f t="shared" si="5"/>
        <v>1991</v>
      </c>
      <c r="T80" s="282">
        <f>'Final Floorspace Estimates'!Q96</f>
        <v>1933.455768969704</v>
      </c>
      <c r="U80" s="280"/>
      <c r="AG80" s="280">
        <f t="shared" si="6"/>
        <v>1991</v>
      </c>
      <c r="AH80" s="282">
        <f>'Final Floorspace Estimates'!R96</f>
        <v>919.30293290763166</v>
      </c>
      <c r="AI80" s="280"/>
      <c r="AU80" s="280">
        <f t="shared" si="7"/>
        <v>1991</v>
      </c>
      <c r="AV80" s="282">
        <f>'Final Floorspace Estimates'!S96</f>
        <v>905.76574891769303</v>
      </c>
      <c r="AW80" s="280"/>
    </row>
    <row r="81" spans="4:49" x14ac:dyDescent="0.2">
      <c r="D81">
        <f t="shared" si="8"/>
        <v>1990</v>
      </c>
      <c r="E81">
        <f>'Final Floorspace Estimates'!X95</f>
        <v>36.861312261546871</v>
      </c>
      <c r="F81" s="7"/>
      <c r="G81">
        <f>V11</f>
        <v>46.94</v>
      </c>
      <c r="S81" s="280">
        <f t="shared" si="5"/>
        <v>1992</v>
      </c>
      <c r="T81" s="282">
        <f>'Final Floorspace Estimates'!Q97</f>
        <v>1951.0028450125033</v>
      </c>
      <c r="U81" s="280"/>
      <c r="AG81" s="280">
        <f t="shared" si="6"/>
        <v>1992</v>
      </c>
      <c r="AH81" s="282">
        <f>'Final Floorspace Estimates'!R97</f>
        <v>919.9980857670763</v>
      </c>
      <c r="AI81" s="280"/>
      <c r="AU81" s="280">
        <f t="shared" si="7"/>
        <v>1992</v>
      </c>
      <c r="AV81" s="282">
        <f>'Final Floorspace Estimates'!S97</f>
        <v>919.5089671515284</v>
      </c>
      <c r="AW81" s="280"/>
    </row>
    <row r="82" spans="4:49" x14ac:dyDescent="0.2">
      <c r="D82">
        <f t="shared" si="8"/>
        <v>1991</v>
      </c>
      <c r="E82">
        <f>'Final Floorspace Estimates'!X96</f>
        <v>37.045870592262403</v>
      </c>
      <c r="F82" s="7"/>
      <c r="S82" s="280">
        <f t="shared" si="5"/>
        <v>1993</v>
      </c>
      <c r="T82" s="282">
        <f>'Final Floorspace Estimates'!Q98</f>
        <v>1967.9207227389386</v>
      </c>
      <c r="U82" s="280">
        <f>RECS_4_adj!$BQ$29</f>
        <v>2660</v>
      </c>
      <c r="AG82" s="280">
        <f t="shared" si="6"/>
        <v>1993</v>
      </c>
      <c r="AH82" s="282">
        <f>'Final Floorspace Estimates'!R98</f>
        <v>918.93961820957929</v>
      </c>
      <c r="AI82" s="280">
        <f>RECS_4_adj!$BR$29</f>
        <v>998.11320754716974</v>
      </c>
      <c r="AU82" s="280">
        <f t="shared" si="7"/>
        <v>1993</v>
      </c>
      <c r="AV82" s="282">
        <f>'Final Floorspace Estimates'!S98</f>
        <v>933.22228570028619</v>
      </c>
      <c r="AW82" s="280">
        <f>RECS_4_adj!$BL$29</f>
        <v>992.85714285714289</v>
      </c>
    </row>
    <row r="83" spans="4:49" x14ac:dyDescent="0.2">
      <c r="D83">
        <f t="shared" si="8"/>
        <v>1992</v>
      </c>
      <c r="E83">
        <f>'Final Floorspace Estimates'!X97</f>
        <v>38.013526848234868</v>
      </c>
      <c r="F83" s="7"/>
      <c r="S83" s="280">
        <f t="shared" si="5"/>
        <v>1994</v>
      </c>
      <c r="T83" s="282">
        <f>'Final Floorspace Estimates'!Q99</f>
        <v>1985.4522876494614</v>
      </c>
      <c r="U83" s="280"/>
      <c r="AG83" s="280">
        <f t="shared" si="6"/>
        <v>1994</v>
      </c>
      <c r="AH83" s="282">
        <f>'Final Floorspace Estimates'!R99</f>
        <v>920.13478782734819</v>
      </c>
      <c r="AI83" s="280"/>
      <c r="AU83" s="280">
        <f t="shared" si="7"/>
        <v>1994</v>
      </c>
      <c r="AV83" s="282">
        <f>'Final Floorspace Estimates'!S99</f>
        <v>941.7627177625161</v>
      </c>
      <c r="AW83" s="280"/>
    </row>
    <row r="84" spans="4:49" x14ac:dyDescent="0.2">
      <c r="D84">
        <f t="shared" si="8"/>
        <v>1993</v>
      </c>
      <c r="E84">
        <f>'Final Floorspace Estimates'!X98</f>
        <v>39.018604511774463</v>
      </c>
      <c r="F84" s="7"/>
      <c r="G84">
        <f>V12</f>
        <v>50.57</v>
      </c>
      <c r="S84" s="280">
        <f t="shared" si="5"/>
        <v>1995</v>
      </c>
      <c r="T84" s="282">
        <f>'Final Floorspace Estimates'!Q100</f>
        <v>1998.5999706044281</v>
      </c>
      <c r="U84" s="280"/>
      <c r="AG84" s="280">
        <f t="shared" si="6"/>
        <v>1995</v>
      </c>
      <c r="AH84" s="282">
        <f>'Final Floorspace Estimates'!R100</f>
        <v>924.67026482971232</v>
      </c>
      <c r="AI84" s="280"/>
      <c r="AU84" s="280">
        <f t="shared" si="7"/>
        <v>1995</v>
      </c>
      <c r="AV84" s="282">
        <f>'Final Floorspace Estimates'!S100</f>
        <v>950.302101027856</v>
      </c>
      <c r="AW84" s="280"/>
    </row>
    <row r="85" spans="4:49" x14ac:dyDescent="0.2">
      <c r="D85">
        <f t="shared" si="8"/>
        <v>1994</v>
      </c>
      <c r="E85">
        <f>'Final Floorspace Estimates'!X99</f>
        <v>40.247017452275266</v>
      </c>
      <c r="F85" s="7"/>
      <c r="S85" s="280">
        <f t="shared" si="5"/>
        <v>1996</v>
      </c>
      <c r="T85" s="282">
        <f>'Final Floorspace Estimates'!Q101</f>
        <v>2014.0160824711434</v>
      </c>
      <c r="U85" s="280"/>
      <c r="AG85" s="280">
        <f t="shared" si="6"/>
        <v>1996</v>
      </c>
      <c r="AH85" s="282">
        <f>'Final Floorspace Estimates'!R101</f>
        <v>931.5475515178</v>
      </c>
      <c r="AI85" s="280"/>
      <c r="AU85" s="280">
        <f t="shared" si="7"/>
        <v>1996</v>
      </c>
      <c r="AV85" s="282">
        <f>'Final Floorspace Estimates'!S101</f>
        <v>958.48049980682822</v>
      </c>
      <c r="AW85" s="280"/>
    </row>
    <row r="86" spans="4:49" x14ac:dyDescent="0.2">
      <c r="D86">
        <f t="shared" si="8"/>
        <v>1995</v>
      </c>
      <c r="E86">
        <f>'Final Floorspace Estimates'!X100</f>
        <v>41.460826812849838</v>
      </c>
      <c r="F86" s="7"/>
      <c r="S86" s="280">
        <f t="shared" si="5"/>
        <v>1997</v>
      </c>
      <c r="T86" s="282">
        <f>'Final Floorspace Estimates'!Q102</f>
        <v>2028.4164442128199</v>
      </c>
      <c r="U86" s="280">
        <f>RECS_4_adj!$BQ$30</f>
        <v>2235.869565217391</v>
      </c>
      <c r="AG86" s="280">
        <f t="shared" si="6"/>
        <v>1997</v>
      </c>
      <c r="AH86" s="282">
        <f>'Final Floorspace Estimates'!R102</f>
        <v>938.79262907283476</v>
      </c>
      <c r="AI86" s="280">
        <f>RECS_4_adj!$BR$30</f>
        <v>886.66666666666674</v>
      </c>
      <c r="AU86" s="280">
        <f t="shared" si="7"/>
        <v>1997</v>
      </c>
      <c r="AV86" s="282">
        <f>'Final Floorspace Estimates'!S102</f>
        <v>966.65175768231586</v>
      </c>
      <c r="AW86" s="280">
        <f>RECS_4_adj!$BL$30</f>
        <v>890.90909090909088</v>
      </c>
    </row>
    <row r="87" spans="4:49" x14ac:dyDescent="0.2">
      <c r="D87">
        <f t="shared" si="8"/>
        <v>1996</v>
      </c>
      <c r="E87">
        <f>'Final Floorspace Estimates'!X101</f>
        <v>41.780578625641475</v>
      </c>
      <c r="F87" s="7"/>
      <c r="S87" s="280">
        <f t="shared" si="5"/>
        <v>1998</v>
      </c>
      <c r="T87" s="282">
        <f>'Final Floorspace Estimates'!Q103</f>
        <v>2044.4058172532423</v>
      </c>
      <c r="U87" s="280"/>
      <c r="AG87" s="280">
        <f t="shared" si="6"/>
        <v>1998</v>
      </c>
      <c r="AH87" s="282">
        <f>'Final Floorspace Estimates'!R103</f>
        <v>943.90949502353988</v>
      </c>
      <c r="AI87" s="280"/>
      <c r="AU87" s="280">
        <f t="shared" si="7"/>
        <v>1998</v>
      </c>
      <c r="AV87" s="282">
        <f>'Final Floorspace Estimates'!S103</f>
        <v>975.05817014622744</v>
      </c>
      <c r="AW87" s="280"/>
    </row>
    <row r="88" spans="4:49" x14ac:dyDescent="0.2">
      <c r="D88">
        <f t="shared" si="8"/>
        <v>1997</v>
      </c>
      <c r="E88">
        <f>'Final Floorspace Estimates'!X102</f>
        <v>42.086243910257572</v>
      </c>
      <c r="F88" s="7"/>
      <c r="G88">
        <f>V13</f>
        <v>46.1</v>
      </c>
      <c r="S88" s="280">
        <f t="shared" si="5"/>
        <v>1999</v>
      </c>
      <c r="T88" s="282">
        <f>'Final Floorspace Estimates'!Q104</f>
        <v>2062.3634352802019</v>
      </c>
      <c r="U88" s="280"/>
      <c r="AG88" s="280">
        <f t="shared" si="6"/>
        <v>1999</v>
      </c>
      <c r="AH88" s="282">
        <f>'Final Floorspace Estimates'!R104</f>
        <v>950.47013185264382</v>
      </c>
      <c r="AI88" s="280"/>
      <c r="AU88" s="280">
        <f t="shared" si="7"/>
        <v>1999</v>
      </c>
      <c r="AV88" s="282">
        <f>'Final Floorspace Estimates'!S104</f>
        <v>983.4614233443001</v>
      </c>
      <c r="AW88" s="280"/>
    </row>
    <row r="89" spans="4:49" x14ac:dyDescent="0.2">
      <c r="D89">
        <f t="shared" si="8"/>
        <v>1998</v>
      </c>
      <c r="E89">
        <f>'Final Floorspace Estimates'!X103</f>
        <v>42.637856971091821</v>
      </c>
      <c r="F89" s="7"/>
      <c r="S89" s="280">
        <f t="shared" si="5"/>
        <v>2000</v>
      </c>
      <c r="T89" s="282">
        <f>'Final Floorspace Estimates'!Q105</f>
        <v>2073.9279127661835</v>
      </c>
      <c r="U89" s="280"/>
      <c r="AG89" s="280">
        <f t="shared" si="6"/>
        <v>2000</v>
      </c>
      <c r="AH89" s="282">
        <f>'Final Floorspace Estimates'!R105</f>
        <v>959.85071599479795</v>
      </c>
      <c r="AI89" s="280"/>
      <c r="AU89" s="280">
        <f t="shared" si="7"/>
        <v>2000</v>
      </c>
      <c r="AV89" s="282">
        <f>'Final Floorspace Estimates'!S105</f>
        <v>991.87495554832833</v>
      </c>
      <c r="AW89" s="280"/>
    </row>
    <row r="90" spans="4:49" x14ac:dyDescent="0.2">
      <c r="D90">
        <f t="shared" si="8"/>
        <v>1999</v>
      </c>
      <c r="E90">
        <f>'Final Floorspace Estimates'!X104</f>
        <v>43.265481638178109</v>
      </c>
      <c r="F90" s="7"/>
      <c r="S90" s="280">
        <f t="shared" si="5"/>
        <v>2001</v>
      </c>
      <c r="T90" s="282">
        <f>'Final Floorspace Estimates'!Q106</f>
        <v>2086.7064176979443</v>
      </c>
      <c r="U90" s="280">
        <f>RECS_4_adj!$BQ$31</f>
        <v>2806.7498085548632</v>
      </c>
      <c r="AG90" s="280">
        <f t="shared" si="6"/>
        <v>2001</v>
      </c>
      <c r="AH90" s="282">
        <f>'Final Floorspace Estimates'!R106</f>
        <v>968.63394249381156</v>
      </c>
      <c r="AI90" s="280">
        <f>RECS_4_adj!$BR$31</f>
        <v>1126.6533066132265</v>
      </c>
      <c r="AU90" s="280">
        <f t="shared" si="7"/>
        <v>2001</v>
      </c>
      <c r="AV90" s="282">
        <f>'Final Floorspace Estimates'!S106</f>
        <v>1000.2855548251976</v>
      </c>
      <c r="AW90" s="280">
        <f>RECS_4_adj!$BL$31</f>
        <v>1020.4918032786887</v>
      </c>
    </row>
    <row r="91" spans="4:49" x14ac:dyDescent="0.2">
      <c r="D91">
        <f t="shared" si="8"/>
        <v>2000</v>
      </c>
      <c r="E91">
        <f>'Final Floorspace Estimates'!X105</f>
        <v>43.668983792992734</v>
      </c>
      <c r="F91" s="7"/>
      <c r="S91" s="280">
        <f t="shared" si="5"/>
        <v>2002</v>
      </c>
      <c r="T91" s="282">
        <f>'Final Floorspace Estimates'!Q107</f>
        <v>2100.0615164863416</v>
      </c>
      <c r="U91" s="280"/>
      <c r="AG91" s="280">
        <f t="shared" si="6"/>
        <v>2002</v>
      </c>
      <c r="AH91" s="282">
        <f>'Final Floorspace Estimates'!R107</f>
        <v>978.1678780661249</v>
      </c>
      <c r="AI91" s="280"/>
      <c r="AU91" s="280">
        <f t="shared" si="7"/>
        <v>2002</v>
      </c>
      <c r="AV91" s="282">
        <f>'Final Floorspace Estimates'!S107</f>
        <v>1000.156959263423</v>
      </c>
      <c r="AW91" s="280"/>
    </row>
    <row r="92" spans="4:49" x14ac:dyDescent="0.2">
      <c r="D92">
        <f t="shared" si="8"/>
        <v>2001</v>
      </c>
      <c r="E92">
        <f>'Final Floorspace Estimates'!X106</f>
        <v>44.068274907866439</v>
      </c>
      <c r="F92" s="7"/>
      <c r="G92">
        <f>V14</f>
        <v>58.18</v>
      </c>
      <c r="S92" s="280">
        <f t="shared" si="5"/>
        <v>2003</v>
      </c>
      <c r="T92" s="282">
        <f>'Final Floorspace Estimates'!Q108</f>
        <v>2113.3215775462331</v>
      </c>
      <c r="U92" s="280"/>
      <c r="AG92" s="280">
        <f t="shared" si="6"/>
        <v>2003</v>
      </c>
      <c r="AH92" s="282">
        <f>'Final Floorspace Estimates'!R108</f>
        <v>986.14390191712778</v>
      </c>
      <c r="AI92" s="280"/>
      <c r="AU92" s="280">
        <f t="shared" si="7"/>
        <v>2003</v>
      </c>
      <c r="AV92" s="282">
        <f>'Final Floorspace Estimates'!S108</f>
        <v>1000.0283976072541</v>
      </c>
      <c r="AW92" s="280"/>
    </row>
    <row r="93" spans="4:49" x14ac:dyDescent="0.2">
      <c r="D93">
        <f t="shared" si="8"/>
        <v>2002</v>
      </c>
      <c r="E93">
        <f>'Final Floorspace Estimates'!X107</f>
        <v>44.680020203371278</v>
      </c>
      <c r="F93" s="7"/>
      <c r="S93" s="280">
        <f t="shared" si="5"/>
        <v>2004</v>
      </c>
      <c r="T93" s="282">
        <f>'Final Floorspace Estimates'!Q109</f>
        <v>2128.8993191583986</v>
      </c>
      <c r="U93" s="280"/>
      <c r="AG93" s="280">
        <f t="shared" si="6"/>
        <v>2004</v>
      </c>
      <c r="AH93" s="282">
        <f>'Final Floorspace Estimates'!R109</f>
        <v>995.69213010092722</v>
      </c>
      <c r="AI93" s="280"/>
      <c r="AU93" s="280">
        <f t="shared" si="7"/>
        <v>2004</v>
      </c>
      <c r="AV93" s="282">
        <f>'Final Floorspace Estimates'!S109</f>
        <v>1000.164867112133</v>
      </c>
      <c r="AW93" s="280"/>
    </row>
    <row r="94" spans="4:49" x14ac:dyDescent="0.2">
      <c r="D94">
        <f t="shared" si="8"/>
        <v>2003</v>
      </c>
      <c r="E94">
        <f>'Final Floorspace Estimates'!X108</f>
        <v>45.303012201466302</v>
      </c>
      <c r="F94" s="7"/>
      <c r="S94" s="280">
        <f t="shared" si="5"/>
        <v>2005</v>
      </c>
      <c r="T94" s="282">
        <f>'Final Floorspace Estimates'!Q110</f>
        <v>2145.8609893489279</v>
      </c>
      <c r="U94" s="51">
        <f>RECS_4_adj!$BQ$32</f>
        <v>2970.9349814583102</v>
      </c>
      <c r="AG94" s="280">
        <f t="shared" si="6"/>
        <v>2005</v>
      </c>
      <c r="AH94" s="282">
        <f>'Final Floorspace Estimates'!R110</f>
        <v>1004.7438556527778</v>
      </c>
      <c r="AI94" s="51">
        <f>RECS_4_adj!$BR$32</f>
        <v>1043.9769785690632</v>
      </c>
      <c r="AU94" s="280">
        <f t="shared" si="7"/>
        <v>2005</v>
      </c>
      <c r="AV94" s="282">
        <f>'Final Floorspace Estimates'!S110</f>
        <v>1000.3013729707415</v>
      </c>
      <c r="AW94" s="51">
        <f>RECS_4_adj!$BL$32</f>
        <v>1093.4074869400179</v>
      </c>
    </row>
    <row r="95" spans="4:49" x14ac:dyDescent="0.2">
      <c r="D95">
        <f t="shared" si="8"/>
        <v>2004</v>
      </c>
      <c r="E95">
        <f>'Final Floorspace Estimates'!X109</f>
        <v>46.047233035630605</v>
      </c>
      <c r="F95" s="7"/>
      <c r="S95" s="280">
        <f t="shared" si="5"/>
        <v>2006</v>
      </c>
      <c r="T95" s="282">
        <f>'Final Floorspace Estimates'!Q111</f>
        <v>2161.5223117862674</v>
      </c>
      <c r="U95" s="280"/>
      <c r="AG95" s="280">
        <f t="shared" si="6"/>
        <v>2006</v>
      </c>
      <c r="AH95" s="282">
        <f>'Final Floorspace Estimates'!R111</f>
        <v>1016.5980025572431</v>
      </c>
      <c r="AI95" s="280"/>
      <c r="AU95" s="280">
        <f t="shared" si="7"/>
        <v>2006</v>
      </c>
      <c r="AV95" s="282">
        <f>'Final Floorspace Estimates'!S111</f>
        <v>1006.0465295759086</v>
      </c>
      <c r="AW95" s="280"/>
    </row>
    <row r="96" spans="4:49" x14ac:dyDescent="0.2">
      <c r="D96">
        <f t="shared" si="8"/>
        <v>2005</v>
      </c>
      <c r="E96">
        <f>'Final Floorspace Estimates'!X110</f>
        <v>46.867938813061997</v>
      </c>
      <c r="F96" s="7"/>
      <c r="G96">
        <f>V15</f>
        <v>65.690008157039998</v>
      </c>
      <c r="S96" s="280">
        <f t="shared" si="5"/>
        <v>2007</v>
      </c>
      <c r="T96" s="282">
        <f>'Final Floorspace Estimates'!Q112</f>
        <v>2167.6751882561848</v>
      </c>
      <c r="U96" s="280"/>
      <c r="AG96" s="280">
        <f t="shared" si="6"/>
        <v>2007</v>
      </c>
      <c r="AH96" s="282">
        <f>'Final Floorspace Estimates'!R112</f>
        <v>1026.2596062840946</v>
      </c>
      <c r="AI96" s="280"/>
      <c r="AU96" s="280">
        <f t="shared" si="7"/>
        <v>2007</v>
      </c>
      <c r="AV96" s="282">
        <f>'Final Floorspace Estimates'!S112</f>
        <v>1011.7900924958595</v>
      </c>
      <c r="AW96" s="280"/>
    </row>
    <row r="97" spans="4:49" x14ac:dyDescent="0.2">
      <c r="D97">
        <f t="shared" si="8"/>
        <v>2006</v>
      </c>
      <c r="E97">
        <f>'Final Floorspace Estimates'!X111</f>
        <v>47.322011394125397</v>
      </c>
      <c r="F97" s="7"/>
      <c r="S97" s="280">
        <f t="shared" si="5"/>
        <v>2008</v>
      </c>
      <c r="T97" s="282">
        <f>'Final Floorspace Estimates'!Q113</f>
        <v>2169.8238411439679</v>
      </c>
      <c r="U97" s="280"/>
      <c r="AG97" s="280">
        <f t="shared" si="6"/>
        <v>2008</v>
      </c>
      <c r="AH97" s="282">
        <f>'Final Floorspace Estimates'!R113</f>
        <v>1030.7626027790307</v>
      </c>
      <c r="AI97" s="280"/>
      <c r="AU97" s="280">
        <f t="shared" si="7"/>
        <v>2008</v>
      </c>
      <c r="AV97" s="282">
        <f>'Final Floorspace Estimates'!S113</f>
        <v>1017.3646282858073</v>
      </c>
      <c r="AW97" s="280"/>
    </row>
    <row r="98" spans="4:49" x14ac:dyDescent="0.2">
      <c r="D98">
        <f t="shared" si="8"/>
        <v>2007</v>
      </c>
      <c r="E98">
        <f>'Final Floorspace Estimates'!X112</f>
        <v>47.475323134158216</v>
      </c>
      <c r="F98" s="7"/>
      <c r="S98" s="280">
        <f t="shared" si="5"/>
        <v>2009</v>
      </c>
      <c r="T98" s="282">
        <f>'Final Floorspace Estimates'!Q114</f>
        <v>2169.9176162166518</v>
      </c>
      <c r="U98" s="280"/>
      <c r="AG98" s="280">
        <f t="shared" si="6"/>
        <v>2009</v>
      </c>
      <c r="AH98" s="282">
        <f>'Final Floorspace Estimates'!R114</f>
        <v>1033.6008307731474</v>
      </c>
      <c r="AI98" s="280"/>
      <c r="AU98" s="280">
        <f t="shared" si="7"/>
        <v>2009</v>
      </c>
      <c r="AV98" s="282">
        <f>'Final Floorspace Estimates'!S114</f>
        <v>1022.9357846426092</v>
      </c>
      <c r="AW98" s="280"/>
    </row>
    <row r="99" spans="4:49" x14ac:dyDescent="0.2">
      <c r="D99">
        <f t="shared" si="8"/>
        <v>2008</v>
      </c>
      <c r="E99">
        <f>'Final Floorspace Estimates'!X113</f>
        <v>47.741339065063094</v>
      </c>
      <c r="F99" s="7"/>
      <c r="S99" s="280">
        <f t="shared" si="5"/>
        <v>2010</v>
      </c>
      <c r="T99" s="282">
        <f>'Final Floorspace Estimates'!Q115</f>
        <v>2170.288762338264</v>
      </c>
      <c r="U99" s="280"/>
      <c r="W99" t="s">
        <v>22</v>
      </c>
      <c r="AG99" s="280">
        <f t="shared" si="6"/>
        <v>2010</v>
      </c>
      <c r="AH99" s="282">
        <f>'Final Floorspace Estimates'!R115</f>
        <v>1037.8188323459788</v>
      </c>
      <c r="AI99" s="280"/>
      <c r="AU99" s="280">
        <f t="shared" si="7"/>
        <v>2010</v>
      </c>
      <c r="AV99" s="282">
        <f>'Final Floorspace Estimates'!S115</f>
        <v>1039.2752264829153</v>
      </c>
      <c r="AW99" s="280"/>
    </row>
    <row r="100" spans="4:49" x14ac:dyDescent="0.2">
      <c r="D100">
        <f t="shared" si="8"/>
        <v>2009</v>
      </c>
      <c r="E100">
        <f>'Final Floorspace Estimates'!X114</f>
        <v>47.806505942247668</v>
      </c>
      <c r="F100" s="7"/>
    </row>
    <row r="101" spans="4:49" x14ac:dyDescent="0.2">
      <c r="D101">
        <f t="shared" si="8"/>
        <v>2010</v>
      </c>
      <c r="E101">
        <f>'Final Floorspace Estimates'!X115</f>
        <v>47.990896980269561</v>
      </c>
    </row>
    <row r="102" spans="4:49" x14ac:dyDescent="0.2">
      <c r="S102" s="280"/>
      <c r="T102" s="280" t="s">
        <v>371</v>
      </c>
      <c r="U102" s="280" t="s">
        <v>156</v>
      </c>
      <c r="AG102" s="280"/>
      <c r="AH102" s="280" t="s">
        <v>371</v>
      </c>
      <c r="AI102" s="280" t="s">
        <v>156</v>
      </c>
      <c r="AU102" s="280"/>
      <c r="AV102" s="280" t="s">
        <v>371</v>
      </c>
      <c r="AW102" s="280" t="s">
        <v>156</v>
      </c>
    </row>
    <row r="103" spans="4:49" x14ac:dyDescent="0.2">
      <c r="S103" s="280">
        <f>S73</f>
        <v>1984</v>
      </c>
      <c r="T103" s="280"/>
      <c r="U103" s="280">
        <f>RECS_4_adj!$BQ$41</f>
        <v>1763.7614678899083</v>
      </c>
      <c r="AG103" s="280">
        <f>AG73</f>
        <v>1984</v>
      </c>
      <c r="AH103" s="280"/>
      <c r="AI103" s="280">
        <f>RECS_4_adj!$BR$41</f>
        <v>819.23076923076917</v>
      </c>
      <c r="AU103" s="280">
        <f>AU73</f>
        <v>1984</v>
      </c>
      <c r="AV103" s="280"/>
      <c r="AW103" s="280">
        <f>RECS_4_adj!$BL$41</f>
        <v>786.95652173913061</v>
      </c>
    </row>
    <row r="104" spans="4:49" x14ac:dyDescent="0.2">
      <c r="E104" t="s">
        <v>22</v>
      </c>
      <c r="S104" s="280">
        <f t="shared" ref="S104:S129" si="9">S74</f>
        <v>1985</v>
      </c>
      <c r="T104" s="282">
        <f>'Final Floorspace Estimates'!Q131</f>
        <v>1730.8042803163721</v>
      </c>
      <c r="U104" s="280"/>
      <c r="AG104" s="280">
        <f t="shared" ref="AG104:AG129" si="10">AG74</f>
        <v>1985</v>
      </c>
      <c r="AH104" s="282">
        <f>'Final Floorspace Estimates'!R131</f>
        <v>856.08807057635875</v>
      </c>
      <c r="AI104" s="280"/>
      <c r="AU104" s="280">
        <f t="shared" ref="AU104:AU129" si="11">AU74</f>
        <v>1985</v>
      </c>
      <c r="AV104" s="282">
        <f>'Final Floorspace Estimates'!S131</f>
        <v>881.62091011192467</v>
      </c>
      <c r="AW104" s="280"/>
    </row>
    <row r="105" spans="4:49" x14ac:dyDescent="0.2">
      <c r="S105" s="280">
        <f t="shared" si="9"/>
        <v>1986</v>
      </c>
      <c r="T105" s="282">
        <f>'Final Floorspace Estimates'!Q132</f>
        <v>1731.5898360769431</v>
      </c>
      <c r="U105" s="280"/>
      <c r="AG105" s="280">
        <f t="shared" si="10"/>
        <v>1986</v>
      </c>
      <c r="AH105" s="282">
        <f>'Final Floorspace Estimates'!R132</f>
        <v>876.64604770807023</v>
      </c>
      <c r="AI105" s="280"/>
      <c r="AU105" s="280">
        <f t="shared" si="11"/>
        <v>1986</v>
      </c>
      <c r="AV105" s="282">
        <f>'Final Floorspace Estimates'!S132</f>
        <v>888.11298700322379</v>
      </c>
      <c r="AW105" s="280"/>
    </row>
    <row r="106" spans="4:49" x14ac:dyDescent="0.2">
      <c r="E106" t="s">
        <v>371</v>
      </c>
      <c r="G106" t="s">
        <v>372</v>
      </c>
      <c r="S106" s="280">
        <f t="shared" si="9"/>
        <v>1987</v>
      </c>
      <c r="T106" s="282">
        <f>'Final Floorspace Estimates'!Q133</f>
        <v>1748.6775250130383</v>
      </c>
      <c r="U106" s="280">
        <f>RECS_4_adj!$BQ$42</f>
        <v>1786.5470852017936</v>
      </c>
      <c r="AG106" s="280">
        <f t="shared" si="10"/>
        <v>1987</v>
      </c>
      <c r="AH106" s="282">
        <f>'Final Floorspace Estimates'!R133</f>
        <v>892.97096945478575</v>
      </c>
      <c r="AI106" s="280">
        <f>RECS_4_adj!$BR$42</f>
        <v>854.6875</v>
      </c>
      <c r="AU106" s="280">
        <f t="shared" si="11"/>
        <v>1987</v>
      </c>
      <c r="AV106" s="282">
        <f>'Final Floorspace Estimates'!S133</f>
        <v>887.21524379884863</v>
      </c>
      <c r="AW106" s="280">
        <f>RECS_4_adj!$BL$42</f>
        <v>831.81818181818176</v>
      </c>
    </row>
    <row r="107" spans="4:49" x14ac:dyDescent="0.2">
      <c r="D107">
        <f>1984</f>
        <v>1984</v>
      </c>
      <c r="F107" s="7"/>
      <c r="G107">
        <f>W9</f>
        <v>44.52</v>
      </c>
      <c r="S107" s="280">
        <f t="shared" si="9"/>
        <v>1988</v>
      </c>
      <c r="T107" s="282">
        <f>'Final Floorspace Estimates'!Q134</f>
        <v>1764.9897446613927</v>
      </c>
      <c r="U107" s="280"/>
      <c r="AG107" s="280">
        <f t="shared" si="10"/>
        <v>1988</v>
      </c>
      <c r="AH107" s="282">
        <f>'Final Floorspace Estimates'!R134</f>
        <v>904.75456011259303</v>
      </c>
      <c r="AI107" s="280"/>
      <c r="AU107" s="280">
        <f t="shared" si="11"/>
        <v>1988</v>
      </c>
      <c r="AV107" s="282">
        <f>'Final Floorspace Estimates'!S134</f>
        <v>913.58619295329061</v>
      </c>
      <c r="AW107" s="280"/>
    </row>
    <row r="108" spans="4:49" x14ac:dyDescent="0.2">
      <c r="D108">
        <f>D107+1</f>
        <v>1985</v>
      </c>
      <c r="E108" s="24">
        <f>'Final Floorspace Estimates'!X131</f>
        <v>43.540885389042344</v>
      </c>
      <c r="F108" s="7"/>
      <c r="S108" s="280">
        <f t="shared" si="9"/>
        <v>1989</v>
      </c>
      <c r="T108" s="282">
        <f>'Final Floorspace Estimates'!Q135</f>
        <v>1780.9648429301071</v>
      </c>
      <c r="U108" s="280"/>
      <c r="AG108" s="280">
        <f t="shared" si="10"/>
        <v>1989</v>
      </c>
      <c r="AH108" s="282">
        <f>'Final Floorspace Estimates'!R135</f>
        <v>914.54700872289231</v>
      </c>
      <c r="AI108" s="280"/>
      <c r="AU108" s="280">
        <f t="shared" si="11"/>
        <v>1989</v>
      </c>
      <c r="AV108" s="282">
        <f>'Final Floorspace Estimates'!S135</f>
        <v>939.94735014041271</v>
      </c>
      <c r="AW108" s="280"/>
    </row>
    <row r="109" spans="4:49" x14ac:dyDescent="0.2">
      <c r="D109">
        <f t="shared" ref="D109:D133" si="12">D108+1</f>
        <v>1986</v>
      </c>
      <c r="E109" s="24">
        <f>'Final Floorspace Estimates'!X132</f>
        <v>44.766708197559495</v>
      </c>
      <c r="F109" s="7"/>
      <c r="S109" s="280">
        <f t="shared" si="9"/>
        <v>1990</v>
      </c>
      <c r="T109" s="282">
        <f>'Final Floorspace Estimates'!Q136</f>
        <v>1797.8325037553573</v>
      </c>
      <c r="U109" s="280">
        <f>RECS_4_adj!$BQ$43</f>
        <v>1901.6877637130799</v>
      </c>
      <c r="AG109" s="280">
        <f t="shared" si="10"/>
        <v>1990</v>
      </c>
      <c r="AH109" s="282">
        <f>'Final Floorspace Estimates'!R136</f>
        <v>921.9406331836102</v>
      </c>
      <c r="AI109" s="280">
        <f>RECS_4_adj!$BR$43</f>
        <v>849.25373134328368</v>
      </c>
      <c r="AU109" s="280">
        <f t="shared" si="11"/>
        <v>1990</v>
      </c>
      <c r="AV109" s="282">
        <f>'Final Floorspace Estimates'!S136</f>
        <v>966.82203472128322</v>
      </c>
      <c r="AW109" s="280">
        <f>RECS_4_adj!$BL$43</f>
        <v>884.21052631578948</v>
      </c>
    </row>
    <row r="110" spans="4:49" x14ac:dyDescent="0.2">
      <c r="D110">
        <f t="shared" si="12"/>
        <v>1987</v>
      </c>
      <c r="E110" s="24">
        <f>'Final Floorspace Estimates'!X133</f>
        <v>46.323985573585304</v>
      </c>
      <c r="F110" s="7"/>
      <c r="G110">
        <f>W10</f>
        <v>47.13</v>
      </c>
      <c r="S110" s="280">
        <f t="shared" si="9"/>
        <v>1991</v>
      </c>
      <c r="T110" s="282">
        <f>'Final Floorspace Estimates'!Q137</f>
        <v>1812.4517212113763</v>
      </c>
      <c r="U110" s="280"/>
      <c r="AG110" s="280">
        <f t="shared" si="10"/>
        <v>1991</v>
      </c>
      <c r="AH110" s="282">
        <f>'Final Floorspace Estimates'!R137</f>
        <v>925.38800205802681</v>
      </c>
      <c r="AI110" s="280"/>
      <c r="AU110" s="280">
        <f t="shared" si="11"/>
        <v>1991</v>
      </c>
      <c r="AV110" s="282">
        <f>'Final Floorspace Estimates'!S137</f>
        <v>983.17198517916972</v>
      </c>
      <c r="AW110" s="280"/>
    </row>
    <row r="111" spans="4:49" x14ac:dyDescent="0.2">
      <c r="D111">
        <f t="shared" si="12"/>
        <v>1988</v>
      </c>
      <c r="E111" s="24">
        <f>'Final Floorspace Estimates'!X134</f>
        <v>47.714706637699692</v>
      </c>
      <c r="F111" s="7"/>
      <c r="S111" s="280">
        <f t="shared" si="9"/>
        <v>1992</v>
      </c>
      <c r="T111" s="282">
        <f>'Final Floorspace Estimates'!Q138</f>
        <v>1831.6808011822791</v>
      </c>
      <c r="U111" s="280"/>
      <c r="AG111" s="280">
        <f t="shared" si="10"/>
        <v>1992</v>
      </c>
      <c r="AH111" s="282">
        <f>'Final Floorspace Estimates'!R138</f>
        <v>926.08775628777971</v>
      </c>
      <c r="AI111" s="280"/>
      <c r="AU111" s="280">
        <f t="shared" si="11"/>
        <v>1992</v>
      </c>
      <c r="AV111" s="282">
        <f>'Final Floorspace Estimates'!S138</f>
        <v>998.08969118633127</v>
      </c>
      <c r="AW111" s="280"/>
    </row>
    <row r="112" spans="4:49" x14ac:dyDescent="0.2">
      <c r="D112">
        <f t="shared" si="12"/>
        <v>1989</v>
      </c>
      <c r="E112" s="24">
        <f>'Final Floorspace Estimates'!X135</f>
        <v>49.067637734387915</v>
      </c>
      <c r="F112" s="7"/>
      <c r="S112" s="280">
        <f t="shared" si="9"/>
        <v>1993</v>
      </c>
      <c r="T112" s="282">
        <f>'Final Floorspace Estimates'!Q139</f>
        <v>1850.3621957877992</v>
      </c>
      <c r="U112" s="280">
        <f>RECS_4_adj!$BQ$44</f>
        <v>1985.4838709677415</v>
      </c>
      <c r="AG112" s="280">
        <f t="shared" si="10"/>
        <v>1993</v>
      </c>
      <c r="AH112" s="282">
        <f>'Final Floorspace Estimates'!R139</f>
        <v>925.0222824997461</v>
      </c>
      <c r="AI112" s="280">
        <f>RECS_4_adj!$BR$44</f>
        <v>877.04918032786873</v>
      </c>
      <c r="AU112" s="280">
        <f t="shared" si="11"/>
        <v>1993</v>
      </c>
      <c r="AV112" s="282">
        <f>'Final Floorspace Estimates'!S139</f>
        <v>1012.9749422979867</v>
      </c>
      <c r="AW112" s="280">
        <f>RECS_4_adj!$BL$44</f>
        <v>980.7692307692306</v>
      </c>
    </row>
    <row r="113" spans="4:49" x14ac:dyDescent="0.2">
      <c r="D113">
        <f t="shared" si="12"/>
        <v>1990</v>
      </c>
      <c r="E113" s="24">
        <f>'Final Floorspace Estimates'!X136</f>
        <v>49.692743410475757</v>
      </c>
      <c r="F113" s="7"/>
      <c r="G113">
        <f>W11</f>
        <v>52.44</v>
      </c>
      <c r="S113" s="280">
        <f t="shared" si="9"/>
        <v>1994</v>
      </c>
      <c r="T113" s="282">
        <f>'Final Floorspace Estimates'!Q140</f>
        <v>1869.6634862882229</v>
      </c>
      <c r="U113" s="280"/>
      <c r="AG113" s="280">
        <f t="shared" si="10"/>
        <v>1994</v>
      </c>
      <c r="AH113" s="282">
        <f>'Final Floorspace Estimates'!R140</f>
        <v>926.2253632091805</v>
      </c>
      <c r="AI113" s="280"/>
      <c r="AU113" s="280">
        <f t="shared" si="11"/>
        <v>1994</v>
      </c>
      <c r="AV113" s="282">
        <f>'Final Floorspace Estimates'!S140</f>
        <v>1022.2452349260129</v>
      </c>
      <c r="AW113" s="280"/>
    </row>
    <row r="114" spans="4:49" x14ac:dyDescent="0.2">
      <c r="D114">
        <f t="shared" si="12"/>
        <v>1991</v>
      </c>
      <c r="E114" s="24">
        <f>'Final Floorspace Estimates'!X137</f>
        <v>50.135835752022828</v>
      </c>
      <c r="F114" s="7"/>
      <c r="S114" s="280">
        <f t="shared" si="9"/>
        <v>1995</v>
      </c>
      <c r="T114" s="282">
        <f>'Final Floorspace Estimates'!Q141</f>
        <v>1884.8739496265132</v>
      </c>
      <c r="U114" s="280"/>
      <c r="AG114" s="280">
        <f t="shared" si="10"/>
        <v>1995</v>
      </c>
      <c r="AH114" s="282">
        <f>'Final Floorspace Estimates'!R141</f>
        <v>930.79086153552998</v>
      </c>
      <c r="AI114" s="280"/>
      <c r="AU114" s="280">
        <f t="shared" si="11"/>
        <v>1995</v>
      </c>
      <c r="AV114" s="282">
        <f>'Final Floorspace Estimates'!S141</f>
        <v>1031.5143891275513</v>
      </c>
      <c r="AW114" s="280"/>
    </row>
    <row r="115" spans="4:49" x14ac:dyDescent="0.2">
      <c r="D115">
        <f t="shared" si="12"/>
        <v>1992</v>
      </c>
      <c r="E115" s="24">
        <f>'Final Floorspace Estimates'!X138</f>
        <v>51.871601639980831</v>
      </c>
      <c r="F115" s="7"/>
      <c r="S115" s="280">
        <f t="shared" si="9"/>
        <v>1996</v>
      </c>
      <c r="T115" s="282">
        <f>'Final Floorspace Estimates'!Q142</f>
        <v>1902.2580383123839</v>
      </c>
      <c r="U115" s="280"/>
      <c r="AG115" s="280">
        <f t="shared" si="10"/>
        <v>1996</v>
      </c>
      <c r="AH115" s="282">
        <f>'Final Floorspace Estimates'!R142</f>
        <v>937.71367050312551</v>
      </c>
      <c r="AI115" s="280"/>
      <c r="AU115" s="280">
        <f t="shared" si="11"/>
        <v>1996</v>
      </c>
      <c r="AV115" s="282">
        <f>'Final Floorspace Estimates'!S142</f>
        <v>1040.3917093096372</v>
      </c>
      <c r="AW115" s="280"/>
    </row>
    <row r="116" spans="4:49" x14ac:dyDescent="0.2">
      <c r="D116">
        <f t="shared" si="12"/>
        <v>1993</v>
      </c>
      <c r="E116" s="24">
        <f>'Final Floorspace Estimates'!X139</f>
        <v>53.686604430688952</v>
      </c>
      <c r="F116" s="7"/>
      <c r="G116">
        <f>W12</f>
        <v>57.15</v>
      </c>
      <c r="S116" s="280">
        <f t="shared" si="9"/>
        <v>1997</v>
      </c>
      <c r="T116" s="282">
        <f>'Final Floorspace Estimates'!Q143</f>
        <v>1918.7186757735301</v>
      </c>
      <c r="U116" s="280">
        <f>RECS_4_adj!$BQ$45</f>
        <v>1770.3007518796996</v>
      </c>
      <c r="AG116" s="280">
        <f t="shared" si="10"/>
        <v>1997</v>
      </c>
      <c r="AH116" s="282">
        <f>'Final Floorspace Estimates'!R143</f>
        <v>945.00670482664657</v>
      </c>
      <c r="AI116" s="280">
        <f>RECS_4_adj!$BR$45</f>
        <v>943.54838709677426</v>
      </c>
      <c r="AU116" s="280">
        <f t="shared" si="11"/>
        <v>1997</v>
      </c>
      <c r="AV116" s="282">
        <f>'Final Floorspace Estimates'!S143</f>
        <v>1049.2612783306049</v>
      </c>
      <c r="AW116" s="280">
        <f>RECS_4_adj!$BL$45</f>
        <v>1060</v>
      </c>
    </row>
    <row r="117" spans="4:49" x14ac:dyDescent="0.2">
      <c r="D117">
        <f t="shared" si="12"/>
        <v>1994</v>
      </c>
      <c r="E117" s="24">
        <f>'Final Floorspace Estimates'!X140</f>
        <v>54.898161731397273</v>
      </c>
      <c r="F117" s="7"/>
      <c r="S117" s="280">
        <f t="shared" si="9"/>
        <v>1998</v>
      </c>
      <c r="T117" s="282">
        <f>'Final Floorspace Estimates'!Q144</f>
        <v>1936.7190133487595</v>
      </c>
      <c r="U117" s="280"/>
      <c r="AG117" s="280">
        <f t="shared" si="10"/>
        <v>1998</v>
      </c>
      <c r="AH117" s="282">
        <f>'Final Floorspace Estimates'!R144</f>
        <v>950.15744044319172</v>
      </c>
      <c r="AI117" s="280"/>
      <c r="AU117" s="280">
        <f t="shared" si="11"/>
        <v>1998</v>
      </c>
      <c r="AV117" s="282">
        <f>'Final Floorspace Estimates'!S144</f>
        <v>1058.3860981201087</v>
      </c>
      <c r="AW117" s="280"/>
    </row>
    <row r="118" spans="4:49" x14ac:dyDescent="0.2">
      <c r="D118">
        <f t="shared" si="12"/>
        <v>1995</v>
      </c>
      <c r="E118" s="24">
        <f>'Final Floorspace Estimates'!X141</f>
        <v>56.071509757288283</v>
      </c>
      <c r="F118" s="7"/>
      <c r="S118" s="280">
        <f t="shared" si="9"/>
        <v>1999</v>
      </c>
      <c r="T118" s="282">
        <f>'Final Floorspace Estimates'!Q145</f>
        <v>1956.6254210691613</v>
      </c>
      <c r="U118" s="280"/>
      <c r="AG118" s="280">
        <f t="shared" si="10"/>
        <v>1999</v>
      </c>
      <c r="AH118" s="282">
        <f>'Final Floorspace Estimates'!R145</f>
        <v>956.76150357645133</v>
      </c>
      <c r="AI118" s="280"/>
      <c r="AU118" s="280">
        <f t="shared" si="11"/>
        <v>1999</v>
      </c>
      <c r="AV118" s="282">
        <f>'Final Floorspace Estimates'!S145</f>
        <v>1067.5074886546749</v>
      </c>
      <c r="AW118" s="280"/>
    </row>
    <row r="119" spans="4:49" x14ac:dyDescent="0.2">
      <c r="D119">
        <f t="shared" si="12"/>
        <v>1996</v>
      </c>
      <c r="E119" s="24">
        <f>'Final Floorspace Estimates'!X142</f>
        <v>57.058362989511124</v>
      </c>
      <c r="F119" s="7"/>
      <c r="S119" s="280">
        <f t="shared" si="9"/>
        <v>2000</v>
      </c>
      <c r="T119" s="282">
        <f>'Final Floorspace Estimates'!Q146</f>
        <v>1976.8833195636496</v>
      </c>
      <c r="U119" s="280"/>
      <c r="AG119" s="280">
        <f t="shared" si="10"/>
        <v>2000</v>
      </c>
      <c r="AH119" s="282">
        <f>'Final Floorspace Estimates'!R146</f>
        <v>965.99611365928581</v>
      </c>
      <c r="AI119" s="280"/>
      <c r="AU119" s="280">
        <f t="shared" si="11"/>
        <v>2000</v>
      </c>
      <c r="AV119" s="282">
        <f>'Final Floorspace Estimates'!S146</f>
        <v>1076.6400366333191</v>
      </c>
      <c r="AW119" s="280"/>
    </row>
    <row r="120" spans="4:49" x14ac:dyDescent="0.2">
      <c r="D120">
        <f t="shared" si="12"/>
        <v>1997</v>
      </c>
      <c r="E120" s="24">
        <f>'Final Floorspace Estimates'!X143</f>
        <v>58.04378508102559</v>
      </c>
      <c r="F120" s="7"/>
      <c r="G120">
        <f>W13</f>
        <v>56.12</v>
      </c>
      <c r="S120" s="280">
        <f t="shared" si="9"/>
        <v>2001</v>
      </c>
      <c r="T120" s="282">
        <f>'Final Floorspace Estimates'!Q147</f>
        <v>1998.4478715327286</v>
      </c>
      <c r="U120" s="280">
        <f>RECS_4_adj!$BQ$46</f>
        <v>2321.9278624353419</v>
      </c>
      <c r="AG120" s="280">
        <f t="shared" si="10"/>
        <v>2001</v>
      </c>
      <c r="AH120" s="282">
        <f>'Final Floorspace Estimates'!R147</f>
        <v>974.62536971789086</v>
      </c>
      <c r="AI120" s="280">
        <f>RECS_4_adj!$BR$46</f>
        <v>954.43611150417428</v>
      </c>
      <c r="AU120" s="280">
        <f t="shared" si="11"/>
        <v>2001</v>
      </c>
      <c r="AV120" s="282">
        <f>'Final Floorspace Estimates'!S147</f>
        <v>1085.7694010384835</v>
      </c>
      <c r="AW120" s="280">
        <f>RECS_4_adj!$BL$46</f>
        <v>1060.540872771973</v>
      </c>
    </row>
    <row r="121" spans="4:49" x14ac:dyDescent="0.2">
      <c r="D121">
        <f t="shared" si="12"/>
        <v>1998</v>
      </c>
      <c r="E121" s="24">
        <f>'Final Floorspace Estimates'!X144</f>
        <v>59.462308116786389</v>
      </c>
      <c r="F121" s="7"/>
      <c r="S121" s="280">
        <f t="shared" si="9"/>
        <v>2002</v>
      </c>
      <c r="T121" s="282">
        <f>'Final Floorspace Estimates'!Q148</f>
        <v>2020.7231112366144</v>
      </c>
      <c r="U121" s="280"/>
      <c r="AG121" s="280">
        <f t="shared" si="10"/>
        <v>2002</v>
      </c>
      <c r="AH121" s="282">
        <f>'Final Floorspace Estimates'!R148</f>
        <v>984.00576610761391</v>
      </c>
      <c r="AI121" s="280"/>
      <c r="AU121" s="280">
        <f t="shared" si="11"/>
        <v>2002</v>
      </c>
      <c r="AV121" s="282">
        <f>'Final Floorspace Estimates'!S148</f>
        <v>1085.6298157716456</v>
      </c>
      <c r="AW121" s="280"/>
    </row>
    <row r="122" spans="4:49" x14ac:dyDescent="0.2">
      <c r="D122">
        <f t="shared" si="12"/>
        <v>1999</v>
      </c>
      <c r="E122" s="24">
        <f>'Final Floorspace Estimates'!X145</f>
        <v>61.001955535822056</v>
      </c>
      <c r="F122" s="7"/>
      <c r="S122" s="280">
        <f t="shared" si="9"/>
        <v>2003</v>
      </c>
      <c r="T122" s="282">
        <f>'Final Floorspace Estimates'!Q149</f>
        <v>2043.0685968933853</v>
      </c>
      <c r="U122" s="280"/>
      <c r="AG122" s="280">
        <f t="shared" si="10"/>
        <v>2003</v>
      </c>
      <c r="AH122" s="282">
        <f>'Final Floorspace Estimates'!R149</f>
        <v>991.8149092522699</v>
      </c>
      <c r="AI122" s="280"/>
      <c r="AU122" s="280">
        <f t="shared" si="11"/>
        <v>2003</v>
      </c>
      <c r="AV122" s="282">
        <f>'Final Floorspace Estimates'!S149</f>
        <v>1085.4902673079678</v>
      </c>
      <c r="AW122" s="280"/>
    </row>
    <row r="123" spans="4:49" x14ac:dyDescent="0.2">
      <c r="D123">
        <f t="shared" si="12"/>
        <v>2000</v>
      </c>
      <c r="E123" s="24">
        <f>'Final Floorspace Estimates'!X146</f>
        <v>62.745493450841778</v>
      </c>
      <c r="F123" s="7"/>
      <c r="S123" s="280">
        <f t="shared" si="9"/>
        <v>2004</v>
      </c>
      <c r="T123" s="282">
        <f>'Final Floorspace Estimates'!Q150</f>
        <v>2067.8275934529315</v>
      </c>
      <c r="U123" s="280"/>
      <c r="AG123" s="280">
        <f t="shared" si="10"/>
        <v>2004</v>
      </c>
      <c r="AH123" s="282">
        <f>'Final Floorspace Estimates'!R150</f>
        <v>1001.2012442859852</v>
      </c>
      <c r="AI123" s="280"/>
      <c r="AU123" s="280">
        <f t="shared" si="11"/>
        <v>2004</v>
      </c>
      <c r="AV123" s="282">
        <f>'Final Floorspace Estimates'!S150</f>
        <v>1085.6383994207006</v>
      </c>
      <c r="AW123" s="280"/>
    </row>
    <row r="124" spans="4:49" x14ac:dyDescent="0.2">
      <c r="D124">
        <f t="shared" si="12"/>
        <v>2001</v>
      </c>
      <c r="E124" s="24">
        <f>'Final Floorspace Estimates'!X147</f>
        <v>64.513710398010431</v>
      </c>
      <c r="F124" s="7"/>
      <c r="G124">
        <f>W14</f>
        <v>76.631</v>
      </c>
      <c r="S124" s="280">
        <f t="shared" si="9"/>
        <v>2005</v>
      </c>
      <c r="T124" s="282">
        <f>'Final Floorspace Estimates'!Q151</f>
        <v>2094.1217414601547</v>
      </c>
      <c r="U124" s="51">
        <f>RECS_4_adj!$BQ$47</f>
        <v>2819.1074464027956</v>
      </c>
      <c r="AG124" s="280">
        <f t="shared" si="10"/>
        <v>2005</v>
      </c>
      <c r="AH124" s="282">
        <f>'Final Floorspace Estimates'!R151</f>
        <v>1010.0840347620356</v>
      </c>
      <c r="AI124" s="51">
        <f>RECS_4_adj!$BR$47</f>
        <v>926.46324946373409</v>
      </c>
      <c r="AU124" s="280">
        <f t="shared" si="11"/>
        <v>2005</v>
      </c>
      <c r="AV124" s="282">
        <f>'Final Floorspace Estimates'!S151</f>
        <v>1085.7865709939324</v>
      </c>
      <c r="AW124" s="51">
        <f>RECS_4_adj!$BL$47</f>
        <v>1067.2823188945329</v>
      </c>
    </row>
    <row r="125" spans="4:49" x14ac:dyDescent="0.2">
      <c r="D125">
        <f t="shared" si="12"/>
        <v>2002</v>
      </c>
      <c r="E125" s="24">
        <f>'Final Floorspace Estimates'!X148</f>
        <v>65.897474894119654</v>
      </c>
      <c r="F125" s="7"/>
      <c r="S125" s="280">
        <f t="shared" si="9"/>
        <v>2006</v>
      </c>
      <c r="T125" s="282">
        <f>'Final Floorspace Estimates'!Q152</f>
        <v>2119.3394414149398</v>
      </c>
      <c r="U125" s="280"/>
      <c r="AG125" s="280">
        <f t="shared" si="10"/>
        <v>2006</v>
      </c>
      <c r="AH125" s="282">
        <f>'Final Floorspace Estimates'!R152</f>
        <v>1021.7793360719519</v>
      </c>
      <c r="AI125" s="280"/>
      <c r="AU125" s="280">
        <f t="shared" si="11"/>
        <v>2006</v>
      </c>
      <c r="AV125" s="282">
        <f>'Final Floorspace Estimates'!S152</f>
        <v>1092.0227054817035</v>
      </c>
      <c r="AW125" s="280"/>
    </row>
    <row r="126" spans="4:49" x14ac:dyDescent="0.2">
      <c r="D126">
        <f t="shared" si="12"/>
        <v>2003</v>
      </c>
      <c r="E126" s="24">
        <f>'Final Floorspace Estimates'!X149</f>
        <v>67.31170779626359</v>
      </c>
      <c r="F126" s="7"/>
      <c r="S126" s="280">
        <f t="shared" si="9"/>
        <v>2007</v>
      </c>
      <c r="T126" s="282">
        <f>'Final Floorspace Estimates'!Q153</f>
        <v>2135.3781890802684</v>
      </c>
      <c r="U126" s="280"/>
      <c r="AG126" s="280">
        <f t="shared" si="10"/>
        <v>2007</v>
      </c>
      <c r="AH126" s="282">
        <f>'Final Floorspace Estimates'!R153</f>
        <v>1031.2659731194565</v>
      </c>
      <c r="AI126" s="280"/>
      <c r="AU126" s="280">
        <f t="shared" si="11"/>
        <v>2007</v>
      </c>
      <c r="AV126" s="282">
        <f>'Final Floorspace Estimates'!S153</f>
        <v>1098.2571100888076</v>
      </c>
      <c r="AW126" s="280"/>
    </row>
    <row r="127" spans="4:49" x14ac:dyDescent="0.2">
      <c r="D127">
        <f t="shared" si="12"/>
        <v>2004</v>
      </c>
      <c r="E127" s="24">
        <f>'Final Floorspace Estimates'!X150</f>
        <v>69.422555758946004</v>
      </c>
      <c r="F127" s="7"/>
      <c r="S127" s="280">
        <f t="shared" si="9"/>
        <v>2008</v>
      </c>
      <c r="T127" s="282">
        <f>'Final Floorspace Estimates'!Q154</f>
        <v>2147.5547033851649</v>
      </c>
      <c r="U127" s="280"/>
      <c r="AG127" s="280">
        <f t="shared" si="10"/>
        <v>2008</v>
      </c>
      <c r="AH127" s="282">
        <f>'Final Floorspace Estimates'!R154</f>
        <v>1035.5654908497111</v>
      </c>
      <c r="AI127" s="280"/>
      <c r="AU127" s="280">
        <f t="shared" si="11"/>
        <v>2008</v>
      </c>
      <c r="AV127" s="282">
        <f>'Final Floorspace Estimates'!S154</f>
        <v>1104.3080426015508</v>
      </c>
      <c r="AW127" s="280"/>
    </row>
    <row r="128" spans="4:49" x14ac:dyDescent="0.2">
      <c r="D128">
        <f t="shared" si="12"/>
        <v>2005</v>
      </c>
      <c r="E128" s="24">
        <f>'Final Floorspace Estimates'!X151</f>
        <v>71.688733309583739</v>
      </c>
      <c r="F128" s="7"/>
      <c r="G128">
        <f>W15</f>
        <v>93.432181800190008</v>
      </c>
      <c r="S128" s="280">
        <f t="shared" si="9"/>
        <v>2009</v>
      </c>
      <c r="T128" s="282">
        <f>'Final Floorspace Estimates'!Q155</f>
        <v>2157.7521285281759</v>
      </c>
      <c r="U128" s="280"/>
      <c r="AG128" s="280">
        <f t="shared" si="10"/>
        <v>2009</v>
      </c>
      <c r="AH128" s="282">
        <f>'Final Floorspace Estimates'!R155</f>
        <v>1038.1906237801591</v>
      </c>
      <c r="AI128" s="280"/>
      <c r="AU128" s="280">
        <f t="shared" si="11"/>
        <v>2009</v>
      </c>
      <c r="AV128" s="282">
        <f>'Final Floorspace Estimates'!S155</f>
        <v>1110.3553068766744</v>
      </c>
      <c r="AW128" s="280"/>
    </row>
    <row r="129" spans="4:49" x14ac:dyDescent="0.2">
      <c r="D129">
        <f t="shared" si="12"/>
        <v>2006</v>
      </c>
      <c r="E129" s="24">
        <f>'Final Floorspace Estimates'!X152</f>
        <v>73.56480878051552</v>
      </c>
      <c r="F129" s="7"/>
      <c r="S129" s="280">
        <f t="shared" si="9"/>
        <v>2010</v>
      </c>
      <c r="T129" s="282">
        <f>'Final Floorspace Estimates'!Q156</f>
        <v>2165.8823944865603</v>
      </c>
      <c r="U129" s="280"/>
      <c r="AG129" s="280">
        <f t="shared" si="10"/>
        <v>2010</v>
      </c>
      <c r="AH129" s="282">
        <f>'Final Floorspace Estimates'!R156</f>
        <v>1042.1998572009347</v>
      </c>
      <c r="AI129" s="280"/>
      <c r="AU129" s="280">
        <f t="shared" si="11"/>
        <v>2010</v>
      </c>
      <c r="AV129" s="282">
        <f>'Final Floorspace Estimates'!S156</f>
        <v>1128.0911083132476</v>
      </c>
      <c r="AW129" s="280"/>
    </row>
    <row r="130" spans="4:49" x14ac:dyDescent="0.2">
      <c r="D130">
        <f t="shared" si="12"/>
        <v>2007</v>
      </c>
      <c r="E130" s="24">
        <f>'Final Floorspace Estimates'!X153</f>
        <v>75.024307467893479</v>
      </c>
      <c r="F130" s="7"/>
      <c r="W130" t="s">
        <v>23</v>
      </c>
    </row>
    <row r="131" spans="4:49" x14ac:dyDescent="0.2">
      <c r="D131">
        <f t="shared" si="12"/>
        <v>2008</v>
      </c>
      <c r="E131" s="24">
        <f>'Final Floorspace Estimates'!X154</f>
        <v>76.260846941237389</v>
      </c>
      <c r="F131" s="7"/>
    </row>
    <row r="132" spans="4:49" x14ac:dyDescent="0.2">
      <c r="D132">
        <f t="shared" si="12"/>
        <v>2009</v>
      </c>
      <c r="E132" s="24">
        <f>'Final Floorspace Estimates'!X155</f>
        <v>77.198891989558163</v>
      </c>
      <c r="F132" s="7"/>
      <c r="S132" s="280"/>
      <c r="T132" s="280" t="s">
        <v>371</v>
      </c>
      <c r="U132" s="280" t="s">
        <v>156</v>
      </c>
      <c r="AG132" s="280"/>
      <c r="AH132" s="280" t="s">
        <v>371</v>
      </c>
      <c r="AI132" s="280" t="s">
        <v>156</v>
      </c>
      <c r="AU132" s="280"/>
      <c r="AV132" s="280" t="s">
        <v>371</v>
      </c>
      <c r="AW132" s="280" t="s">
        <v>156</v>
      </c>
    </row>
    <row r="133" spans="4:49" x14ac:dyDescent="0.2">
      <c r="D133">
        <f t="shared" si="12"/>
        <v>2010</v>
      </c>
      <c r="E133" s="24">
        <f>'Final Floorspace Estimates'!X156</f>
        <v>78.318399650530608</v>
      </c>
      <c r="S133" s="280">
        <f>S103</f>
        <v>1984</v>
      </c>
      <c r="T133" s="282"/>
      <c r="U133" s="280">
        <f>RECS_4_adj!$BQ$56</f>
        <v>1865.0485436893202</v>
      </c>
      <c r="AG133" s="280">
        <f>AG103</f>
        <v>1984</v>
      </c>
      <c r="AH133" s="282"/>
      <c r="AI133" s="280">
        <f>RECS_4_adj!$BR$56</f>
        <v>968.42105263157896</v>
      </c>
      <c r="AU133" s="280">
        <f>AU103</f>
        <v>1984</v>
      </c>
      <c r="AV133" s="282"/>
      <c r="AW133" s="280">
        <f>RECS_4_adj!$BL$56</f>
        <v>950</v>
      </c>
    </row>
    <row r="134" spans="4:49" x14ac:dyDescent="0.2">
      <c r="S134" s="280">
        <f t="shared" ref="S134:S159" si="13">S104</f>
        <v>1985</v>
      </c>
      <c r="T134" s="282">
        <f>'Final Floorspace Estimates'!Q171</f>
        <v>1706.5410722166928</v>
      </c>
      <c r="U134" s="280"/>
      <c r="AG134" s="280">
        <f t="shared" ref="AG134:AG159" si="14">AG104</f>
        <v>1985</v>
      </c>
      <c r="AH134" s="282">
        <f>'Final Floorspace Estimates'!R171</f>
        <v>782.00651097904279</v>
      </c>
      <c r="AI134" s="280"/>
      <c r="AU134" s="280">
        <f t="shared" ref="AU134:AU159" si="15">AU104</f>
        <v>1985</v>
      </c>
      <c r="AV134" s="282">
        <f>'Final Floorspace Estimates'!S171</f>
        <v>856.3247659077083</v>
      </c>
      <c r="AW134" s="280"/>
    </row>
    <row r="135" spans="4:49" x14ac:dyDescent="0.2">
      <c r="S135" s="280">
        <f t="shared" si="13"/>
        <v>1986</v>
      </c>
      <c r="T135" s="282">
        <f>'Final Floorspace Estimates'!Q172</f>
        <v>1703.9264043154997</v>
      </c>
      <c r="U135" s="280"/>
      <c r="AG135" s="280">
        <f t="shared" si="14"/>
        <v>1986</v>
      </c>
      <c r="AH135" s="282">
        <f>'Final Floorspace Estimates'!R172</f>
        <v>799.69410389856819</v>
      </c>
      <c r="AI135" s="280"/>
      <c r="AU135" s="280">
        <f t="shared" si="15"/>
        <v>1986</v>
      </c>
      <c r="AV135" s="282">
        <f>'Final Floorspace Estimates'!S172</f>
        <v>862.6305671431744</v>
      </c>
      <c r="AW135" s="280"/>
    </row>
    <row r="136" spans="4:49" x14ac:dyDescent="0.2">
      <c r="S136" s="280">
        <f t="shared" si="13"/>
        <v>1987</v>
      </c>
      <c r="T136" s="282">
        <f>'Final Floorspace Estimates'!Q173</f>
        <v>1717.3364912246459</v>
      </c>
      <c r="U136" s="280">
        <f>RECS_4_adj!$BQ$57</f>
        <v>1940.3508771929824</v>
      </c>
      <c r="AG136" s="280">
        <f t="shared" si="14"/>
        <v>1987</v>
      </c>
      <c r="AH136" s="282">
        <f>'Final Floorspace Estimates'!R173</f>
        <v>813.47430061837167</v>
      </c>
      <c r="AI136" s="280">
        <f>RECS_4_adj!$BR$57</f>
        <v>937.93103448275861</v>
      </c>
      <c r="AU136" s="280">
        <f t="shared" si="15"/>
        <v>1987</v>
      </c>
      <c r="AV136" s="282">
        <f>'Final Floorspace Estimates'!S173</f>
        <v>861.75858267625176</v>
      </c>
      <c r="AW136" s="280">
        <f>RECS_4_adj!$BL$57</f>
        <v>1040</v>
      </c>
    </row>
    <row r="137" spans="4:49" x14ac:dyDescent="0.2">
      <c r="E137" t="s">
        <v>371</v>
      </c>
      <c r="G137" t="s">
        <v>372</v>
      </c>
      <c r="S137" s="280">
        <f t="shared" si="13"/>
        <v>1988</v>
      </c>
      <c r="T137" s="282">
        <f>'Final Floorspace Estimates'!Q174</f>
        <v>1729.9380468917286</v>
      </c>
      <c r="U137" s="280"/>
      <c r="AG137" s="280">
        <f t="shared" si="14"/>
        <v>1988</v>
      </c>
      <c r="AH137" s="282">
        <f>'Final Floorspace Estimates'!R174</f>
        <v>823.08246356110772</v>
      </c>
      <c r="AI137" s="280"/>
      <c r="AU137" s="280">
        <f t="shared" si="15"/>
        <v>1988</v>
      </c>
      <c r="AV137" s="282">
        <f>'Final Floorspace Estimates'!S174</f>
        <v>887.37287630566971</v>
      </c>
      <c r="AW137" s="280"/>
    </row>
    <row r="138" spans="4:49" x14ac:dyDescent="0.2">
      <c r="D138">
        <f>1984</f>
        <v>1984</v>
      </c>
      <c r="F138" s="7"/>
      <c r="G138">
        <f>X9</f>
        <v>25.68</v>
      </c>
      <c r="S138" s="280">
        <f t="shared" si="13"/>
        <v>1989</v>
      </c>
      <c r="T138" s="282">
        <f>'Final Floorspace Estimates'!Q175</f>
        <v>1742.1647325763659</v>
      </c>
      <c r="U138" s="280"/>
      <c r="AG138" s="280">
        <f t="shared" si="14"/>
        <v>1989</v>
      </c>
      <c r="AH138" s="282">
        <f>'Final Floorspace Estimates'!R175</f>
        <v>830.85236305968112</v>
      </c>
      <c r="AI138" s="280"/>
      <c r="AU138" s="280">
        <f t="shared" si="15"/>
        <v>1989</v>
      </c>
      <c r="AV138" s="282">
        <f>'Final Floorspace Estimates'!S175</f>
        <v>912.97765892641416</v>
      </c>
      <c r="AW138" s="280"/>
    </row>
    <row r="139" spans="4:49" x14ac:dyDescent="0.2">
      <c r="D139">
        <f>D138+1</f>
        <v>1985</v>
      </c>
      <c r="E139" s="24">
        <f>'Final Floorspace Estimates'!X171</f>
        <v>23.938290935475301</v>
      </c>
      <c r="F139" s="7"/>
      <c r="S139" s="280">
        <f t="shared" si="13"/>
        <v>1990</v>
      </c>
      <c r="T139" s="282">
        <f>'Final Floorspace Estimates'!Q176</f>
        <v>1755.2193776848544</v>
      </c>
      <c r="U139" s="280">
        <f>RECS_4_adj!$BQ$58</f>
        <v>1874.0157480314958</v>
      </c>
      <c r="AG139" s="280">
        <f t="shared" si="14"/>
        <v>1990</v>
      </c>
      <c r="AH139" s="282">
        <f>'Final Floorspace Estimates'!R176</f>
        <v>836.42157028836255</v>
      </c>
      <c r="AI139" s="280">
        <f>RECS_4_adj!$BR$58</f>
        <v>820</v>
      </c>
      <c r="AU139" s="280">
        <f t="shared" si="15"/>
        <v>1990</v>
      </c>
      <c r="AV139" s="282">
        <f>'Final Floorspace Estimates'!S176</f>
        <v>939.08123441855605</v>
      </c>
      <c r="AW139" s="280">
        <f>RECS_4_adj!$BL$58</f>
        <v>991.66666666666674</v>
      </c>
    </row>
    <row r="140" spans="4:49" x14ac:dyDescent="0.2">
      <c r="D140">
        <f t="shared" ref="D140:D164" si="16">D139+1</f>
        <v>1986</v>
      </c>
      <c r="E140" s="24">
        <f>'Final Floorspace Estimates'!X172</f>
        <v>24.663453729499828</v>
      </c>
      <c r="F140" s="7"/>
      <c r="S140" s="280">
        <f t="shared" si="13"/>
        <v>1991</v>
      </c>
      <c r="T140" s="282">
        <f>'Final Floorspace Estimates'!Q177</f>
        <v>1766.0366492789224</v>
      </c>
      <c r="U140" s="280"/>
      <c r="AG140" s="280">
        <f t="shared" si="14"/>
        <v>1991</v>
      </c>
      <c r="AH140" s="282">
        <f>'Final Floorspace Estimates'!R177</f>
        <v>838.39707921779393</v>
      </c>
      <c r="AI140" s="280"/>
      <c r="AU140" s="280">
        <f t="shared" si="15"/>
        <v>1991</v>
      </c>
      <c r="AV140" s="282">
        <f>'Final Floorspace Estimates'!S177</f>
        <v>954.9620595417656</v>
      </c>
      <c r="AW140" s="280"/>
    </row>
    <row r="141" spans="4:49" x14ac:dyDescent="0.2">
      <c r="D141">
        <f t="shared" si="16"/>
        <v>1987</v>
      </c>
      <c r="E141" s="24">
        <f>'Final Floorspace Estimates'!X173</f>
        <v>25.56210137884872</v>
      </c>
      <c r="F141" s="7"/>
      <c r="G141">
        <f>X10</f>
        <v>28.59</v>
      </c>
      <c r="S141" s="280">
        <f t="shared" si="13"/>
        <v>1992</v>
      </c>
      <c r="T141" s="282">
        <f>'Final Floorspace Estimates'!Q178</f>
        <v>1781.2993676377196</v>
      </c>
      <c r="U141" s="280"/>
      <c r="AG141" s="280">
        <f t="shared" si="14"/>
        <v>1992</v>
      </c>
      <c r="AH141" s="282">
        <f>'Final Floorspace Estimates'!R178</f>
        <v>837.87809943977277</v>
      </c>
      <c r="AI141" s="280"/>
      <c r="AU141" s="280">
        <f t="shared" si="15"/>
        <v>1992</v>
      </c>
      <c r="AV141" s="282">
        <f>'Final Floorspace Estimates'!S178</f>
        <v>969.45173527193936</v>
      </c>
      <c r="AW141" s="280"/>
    </row>
    <row r="142" spans="4:49" x14ac:dyDescent="0.2">
      <c r="D142">
        <f t="shared" si="16"/>
        <v>1988</v>
      </c>
      <c r="E142" s="24">
        <f>'Final Floorspace Estimates'!X174</f>
        <v>26.126681159090523</v>
      </c>
      <c r="F142" s="7"/>
      <c r="S142" s="280">
        <f t="shared" si="13"/>
        <v>1993</v>
      </c>
      <c r="T142" s="282">
        <f>'Final Floorspace Estimates'!Q179</f>
        <v>1795.975777205422</v>
      </c>
      <c r="U142" s="280">
        <f>RECS_4_adj!$BQ$59</f>
        <v>2014.8148148148146</v>
      </c>
      <c r="AG142" s="280">
        <f t="shared" si="14"/>
        <v>1993</v>
      </c>
      <c r="AH142" s="282">
        <f>'Final Floorspace Estimates'!R179</f>
        <v>835.7624845385169</v>
      </c>
      <c r="AI142" s="280">
        <f>RECS_4_adj!$BR$59</f>
        <v>893.22033898305074</v>
      </c>
      <c r="AU142" s="280">
        <f t="shared" si="15"/>
        <v>1993</v>
      </c>
      <c r="AV142" s="282">
        <f>'Final Floorspace Estimates'!S179</f>
        <v>983.90988732739322</v>
      </c>
      <c r="AW142" s="280">
        <f>RECS_4_adj!$BL$59</f>
        <v>990</v>
      </c>
    </row>
    <row r="143" spans="4:49" x14ac:dyDescent="0.2">
      <c r="D143">
        <f t="shared" si="16"/>
        <v>1989</v>
      </c>
      <c r="E143" s="24">
        <f>'Final Floorspace Estimates'!X175</f>
        <v>26.655876087665362</v>
      </c>
      <c r="F143" s="7"/>
      <c r="S143" s="280">
        <f t="shared" si="13"/>
        <v>1994</v>
      </c>
      <c r="T143" s="282">
        <f>'Final Floorspace Estimates'!Q180</f>
        <v>1811.2004586566209</v>
      </c>
      <c r="U143" s="280"/>
      <c r="AG143" s="280">
        <f t="shared" si="14"/>
        <v>1994</v>
      </c>
      <c r="AH143" s="282">
        <f>'Final Floorspace Estimates'!R180</f>
        <v>835.69634920883414</v>
      </c>
      <c r="AI143" s="280"/>
      <c r="AU143" s="280">
        <f t="shared" si="15"/>
        <v>1994</v>
      </c>
      <c r="AV143" s="282">
        <f>'Final Floorspace Estimates'!S180</f>
        <v>992.91418960010435</v>
      </c>
      <c r="AW143" s="280"/>
    </row>
    <row r="144" spans="4:49" x14ac:dyDescent="0.2">
      <c r="D144">
        <f t="shared" si="16"/>
        <v>1990</v>
      </c>
      <c r="E144" s="24">
        <f>'Final Floorspace Estimates'!X176</f>
        <v>27.608578423838036</v>
      </c>
      <c r="F144" s="7"/>
      <c r="G144">
        <f>X11</f>
        <v>29.5</v>
      </c>
      <c r="S144" s="280">
        <f t="shared" si="13"/>
        <v>1995</v>
      </c>
      <c r="T144" s="282">
        <f>'Final Floorspace Estimates'!Q181</f>
        <v>1822.4157180833502</v>
      </c>
      <c r="U144" s="280"/>
      <c r="AG144" s="280">
        <f t="shared" si="14"/>
        <v>1995</v>
      </c>
      <c r="AH144" s="282">
        <f>'Final Floorspace Estimates'!R181</f>
        <v>838.65680799465144</v>
      </c>
      <c r="AI144" s="280"/>
      <c r="AU144" s="280">
        <f t="shared" si="15"/>
        <v>1995</v>
      </c>
      <c r="AV144" s="282">
        <f>'Final Floorspace Estimates'!S181</f>
        <v>1001.9173861109349</v>
      </c>
      <c r="AW144" s="280"/>
    </row>
    <row r="145" spans="4:49" x14ac:dyDescent="0.2">
      <c r="D145">
        <f t="shared" si="16"/>
        <v>1991</v>
      </c>
      <c r="E145" s="24">
        <f>'Final Floorspace Estimates'!X177</f>
        <v>28.48089961514729</v>
      </c>
      <c r="F145" s="7"/>
      <c r="S145" s="280">
        <f t="shared" si="13"/>
        <v>1996</v>
      </c>
      <c r="T145" s="282">
        <f>'Final Floorspace Estimates'!Q182</f>
        <v>1835.6900047812403</v>
      </c>
      <c r="U145" s="280"/>
      <c r="AG145" s="280">
        <f t="shared" si="14"/>
        <v>1996</v>
      </c>
      <c r="AH145" s="282">
        <f>'Final Floorspace Estimates'!R182</f>
        <v>843.72693711063164</v>
      </c>
      <c r="AI145" s="280"/>
      <c r="AU145" s="280">
        <f t="shared" si="15"/>
        <v>1996</v>
      </c>
      <c r="AV145" s="282">
        <f>'Final Floorspace Estimates'!S182</f>
        <v>1010.5399914049125</v>
      </c>
      <c r="AW145" s="280"/>
    </row>
    <row r="146" spans="4:49" x14ac:dyDescent="0.2">
      <c r="D146">
        <f t="shared" si="16"/>
        <v>1992</v>
      </c>
      <c r="E146" s="24">
        <f>'Final Floorspace Estimates'!X178</f>
        <v>29.166554621733042</v>
      </c>
      <c r="F146" s="7"/>
      <c r="S146" s="280">
        <f t="shared" si="13"/>
        <v>1997</v>
      </c>
      <c r="T146" s="282">
        <f>'Final Floorspace Estimates'!Q183</f>
        <v>1848.0285912409897</v>
      </c>
      <c r="U146" s="280">
        <f>RECS_4_adj!$BQ$60</f>
        <v>1746.3087248322149</v>
      </c>
      <c r="AG146" s="280">
        <f t="shared" si="14"/>
        <v>1997</v>
      </c>
      <c r="AH146" s="282">
        <f>'Final Floorspace Estimates'!R183</f>
        <v>849.11248568335918</v>
      </c>
      <c r="AI146" s="280">
        <f>RECS_4_adj!$BR$60</f>
        <v>832.69230769230774</v>
      </c>
      <c r="AU146" s="280">
        <f t="shared" si="15"/>
        <v>1997</v>
      </c>
      <c r="AV146" s="282">
        <f>'Final Floorspace Estimates'!S183</f>
        <v>1019.1550679400394</v>
      </c>
      <c r="AW146" s="280">
        <f>RECS_4_adj!$BL$60</f>
        <v>970.58823529411768</v>
      </c>
    </row>
    <row r="147" spans="4:49" x14ac:dyDescent="0.2">
      <c r="D147">
        <f t="shared" si="16"/>
        <v>1993</v>
      </c>
      <c r="E147" s="24">
        <f>'Final Floorspace Estimates'!X179</f>
        <v>29.876926889168121</v>
      </c>
      <c r="F147" s="7"/>
      <c r="G147">
        <f>X12</f>
        <v>33.46</v>
      </c>
      <c r="S147" s="280">
        <f t="shared" si="13"/>
        <v>1998</v>
      </c>
      <c r="T147" s="282">
        <f>'Final Floorspace Estimates'!Q184</f>
        <v>1861.8048009651648</v>
      </c>
      <c r="U147" s="280"/>
      <c r="AG147" s="280">
        <f t="shared" si="14"/>
        <v>1998</v>
      </c>
      <c r="AH147" s="282">
        <f>'Final Floorspace Estimates'!R184</f>
        <v>852.55763239740702</v>
      </c>
      <c r="AI147" s="280"/>
      <c r="AU147" s="280">
        <f t="shared" si="15"/>
        <v>1998</v>
      </c>
      <c r="AV147" s="282">
        <f>'Final Floorspace Estimates'!S184</f>
        <v>1028.0180713926286</v>
      </c>
      <c r="AW147" s="280"/>
    </row>
    <row r="148" spans="4:49" x14ac:dyDescent="0.2">
      <c r="D148">
        <f t="shared" si="16"/>
        <v>1994</v>
      </c>
      <c r="E148" s="24">
        <f>'Final Floorspace Estimates'!X180</f>
        <v>30.536582043990535</v>
      </c>
      <c r="F148" s="7"/>
      <c r="S148" s="280">
        <f t="shared" si="13"/>
        <v>1999</v>
      </c>
      <c r="T148" s="282">
        <f>'Final Floorspace Estimates'!Q185</f>
        <v>1877.3620386422317</v>
      </c>
      <c r="U148" s="280"/>
      <c r="AG148" s="280">
        <f t="shared" si="14"/>
        <v>1999</v>
      </c>
      <c r="AH148" s="282">
        <f>'Final Floorspace Estimates'!R185</f>
        <v>857.29218698215323</v>
      </c>
      <c r="AI148" s="280"/>
      <c r="AU148" s="280">
        <f t="shared" si="15"/>
        <v>1999</v>
      </c>
      <c r="AV148" s="282">
        <f>'Final Floorspace Estimates'!S185</f>
        <v>1036.8777439850965</v>
      </c>
      <c r="AW148" s="280"/>
    </row>
    <row r="149" spans="4:49" x14ac:dyDescent="0.2">
      <c r="D149">
        <f t="shared" si="16"/>
        <v>1995</v>
      </c>
      <c r="E149" s="24">
        <f>'Final Floorspace Estimates'!X181</f>
        <v>31.176583964867213</v>
      </c>
      <c r="F149" s="7"/>
      <c r="S149" s="280">
        <f t="shared" si="13"/>
        <v>2000</v>
      </c>
      <c r="T149" s="282">
        <f>'Final Floorspace Estimates'!Q186</f>
        <v>1898.1465321083276</v>
      </c>
      <c r="U149" s="280"/>
      <c r="AG149" s="280">
        <f t="shared" si="14"/>
        <v>2000</v>
      </c>
      <c r="AH149" s="282">
        <f>'Final Floorspace Estimates'!R186</f>
        <v>863.82913819906457</v>
      </c>
      <c r="AI149" s="280"/>
      <c r="AU149" s="280">
        <f t="shared" si="15"/>
        <v>2000</v>
      </c>
      <c r="AV149" s="282">
        <f>'Final Floorspace Estimates'!S186</f>
        <v>1045.7482538836882</v>
      </c>
      <c r="AW149" s="280"/>
    </row>
    <row r="150" spans="4:49" x14ac:dyDescent="0.2">
      <c r="D150">
        <f t="shared" si="16"/>
        <v>1996</v>
      </c>
      <c r="E150" s="24">
        <f>'Final Floorspace Estimates'!X182</f>
        <v>31.873360425699101</v>
      </c>
      <c r="F150" s="7"/>
      <c r="S150" s="280">
        <f t="shared" si="13"/>
        <v>2001</v>
      </c>
      <c r="T150" s="282">
        <f>'Final Floorspace Estimates'!Q187</f>
        <v>1920.2072144379495</v>
      </c>
      <c r="U150" s="280">
        <f>RECS_4_adj!$BQ$61</f>
        <v>2260.9901257946703</v>
      </c>
      <c r="AG150" s="280">
        <f t="shared" si="14"/>
        <v>2001</v>
      </c>
      <c r="AH150" s="282">
        <f>'Final Floorspace Estimates'!R187</f>
        <v>869.78991270759343</v>
      </c>
      <c r="AI150" s="280">
        <f>RECS_4_adj!$BR$61</f>
        <v>832.87070854638421</v>
      </c>
      <c r="AU150" s="280">
        <f t="shared" si="15"/>
        <v>2001</v>
      </c>
      <c r="AV150" s="282">
        <f>'Final Floorspace Estimates'!S187</f>
        <v>1054.6156715543354</v>
      </c>
      <c r="AW150" s="280">
        <f>RECS_4_adj!$BL$61</f>
        <v>1101.1904761904764</v>
      </c>
    </row>
    <row r="151" spans="4:49" x14ac:dyDescent="0.2">
      <c r="D151">
        <f t="shared" si="16"/>
        <v>1997</v>
      </c>
      <c r="E151" s="24">
        <f>'Final Floorspace Estimates'!X183</f>
        <v>32.574158934978151</v>
      </c>
      <c r="F151" s="7"/>
      <c r="G151">
        <f>X13</f>
        <v>32</v>
      </c>
      <c r="S151" s="280">
        <f t="shared" si="13"/>
        <v>2002</v>
      </c>
      <c r="T151" s="282">
        <f>'Final Floorspace Estimates'!Q188</f>
        <v>1942.9735373337844</v>
      </c>
      <c r="U151" s="280"/>
      <c r="AG151" s="280">
        <f t="shared" si="14"/>
        <v>2002</v>
      </c>
      <c r="AH151" s="282">
        <f>'Final Floorspace Estimates'!R188</f>
        <v>876.38583939997125</v>
      </c>
      <c r="AI151" s="280"/>
      <c r="AU151" s="280">
        <f t="shared" si="15"/>
        <v>2002</v>
      </c>
      <c r="AV151" s="282">
        <f>'Final Floorspace Estimates'!S188</f>
        <v>1054.4800913751699</v>
      </c>
      <c r="AW151" s="280"/>
    </row>
    <row r="152" spans="4:49" x14ac:dyDescent="0.2">
      <c r="D152">
        <f t="shared" si="16"/>
        <v>1998</v>
      </c>
      <c r="E152" s="24">
        <f>'Final Floorspace Estimates'!X184</f>
        <v>33.512032229383422</v>
      </c>
      <c r="F152" s="7"/>
      <c r="S152" s="280">
        <f t="shared" si="13"/>
        <v>2003</v>
      </c>
      <c r="T152" s="282">
        <f>'Final Floorspace Estimates'!Q189</f>
        <v>1965.8305326963443</v>
      </c>
      <c r="U152" s="280"/>
      <c r="AG152" s="280">
        <f t="shared" si="14"/>
        <v>2003</v>
      </c>
      <c r="AH152" s="282">
        <f>'Final Floorspace Estimates'!R189</f>
        <v>881.54856897289199</v>
      </c>
      <c r="AI152" s="280"/>
      <c r="AU152" s="280">
        <f t="shared" si="15"/>
        <v>2003</v>
      </c>
      <c r="AV152" s="282">
        <f>'Final Floorspace Estimates'!S189</f>
        <v>1054.3445469431797</v>
      </c>
      <c r="AW152" s="280"/>
    </row>
    <row r="153" spans="4:49" x14ac:dyDescent="0.2">
      <c r="D153">
        <f t="shared" si="16"/>
        <v>1999</v>
      </c>
      <c r="E153" s="24">
        <f>'Final Floorspace Estimates'!X185</f>
        <v>34.534555706901976</v>
      </c>
      <c r="F153" s="7"/>
      <c r="S153" s="280">
        <f t="shared" si="13"/>
        <v>2004</v>
      </c>
      <c r="T153" s="282">
        <f>'Final Floorspace Estimates'!Q190</f>
        <v>1991.034409372653</v>
      </c>
      <c r="U153" s="280"/>
      <c r="AG153" s="280">
        <f t="shared" si="14"/>
        <v>2004</v>
      </c>
      <c r="AH153" s="282">
        <f>'Final Floorspace Estimates'!R190</f>
        <v>888.07926183072493</v>
      </c>
      <c r="AI153" s="280"/>
      <c r="AU153" s="280">
        <f t="shared" si="15"/>
        <v>2004</v>
      </c>
      <c r="AV153" s="282">
        <f>'Final Floorspace Estimates'!S190</f>
        <v>1054.4884287355744</v>
      </c>
      <c r="AW153" s="280"/>
    </row>
    <row r="154" spans="4:49" x14ac:dyDescent="0.2">
      <c r="D154">
        <f t="shared" si="16"/>
        <v>2000</v>
      </c>
      <c r="E154" s="24">
        <f>'Final Floorspace Estimates'!X186</f>
        <v>35.475019883892436</v>
      </c>
      <c r="F154" s="7"/>
      <c r="S154" s="280">
        <f t="shared" si="13"/>
        <v>2005</v>
      </c>
      <c r="T154" s="282">
        <f>'Final Floorspace Estimates'!Q191</f>
        <v>2017.7434812786212</v>
      </c>
      <c r="U154" s="51">
        <f>RECS_4_adj!$BQ$62</f>
        <v>2430.0010978798559</v>
      </c>
      <c r="AG154" s="280">
        <f t="shared" si="14"/>
        <v>2005</v>
      </c>
      <c r="AH154" s="282">
        <f>'Final Floorspace Estimates'!R191</f>
        <v>894.12739858538202</v>
      </c>
      <c r="AI154" s="51">
        <f>RECS_4_adj!$BR$62</f>
        <v>828.51642146584504</v>
      </c>
      <c r="AU154" s="280">
        <f t="shared" si="15"/>
        <v>2005</v>
      </c>
      <c r="AV154" s="282">
        <f>'Final Floorspace Estimates'!S191</f>
        <v>1054.6323488562368</v>
      </c>
      <c r="AW154" s="51">
        <f>RECS_4_adj!$BR$62</f>
        <v>828.51642146584504</v>
      </c>
    </row>
    <row r="155" spans="4:49" x14ac:dyDescent="0.2">
      <c r="D155">
        <f t="shared" si="16"/>
        <v>2001</v>
      </c>
      <c r="E155" s="24">
        <f>'Final Floorspace Estimates'!X187</f>
        <v>36.431506163491569</v>
      </c>
      <c r="F155" s="7"/>
      <c r="G155">
        <f>X14</f>
        <v>40.982999999999997</v>
      </c>
      <c r="S155" s="280">
        <f t="shared" si="13"/>
        <v>2006</v>
      </c>
      <c r="T155" s="282">
        <f>'Final Floorspace Estimates'!Q192</f>
        <v>2043.4425230686807</v>
      </c>
      <c r="U155" s="280"/>
      <c r="AG155" s="280">
        <f t="shared" si="14"/>
        <v>2006</v>
      </c>
      <c r="AH155" s="282">
        <f>'Final Floorspace Estimates'!R192</f>
        <v>902.62499110126271</v>
      </c>
      <c r="AI155" s="280"/>
      <c r="AU155" s="280">
        <f t="shared" si="15"/>
        <v>2006</v>
      </c>
      <c r="AV155" s="282">
        <f>'Final Floorspace Estimates'!S192</f>
        <v>1060.689551384171</v>
      </c>
      <c r="AW155" s="280"/>
    </row>
    <row r="156" spans="4:49" x14ac:dyDescent="0.2">
      <c r="D156">
        <f t="shared" si="16"/>
        <v>2002</v>
      </c>
      <c r="E156" s="24">
        <f>'Final Floorspace Estimates'!X188</f>
        <v>37.246326516718156</v>
      </c>
      <c r="F156" s="7"/>
      <c r="S156" s="280">
        <f t="shared" si="13"/>
        <v>2007</v>
      </c>
      <c r="T156" s="282">
        <f>'Final Floorspace Estimates'!Q193</f>
        <v>2060.3115307492276</v>
      </c>
      <c r="U156" s="280"/>
      <c r="AG156" s="280">
        <f t="shared" si="14"/>
        <v>2007</v>
      </c>
      <c r="AH156" s="282">
        <f>'Final Floorspace Estimates'!R193</f>
        <v>909.1301123093499</v>
      </c>
      <c r="AI156" s="280"/>
      <c r="AU156" s="280">
        <f t="shared" si="15"/>
        <v>2007</v>
      </c>
      <c r="AV156" s="282">
        <f>'Final Floorspace Estimates'!S193</f>
        <v>1066.7450736665025</v>
      </c>
      <c r="AW156" s="280"/>
    </row>
    <row r="157" spans="4:49" x14ac:dyDescent="0.2">
      <c r="D157">
        <f t="shared" si="16"/>
        <v>2003</v>
      </c>
      <c r="E157" s="24">
        <f>'Final Floorspace Estimates'!X189</f>
        <v>38.07721213403989</v>
      </c>
      <c r="F157" s="7"/>
      <c r="S157" s="280">
        <f t="shared" si="13"/>
        <v>2008</v>
      </c>
      <c r="T157" s="282">
        <f>'Final Floorspace Estimates'!Q194</f>
        <v>2073.4655805375264</v>
      </c>
      <c r="U157" s="280"/>
      <c r="AG157" s="280">
        <f t="shared" si="14"/>
        <v>2008</v>
      </c>
      <c r="AH157" s="282">
        <f>'Final Floorspace Estimates'!R194</f>
        <v>911.0344401098539</v>
      </c>
      <c r="AI157" s="280"/>
      <c r="AU157" s="280">
        <f t="shared" si="15"/>
        <v>2008</v>
      </c>
      <c r="AV157" s="282">
        <f>'Final Floorspace Estimates'!S194</f>
        <v>1072.6223881767048</v>
      </c>
      <c r="AW157" s="280"/>
    </row>
    <row r="158" spans="4:49" x14ac:dyDescent="0.2">
      <c r="D158">
        <f t="shared" si="16"/>
        <v>2004</v>
      </c>
      <c r="E158" s="24">
        <f>'Final Floorspace Estimates'!X190</f>
        <v>39.041963829701487</v>
      </c>
      <c r="F158" s="7"/>
      <c r="S158" s="280">
        <f t="shared" si="13"/>
        <v>2009</v>
      </c>
      <c r="T158" s="282">
        <f>'Final Floorspace Estimates'!Q195</f>
        <v>2084.7164252298157</v>
      </c>
      <c r="U158" s="280"/>
      <c r="AG158" s="280">
        <f t="shared" si="14"/>
        <v>2009</v>
      </c>
      <c r="AH158" s="282">
        <f>'Final Floorspace Estimates'!R195</f>
        <v>911.45017789420638</v>
      </c>
      <c r="AI158" s="280"/>
      <c r="AU158" s="280">
        <f t="shared" si="15"/>
        <v>2009</v>
      </c>
      <c r="AV158" s="282">
        <f>'Final Floorspace Estimates'!S195</f>
        <v>1078.4961397011778</v>
      </c>
      <c r="AW158" s="280"/>
    </row>
    <row r="159" spans="4:49" x14ac:dyDescent="0.2">
      <c r="D159">
        <f t="shared" si="16"/>
        <v>2005</v>
      </c>
      <c r="E159" s="24">
        <f>'Final Floorspace Estimates'!X191</f>
        <v>40.082952950836585</v>
      </c>
      <c r="F159" s="7"/>
      <c r="G159">
        <f>X15</f>
        <v>47.477302019180001</v>
      </c>
      <c r="S159" s="280">
        <f t="shared" si="13"/>
        <v>2010</v>
      </c>
      <c r="T159" s="282">
        <f>'Final Floorspace Estimates'!Q196</f>
        <v>2093.975005016473</v>
      </c>
      <c r="U159" s="280"/>
      <c r="AG159" s="280">
        <f t="shared" si="14"/>
        <v>2010</v>
      </c>
      <c r="AH159" s="282">
        <f>'Final Floorspace Estimates'!R196</f>
        <v>913.06598228077746</v>
      </c>
      <c r="AI159" s="280"/>
      <c r="AU159" s="280">
        <f t="shared" si="15"/>
        <v>2010</v>
      </c>
      <c r="AV159" s="282">
        <f>'Final Floorspace Estimates'!S196</f>
        <v>1095.7230519025127</v>
      </c>
      <c r="AW159" s="280"/>
    </row>
    <row r="160" spans="4:49" x14ac:dyDescent="0.2">
      <c r="D160">
        <f t="shared" si="16"/>
        <v>2006</v>
      </c>
      <c r="E160" s="24">
        <f>'Final Floorspace Estimates'!X192</f>
        <v>41.084056843223522</v>
      </c>
      <c r="F160" s="7"/>
    </row>
    <row r="161" spans="4:6" x14ac:dyDescent="0.2">
      <c r="D161">
        <f t="shared" si="16"/>
        <v>2007</v>
      </c>
      <c r="E161" s="24">
        <f>'Final Floorspace Estimates'!X193</f>
        <v>41.850473380066234</v>
      </c>
      <c r="F161" s="7"/>
    </row>
    <row r="162" spans="4:6" x14ac:dyDescent="0.2">
      <c r="D162">
        <f t="shared" si="16"/>
        <v>2008</v>
      </c>
      <c r="E162" s="24">
        <f>'Final Floorspace Estimates'!X194</f>
        <v>42.229116049061361</v>
      </c>
      <c r="F162" s="7"/>
    </row>
    <row r="163" spans="4:6" x14ac:dyDescent="0.2">
      <c r="D163">
        <f t="shared" si="16"/>
        <v>2009</v>
      </c>
      <c r="E163" s="24">
        <f>'Final Floorspace Estimates'!X195</f>
        <v>42.433246394288012</v>
      </c>
      <c r="F163" s="7"/>
    </row>
    <row r="164" spans="4:6" x14ac:dyDescent="0.2">
      <c r="D164">
        <f t="shared" si="16"/>
        <v>2010</v>
      </c>
      <c r="E164" s="24">
        <f>'Final Floorspace Estimates'!X196</f>
        <v>43.332234285153191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pageSetUpPr fitToPage="1"/>
  </sheetPr>
  <dimension ref="A1:BR62"/>
  <sheetViews>
    <sheetView topLeftCell="A36" workbookViewId="0">
      <selection activeCell="D60" sqref="D60"/>
    </sheetView>
  </sheetViews>
  <sheetFormatPr defaultColWidth="9.140625" defaultRowHeight="12.75" x14ac:dyDescent="0.2"/>
  <cols>
    <col min="1" max="1" width="31.42578125" style="51" customWidth="1"/>
    <col min="2" max="2" width="7.42578125" style="51" customWidth="1"/>
    <col min="3" max="3" width="6.5703125" style="51" customWidth="1"/>
    <col min="4" max="4" width="7" style="51" customWidth="1"/>
    <col min="5" max="5" width="6.140625" style="51" customWidth="1"/>
    <col min="6" max="6" width="7" style="51" customWidth="1"/>
    <col min="7" max="7" width="7.42578125" style="51" customWidth="1"/>
    <col min="8" max="8" width="8.7109375" style="51" customWidth="1"/>
    <col min="9" max="9" width="8.28515625" style="51" customWidth="1"/>
    <col min="10" max="10" width="7.85546875" style="51" customWidth="1"/>
    <col min="11" max="11" width="9.140625" style="51"/>
    <col min="12" max="12" width="10.5703125" style="51" customWidth="1"/>
    <col min="13" max="15" width="9.140625" style="51"/>
    <col min="16" max="16" width="11.42578125" style="51" customWidth="1"/>
    <col min="17" max="17" width="11.7109375" style="51" customWidth="1"/>
    <col min="18" max="16384" width="9.140625" style="51"/>
  </cols>
  <sheetData>
    <row r="1" spans="1:70" x14ac:dyDescent="0.2">
      <c r="A1" s="88" t="s">
        <v>136</v>
      </c>
    </row>
    <row r="2" spans="1:70" x14ac:dyDescent="0.2">
      <c r="A2" s="88" t="s">
        <v>137</v>
      </c>
    </row>
    <row r="3" spans="1:70" x14ac:dyDescent="0.2">
      <c r="M3" s="141" t="s">
        <v>18</v>
      </c>
    </row>
    <row r="4" spans="1:70" x14ac:dyDescent="0.2">
      <c r="A4" s="89" t="s">
        <v>138</v>
      </c>
      <c r="B4" s="89"/>
      <c r="C4" s="89"/>
      <c r="D4" s="89"/>
      <c r="E4" s="89"/>
      <c r="F4" s="89"/>
      <c r="G4" s="89"/>
      <c r="H4" s="89"/>
      <c r="I4" s="89"/>
    </row>
    <row r="5" spans="1:70" x14ac:dyDescent="0.2">
      <c r="A5" s="89" t="s">
        <v>139</v>
      </c>
      <c r="B5" s="89"/>
      <c r="C5" s="89"/>
      <c r="D5" s="89"/>
      <c r="E5" s="89"/>
      <c r="F5" s="89"/>
      <c r="G5" s="89"/>
      <c r="H5" s="89"/>
      <c r="I5" s="89"/>
    </row>
    <row r="6" spans="1:70" x14ac:dyDescent="0.2">
      <c r="A6" s="89"/>
      <c r="B6" s="89"/>
      <c r="C6" s="89"/>
      <c r="D6" s="89"/>
      <c r="E6" s="89"/>
      <c r="F6" s="89"/>
      <c r="G6" s="89"/>
      <c r="H6" s="89"/>
      <c r="I6" s="89"/>
      <c r="AY6" s="141" t="s">
        <v>535</v>
      </c>
    </row>
    <row r="7" spans="1:70" x14ac:dyDescent="0.2">
      <c r="A7" s="89" t="s">
        <v>140</v>
      </c>
      <c r="B7" s="89"/>
      <c r="C7" s="89"/>
      <c r="D7" s="89"/>
      <c r="E7" s="89"/>
      <c r="F7" s="89"/>
      <c r="G7" s="89"/>
      <c r="H7" s="89"/>
      <c r="I7" s="89"/>
      <c r="M7" s="141" t="s">
        <v>719</v>
      </c>
      <c r="AR7" s="141" t="s">
        <v>91</v>
      </c>
      <c r="AS7" s="141" t="s">
        <v>360</v>
      </c>
      <c r="AT7" s="141" t="s">
        <v>536</v>
      </c>
      <c r="AU7" s="141" t="s">
        <v>537</v>
      </c>
      <c r="AV7" s="141" t="s">
        <v>538</v>
      </c>
      <c r="AW7" s="141" t="s">
        <v>539</v>
      </c>
      <c r="AX7" s="141" t="s">
        <v>110</v>
      </c>
      <c r="AY7" s="141" t="s">
        <v>261</v>
      </c>
      <c r="BA7" s="141" t="s">
        <v>91</v>
      </c>
      <c r="BB7" s="141" t="s">
        <v>360</v>
      </c>
      <c r="BC7" s="141" t="s">
        <v>536</v>
      </c>
      <c r="BD7" s="141" t="s">
        <v>537</v>
      </c>
      <c r="BE7" s="141" t="s">
        <v>538</v>
      </c>
      <c r="BF7" s="141" t="s">
        <v>539</v>
      </c>
      <c r="BG7" s="141" t="s">
        <v>110</v>
      </c>
      <c r="BH7" s="141" t="s">
        <v>261</v>
      </c>
      <c r="BI7" s="141"/>
      <c r="BK7" s="141" t="s">
        <v>91</v>
      </c>
      <c r="BL7" s="141" t="s">
        <v>360</v>
      </c>
      <c r="BM7" s="141" t="s">
        <v>536</v>
      </c>
      <c r="BN7" s="141" t="s">
        <v>537</v>
      </c>
      <c r="BO7" s="141" t="s">
        <v>538</v>
      </c>
      <c r="BP7" s="141" t="s">
        <v>539</v>
      </c>
      <c r="BQ7" s="141" t="s">
        <v>110</v>
      </c>
      <c r="BR7" s="141" t="s">
        <v>261</v>
      </c>
    </row>
    <row r="8" spans="1:70" x14ac:dyDescent="0.2">
      <c r="A8" s="89" t="s">
        <v>141</v>
      </c>
      <c r="B8" s="89"/>
      <c r="C8" s="89"/>
      <c r="D8" s="89"/>
      <c r="E8" s="89"/>
      <c r="F8" s="89"/>
      <c r="G8" s="89"/>
      <c r="H8" s="89"/>
      <c r="I8" s="89"/>
      <c r="N8" s="141" t="s">
        <v>91</v>
      </c>
      <c r="O8" s="141" t="s">
        <v>701</v>
      </c>
      <c r="P8" s="141" t="s">
        <v>702</v>
      </c>
      <c r="Q8" s="141" t="s">
        <v>703</v>
      </c>
      <c r="R8" s="142" t="s">
        <v>264</v>
      </c>
      <c r="S8" s="141" t="s">
        <v>263</v>
      </c>
      <c r="W8" s="51" t="s">
        <v>110</v>
      </c>
      <c r="X8" s="141" t="s">
        <v>262</v>
      </c>
      <c r="AA8" s="51">
        <f t="shared" ref="AA8:AJ8" si="0">B9</f>
        <v>1980</v>
      </c>
      <c r="AB8" s="51">
        <f t="shared" si="0"/>
        <v>1981</v>
      </c>
      <c r="AC8" s="51">
        <f t="shared" si="0"/>
        <v>1982</v>
      </c>
      <c r="AD8" s="51">
        <f t="shared" si="0"/>
        <v>1984</v>
      </c>
      <c r="AE8" s="51">
        <f t="shared" si="0"/>
        <v>1987</v>
      </c>
      <c r="AF8" s="51">
        <f t="shared" si="0"/>
        <v>1990</v>
      </c>
      <c r="AG8" s="51">
        <f t="shared" si="0"/>
        <v>1993</v>
      </c>
      <c r="AH8" s="51">
        <f t="shared" si="0"/>
        <v>1997</v>
      </c>
      <c r="AI8" s="51">
        <f t="shared" si="0"/>
        <v>2001</v>
      </c>
      <c r="AJ8" s="51">
        <f t="shared" si="0"/>
        <v>2005</v>
      </c>
      <c r="AL8" s="51">
        <f t="array" ref="AL8:AP17">TRANSPOSE(AA8:AJ12)</f>
        <v>1980</v>
      </c>
      <c r="AM8" s="51">
        <v>34.85</v>
      </c>
      <c r="AN8" s="51">
        <v>40.799999999999997</v>
      </c>
      <c r="AO8" s="51">
        <v>42.18</v>
      </c>
      <c r="AP8" s="51">
        <v>24.67</v>
      </c>
      <c r="AR8" s="51">
        <f t="array" ref="AR8:AW17">TRANSPOSE(B17:K22)</f>
        <v>34.85</v>
      </c>
      <c r="AS8" s="51">
        <v>0.46</v>
      </c>
      <c r="AT8" s="51">
        <v>24.15</v>
      </c>
      <c r="AU8" s="51">
        <v>3.21</v>
      </c>
      <c r="AV8" s="51">
        <v>4.2</v>
      </c>
      <c r="AW8" s="51">
        <v>2.82</v>
      </c>
      <c r="AX8" s="51">
        <f>AT8+AU8</f>
        <v>27.36</v>
      </c>
      <c r="AY8" s="51">
        <f>AV8+AW8</f>
        <v>7.02</v>
      </c>
      <c r="BA8" s="51">
        <f>RECS_2!AA9</f>
        <v>17.7</v>
      </c>
      <c r="BB8" s="51">
        <f>RECS_2!AB9</f>
        <v>0.5</v>
      </c>
      <c r="BC8" s="51">
        <f>RECS_2!AC9</f>
        <v>8.8000000000000007</v>
      </c>
      <c r="BD8" s="51">
        <f>RECS_2!AD9</f>
        <v>1.6</v>
      </c>
      <c r="BE8" s="51">
        <f>RECS_2!AE9</f>
        <v>3.3</v>
      </c>
      <c r="BF8" s="51">
        <f>RECS_2!AF9</f>
        <v>3.5</v>
      </c>
      <c r="BG8" s="51">
        <f>BC8+BD8</f>
        <v>10.4</v>
      </c>
      <c r="BH8" s="51">
        <f>BE8+BF8</f>
        <v>6.8</v>
      </c>
      <c r="BJ8" s="51">
        <f>AL8</f>
        <v>1980</v>
      </c>
      <c r="BK8" s="51">
        <f t="shared" ref="BK8:BK17" si="1">AR8/BA8*1000</f>
        <v>1968.9265536723167</v>
      </c>
      <c r="BL8" s="51">
        <f t="shared" ref="BL8:BL17" si="2">AS8/BB8*1000</f>
        <v>920</v>
      </c>
      <c r="BM8" s="51">
        <f t="shared" ref="BM8:BM17" si="3">AT8/BC8*1000</f>
        <v>2744.3181818181815</v>
      </c>
      <c r="BN8" s="51">
        <f t="shared" ref="BN8:BN17" si="4">AU8/BD8*1000</f>
        <v>2006.2499999999995</v>
      </c>
      <c r="BO8" s="51">
        <f t="shared" ref="BO8:BO17" si="5">AV8/BE8*1000</f>
        <v>1272.727272727273</v>
      </c>
      <c r="BP8" s="51">
        <f t="shared" ref="BP8:BP17" si="6">AW8/BF8*1000</f>
        <v>805.71428571428567</v>
      </c>
      <c r="BQ8" s="51">
        <f t="shared" ref="BQ8:BR17" si="7">AX8/BG8*1000</f>
        <v>2630.7692307692309</v>
      </c>
      <c r="BR8" s="51">
        <f t="shared" si="7"/>
        <v>1032.3529411764705</v>
      </c>
    </row>
    <row r="9" spans="1:70" x14ac:dyDescent="0.2">
      <c r="A9" s="89"/>
      <c r="B9" s="89">
        <v>1980</v>
      </c>
      <c r="C9" s="89">
        <v>1981</v>
      </c>
      <c r="D9" s="89">
        <v>1982</v>
      </c>
      <c r="E9" s="89">
        <v>1984</v>
      </c>
      <c r="F9" s="89">
        <v>1987</v>
      </c>
      <c r="G9" s="89">
        <v>1990</v>
      </c>
      <c r="H9" s="89">
        <v>1993</v>
      </c>
      <c r="I9" s="89">
        <v>1997</v>
      </c>
      <c r="J9" s="89">
        <v>2001</v>
      </c>
      <c r="K9" s="89">
        <v>2005</v>
      </c>
      <c r="M9" s="51">
        <f t="array" ref="M9:V18">TRANSPOSE(B9:K15)</f>
        <v>1980</v>
      </c>
      <c r="N9" s="51">
        <v>142.5</v>
      </c>
      <c r="O9" s="51">
        <v>3.8</v>
      </c>
      <c r="P9" s="51">
        <v>112.94</v>
      </c>
      <c r="Q9" s="51">
        <v>6.07</v>
      </c>
      <c r="R9" s="51">
        <v>10.79</v>
      </c>
      <c r="S9" s="51">
        <v>8.89</v>
      </c>
      <c r="T9" s="51" t="e">
        <v>#N/A</v>
      </c>
      <c r="U9" s="51" t="e">
        <v>#N/A</v>
      </c>
      <c r="V9" s="51" t="e">
        <v>#N/A</v>
      </c>
      <c r="W9" s="51">
        <f>P9+Q9</f>
        <v>119.00999999999999</v>
      </c>
      <c r="X9" s="51">
        <f>R9+S9</f>
        <v>19.68</v>
      </c>
      <c r="AA9" s="216">
        <f t="shared" ref="AA9:AJ9" si="8">B17</f>
        <v>34.85</v>
      </c>
      <c r="AB9" s="216">
        <f t="shared" si="8"/>
        <v>35.08</v>
      </c>
      <c r="AC9" s="216">
        <f t="shared" si="8"/>
        <v>34.35</v>
      </c>
      <c r="AD9" s="216">
        <f t="shared" si="8"/>
        <v>35.020000000000003</v>
      </c>
      <c r="AE9" s="216">
        <f t="shared" si="8"/>
        <v>36.82</v>
      </c>
      <c r="AF9" s="216">
        <f t="shared" si="8"/>
        <v>40.35</v>
      </c>
      <c r="AG9" s="216">
        <f t="shared" si="8"/>
        <v>40.049999999999997</v>
      </c>
      <c r="AH9" s="216">
        <f t="shared" si="8"/>
        <v>34.58</v>
      </c>
      <c r="AI9" s="216">
        <f t="shared" si="8"/>
        <v>45.283999999999999</v>
      </c>
      <c r="AJ9" s="216">
        <f t="shared" si="8"/>
        <v>49.864922252650004</v>
      </c>
      <c r="AL9" s="51">
        <v>1981</v>
      </c>
      <c r="AM9" s="51">
        <v>35.08</v>
      </c>
      <c r="AN9" s="51">
        <v>41.47</v>
      </c>
      <c r="AO9" s="51">
        <v>42.59</v>
      </c>
      <c r="AP9" s="51">
        <v>25.06</v>
      </c>
      <c r="AR9" s="51">
        <v>35.08</v>
      </c>
      <c r="AS9" s="51">
        <v>0.41</v>
      </c>
      <c r="AT9" s="51">
        <v>24.54</v>
      </c>
      <c r="AU9" s="51">
        <v>2.85</v>
      </c>
      <c r="AV9" s="51">
        <v>4.2699999999999996</v>
      </c>
      <c r="AW9" s="51">
        <v>3.01</v>
      </c>
      <c r="AX9" s="51">
        <f t="shared" ref="AX9:AX17" si="9">AT9+AU9</f>
        <v>27.39</v>
      </c>
      <c r="AY9" s="51">
        <f t="shared" ref="AY9:AY17" si="10">AV9+AW9</f>
        <v>7.2799999999999994</v>
      </c>
      <c r="BA9" s="51">
        <f>RECS_2!AA10</f>
        <v>17.899999999999999</v>
      </c>
      <c r="BB9" s="51">
        <f>RECS_2!AB10</f>
        <v>0.4</v>
      </c>
      <c r="BC9" s="51">
        <f>RECS_2!AC10</f>
        <v>8.8000000000000007</v>
      </c>
      <c r="BD9" s="51">
        <f>RECS_2!AD10</f>
        <v>1.3</v>
      </c>
      <c r="BE9" s="51">
        <f>RECS_2!AE10</f>
        <v>3.6</v>
      </c>
      <c r="BF9" s="51">
        <f>RECS_2!AF10</f>
        <v>3.8</v>
      </c>
      <c r="BG9" s="51">
        <f t="shared" ref="BG9:BG17" si="11">BC9+BD9</f>
        <v>10.100000000000001</v>
      </c>
      <c r="BH9" s="51">
        <f t="shared" ref="BH9:BH17" si="12">BE9+BF9</f>
        <v>7.4</v>
      </c>
      <c r="BJ9" s="51">
        <f t="shared" ref="BJ9:BJ17" si="13">AL9</f>
        <v>1981</v>
      </c>
      <c r="BK9" s="51">
        <f t="shared" si="1"/>
        <v>1959.7765363128492</v>
      </c>
      <c r="BL9" s="51">
        <f t="shared" si="2"/>
        <v>1025</v>
      </c>
      <c r="BM9" s="51">
        <f t="shared" si="3"/>
        <v>2788.6363636363631</v>
      </c>
      <c r="BN9" s="51">
        <f t="shared" si="4"/>
        <v>2192.3076923076924</v>
      </c>
      <c r="BO9" s="51">
        <f t="shared" si="5"/>
        <v>1186.1111111111109</v>
      </c>
      <c r="BP9" s="51">
        <f t="shared" si="6"/>
        <v>792.1052631578948</v>
      </c>
      <c r="BQ9" s="51">
        <f t="shared" si="7"/>
        <v>2711.8811881188117</v>
      </c>
      <c r="BR9" s="51">
        <f t="shared" si="7"/>
        <v>983.78378378378363</v>
      </c>
    </row>
    <row r="10" spans="1:70" x14ac:dyDescent="0.2">
      <c r="A10" s="89" t="s">
        <v>142</v>
      </c>
      <c r="B10" s="90">
        <v>142.5</v>
      </c>
      <c r="C10" s="90">
        <v>144.19999999999999</v>
      </c>
      <c r="D10" s="90">
        <v>142.25</v>
      </c>
      <c r="E10" s="90">
        <v>144.36000000000001</v>
      </c>
      <c r="F10" s="90">
        <v>156.82</v>
      </c>
      <c r="G10" s="90">
        <v>169.23</v>
      </c>
      <c r="H10" s="90">
        <v>181.23</v>
      </c>
      <c r="I10" s="90">
        <v>168.81</v>
      </c>
      <c r="J10" s="90">
        <v>221.078</v>
      </c>
      <c r="K10" s="90">
        <v>256.46441422906003</v>
      </c>
      <c r="L10" s="91"/>
      <c r="M10" s="92">
        <v>1981</v>
      </c>
      <c r="N10" s="51">
        <v>144.19999999999999</v>
      </c>
      <c r="O10" s="51">
        <v>3.7</v>
      </c>
      <c r="P10" s="51">
        <v>114.21</v>
      </c>
      <c r="Q10" s="51">
        <v>5.85</v>
      </c>
      <c r="R10" s="51">
        <v>10.51</v>
      </c>
      <c r="S10" s="51">
        <v>9.94</v>
      </c>
      <c r="T10" s="51" t="e">
        <v>#N/A</v>
      </c>
      <c r="U10" s="51" t="e">
        <v>#N/A</v>
      </c>
      <c r="V10" s="51" t="e">
        <v>#N/A</v>
      </c>
      <c r="W10" s="51">
        <f t="shared" ref="W10:X19" si="14">P10+Q10</f>
        <v>120.05999999999999</v>
      </c>
      <c r="X10" s="51">
        <f t="shared" ref="X10:X18" si="15">R10+S10</f>
        <v>20.45</v>
      </c>
      <c r="AA10" s="216">
        <f t="shared" ref="AA10:AJ10" si="16">B24</f>
        <v>40.799999999999997</v>
      </c>
      <c r="AB10" s="216">
        <f t="shared" si="16"/>
        <v>41.47</v>
      </c>
      <c r="AC10" s="216">
        <f t="shared" si="16"/>
        <v>39.92</v>
      </c>
      <c r="AD10" s="216">
        <f t="shared" si="16"/>
        <v>39.14</v>
      </c>
      <c r="AE10" s="216">
        <f t="shared" si="16"/>
        <v>44.27</v>
      </c>
      <c r="AF10" s="216">
        <f t="shared" si="16"/>
        <v>46.94</v>
      </c>
      <c r="AG10" s="216">
        <f t="shared" si="16"/>
        <v>50.57</v>
      </c>
      <c r="AH10" s="216">
        <f t="shared" si="16"/>
        <v>46.1</v>
      </c>
      <c r="AI10" s="216">
        <f t="shared" si="16"/>
        <v>58.18</v>
      </c>
      <c r="AJ10" s="216">
        <f t="shared" si="16"/>
        <v>65.690008157039998</v>
      </c>
      <c r="AL10" s="51">
        <v>1982</v>
      </c>
      <c r="AM10" s="51">
        <v>34.35</v>
      </c>
      <c r="AN10" s="51">
        <v>39.92</v>
      </c>
      <c r="AO10" s="51">
        <v>43.69</v>
      </c>
      <c r="AP10" s="51">
        <v>24.29</v>
      </c>
      <c r="AR10" s="51">
        <v>34.35</v>
      </c>
      <c r="AS10" s="51">
        <v>0.28999999999999998</v>
      </c>
      <c r="AT10" s="51">
        <v>23.22</v>
      </c>
      <c r="AU10" s="51">
        <v>3.77</v>
      </c>
      <c r="AV10" s="51">
        <v>4.5199999999999996</v>
      </c>
      <c r="AW10" s="51">
        <v>2.5499999999999998</v>
      </c>
      <c r="AX10" s="51">
        <f t="shared" si="9"/>
        <v>26.99</v>
      </c>
      <c r="AY10" s="51">
        <f t="shared" si="10"/>
        <v>7.0699999999999994</v>
      </c>
      <c r="BA10" s="51">
        <f>RECS_2!AA11</f>
        <v>18</v>
      </c>
      <c r="BB10" s="51">
        <f>RECS_2!AB11</f>
        <v>0.4</v>
      </c>
      <c r="BC10" s="51">
        <f>RECS_2!AC11</f>
        <v>8.6999999999999993</v>
      </c>
      <c r="BD10" s="51">
        <f>RECS_2!AD11</f>
        <v>1.9</v>
      </c>
      <c r="BE10" s="51">
        <f>RECS_2!AE11</f>
        <v>3.5</v>
      </c>
      <c r="BF10" s="51">
        <f>RECS_2!AF11</f>
        <v>3.5</v>
      </c>
      <c r="BG10" s="51">
        <f t="shared" si="11"/>
        <v>10.6</v>
      </c>
      <c r="BH10" s="51">
        <f t="shared" si="12"/>
        <v>7</v>
      </c>
      <c r="BJ10" s="51">
        <f t="shared" si="13"/>
        <v>1982</v>
      </c>
      <c r="BK10" s="51">
        <f t="shared" si="1"/>
        <v>1908.3333333333335</v>
      </c>
      <c r="BL10" s="51">
        <f t="shared" si="2"/>
        <v>724.99999999999989</v>
      </c>
      <c r="BM10" s="51">
        <f t="shared" si="3"/>
        <v>2668.9655172413795</v>
      </c>
      <c r="BN10" s="51">
        <f t="shared" si="4"/>
        <v>1984.2105263157896</v>
      </c>
      <c r="BO10" s="51">
        <f t="shared" si="5"/>
        <v>1291.4285714285713</v>
      </c>
      <c r="BP10" s="51">
        <f t="shared" si="6"/>
        <v>728.57142857142856</v>
      </c>
      <c r="BQ10" s="51">
        <f t="shared" si="7"/>
        <v>2546.2264150943397</v>
      </c>
      <c r="BR10" s="51">
        <f t="shared" si="7"/>
        <v>1010</v>
      </c>
    </row>
    <row r="11" spans="1:70" x14ac:dyDescent="0.2">
      <c r="A11" s="93" t="s">
        <v>143</v>
      </c>
      <c r="B11" s="90">
        <v>3.8</v>
      </c>
      <c r="C11" s="90">
        <v>3.7</v>
      </c>
      <c r="D11" s="90">
        <v>3.22</v>
      </c>
      <c r="E11" s="90">
        <v>4.3</v>
      </c>
      <c r="F11" s="90">
        <v>4.41</v>
      </c>
      <c r="G11" s="90">
        <v>4.9000000000000004</v>
      </c>
      <c r="H11" s="90">
        <v>5.44</v>
      </c>
      <c r="I11" s="90">
        <v>6.27</v>
      </c>
      <c r="J11" s="90">
        <v>7.2290000000000001</v>
      </c>
      <c r="K11" s="90">
        <v>7.3737365746599997</v>
      </c>
      <c r="L11" s="94"/>
      <c r="M11" s="51">
        <v>1982</v>
      </c>
      <c r="N11" s="51">
        <v>142.25</v>
      </c>
      <c r="O11" s="51">
        <v>3.22</v>
      </c>
      <c r="P11" s="51">
        <v>110.84</v>
      </c>
      <c r="Q11" s="51">
        <v>6.92</v>
      </c>
      <c r="R11" s="51">
        <v>11.54</v>
      </c>
      <c r="S11" s="51">
        <v>9.73</v>
      </c>
      <c r="T11" s="51" t="e">
        <v>#N/A</v>
      </c>
      <c r="U11" s="51" t="e">
        <v>#N/A</v>
      </c>
      <c r="V11" s="51" t="e">
        <v>#N/A</v>
      </c>
      <c r="W11" s="51">
        <f t="shared" si="14"/>
        <v>117.76</v>
      </c>
      <c r="X11" s="51">
        <f t="shared" si="15"/>
        <v>21.27</v>
      </c>
      <c r="AA11" s="216">
        <f t="shared" ref="AA11:AJ11" si="17">B31</f>
        <v>42.18</v>
      </c>
      <c r="AB11" s="216">
        <f t="shared" si="17"/>
        <v>42.59</v>
      </c>
      <c r="AC11" s="216">
        <f t="shared" si="17"/>
        <v>43.69</v>
      </c>
      <c r="AD11" s="216">
        <f t="shared" si="17"/>
        <v>44.52</v>
      </c>
      <c r="AE11" s="216">
        <f t="shared" si="17"/>
        <v>47.13</v>
      </c>
      <c r="AF11" s="216">
        <f t="shared" si="17"/>
        <v>52.44</v>
      </c>
      <c r="AG11" s="216">
        <f t="shared" si="17"/>
        <v>57.15</v>
      </c>
      <c r="AH11" s="216">
        <f t="shared" si="17"/>
        <v>56.12</v>
      </c>
      <c r="AI11" s="216">
        <f t="shared" si="17"/>
        <v>76.631</v>
      </c>
      <c r="AJ11" s="216">
        <f t="shared" si="17"/>
        <v>93.432181800190008</v>
      </c>
      <c r="AL11" s="51">
        <v>1984</v>
      </c>
      <c r="AM11" s="51">
        <v>35.020000000000003</v>
      </c>
      <c r="AN11" s="51">
        <v>39.14</v>
      </c>
      <c r="AO11" s="51">
        <v>44.52</v>
      </c>
      <c r="AP11" s="51">
        <v>25.68</v>
      </c>
      <c r="AR11" s="51">
        <v>35.020000000000003</v>
      </c>
      <c r="AS11" s="51">
        <v>0.55000000000000004</v>
      </c>
      <c r="AT11" s="51">
        <v>24.08</v>
      </c>
      <c r="AU11" s="51">
        <v>3.57</v>
      </c>
      <c r="AV11" s="51">
        <v>4.1900000000000004</v>
      </c>
      <c r="AW11" s="51">
        <v>2.63</v>
      </c>
      <c r="AX11" s="51">
        <f t="shared" si="9"/>
        <v>27.65</v>
      </c>
      <c r="AY11" s="51">
        <f t="shared" si="10"/>
        <v>6.82</v>
      </c>
      <c r="BA11" s="51">
        <f>RECS_2!AA12</f>
        <v>18.3</v>
      </c>
      <c r="BB11" s="51">
        <f>RECS_2!AB12</f>
        <v>0.7</v>
      </c>
      <c r="BC11" s="51">
        <f>RECS_2!AC12</f>
        <v>9.1</v>
      </c>
      <c r="BD11" s="51">
        <f>RECS_2!AD12</f>
        <v>1.8</v>
      </c>
      <c r="BE11" s="51">
        <f>RECS_2!AE12</f>
        <v>3.2</v>
      </c>
      <c r="BF11" s="51">
        <f>RECS_2!AF12</f>
        <v>3.6</v>
      </c>
      <c r="BG11" s="51">
        <f t="shared" si="11"/>
        <v>10.9</v>
      </c>
      <c r="BH11" s="51">
        <f t="shared" si="12"/>
        <v>6.8000000000000007</v>
      </c>
      <c r="BJ11" s="51">
        <f t="shared" si="13"/>
        <v>1984</v>
      </c>
      <c r="BK11" s="51">
        <f t="shared" si="1"/>
        <v>1913.6612021857925</v>
      </c>
      <c r="BL11" s="51">
        <f t="shared" si="2"/>
        <v>785.71428571428578</v>
      </c>
      <c r="BM11" s="51">
        <f t="shared" si="3"/>
        <v>2646.1538461538462</v>
      </c>
      <c r="BN11" s="51">
        <f t="shared" si="4"/>
        <v>1983.3333333333333</v>
      </c>
      <c r="BO11" s="51">
        <f t="shared" si="5"/>
        <v>1309.375</v>
      </c>
      <c r="BP11" s="51">
        <f t="shared" si="6"/>
        <v>730.55555555555554</v>
      </c>
      <c r="BQ11" s="51">
        <f t="shared" si="7"/>
        <v>2536.6972477064219</v>
      </c>
      <c r="BR11" s="51">
        <f t="shared" si="7"/>
        <v>1002.9411764705882</v>
      </c>
    </row>
    <row r="12" spans="1:70" x14ac:dyDescent="0.2">
      <c r="A12" s="93" t="s">
        <v>144</v>
      </c>
      <c r="B12" s="90">
        <v>112.94</v>
      </c>
      <c r="C12" s="90">
        <v>114.21</v>
      </c>
      <c r="D12" s="90">
        <v>110.84</v>
      </c>
      <c r="E12" s="90">
        <v>109.69</v>
      </c>
      <c r="F12" s="90">
        <v>118.69</v>
      </c>
      <c r="G12" s="90">
        <v>130.86000000000001</v>
      </c>
      <c r="H12" s="90">
        <v>139.06</v>
      </c>
      <c r="I12" s="90">
        <v>128.87</v>
      </c>
      <c r="J12" s="90">
        <v>161.089</v>
      </c>
      <c r="K12" s="90">
        <v>210.33557840216</v>
      </c>
      <c r="L12" s="95"/>
      <c r="M12" s="51">
        <v>1984</v>
      </c>
      <c r="N12" s="51">
        <v>144.36000000000001</v>
      </c>
      <c r="O12" s="51">
        <v>4.3</v>
      </c>
      <c r="P12" s="51">
        <v>109.69</v>
      </c>
      <c r="Q12" s="51">
        <v>7.67</v>
      </c>
      <c r="R12" s="51">
        <v>11.61</v>
      </c>
      <c r="S12" s="51">
        <v>11.09</v>
      </c>
      <c r="T12" s="51" t="e">
        <v>#N/A</v>
      </c>
      <c r="U12" s="51" t="e">
        <v>#N/A</v>
      </c>
      <c r="V12" s="51" t="e">
        <v>#N/A</v>
      </c>
      <c r="W12" s="51">
        <f t="shared" si="14"/>
        <v>117.36</v>
      </c>
      <c r="X12" s="51">
        <f t="shared" si="15"/>
        <v>22.7</v>
      </c>
      <c r="AA12" s="216">
        <f t="shared" ref="AA12:AJ12" si="18">B38</f>
        <v>24.67</v>
      </c>
      <c r="AB12" s="216">
        <f t="shared" si="18"/>
        <v>25.06</v>
      </c>
      <c r="AC12" s="216">
        <f t="shared" si="18"/>
        <v>24.29</v>
      </c>
      <c r="AD12" s="216">
        <f t="shared" si="18"/>
        <v>25.68</v>
      </c>
      <c r="AE12" s="216">
        <f t="shared" si="18"/>
        <v>28.59</v>
      </c>
      <c r="AF12" s="216">
        <f t="shared" si="18"/>
        <v>29.5</v>
      </c>
      <c r="AG12" s="216">
        <f t="shared" si="18"/>
        <v>33.46</v>
      </c>
      <c r="AH12" s="216">
        <f t="shared" si="18"/>
        <v>32</v>
      </c>
      <c r="AI12" s="216">
        <f t="shared" si="18"/>
        <v>40.982999999999997</v>
      </c>
      <c r="AJ12" s="216">
        <f t="shared" si="18"/>
        <v>47.477302019180001</v>
      </c>
      <c r="AL12" s="51">
        <v>1987</v>
      </c>
      <c r="AM12" s="51">
        <v>36.82</v>
      </c>
      <c r="AN12" s="51">
        <v>44.27</v>
      </c>
      <c r="AO12" s="51">
        <v>47.13</v>
      </c>
      <c r="AP12" s="51">
        <v>28.59</v>
      </c>
      <c r="AR12" s="51">
        <v>36.82</v>
      </c>
      <c r="AS12" s="51">
        <v>0.52</v>
      </c>
      <c r="AT12" s="51">
        <v>25.12</v>
      </c>
      <c r="AU12" s="51">
        <v>3.83</v>
      </c>
      <c r="AV12" s="51">
        <v>4.25</v>
      </c>
      <c r="AW12" s="51">
        <v>3.1</v>
      </c>
      <c r="AX12" s="51">
        <f t="shared" si="9"/>
        <v>28.950000000000003</v>
      </c>
      <c r="AY12" s="51">
        <f t="shared" si="10"/>
        <v>7.35</v>
      </c>
      <c r="BA12" s="51">
        <f>RECS_2!AA13</f>
        <v>19</v>
      </c>
      <c r="BB12" s="51">
        <f>RECS_2!AB13</f>
        <v>0.7</v>
      </c>
      <c r="BC12" s="51">
        <f>RECS_2!AC13</f>
        <v>9.1</v>
      </c>
      <c r="BD12" s="51">
        <f>RECS_2!AD13</f>
        <v>2</v>
      </c>
      <c r="BE12" s="51">
        <f>RECS_2!AE13</f>
        <v>3.2</v>
      </c>
      <c r="BF12" s="51">
        <f>RECS_2!AF13</f>
        <v>4.0999999999999996</v>
      </c>
      <c r="BG12" s="51">
        <f t="shared" si="11"/>
        <v>11.1</v>
      </c>
      <c r="BH12" s="51">
        <f t="shared" si="12"/>
        <v>7.3</v>
      </c>
      <c r="BJ12" s="51">
        <f t="shared" si="13"/>
        <v>1987</v>
      </c>
      <c r="BK12" s="51">
        <f t="shared" si="1"/>
        <v>1937.8947368421054</v>
      </c>
      <c r="BL12" s="51">
        <f t="shared" si="2"/>
        <v>742.85714285714289</v>
      </c>
      <c r="BM12" s="51">
        <f t="shared" si="3"/>
        <v>2760.4395604395609</v>
      </c>
      <c r="BN12" s="51">
        <f t="shared" si="4"/>
        <v>1915</v>
      </c>
      <c r="BO12" s="51">
        <f t="shared" si="5"/>
        <v>1328.125</v>
      </c>
      <c r="BP12" s="51">
        <f t="shared" si="6"/>
        <v>756.09756097560989</v>
      </c>
      <c r="BQ12" s="51">
        <f t="shared" si="7"/>
        <v>2608.1081081081084</v>
      </c>
      <c r="BR12" s="51">
        <f t="shared" si="7"/>
        <v>1006.8493150684932</v>
      </c>
    </row>
    <row r="13" spans="1:70" x14ac:dyDescent="0.2">
      <c r="A13" s="93" t="s">
        <v>145</v>
      </c>
      <c r="B13" s="90">
        <v>6.07</v>
      </c>
      <c r="C13" s="90">
        <v>5.85</v>
      </c>
      <c r="D13" s="90">
        <v>6.92</v>
      </c>
      <c r="E13" s="90">
        <v>7.67</v>
      </c>
      <c r="F13" s="90">
        <v>10.18</v>
      </c>
      <c r="G13" s="90">
        <v>10.01</v>
      </c>
      <c r="H13" s="90">
        <v>13.14</v>
      </c>
      <c r="I13" s="90">
        <v>14.59</v>
      </c>
      <c r="J13" s="90">
        <v>25.137</v>
      </c>
      <c r="K13" s="90">
        <v>15.71389841339</v>
      </c>
      <c r="L13" s="95"/>
      <c r="M13" s="51">
        <v>1987</v>
      </c>
      <c r="N13" s="51">
        <v>156.82</v>
      </c>
      <c r="O13" s="51">
        <v>4.41</v>
      </c>
      <c r="P13" s="51">
        <v>118.69</v>
      </c>
      <c r="Q13" s="51">
        <v>10.18</v>
      </c>
      <c r="R13" s="51">
        <v>11.62</v>
      </c>
      <c r="S13" s="51">
        <v>11.92</v>
      </c>
      <c r="T13" s="51" t="e">
        <v>#N/A</v>
      </c>
      <c r="U13" s="51" t="e">
        <v>#N/A</v>
      </c>
      <c r="V13" s="51" t="e">
        <v>#N/A</v>
      </c>
      <c r="W13" s="51">
        <f t="shared" si="14"/>
        <v>128.87</v>
      </c>
      <c r="X13" s="51">
        <f t="shared" si="15"/>
        <v>23.54</v>
      </c>
      <c r="AL13" s="51">
        <v>1990</v>
      </c>
      <c r="AM13" s="51">
        <v>40.35</v>
      </c>
      <c r="AN13" s="51">
        <v>46.94</v>
      </c>
      <c r="AO13" s="51">
        <v>52.44</v>
      </c>
      <c r="AP13" s="51">
        <v>29.5</v>
      </c>
      <c r="AR13" s="51">
        <v>40.35</v>
      </c>
      <c r="AS13" s="51">
        <v>0.49</v>
      </c>
      <c r="AT13" s="51">
        <v>28.03</v>
      </c>
      <c r="AU13" s="51">
        <v>4.3</v>
      </c>
      <c r="AV13" s="51">
        <v>4.45</v>
      </c>
      <c r="AW13" s="51">
        <v>3.09</v>
      </c>
      <c r="AX13" s="51">
        <f t="shared" si="9"/>
        <v>32.33</v>
      </c>
      <c r="AY13" s="51">
        <f t="shared" si="10"/>
        <v>7.54</v>
      </c>
      <c r="BA13" s="51">
        <f>RECS_2!AA14</f>
        <v>19.2</v>
      </c>
      <c r="BB13" s="51">
        <f>RECS_2!AB14</f>
        <v>0.5</v>
      </c>
      <c r="BC13" s="51">
        <f>RECS_2!AC14</f>
        <v>9.8000000000000007</v>
      </c>
      <c r="BD13" s="51">
        <f>RECS_2!AD14</f>
        <v>2.1</v>
      </c>
      <c r="BE13" s="51">
        <f>RECS_2!AE14</f>
        <v>3.5</v>
      </c>
      <c r="BF13" s="51">
        <f>RECS_2!AF14</f>
        <v>3.3</v>
      </c>
      <c r="BG13" s="51">
        <f t="shared" si="11"/>
        <v>11.9</v>
      </c>
      <c r="BH13" s="51">
        <f t="shared" si="12"/>
        <v>6.8</v>
      </c>
      <c r="BJ13" s="51">
        <f t="shared" si="13"/>
        <v>1990</v>
      </c>
      <c r="BK13" s="51">
        <f t="shared" si="1"/>
        <v>2101.5625</v>
      </c>
      <c r="BL13" s="51">
        <f t="shared" si="2"/>
        <v>980</v>
      </c>
      <c r="BM13" s="51">
        <f t="shared" si="3"/>
        <v>2860.204081632653</v>
      </c>
      <c r="BN13" s="51">
        <f t="shared" si="4"/>
        <v>2047.6190476190475</v>
      </c>
      <c r="BO13" s="51">
        <f t="shared" si="5"/>
        <v>1271.4285714285716</v>
      </c>
      <c r="BP13" s="51">
        <f t="shared" si="6"/>
        <v>936.36363636363637</v>
      </c>
      <c r="BQ13" s="51">
        <f t="shared" si="7"/>
        <v>2716.8067226890753</v>
      </c>
      <c r="BR13" s="51">
        <f t="shared" si="7"/>
        <v>1108.8235294117649</v>
      </c>
    </row>
    <row r="14" spans="1:70" x14ac:dyDescent="0.2">
      <c r="A14" s="96" t="s">
        <v>146</v>
      </c>
      <c r="B14" s="90">
        <v>10.79</v>
      </c>
      <c r="C14" s="90">
        <v>10.51</v>
      </c>
      <c r="D14" s="90">
        <v>11.54</v>
      </c>
      <c r="E14" s="90">
        <v>11.61</v>
      </c>
      <c r="F14" s="90">
        <v>11.62</v>
      </c>
      <c r="G14" s="90">
        <v>11.78</v>
      </c>
      <c r="H14" s="90">
        <v>9.61</v>
      </c>
      <c r="I14" s="90">
        <v>5.52</v>
      </c>
      <c r="J14" s="90">
        <v>13.218</v>
      </c>
      <c r="K14" s="90">
        <v>8.4508202459700001</v>
      </c>
      <c r="L14" s="95"/>
      <c r="M14" s="51">
        <v>1990</v>
      </c>
      <c r="N14" s="51">
        <v>169.23</v>
      </c>
      <c r="O14" s="51">
        <v>4.9000000000000004</v>
      </c>
      <c r="P14" s="51">
        <v>130.86000000000001</v>
      </c>
      <c r="Q14" s="51">
        <v>10.01</v>
      </c>
      <c r="R14" s="51">
        <v>11.78</v>
      </c>
      <c r="S14" s="51">
        <v>11.68</v>
      </c>
      <c r="T14" s="51" t="e">
        <v>#N/A</v>
      </c>
      <c r="U14" s="51" t="e">
        <v>#N/A</v>
      </c>
      <c r="V14" s="51" t="e">
        <v>#N/A</v>
      </c>
      <c r="W14" s="51">
        <f t="shared" si="14"/>
        <v>140.87</v>
      </c>
      <c r="X14" s="51">
        <f t="shared" si="15"/>
        <v>23.46</v>
      </c>
      <c r="AL14" s="51">
        <v>1993</v>
      </c>
      <c r="AM14" s="51">
        <v>40.049999999999997</v>
      </c>
      <c r="AN14" s="51">
        <v>50.57</v>
      </c>
      <c r="AO14" s="51">
        <v>57.15</v>
      </c>
      <c r="AP14" s="51">
        <v>33.46</v>
      </c>
      <c r="AR14" s="51">
        <v>40.049999999999997</v>
      </c>
      <c r="AS14" s="51">
        <v>0.5</v>
      </c>
      <c r="AT14" s="51">
        <v>27.52</v>
      </c>
      <c r="AU14" s="51">
        <v>4.3600000000000003</v>
      </c>
      <c r="AV14" s="51">
        <v>4.29</v>
      </c>
      <c r="AW14" s="51">
        <v>3.38</v>
      </c>
      <c r="AX14" s="51">
        <f t="shared" si="9"/>
        <v>31.88</v>
      </c>
      <c r="AY14" s="51">
        <f t="shared" si="10"/>
        <v>7.67</v>
      </c>
      <c r="BA14" s="51">
        <f>RECS_2!AA15</f>
        <v>19.5</v>
      </c>
      <c r="BB14" s="51">
        <f>RECS_2!AB15</f>
        <v>0.5</v>
      </c>
      <c r="BC14" s="51">
        <f>RECS_2!AC15</f>
        <v>9.5</v>
      </c>
      <c r="BD14" s="51">
        <f>RECS_2!AD15</f>
        <v>2.4</v>
      </c>
      <c r="BE14" s="51">
        <f>RECS_2!AE15</f>
        <v>2.9</v>
      </c>
      <c r="BF14" s="51">
        <f>RECS_2!AF15</f>
        <v>4.0999999999999996</v>
      </c>
      <c r="BG14" s="51">
        <f t="shared" si="11"/>
        <v>11.9</v>
      </c>
      <c r="BH14" s="51">
        <f t="shared" si="12"/>
        <v>7</v>
      </c>
      <c r="BJ14" s="51">
        <f t="shared" si="13"/>
        <v>1993</v>
      </c>
      <c r="BK14" s="51">
        <f t="shared" si="1"/>
        <v>2053.8461538461538</v>
      </c>
      <c r="BL14" s="51">
        <f t="shared" si="2"/>
        <v>1000</v>
      </c>
      <c r="BM14" s="51">
        <f t="shared" si="3"/>
        <v>2896.8421052631575</v>
      </c>
      <c r="BN14" s="51">
        <f t="shared" si="4"/>
        <v>1816.666666666667</v>
      </c>
      <c r="BO14" s="51">
        <f t="shared" si="5"/>
        <v>1479.3103448275863</v>
      </c>
      <c r="BP14" s="51">
        <f t="shared" si="6"/>
        <v>824.39024390243912</v>
      </c>
      <c r="BQ14" s="51">
        <f t="shared" si="7"/>
        <v>2678.9915966386552</v>
      </c>
      <c r="BR14" s="51">
        <f t="shared" si="7"/>
        <v>1095.7142857142856</v>
      </c>
    </row>
    <row r="15" spans="1:70" x14ac:dyDescent="0.2">
      <c r="A15" s="96" t="s">
        <v>147</v>
      </c>
      <c r="B15" s="90">
        <v>8.89</v>
      </c>
      <c r="C15" s="90">
        <v>9.94</v>
      </c>
      <c r="D15" s="90">
        <v>9.73</v>
      </c>
      <c r="E15" s="90">
        <v>11.09</v>
      </c>
      <c r="F15" s="90">
        <v>11.92</v>
      </c>
      <c r="G15" s="90">
        <v>11.68</v>
      </c>
      <c r="H15" s="90">
        <v>13.97</v>
      </c>
      <c r="I15" s="90">
        <v>13.55</v>
      </c>
      <c r="J15" s="90">
        <v>14.404999999999999</v>
      </c>
      <c r="K15" s="90">
        <v>14.590380592879999</v>
      </c>
      <c r="L15" s="95"/>
      <c r="M15" s="51">
        <v>1993</v>
      </c>
      <c r="N15" s="51">
        <v>181.23</v>
      </c>
      <c r="O15" s="51">
        <v>5.44</v>
      </c>
      <c r="P15" s="51">
        <v>139.06</v>
      </c>
      <c r="Q15" s="51">
        <v>13.14</v>
      </c>
      <c r="R15" s="51">
        <v>9.61</v>
      </c>
      <c r="S15" s="51">
        <v>13.97</v>
      </c>
      <c r="T15" s="51" t="e">
        <v>#N/A</v>
      </c>
      <c r="U15" s="51" t="e">
        <v>#N/A</v>
      </c>
      <c r="V15" s="51" t="e">
        <v>#N/A</v>
      </c>
      <c r="W15" s="51">
        <f t="shared" si="14"/>
        <v>152.19999999999999</v>
      </c>
      <c r="X15" s="51">
        <f t="shared" si="15"/>
        <v>23.58</v>
      </c>
      <c r="AL15" s="51">
        <v>1997</v>
      </c>
      <c r="AM15" s="51">
        <v>34.58</v>
      </c>
      <c r="AN15" s="51">
        <v>46.1</v>
      </c>
      <c r="AO15" s="51">
        <v>56.12</v>
      </c>
      <c r="AP15" s="51">
        <v>32</v>
      </c>
      <c r="AR15" s="51">
        <v>34.58</v>
      </c>
      <c r="AS15" s="51">
        <v>0.47</v>
      </c>
      <c r="AT15" s="51">
        <v>24.54</v>
      </c>
      <c r="AU15" s="51">
        <v>4.67</v>
      </c>
      <c r="AV15" s="51">
        <v>1.75</v>
      </c>
      <c r="AW15" s="51">
        <v>3.15</v>
      </c>
      <c r="AX15" s="51">
        <f t="shared" si="9"/>
        <v>29.21</v>
      </c>
      <c r="AY15" s="51">
        <f t="shared" si="10"/>
        <v>4.9000000000000004</v>
      </c>
      <c r="BA15" s="51">
        <f>RECS_2!AA16</f>
        <v>19.7</v>
      </c>
      <c r="BB15" s="51">
        <f>RECS_2!AB16</f>
        <v>0.5</v>
      </c>
      <c r="BC15" s="51">
        <f>RECS_2!AC16</f>
        <v>10.7</v>
      </c>
      <c r="BD15" s="51">
        <f>RECS_2!AD16</f>
        <v>3.1</v>
      </c>
      <c r="BE15" s="51">
        <f>RECS_2!AE16</f>
        <v>1.7</v>
      </c>
      <c r="BF15" s="51">
        <f>RECS_2!AF16</f>
        <v>3.8</v>
      </c>
      <c r="BG15" s="51">
        <f t="shared" si="11"/>
        <v>13.799999999999999</v>
      </c>
      <c r="BH15" s="51">
        <f t="shared" si="12"/>
        <v>5.5</v>
      </c>
      <c r="BJ15" s="51">
        <f t="shared" si="13"/>
        <v>1997</v>
      </c>
      <c r="BK15" s="51">
        <f t="shared" si="1"/>
        <v>1755.3299492385786</v>
      </c>
      <c r="BL15" s="51">
        <f t="shared" si="2"/>
        <v>940</v>
      </c>
      <c r="BM15" s="51">
        <f t="shared" si="3"/>
        <v>2293.4579439252334</v>
      </c>
      <c r="BN15" s="51">
        <f t="shared" si="4"/>
        <v>1506.4516129032256</v>
      </c>
      <c r="BO15" s="51">
        <f t="shared" si="5"/>
        <v>1029.4117647058824</v>
      </c>
      <c r="BP15" s="51">
        <f t="shared" si="6"/>
        <v>828.9473684210526</v>
      </c>
      <c r="BQ15" s="51">
        <f t="shared" si="7"/>
        <v>2116.6666666666665</v>
      </c>
      <c r="BR15" s="51">
        <f t="shared" si="7"/>
        <v>890.90909090909099</v>
      </c>
    </row>
    <row r="16" spans="1:70" x14ac:dyDescent="0.2">
      <c r="A16" s="93"/>
      <c r="B16" s="90"/>
      <c r="C16" s="90"/>
      <c r="D16" s="90"/>
      <c r="E16" s="90"/>
      <c r="F16" s="90"/>
      <c r="G16" s="90"/>
      <c r="H16" s="90"/>
      <c r="I16" s="90"/>
      <c r="J16" s="90"/>
      <c r="K16" s="90"/>
      <c r="L16" s="95"/>
      <c r="M16" s="51">
        <v>1997</v>
      </c>
      <c r="N16" s="51">
        <v>168.81</v>
      </c>
      <c r="O16" s="51">
        <v>6.27</v>
      </c>
      <c r="P16" s="51">
        <v>128.87</v>
      </c>
      <c r="Q16" s="51">
        <v>14.59</v>
      </c>
      <c r="R16" s="51">
        <v>5.52</v>
      </c>
      <c r="S16" s="51">
        <v>13.55</v>
      </c>
      <c r="T16" s="51" t="e">
        <v>#N/A</v>
      </c>
      <c r="U16" s="51" t="e">
        <v>#N/A</v>
      </c>
      <c r="V16" s="51" t="e">
        <v>#N/A</v>
      </c>
      <c r="W16" s="216">
        <f t="shared" si="14"/>
        <v>143.46</v>
      </c>
      <c r="X16" s="216">
        <f t="shared" si="15"/>
        <v>19.07</v>
      </c>
      <c r="AL16" s="51">
        <v>2001</v>
      </c>
      <c r="AM16" s="51">
        <v>45.283999999999999</v>
      </c>
      <c r="AN16" s="51">
        <v>58.18</v>
      </c>
      <c r="AO16" s="51">
        <v>76.631</v>
      </c>
      <c r="AP16" s="51">
        <v>40.982999999999997</v>
      </c>
      <c r="AR16" s="51">
        <v>45.283999999999999</v>
      </c>
      <c r="AS16" s="51">
        <v>0.68300000000000005</v>
      </c>
      <c r="AT16" s="51">
        <v>28.350999999999999</v>
      </c>
      <c r="AU16" s="51">
        <v>6.6959999999999997</v>
      </c>
      <c r="AV16" s="51">
        <v>5.726</v>
      </c>
      <c r="AW16" s="51">
        <v>3.8279999999999998</v>
      </c>
      <c r="AX16" s="51">
        <f t="shared" si="9"/>
        <v>35.046999999999997</v>
      </c>
      <c r="AY16" s="51">
        <f t="shared" si="10"/>
        <v>9.5540000000000003</v>
      </c>
      <c r="BA16" s="51">
        <f>RECS_2!AA17</f>
        <v>20.254000000000001</v>
      </c>
      <c r="BB16" s="51">
        <f>RECS_2!AB17</f>
        <v>0.65300000000000002</v>
      </c>
      <c r="BC16" s="51">
        <f>RECS_2!AC17</f>
        <v>9.1780000000000008</v>
      </c>
      <c r="BD16" s="51">
        <f>RECS_2!AD17</f>
        <v>2.8319999999999999</v>
      </c>
      <c r="BE16" s="51">
        <f>RECS_2!AE17</f>
        <v>3.1379999999999999</v>
      </c>
      <c r="BF16" s="51">
        <f>RECS_2!AF17</f>
        <v>4.4539999999999997</v>
      </c>
      <c r="BG16" s="51">
        <f t="shared" si="11"/>
        <v>12.010000000000002</v>
      </c>
      <c r="BH16" s="51">
        <f t="shared" si="12"/>
        <v>7.5919999999999996</v>
      </c>
      <c r="BJ16" s="51">
        <f t="shared" si="13"/>
        <v>2001</v>
      </c>
      <c r="BK16" s="51">
        <f t="shared" si="1"/>
        <v>2235.8052730324875</v>
      </c>
      <c r="BL16" s="51">
        <f t="shared" si="2"/>
        <v>1045.9418070444103</v>
      </c>
      <c r="BM16" s="51">
        <f t="shared" si="3"/>
        <v>3089.0172150795379</v>
      </c>
      <c r="BN16" s="51">
        <f t="shared" si="4"/>
        <v>2364.406779661017</v>
      </c>
      <c r="BO16" s="51">
        <f t="shared" si="5"/>
        <v>1824.7291268323772</v>
      </c>
      <c r="BP16" s="51">
        <f t="shared" si="6"/>
        <v>859.45217781769202</v>
      </c>
      <c r="BQ16" s="51">
        <f t="shared" si="7"/>
        <v>2918.1515403830135</v>
      </c>
      <c r="BR16" s="51">
        <f t="shared" si="7"/>
        <v>1258.4299262381455</v>
      </c>
    </row>
    <row r="17" spans="1:70" x14ac:dyDescent="0.2">
      <c r="A17" s="89" t="s">
        <v>148</v>
      </c>
      <c r="B17" s="90">
        <v>34.85</v>
      </c>
      <c r="C17" s="90">
        <v>35.08</v>
      </c>
      <c r="D17" s="90">
        <v>34.35</v>
      </c>
      <c r="E17" s="90">
        <v>35.020000000000003</v>
      </c>
      <c r="F17" s="90">
        <v>36.82</v>
      </c>
      <c r="G17" s="90">
        <v>40.35</v>
      </c>
      <c r="H17" s="90">
        <v>40.049999999999997</v>
      </c>
      <c r="I17" s="90">
        <v>34.58</v>
      </c>
      <c r="J17" s="90">
        <v>45.283999999999999</v>
      </c>
      <c r="K17" s="90">
        <v>49.864922252650004</v>
      </c>
      <c r="L17" s="95"/>
      <c r="M17" s="51">
        <v>2001</v>
      </c>
      <c r="N17" s="411">
        <v>221.078</v>
      </c>
      <c r="O17" s="411">
        <v>7.2290000000000001</v>
      </c>
      <c r="P17" s="411">
        <v>161.089</v>
      </c>
      <c r="Q17" s="411">
        <v>25.137</v>
      </c>
      <c r="R17" s="411">
        <v>13.218</v>
      </c>
      <c r="S17" s="411">
        <v>14.404999999999999</v>
      </c>
      <c r="T17" s="51" t="e">
        <v>#N/A</v>
      </c>
      <c r="U17" s="51" t="e">
        <v>#N/A</v>
      </c>
      <c r="V17" s="51" t="e">
        <v>#N/A</v>
      </c>
      <c r="W17" s="216">
        <f t="shared" si="14"/>
        <v>186.226</v>
      </c>
      <c r="X17" s="216">
        <f t="shared" si="15"/>
        <v>27.622999999999998</v>
      </c>
      <c r="AL17" s="51">
        <v>2005</v>
      </c>
      <c r="AM17" s="51">
        <v>49.864922252650004</v>
      </c>
      <c r="AN17" s="51">
        <v>65.690008157039998</v>
      </c>
      <c r="AO17" s="51">
        <v>93.432181800190008</v>
      </c>
      <c r="AP17" s="51">
        <v>47.477302019180001</v>
      </c>
      <c r="AR17" s="51">
        <v>49.864922252650004</v>
      </c>
      <c r="AS17" s="51">
        <v>0.38605931438000002</v>
      </c>
      <c r="AT17" s="51">
        <v>37.714908032339999</v>
      </c>
      <c r="AU17" s="51">
        <v>5.2375827830799997</v>
      </c>
      <c r="AV17" s="51">
        <v>3.1607223734100001</v>
      </c>
      <c r="AW17" s="51">
        <v>3.3656497494299997</v>
      </c>
      <c r="AX17" s="51">
        <f t="shared" si="9"/>
        <v>42.952490815419999</v>
      </c>
      <c r="AY17" s="51">
        <f t="shared" si="10"/>
        <v>6.5263721228399998</v>
      </c>
      <c r="BA17" s="51">
        <f>RECS_2!AA18</f>
        <v>20.582522999999998</v>
      </c>
      <c r="BB17" s="51">
        <f>RECS_2!AB18</f>
        <v>0.42768185999999997</v>
      </c>
      <c r="BC17" s="51">
        <f>RECS_2!AC18</f>
        <v>11.17232325</v>
      </c>
      <c r="BD17" s="51">
        <f>RECS_2!AD18</f>
        <v>2.2978517599999999</v>
      </c>
      <c r="BE17" s="51">
        <f>RECS_2!AE18</f>
        <v>2.5339453999999999</v>
      </c>
      <c r="BF17" s="51">
        <f>RECS_2!AF18</f>
        <v>4.1507207299999997</v>
      </c>
      <c r="BG17" s="51">
        <f t="shared" si="11"/>
        <v>13.47017501</v>
      </c>
      <c r="BH17" s="51">
        <f t="shared" si="12"/>
        <v>6.6846661300000001</v>
      </c>
      <c r="BJ17" s="51">
        <f t="shared" si="13"/>
        <v>2005</v>
      </c>
      <c r="BK17" s="51">
        <f t="shared" si="1"/>
        <v>2422.6826931105584</v>
      </c>
      <c r="BL17" s="51">
        <f t="shared" si="2"/>
        <v>902.67872100069917</v>
      </c>
      <c r="BM17" s="51">
        <f t="shared" si="3"/>
        <v>3375.7444345642257</v>
      </c>
      <c r="BN17" s="51">
        <f t="shared" si="4"/>
        <v>2279.338847811488</v>
      </c>
      <c r="BO17" s="51">
        <f t="shared" si="5"/>
        <v>1247.352201594399</v>
      </c>
      <c r="BP17" s="51">
        <f t="shared" si="6"/>
        <v>810.85911781638947</v>
      </c>
      <c r="BQ17" s="51">
        <f t="shared" si="7"/>
        <v>3188.7106725438157</v>
      </c>
      <c r="BR17" s="51">
        <f t="shared" si="7"/>
        <v>976.3198334693792</v>
      </c>
    </row>
    <row r="18" spans="1:70" x14ac:dyDescent="0.2">
      <c r="A18" s="93" t="s">
        <v>143</v>
      </c>
      <c r="B18" s="90">
        <v>0.46</v>
      </c>
      <c r="C18" s="90">
        <v>0.41</v>
      </c>
      <c r="D18" s="90">
        <v>0.28999999999999998</v>
      </c>
      <c r="E18" s="90">
        <v>0.55000000000000004</v>
      </c>
      <c r="F18" s="90">
        <v>0.52</v>
      </c>
      <c r="G18" s="90">
        <v>0.49</v>
      </c>
      <c r="H18" s="90">
        <v>0.5</v>
      </c>
      <c r="I18" s="90">
        <v>0.47</v>
      </c>
      <c r="J18" s="90">
        <v>0.68300000000000005</v>
      </c>
      <c r="K18" s="90">
        <v>0.38605931438000002</v>
      </c>
      <c r="L18" s="95"/>
      <c r="M18" s="51">
        <v>2005</v>
      </c>
      <c r="N18" s="411">
        <v>256.46441422906003</v>
      </c>
      <c r="O18" s="411">
        <v>7.3737365746599997</v>
      </c>
      <c r="P18" s="411">
        <v>210.33557840216</v>
      </c>
      <c r="Q18" s="411">
        <v>15.71389841339</v>
      </c>
      <c r="R18" s="411">
        <v>8.4508202459700001</v>
      </c>
      <c r="S18" s="411">
        <v>14.590380592879999</v>
      </c>
      <c r="T18" s="51" t="e">
        <v>#N/A</v>
      </c>
      <c r="U18" s="51" t="e">
        <v>#N/A</v>
      </c>
      <c r="V18" s="51" t="e">
        <v>#N/A</v>
      </c>
      <c r="W18" s="216">
        <f t="shared" si="14"/>
        <v>226.04947681555001</v>
      </c>
      <c r="X18" s="216">
        <f t="shared" si="15"/>
        <v>23.041200838849999</v>
      </c>
    </row>
    <row r="19" spans="1:70" x14ac:dyDescent="0.2">
      <c r="A19" s="93" t="s">
        <v>144</v>
      </c>
      <c r="B19" s="90">
        <v>24.15</v>
      </c>
      <c r="C19" s="90">
        <v>24.54</v>
      </c>
      <c r="D19" s="90">
        <v>23.22</v>
      </c>
      <c r="E19" s="90">
        <v>24.08</v>
      </c>
      <c r="F19" s="90">
        <v>25.12</v>
      </c>
      <c r="G19" s="90">
        <v>28.03</v>
      </c>
      <c r="H19" s="90">
        <v>27.52</v>
      </c>
      <c r="I19" s="90">
        <v>24.54</v>
      </c>
      <c r="J19" s="90">
        <v>28.350999999999999</v>
      </c>
      <c r="K19" s="90">
        <v>37.714908032339999</v>
      </c>
      <c r="L19" s="95"/>
      <c r="M19" s="51">
        <v>2009</v>
      </c>
      <c r="O19" s="51">
        <v>7.5</v>
      </c>
      <c r="P19" s="51">
        <v>178.4</v>
      </c>
      <c r="Q19" s="51">
        <v>11.9</v>
      </c>
      <c r="R19" s="51">
        <v>9.9</v>
      </c>
      <c r="S19" s="51">
        <v>16.2</v>
      </c>
      <c r="W19" s="216">
        <f t="shared" si="14"/>
        <v>190.3</v>
      </c>
      <c r="X19" s="216">
        <f t="shared" si="14"/>
        <v>21.8</v>
      </c>
    </row>
    <row r="20" spans="1:70" x14ac:dyDescent="0.2">
      <c r="A20" s="93" t="s">
        <v>145</v>
      </c>
      <c r="B20" s="90">
        <v>3.21</v>
      </c>
      <c r="C20" s="90">
        <v>2.85</v>
      </c>
      <c r="D20" s="90">
        <v>3.77</v>
      </c>
      <c r="E20" s="90">
        <v>3.57</v>
      </c>
      <c r="F20" s="90">
        <v>3.83</v>
      </c>
      <c r="G20" s="90">
        <v>4.3</v>
      </c>
      <c r="H20" s="90">
        <v>4.3600000000000003</v>
      </c>
      <c r="I20" s="90">
        <v>4.67</v>
      </c>
      <c r="J20" s="90">
        <v>6.6959999999999997</v>
      </c>
      <c r="K20" s="90">
        <v>5.2375827830799997</v>
      </c>
      <c r="L20" s="95"/>
      <c r="M20" s="51">
        <v>2015</v>
      </c>
      <c r="O20" s="51">
        <v>8.1</v>
      </c>
      <c r="P20" s="51">
        <v>188.6</v>
      </c>
      <c r="Q20" s="51">
        <v>12.4</v>
      </c>
      <c r="R20" s="51">
        <v>9.6</v>
      </c>
      <c r="S20" s="51">
        <v>18.7</v>
      </c>
      <c r="W20" s="216">
        <f t="shared" ref="W20" si="19">P20+Q20</f>
        <v>201</v>
      </c>
      <c r="X20" s="216">
        <f t="shared" ref="X20" si="20">Q20+R20</f>
        <v>22</v>
      </c>
    </row>
    <row r="21" spans="1:70" x14ac:dyDescent="0.2">
      <c r="A21" s="96" t="s">
        <v>146</v>
      </c>
      <c r="B21" s="90">
        <v>4.2</v>
      </c>
      <c r="C21" s="90">
        <v>4.2699999999999996</v>
      </c>
      <c r="D21" s="90">
        <v>4.5199999999999996</v>
      </c>
      <c r="E21" s="90">
        <v>4.1900000000000004</v>
      </c>
      <c r="F21" s="90">
        <v>4.25</v>
      </c>
      <c r="G21" s="90">
        <v>4.45</v>
      </c>
      <c r="H21" s="90">
        <v>4.29</v>
      </c>
      <c r="I21" s="90">
        <v>1.75</v>
      </c>
      <c r="J21" s="90">
        <v>5.726</v>
      </c>
      <c r="K21" s="90">
        <v>3.1607223734100001</v>
      </c>
      <c r="L21" s="95"/>
      <c r="M21" s="141" t="s">
        <v>15</v>
      </c>
    </row>
    <row r="22" spans="1:70" x14ac:dyDescent="0.2">
      <c r="A22" s="96" t="s">
        <v>147</v>
      </c>
      <c r="B22" s="90">
        <v>2.82</v>
      </c>
      <c r="C22" s="90">
        <v>3.01</v>
      </c>
      <c r="D22" s="90">
        <v>2.5499999999999998</v>
      </c>
      <c r="E22" s="90">
        <v>2.63</v>
      </c>
      <c r="F22" s="90">
        <v>3.1</v>
      </c>
      <c r="G22" s="90">
        <v>3.09</v>
      </c>
      <c r="H22" s="90">
        <v>3.38</v>
      </c>
      <c r="I22" s="90">
        <v>3.15</v>
      </c>
      <c r="J22" s="90">
        <v>3.8279999999999998</v>
      </c>
      <c r="K22" s="90">
        <v>3.3656497494299997</v>
      </c>
      <c r="L22" s="95"/>
      <c r="M22" s="51">
        <f>RECS_2!O9</f>
        <v>1980</v>
      </c>
      <c r="N22" s="51">
        <f>RECS_2!P9</f>
        <v>81.599999999999994</v>
      </c>
      <c r="O22" s="51">
        <f>RECS_2!Q9</f>
        <v>4.5999999999999996</v>
      </c>
      <c r="P22" s="51">
        <f>RECS_2!R9</f>
        <v>53</v>
      </c>
      <c r="Q22" s="51">
        <f>RECS_2!S9</f>
        <v>3.3</v>
      </c>
      <c r="R22" s="51">
        <f>RECS_2!T9</f>
        <v>9.9</v>
      </c>
      <c r="S22" s="51">
        <f>RECS_2!U9</f>
        <v>10.8</v>
      </c>
      <c r="T22" s="51" t="e">
        <f>RECS_2!V9</f>
        <v>#N/A</v>
      </c>
      <c r="U22" s="51" t="e">
        <f>RECS_2!W9</f>
        <v>#N/A</v>
      </c>
      <c r="V22" s="51" t="e">
        <f>RECS_2!X9</f>
        <v>#N/A</v>
      </c>
      <c r="W22" s="51">
        <f>RECS_2!Y9</f>
        <v>56.3</v>
      </c>
      <c r="X22" s="51">
        <f>R22+S22</f>
        <v>20.700000000000003</v>
      </c>
      <c r="AR22" s="51" t="s">
        <v>91</v>
      </c>
      <c r="AS22" s="51" t="s">
        <v>360</v>
      </c>
      <c r="AT22" s="51" t="s">
        <v>536</v>
      </c>
      <c r="AU22" s="51" t="s">
        <v>537</v>
      </c>
      <c r="AV22" s="51" t="s">
        <v>538</v>
      </c>
      <c r="AW22" s="51" t="s">
        <v>539</v>
      </c>
      <c r="AX22" s="51" t="s">
        <v>110</v>
      </c>
      <c r="AY22" s="51" t="s">
        <v>261</v>
      </c>
      <c r="BA22" s="141" t="s">
        <v>91</v>
      </c>
      <c r="BB22" s="141" t="s">
        <v>360</v>
      </c>
      <c r="BC22" s="141" t="s">
        <v>536</v>
      </c>
      <c r="BD22" s="141" t="s">
        <v>537</v>
      </c>
      <c r="BE22" s="141" t="s">
        <v>538</v>
      </c>
      <c r="BF22" s="141" t="s">
        <v>539</v>
      </c>
      <c r="BG22" s="141" t="s">
        <v>110</v>
      </c>
      <c r="BH22" s="141" t="s">
        <v>261</v>
      </c>
      <c r="BI22" s="141"/>
      <c r="BK22" s="141" t="s">
        <v>91</v>
      </c>
      <c r="BL22" s="141" t="s">
        <v>360</v>
      </c>
      <c r="BM22" s="141" t="s">
        <v>536</v>
      </c>
      <c r="BN22" s="141" t="s">
        <v>537</v>
      </c>
      <c r="BO22" s="141" t="s">
        <v>538</v>
      </c>
      <c r="BP22" s="141" t="s">
        <v>539</v>
      </c>
      <c r="BQ22" s="141" t="s">
        <v>110</v>
      </c>
      <c r="BR22" s="141" t="s">
        <v>261</v>
      </c>
    </row>
    <row r="23" spans="1:70" x14ac:dyDescent="0.2">
      <c r="A23" s="93"/>
      <c r="B23" s="90"/>
      <c r="C23" s="90"/>
      <c r="D23" s="90"/>
      <c r="E23" s="90"/>
      <c r="F23" s="90"/>
      <c r="G23" s="90"/>
      <c r="H23" s="90"/>
      <c r="I23" s="90"/>
      <c r="J23" s="90"/>
      <c r="K23" s="90"/>
      <c r="L23" s="95"/>
      <c r="M23" s="51">
        <f>RECS_2!O10</f>
        <v>1981</v>
      </c>
      <c r="N23" s="51">
        <f>RECS_2!P10</f>
        <v>83.1</v>
      </c>
      <c r="O23" s="51">
        <f>RECS_2!Q10</f>
        <v>4.2</v>
      </c>
      <c r="P23" s="51">
        <f>RECS_2!R10</f>
        <v>54.6</v>
      </c>
      <c r="Q23" s="51">
        <f>RECS_2!S10</f>
        <v>3</v>
      </c>
      <c r="R23" s="51">
        <f>RECS_2!T10</f>
        <v>9.3000000000000007</v>
      </c>
      <c r="S23" s="51">
        <f>RECS_2!U10</f>
        <v>12</v>
      </c>
      <c r="T23" s="51" t="e">
        <f>RECS_2!V10</f>
        <v>#N/A</v>
      </c>
      <c r="U23" s="51" t="e">
        <f>RECS_2!W10</f>
        <v>#N/A</v>
      </c>
      <c r="V23" s="51" t="e">
        <f>RECS_2!X10</f>
        <v>#N/A</v>
      </c>
      <c r="W23" s="51">
        <f>RECS_2!Y10</f>
        <v>57.6</v>
      </c>
      <c r="X23" s="51">
        <f t="shared" ref="X23:X30" si="21">R23+S23</f>
        <v>21.3</v>
      </c>
      <c r="AR23" s="51">
        <f t="array" ref="AR23:AW32">TRANSPOSE(B24:K29)</f>
        <v>40.799999999999997</v>
      </c>
      <c r="AS23" s="51">
        <v>0.5</v>
      </c>
      <c r="AT23" s="51">
        <v>34.81</v>
      </c>
      <c r="AU23" s="51">
        <v>0.41</v>
      </c>
      <c r="AV23" s="51">
        <v>3.31</v>
      </c>
      <c r="AW23" s="51">
        <v>1.77</v>
      </c>
      <c r="AX23" s="51">
        <f>AT23+AU23</f>
        <v>35.22</v>
      </c>
      <c r="AY23" s="51">
        <f>AV23+AW23</f>
        <v>5.08</v>
      </c>
      <c r="BA23" s="51">
        <f>RECS_2!AA24</f>
        <v>21.1</v>
      </c>
      <c r="BB23" s="51">
        <f>RECS_2!AB24</f>
        <v>0.6</v>
      </c>
      <c r="BC23" s="51">
        <f>RECS_2!AC24</f>
        <v>15.2</v>
      </c>
      <c r="BD23" s="51">
        <f>RECS_2!AD24</f>
        <v>0.3</v>
      </c>
      <c r="BE23" s="51">
        <f>RECS_2!AE24</f>
        <v>2.9</v>
      </c>
      <c r="BF23" s="51">
        <f>RECS_2!AF24</f>
        <v>2.1</v>
      </c>
      <c r="BG23" s="51">
        <f>BC23+BD23</f>
        <v>15.5</v>
      </c>
      <c r="BH23" s="51">
        <f>BE23+BF23</f>
        <v>5</v>
      </c>
      <c r="BJ23" s="51">
        <f>BJ8</f>
        <v>1980</v>
      </c>
      <c r="BK23" s="51">
        <f t="shared" ref="BK23:BK32" si="22">AR23/BA23*1000</f>
        <v>1933.6492890995257</v>
      </c>
      <c r="BL23" s="51">
        <f t="shared" ref="BL23:BL32" si="23">AS23/BB23*1000</f>
        <v>833.33333333333337</v>
      </c>
      <c r="BM23" s="51">
        <f t="shared" ref="BM23:BM32" si="24">AT23/BC23*1000</f>
        <v>2290.1315789473688</v>
      </c>
      <c r="BN23" s="51">
        <f t="shared" ref="BN23:BN32" si="25">AU23/BD23*1000</f>
        <v>1366.6666666666667</v>
      </c>
      <c r="BO23" s="51">
        <f t="shared" ref="BO23:BO32" si="26">AV23/BE23*1000</f>
        <v>1141.3793103448274</v>
      </c>
      <c r="BP23" s="51">
        <f t="shared" ref="BP23:BP32" si="27">AW23/BF23*1000</f>
        <v>842.85714285714289</v>
      </c>
      <c r="BQ23" s="51">
        <f t="shared" ref="BQ23:BQ32" si="28">AX23/BG23*1000</f>
        <v>2272.2580645161288</v>
      </c>
      <c r="BR23" s="51">
        <f t="shared" ref="BR23:BR32" si="29">AY23/BH23*1000</f>
        <v>1016</v>
      </c>
    </row>
    <row r="24" spans="1:70" x14ac:dyDescent="0.2">
      <c r="A24" s="89" t="s">
        <v>149</v>
      </c>
      <c r="B24" s="90">
        <v>40.799999999999997</v>
      </c>
      <c r="C24" s="90">
        <v>41.47</v>
      </c>
      <c r="D24" s="90">
        <v>39.92</v>
      </c>
      <c r="E24" s="90">
        <v>39.14</v>
      </c>
      <c r="F24" s="90">
        <v>44.27</v>
      </c>
      <c r="G24" s="90">
        <v>46.94</v>
      </c>
      <c r="H24" s="90">
        <v>50.57</v>
      </c>
      <c r="I24" s="90">
        <v>46.1</v>
      </c>
      <c r="J24" s="90">
        <v>58.18</v>
      </c>
      <c r="K24" s="90">
        <v>65.690008157039998</v>
      </c>
      <c r="L24" s="95"/>
      <c r="M24" s="51">
        <f>RECS_2!O11</f>
        <v>1982</v>
      </c>
      <c r="N24" s="51">
        <f>RECS_2!P11</f>
        <v>83.8</v>
      </c>
      <c r="O24" s="51">
        <f>RECS_2!Q11</f>
        <v>3.7</v>
      </c>
      <c r="P24" s="51">
        <f>RECS_2!R11</f>
        <v>53.8</v>
      </c>
      <c r="Q24" s="51">
        <f>RECS_2!S11</f>
        <v>3.9</v>
      </c>
      <c r="R24" s="51">
        <f>RECS_2!T11</f>
        <v>10.1</v>
      </c>
      <c r="S24" s="51">
        <f>RECS_2!U11</f>
        <v>12.2</v>
      </c>
      <c r="T24" s="51" t="e">
        <f>RECS_2!V11</f>
        <v>#N/A</v>
      </c>
      <c r="U24" s="51" t="e">
        <f>RECS_2!W11</f>
        <v>#N/A</v>
      </c>
      <c r="V24" s="51" t="e">
        <f>RECS_2!X11</f>
        <v>#N/A</v>
      </c>
      <c r="W24" s="51">
        <f>RECS_2!Y11</f>
        <v>57.699999999999996</v>
      </c>
      <c r="X24" s="51">
        <f t="shared" si="21"/>
        <v>22.299999999999997</v>
      </c>
      <c r="AR24" s="51">
        <v>41.47</v>
      </c>
      <c r="AS24" s="51">
        <v>0.73</v>
      </c>
      <c r="AT24" s="51">
        <v>35.07</v>
      </c>
      <c r="AU24" s="51">
        <v>0.57999999999999996</v>
      </c>
      <c r="AV24" s="51">
        <v>3.16</v>
      </c>
      <c r="AW24" s="51">
        <v>1.93</v>
      </c>
      <c r="AX24" s="51">
        <f t="shared" ref="AX24:AX32" si="30">AT24+AU24</f>
        <v>35.65</v>
      </c>
      <c r="AY24" s="51">
        <f t="shared" ref="AY24:AY32" si="31">AV24+AW24</f>
        <v>5.09</v>
      </c>
      <c r="BA24" s="51">
        <f>RECS_2!AA25</f>
        <v>21.2</v>
      </c>
      <c r="BB24" s="51">
        <f>RECS_2!AB25</f>
        <v>0.8</v>
      </c>
      <c r="BC24" s="51">
        <f>RECS_2!AC25</f>
        <v>15.2</v>
      </c>
      <c r="BD24" s="51">
        <f>RECS_2!AD25</f>
        <v>0.3</v>
      </c>
      <c r="BE24" s="51">
        <f>RECS_2!AE25</f>
        <v>2.4</v>
      </c>
      <c r="BF24" s="51">
        <f>RECS_2!AF25</f>
        <v>2.5</v>
      </c>
      <c r="BG24" s="51">
        <f t="shared" ref="BG24:BG32" si="32">BC24+BD24</f>
        <v>15.5</v>
      </c>
      <c r="BH24" s="51">
        <f t="shared" ref="BH24:BH32" si="33">BE24+BF24</f>
        <v>4.9000000000000004</v>
      </c>
      <c r="BJ24" s="51">
        <f t="shared" ref="BJ24:BJ32" si="34">BJ9</f>
        <v>1981</v>
      </c>
      <c r="BK24" s="51">
        <f t="shared" si="22"/>
        <v>1956.1320754716983</v>
      </c>
      <c r="BL24" s="51">
        <f t="shared" si="23"/>
        <v>912.5</v>
      </c>
      <c r="BM24" s="51">
        <f t="shared" si="24"/>
        <v>2307.2368421052633</v>
      </c>
      <c r="BN24" s="51">
        <f t="shared" si="25"/>
        <v>1933.3333333333333</v>
      </c>
      <c r="BO24" s="51">
        <f t="shared" si="26"/>
        <v>1316.666666666667</v>
      </c>
      <c r="BP24" s="51">
        <f t="shared" si="27"/>
        <v>772</v>
      </c>
      <c r="BQ24" s="51">
        <f t="shared" si="28"/>
        <v>2300</v>
      </c>
      <c r="BR24" s="51">
        <f t="shared" si="29"/>
        <v>1038.7755102040815</v>
      </c>
    </row>
    <row r="25" spans="1:70" x14ac:dyDescent="0.2">
      <c r="A25" s="93" t="s">
        <v>143</v>
      </c>
      <c r="B25" s="90">
        <v>0.5</v>
      </c>
      <c r="C25" s="90">
        <v>0.73</v>
      </c>
      <c r="D25" s="90">
        <v>0.61</v>
      </c>
      <c r="E25" s="90">
        <v>0.99</v>
      </c>
      <c r="F25" s="90">
        <v>1.02</v>
      </c>
      <c r="G25" s="90">
        <v>1.54</v>
      </c>
      <c r="H25" s="90">
        <v>1.39</v>
      </c>
      <c r="I25" s="90">
        <v>0.98</v>
      </c>
      <c r="J25" s="90">
        <v>1.2450000000000001</v>
      </c>
      <c r="K25" s="90">
        <v>0.83648927824999997</v>
      </c>
      <c r="L25" s="95"/>
      <c r="M25" s="51">
        <f>RECS_2!O12</f>
        <v>1984</v>
      </c>
      <c r="N25" s="51">
        <f>RECS_2!P12</f>
        <v>86.3</v>
      </c>
      <c r="O25" s="51">
        <f>RECS_2!Q12</f>
        <v>5.0999999999999996</v>
      </c>
      <c r="P25" s="51">
        <f>RECS_2!R12</f>
        <v>53.5</v>
      </c>
      <c r="Q25" s="51">
        <f>RECS_2!S12</f>
        <v>4.0999999999999996</v>
      </c>
      <c r="R25" s="51">
        <f>RECS_2!T12</f>
        <v>10</v>
      </c>
      <c r="S25" s="51">
        <f>RECS_2!U12</f>
        <v>13.6</v>
      </c>
      <c r="T25" s="51" t="e">
        <f>RECS_2!V12</f>
        <v>#N/A</v>
      </c>
      <c r="U25" s="51" t="e">
        <f>RECS_2!W12</f>
        <v>#N/A</v>
      </c>
      <c r="V25" s="51" t="e">
        <f>RECS_2!X12</f>
        <v>#N/A</v>
      </c>
      <c r="W25" s="51">
        <f>RECS_2!Y12</f>
        <v>57.6</v>
      </c>
      <c r="X25" s="51">
        <f t="shared" si="21"/>
        <v>23.6</v>
      </c>
      <c r="AR25" s="51">
        <v>39.92</v>
      </c>
      <c r="AS25" s="51">
        <v>0.61</v>
      </c>
      <c r="AT25" s="51">
        <v>32.630000000000003</v>
      </c>
      <c r="AU25" s="51">
        <v>1.07</v>
      </c>
      <c r="AV25" s="51">
        <v>3.26</v>
      </c>
      <c r="AW25" s="51">
        <v>2.36</v>
      </c>
      <c r="AX25" s="51">
        <f t="shared" si="30"/>
        <v>33.700000000000003</v>
      </c>
      <c r="AY25" s="51">
        <f t="shared" si="31"/>
        <v>5.6199999999999992</v>
      </c>
      <c r="BA25" s="51">
        <f>RECS_2!AA26</f>
        <v>21.3</v>
      </c>
      <c r="BB25" s="51">
        <f>RECS_2!AB26</f>
        <v>0.7</v>
      </c>
      <c r="BC25" s="51">
        <f>RECS_2!AC26</f>
        <v>14.4</v>
      </c>
      <c r="BD25" s="51">
        <f>RECS_2!AD26</f>
        <v>0.6</v>
      </c>
      <c r="BE25" s="51">
        <f>RECS_2!AE26</f>
        <v>2.5</v>
      </c>
      <c r="BF25" s="51">
        <f>RECS_2!AF26</f>
        <v>3.1</v>
      </c>
      <c r="BG25" s="51">
        <f t="shared" si="32"/>
        <v>15</v>
      </c>
      <c r="BH25" s="51">
        <f t="shared" si="33"/>
        <v>5.6</v>
      </c>
      <c r="BJ25" s="51">
        <f t="shared" si="34"/>
        <v>1982</v>
      </c>
      <c r="BK25" s="51">
        <f t="shared" si="22"/>
        <v>1874.1784037558687</v>
      </c>
      <c r="BL25" s="51">
        <f t="shared" si="23"/>
        <v>871.42857142857144</v>
      </c>
      <c r="BM25" s="51">
        <f t="shared" si="24"/>
        <v>2265.9722222222226</v>
      </c>
      <c r="BN25" s="51">
        <f t="shared" si="25"/>
        <v>1783.3333333333335</v>
      </c>
      <c r="BO25" s="51">
        <f t="shared" si="26"/>
        <v>1303.9999999999998</v>
      </c>
      <c r="BP25" s="51">
        <f t="shared" si="27"/>
        <v>761.29032258064512</v>
      </c>
      <c r="BQ25" s="51">
        <f t="shared" si="28"/>
        <v>2246.666666666667</v>
      </c>
      <c r="BR25" s="51">
        <f t="shared" si="29"/>
        <v>1003.5714285714286</v>
      </c>
    </row>
    <row r="26" spans="1:70" x14ac:dyDescent="0.2">
      <c r="A26" s="93" t="s">
        <v>144</v>
      </c>
      <c r="B26" s="90">
        <v>34.81</v>
      </c>
      <c r="C26" s="90">
        <v>35.07</v>
      </c>
      <c r="D26" s="90">
        <v>32.630000000000003</v>
      </c>
      <c r="E26" s="90">
        <v>30.27</v>
      </c>
      <c r="F26" s="90">
        <v>35.450000000000003</v>
      </c>
      <c r="G26" s="90">
        <v>38.369999999999997</v>
      </c>
      <c r="H26" s="90">
        <v>41.87</v>
      </c>
      <c r="I26" s="90">
        <v>38.19</v>
      </c>
      <c r="J26" s="90">
        <v>43.04</v>
      </c>
      <c r="K26" s="90">
        <v>56.111823793269998</v>
      </c>
      <c r="L26" s="95"/>
      <c r="M26" s="51">
        <f>RECS_2!O13</f>
        <v>1987</v>
      </c>
      <c r="N26" s="51">
        <f>RECS_2!P13</f>
        <v>90.5</v>
      </c>
      <c r="O26" s="51">
        <f>RECS_2!Q13</f>
        <v>5.0999999999999996</v>
      </c>
      <c r="P26" s="51">
        <f>RECS_2!R13</f>
        <v>55.2</v>
      </c>
      <c r="Q26" s="51">
        <f>RECS_2!S13</f>
        <v>5.3</v>
      </c>
      <c r="R26" s="51">
        <f>RECS_2!T13</f>
        <v>10.1</v>
      </c>
      <c r="S26" s="51">
        <f>RECS_2!U13</f>
        <v>14.9</v>
      </c>
      <c r="T26" s="51" t="e">
        <f>RECS_2!V13</f>
        <v>#N/A</v>
      </c>
      <c r="U26" s="51" t="e">
        <f>RECS_2!W13</f>
        <v>#N/A</v>
      </c>
      <c r="V26" s="51" t="e">
        <f>RECS_2!X13</f>
        <v>#N/A</v>
      </c>
      <c r="W26" s="51">
        <f>RECS_2!Y13</f>
        <v>60.5</v>
      </c>
      <c r="X26" s="51">
        <f t="shared" si="21"/>
        <v>25</v>
      </c>
      <c r="AR26" s="51">
        <v>39.14</v>
      </c>
      <c r="AS26" s="51">
        <v>0.99</v>
      </c>
      <c r="AT26" s="51">
        <v>30.27</v>
      </c>
      <c r="AU26" s="51">
        <v>1.78</v>
      </c>
      <c r="AV26" s="51">
        <v>3.65</v>
      </c>
      <c r="AW26" s="51">
        <v>2.4500000000000002</v>
      </c>
      <c r="AX26" s="51">
        <f t="shared" si="30"/>
        <v>32.049999999999997</v>
      </c>
      <c r="AY26" s="51">
        <f t="shared" si="31"/>
        <v>6.1</v>
      </c>
      <c r="BA26" s="51">
        <f>RECS_2!AA27</f>
        <v>21.6</v>
      </c>
      <c r="BB26" s="51">
        <f>RECS_2!AB27</f>
        <v>1.1000000000000001</v>
      </c>
      <c r="BC26" s="51">
        <f>RECS_2!AC27</f>
        <v>13.7</v>
      </c>
      <c r="BD26" s="51">
        <f>RECS_2!AD27</f>
        <v>0.9</v>
      </c>
      <c r="BE26" s="51">
        <f>RECS_2!AE27</f>
        <v>2.8</v>
      </c>
      <c r="BF26" s="51">
        <f>RECS_2!AF27</f>
        <v>3.1</v>
      </c>
      <c r="BG26" s="51">
        <f t="shared" si="32"/>
        <v>14.6</v>
      </c>
      <c r="BH26" s="51">
        <f t="shared" si="33"/>
        <v>5.9</v>
      </c>
      <c r="BJ26" s="51">
        <f t="shared" si="34"/>
        <v>1984</v>
      </c>
      <c r="BK26" s="51">
        <f t="shared" si="22"/>
        <v>1812.037037037037</v>
      </c>
      <c r="BL26" s="51">
        <f t="shared" si="23"/>
        <v>899.99999999999989</v>
      </c>
      <c r="BM26" s="51">
        <f t="shared" si="24"/>
        <v>2209.4890510948908</v>
      </c>
      <c r="BN26" s="51">
        <f t="shared" si="25"/>
        <v>1977.7777777777778</v>
      </c>
      <c r="BO26" s="51">
        <f t="shared" si="26"/>
        <v>1303.5714285714287</v>
      </c>
      <c r="BP26" s="51">
        <f t="shared" si="27"/>
        <v>790.32258064516134</v>
      </c>
      <c r="BQ26" s="51">
        <f t="shared" si="28"/>
        <v>2195.2054794520545</v>
      </c>
      <c r="BR26" s="51">
        <f t="shared" si="29"/>
        <v>1033.8983050847457</v>
      </c>
    </row>
    <row r="27" spans="1:70" x14ac:dyDescent="0.2">
      <c r="A27" s="93" t="s">
        <v>145</v>
      </c>
      <c r="B27" s="90">
        <v>0.41</v>
      </c>
      <c r="C27" s="90">
        <v>0.57999999999999996</v>
      </c>
      <c r="D27" s="90">
        <v>1.07</v>
      </c>
      <c r="E27" s="90">
        <v>1.78</v>
      </c>
      <c r="F27" s="90">
        <v>2.5099999999999998</v>
      </c>
      <c r="G27" s="90">
        <v>1.29</v>
      </c>
      <c r="H27" s="90">
        <v>2.02</v>
      </c>
      <c r="I27" s="90">
        <v>2.95</v>
      </c>
      <c r="J27" s="90">
        <v>8.2729999999999997</v>
      </c>
      <c r="K27" s="90">
        <v>3.8974926893299999</v>
      </c>
      <c r="L27" s="95"/>
      <c r="M27" s="51">
        <f>RECS_2!O14</f>
        <v>1990</v>
      </c>
      <c r="N27" s="51">
        <f>RECS_2!P14</f>
        <v>94</v>
      </c>
      <c r="O27" s="51">
        <f>RECS_2!Q14</f>
        <v>5.2</v>
      </c>
      <c r="P27" s="51">
        <f>RECS_2!R14</f>
        <v>58.4</v>
      </c>
      <c r="Q27" s="51">
        <f>RECS_2!S14</f>
        <v>6</v>
      </c>
      <c r="R27" s="51">
        <f>RECS_2!T14</f>
        <v>10</v>
      </c>
      <c r="S27" s="51">
        <f>RECS_2!U14</f>
        <v>14.4</v>
      </c>
      <c r="T27" s="51" t="e">
        <f>RECS_2!V14</f>
        <v>#N/A</v>
      </c>
      <c r="U27" s="51" t="e">
        <f>RECS_2!W14</f>
        <v>#N/A</v>
      </c>
      <c r="V27" s="51" t="e">
        <f>RECS_2!X14</f>
        <v>#N/A</v>
      </c>
      <c r="W27" s="51">
        <f>RECS_2!Y14</f>
        <v>64.400000000000006</v>
      </c>
      <c r="X27" s="51">
        <f t="shared" si="21"/>
        <v>24.4</v>
      </c>
      <c r="AR27" s="51">
        <v>44.27</v>
      </c>
      <c r="AS27" s="51">
        <v>1.02</v>
      </c>
      <c r="AT27" s="51">
        <v>35.450000000000003</v>
      </c>
      <c r="AU27" s="51">
        <v>2.5099999999999998</v>
      </c>
      <c r="AV27" s="51">
        <v>3.16</v>
      </c>
      <c r="AW27" s="51">
        <v>2.13</v>
      </c>
      <c r="AX27" s="51">
        <f t="shared" si="30"/>
        <v>37.96</v>
      </c>
      <c r="AY27" s="51">
        <f t="shared" si="31"/>
        <v>5.29</v>
      </c>
      <c r="BA27" s="51">
        <f>RECS_2!AA28</f>
        <v>22.3</v>
      </c>
      <c r="BB27" s="51">
        <f>RECS_2!AB28</f>
        <v>1.2</v>
      </c>
      <c r="BC27" s="51">
        <f>RECS_2!AC28</f>
        <v>14.7</v>
      </c>
      <c r="BD27" s="51">
        <f>RECS_2!AD28</f>
        <v>0.9</v>
      </c>
      <c r="BE27" s="51">
        <f>RECS_2!AE28</f>
        <v>2.6</v>
      </c>
      <c r="BF27" s="51">
        <f>RECS_2!AF28</f>
        <v>2.8</v>
      </c>
      <c r="BG27" s="51">
        <f t="shared" si="32"/>
        <v>15.6</v>
      </c>
      <c r="BH27" s="51">
        <f t="shared" si="33"/>
        <v>5.4</v>
      </c>
      <c r="BJ27" s="51">
        <f t="shared" si="34"/>
        <v>1987</v>
      </c>
      <c r="BK27" s="51">
        <f t="shared" si="22"/>
        <v>1985.2017937219732</v>
      </c>
      <c r="BL27" s="51">
        <f t="shared" si="23"/>
        <v>850.00000000000011</v>
      </c>
      <c r="BM27" s="51">
        <f t="shared" si="24"/>
        <v>2411.5646258503402</v>
      </c>
      <c r="BN27" s="51">
        <f t="shared" si="25"/>
        <v>2788.8888888888887</v>
      </c>
      <c r="BO27" s="51">
        <f t="shared" si="26"/>
        <v>1215.3846153846155</v>
      </c>
      <c r="BP27" s="51">
        <f t="shared" si="27"/>
        <v>760.71428571428567</v>
      </c>
      <c r="BQ27" s="51">
        <f t="shared" si="28"/>
        <v>2433.3333333333335</v>
      </c>
      <c r="BR27" s="51">
        <f t="shared" si="29"/>
        <v>979.62962962962956</v>
      </c>
    </row>
    <row r="28" spans="1:70" x14ac:dyDescent="0.2">
      <c r="A28" s="96" t="s">
        <v>146</v>
      </c>
      <c r="B28" s="90">
        <v>3.31</v>
      </c>
      <c r="C28" s="90">
        <v>3.16</v>
      </c>
      <c r="D28" s="90">
        <v>3.26</v>
      </c>
      <c r="E28" s="90">
        <v>3.65</v>
      </c>
      <c r="F28" s="90">
        <v>3.16</v>
      </c>
      <c r="G28" s="90">
        <v>3.32</v>
      </c>
      <c r="H28" s="90">
        <v>2.2599999999999998</v>
      </c>
      <c r="I28" s="90">
        <v>1.72</v>
      </c>
      <c r="J28" s="90">
        <v>3.266</v>
      </c>
      <c r="K28" s="90">
        <v>2.0537016674199999</v>
      </c>
      <c r="L28" s="95"/>
      <c r="M28" s="51">
        <f>RECS_2!O15</f>
        <v>1993</v>
      </c>
      <c r="N28" s="51">
        <f>RECS_2!P15</f>
        <v>96.6</v>
      </c>
      <c r="O28" s="51">
        <f>RECS_2!Q15</f>
        <v>5.6</v>
      </c>
      <c r="P28" s="51">
        <f>RECS_2!R15</f>
        <v>59.5</v>
      </c>
      <c r="Q28" s="51">
        <f>RECS_2!S15</f>
        <v>7.3</v>
      </c>
      <c r="R28" s="51">
        <f>RECS_2!T15</f>
        <v>8</v>
      </c>
      <c r="S28" s="51">
        <f>RECS_2!U15</f>
        <v>16.2</v>
      </c>
      <c r="T28" s="51" t="e">
        <f>RECS_2!V15</f>
        <v>#N/A</v>
      </c>
      <c r="U28" s="51" t="e">
        <f>RECS_2!W15</f>
        <v>#N/A</v>
      </c>
      <c r="V28" s="51" t="e">
        <f>RECS_2!X15</f>
        <v>#N/A</v>
      </c>
      <c r="W28" s="51">
        <f>RECS_2!Y15</f>
        <v>66.8</v>
      </c>
      <c r="X28" s="51">
        <f t="shared" si="21"/>
        <v>24.2</v>
      </c>
      <c r="AR28" s="51">
        <v>46.94</v>
      </c>
      <c r="AS28" s="51">
        <v>1.54</v>
      </c>
      <c r="AT28" s="51">
        <v>38.369999999999997</v>
      </c>
      <c r="AU28" s="51">
        <v>1.29</v>
      </c>
      <c r="AV28" s="51">
        <v>3.32</v>
      </c>
      <c r="AW28" s="51">
        <v>2.41</v>
      </c>
      <c r="AX28" s="51">
        <f t="shared" si="30"/>
        <v>39.659999999999997</v>
      </c>
      <c r="AY28" s="51">
        <f t="shared" si="31"/>
        <v>5.73</v>
      </c>
      <c r="BA28" s="51">
        <f>RECS_2!AA29</f>
        <v>23.1</v>
      </c>
      <c r="BB28" s="51">
        <f>RECS_2!AB29</f>
        <v>1.6</v>
      </c>
      <c r="BC28" s="51">
        <f>RECS_2!AC29</f>
        <v>15.3</v>
      </c>
      <c r="BD28" s="51">
        <f>RECS_2!AD29</f>
        <v>0.7</v>
      </c>
      <c r="BE28" s="51">
        <f>RECS_2!AE29</f>
        <v>2.5</v>
      </c>
      <c r="BF28" s="51">
        <f>RECS_2!AF29</f>
        <v>3</v>
      </c>
      <c r="BG28" s="51">
        <f t="shared" si="32"/>
        <v>16</v>
      </c>
      <c r="BH28" s="51">
        <f t="shared" si="33"/>
        <v>5.5</v>
      </c>
      <c r="BJ28" s="51">
        <f t="shared" si="34"/>
        <v>1990</v>
      </c>
      <c r="BK28" s="51">
        <f t="shared" si="22"/>
        <v>2032.0346320346316</v>
      </c>
      <c r="BL28" s="51">
        <f t="shared" si="23"/>
        <v>962.5</v>
      </c>
      <c r="BM28" s="51">
        <f t="shared" si="24"/>
        <v>2507.8431372549016</v>
      </c>
      <c r="BN28" s="51">
        <f t="shared" si="25"/>
        <v>1842.8571428571429</v>
      </c>
      <c r="BO28" s="51">
        <f t="shared" si="26"/>
        <v>1327.9999999999998</v>
      </c>
      <c r="BP28" s="51">
        <f t="shared" si="27"/>
        <v>803.33333333333337</v>
      </c>
      <c r="BQ28" s="51">
        <f t="shared" si="28"/>
        <v>2478.75</v>
      </c>
      <c r="BR28" s="51">
        <f t="shared" si="29"/>
        <v>1041.818181818182</v>
      </c>
    </row>
    <row r="29" spans="1:70" x14ac:dyDescent="0.2">
      <c r="A29" s="96" t="s">
        <v>147</v>
      </c>
      <c r="B29" s="90">
        <v>1.77</v>
      </c>
      <c r="C29" s="90">
        <v>1.93</v>
      </c>
      <c r="D29" s="90">
        <v>2.36</v>
      </c>
      <c r="E29" s="90">
        <v>2.4500000000000002</v>
      </c>
      <c r="F29" s="90">
        <v>2.13</v>
      </c>
      <c r="G29" s="90">
        <v>2.41</v>
      </c>
      <c r="H29" s="90">
        <v>3.03</v>
      </c>
      <c r="I29" s="90">
        <v>2.27</v>
      </c>
      <c r="J29" s="90">
        <v>2.3559999999999999</v>
      </c>
      <c r="K29" s="90">
        <v>2.7905007287700001</v>
      </c>
      <c r="L29" s="95"/>
      <c r="M29" s="51">
        <f>RECS_2!O16</f>
        <v>1997</v>
      </c>
      <c r="N29" s="51">
        <f>RECS_2!P16</f>
        <v>101.5</v>
      </c>
      <c r="O29" s="51">
        <f>RECS_2!Q16</f>
        <v>6.3</v>
      </c>
      <c r="P29" s="51">
        <f>RECS_2!R16</f>
        <v>63.8</v>
      </c>
      <c r="Q29" s="51">
        <f>RECS_2!S16</f>
        <v>9.9</v>
      </c>
      <c r="R29" s="51">
        <f>RECS_2!T16</f>
        <v>5.6</v>
      </c>
      <c r="S29" s="51">
        <f>RECS_2!U16</f>
        <v>15.8</v>
      </c>
      <c r="T29" s="51" t="e">
        <f>RECS_2!V16</f>
        <v>#N/A</v>
      </c>
      <c r="U29" s="51" t="e">
        <f>RECS_2!W16</f>
        <v>#N/A</v>
      </c>
      <c r="V29" s="51" t="e">
        <f>RECS_2!X16</f>
        <v>#N/A</v>
      </c>
      <c r="W29" s="51">
        <f>RECS_2!Y16</f>
        <v>73.7</v>
      </c>
      <c r="X29" s="51">
        <f t="shared" si="21"/>
        <v>21.4</v>
      </c>
      <c r="AR29" s="51">
        <v>50.57</v>
      </c>
      <c r="AS29" s="51">
        <v>1.39</v>
      </c>
      <c r="AT29" s="51">
        <v>41.87</v>
      </c>
      <c r="AU29" s="51">
        <v>2.02</v>
      </c>
      <c r="AV29" s="51">
        <v>2.2599999999999998</v>
      </c>
      <c r="AW29" s="51">
        <v>3.03</v>
      </c>
      <c r="AX29" s="51">
        <f t="shared" si="30"/>
        <v>43.89</v>
      </c>
      <c r="AY29" s="51">
        <f t="shared" si="31"/>
        <v>5.2899999999999991</v>
      </c>
      <c r="BA29" s="51">
        <f>RECS_2!AA30</f>
        <v>23.3</v>
      </c>
      <c r="BB29" s="51">
        <f>RECS_2!AB30</f>
        <v>1.4</v>
      </c>
      <c r="BC29" s="51">
        <f>RECS_2!AC30</f>
        <v>15.6</v>
      </c>
      <c r="BD29" s="51">
        <f>RECS_2!AD30</f>
        <v>0.9</v>
      </c>
      <c r="BE29" s="51">
        <f>RECS_2!AE30</f>
        <v>1.8</v>
      </c>
      <c r="BF29" s="51">
        <f>RECS_2!AF30</f>
        <v>3.5</v>
      </c>
      <c r="BG29" s="51">
        <f t="shared" si="32"/>
        <v>16.5</v>
      </c>
      <c r="BH29" s="51">
        <f t="shared" si="33"/>
        <v>5.3</v>
      </c>
      <c r="BJ29" s="51">
        <f t="shared" si="34"/>
        <v>1993</v>
      </c>
      <c r="BK29" s="51">
        <f t="shared" si="22"/>
        <v>2170.3862660944205</v>
      </c>
      <c r="BL29" s="51">
        <f t="shared" si="23"/>
        <v>992.85714285714289</v>
      </c>
      <c r="BM29" s="51">
        <f t="shared" si="24"/>
        <v>2683.9743589743589</v>
      </c>
      <c r="BN29" s="51">
        <f t="shared" si="25"/>
        <v>2244.4444444444443</v>
      </c>
      <c r="BO29" s="51">
        <f t="shared" si="26"/>
        <v>1255.5555555555552</v>
      </c>
      <c r="BP29" s="51">
        <f t="shared" si="27"/>
        <v>865.71428571428567</v>
      </c>
      <c r="BQ29" s="51">
        <f t="shared" si="28"/>
        <v>2660</v>
      </c>
      <c r="BR29" s="51">
        <f t="shared" si="29"/>
        <v>998.11320754716974</v>
      </c>
    </row>
    <row r="30" spans="1:70" x14ac:dyDescent="0.2">
      <c r="A30" s="93"/>
      <c r="B30" s="90"/>
      <c r="C30" s="90"/>
      <c r="D30" s="90"/>
      <c r="E30" s="90"/>
      <c r="F30" s="90"/>
      <c r="G30" s="90"/>
      <c r="H30" s="90"/>
      <c r="I30" s="90"/>
      <c r="J30" s="90"/>
      <c r="K30" s="90"/>
      <c r="L30" s="95"/>
      <c r="M30" s="51">
        <f>RECS_2!O17</f>
        <v>2001</v>
      </c>
      <c r="N30" s="411">
        <f>RECS_2!P17</f>
        <v>106.989</v>
      </c>
      <c r="O30" s="411">
        <f>RECS_2!Q17</f>
        <v>6.806</v>
      </c>
      <c r="P30" s="411">
        <f>RECS_2!R17</f>
        <v>63.098999999999997</v>
      </c>
      <c r="Q30" s="411">
        <f>RECS_2!S17</f>
        <v>10.590999999999999</v>
      </c>
      <c r="R30" s="411">
        <f>RECS_2!T17</f>
        <v>9.49</v>
      </c>
      <c r="S30" s="411">
        <f>RECS_2!U17</f>
        <v>17.003</v>
      </c>
      <c r="T30" s="51" t="e">
        <f>RECS_2!V17</f>
        <v>#N/A</v>
      </c>
      <c r="U30" s="51" t="e">
        <f>RECS_2!W17</f>
        <v>#N/A</v>
      </c>
      <c r="V30" s="51" t="e">
        <f>RECS_2!X17</f>
        <v>#N/A</v>
      </c>
      <c r="W30" s="216">
        <f>RECS_2!Y17</f>
        <v>73.69</v>
      </c>
      <c r="X30" s="216">
        <f t="shared" si="21"/>
        <v>26.493000000000002</v>
      </c>
      <c r="AR30" s="51">
        <v>46.1</v>
      </c>
      <c r="AS30" s="51">
        <v>0.98</v>
      </c>
      <c r="AT30" s="51">
        <v>38.19</v>
      </c>
      <c r="AU30" s="51">
        <v>2.95</v>
      </c>
      <c r="AV30" s="51">
        <v>1.72</v>
      </c>
      <c r="AW30" s="51">
        <v>2.27</v>
      </c>
      <c r="AX30" s="51">
        <f t="shared" si="30"/>
        <v>41.14</v>
      </c>
      <c r="AY30" s="51">
        <f t="shared" si="31"/>
        <v>3.99</v>
      </c>
      <c r="BA30" s="51">
        <f>RECS_2!AA31</f>
        <v>24.1</v>
      </c>
      <c r="BB30" s="51">
        <f>RECS_2!AB31</f>
        <v>1.1000000000000001</v>
      </c>
      <c r="BC30" s="51">
        <f>RECS_2!AC31</f>
        <v>16.600000000000001</v>
      </c>
      <c r="BD30" s="51">
        <f>RECS_2!AD31</f>
        <v>1.8</v>
      </c>
      <c r="BE30" s="51">
        <f>RECS_2!AE31</f>
        <v>1.7</v>
      </c>
      <c r="BF30" s="51">
        <f>RECS_2!AF31</f>
        <v>2.8</v>
      </c>
      <c r="BG30" s="51">
        <f t="shared" si="32"/>
        <v>18.400000000000002</v>
      </c>
      <c r="BH30" s="51">
        <f t="shared" si="33"/>
        <v>4.5</v>
      </c>
      <c r="BJ30" s="51">
        <f t="shared" si="34"/>
        <v>1997</v>
      </c>
      <c r="BK30" s="51">
        <f t="shared" si="22"/>
        <v>1912.8630705394189</v>
      </c>
      <c r="BL30" s="51">
        <f t="shared" si="23"/>
        <v>890.90909090909088</v>
      </c>
      <c r="BM30" s="51">
        <f t="shared" si="24"/>
        <v>2300.6024096385536</v>
      </c>
      <c r="BN30" s="51">
        <f t="shared" si="25"/>
        <v>1638.8888888888889</v>
      </c>
      <c r="BO30" s="51">
        <f t="shared" si="26"/>
        <v>1011.7647058823529</v>
      </c>
      <c r="BP30" s="51">
        <f t="shared" si="27"/>
        <v>810.71428571428567</v>
      </c>
      <c r="BQ30" s="51">
        <f t="shared" si="28"/>
        <v>2235.869565217391</v>
      </c>
      <c r="BR30" s="51">
        <f t="shared" si="29"/>
        <v>886.66666666666674</v>
      </c>
    </row>
    <row r="31" spans="1:70" x14ac:dyDescent="0.2">
      <c r="A31" s="89" t="s">
        <v>150</v>
      </c>
      <c r="B31" s="90">
        <v>42.18</v>
      </c>
      <c r="C31" s="90">
        <v>42.59</v>
      </c>
      <c r="D31" s="90">
        <v>43.69</v>
      </c>
      <c r="E31" s="90">
        <v>44.52</v>
      </c>
      <c r="F31" s="90">
        <v>47.13</v>
      </c>
      <c r="G31" s="90">
        <v>52.44</v>
      </c>
      <c r="H31" s="90">
        <v>57.15</v>
      </c>
      <c r="I31" s="90">
        <v>56.12</v>
      </c>
      <c r="J31" s="90">
        <v>76.631</v>
      </c>
      <c r="K31" s="90">
        <v>93.432181800190008</v>
      </c>
      <c r="L31" s="95"/>
      <c r="M31" s="51">
        <f>RECS_2!O18</f>
        <v>2005</v>
      </c>
      <c r="N31" s="411">
        <f>RECS_2!P18</f>
        <v>111.09061699999999</v>
      </c>
      <c r="O31" s="411">
        <f>RECS_2!Q18</f>
        <v>6.9431960699999999</v>
      </c>
      <c r="P31" s="411">
        <f>RECS_2!R18</f>
        <v>72.058082349999992</v>
      </c>
      <c r="Q31" s="411">
        <f>RECS_2!S18</f>
        <v>7.5958407699999997</v>
      </c>
      <c r="R31" s="411">
        <f>RECS_2!T18</f>
        <v>7.7547724699999998</v>
      </c>
      <c r="S31" s="411">
        <f>RECS_2!U18</f>
        <v>16.738725339999998</v>
      </c>
      <c r="T31" s="51" t="e">
        <f>RECS_2!V18</f>
        <v>#N/A</v>
      </c>
      <c r="U31" s="51" t="e">
        <f>RECS_2!W18</f>
        <v>#N/A</v>
      </c>
      <c r="V31" s="51" t="e">
        <f>RECS_2!X18</f>
        <v>#N/A</v>
      </c>
      <c r="W31" s="216">
        <f t="shared" ref="W31:X31" si="35">P31+Q31</f>
        <v>79.653923119999988</v>
      </c>
      <c r="X31" s="216">
        <f t="shared" si="35"/>
        <v>15.350613239999999</v>
      </c>
      <c r="AR31" s="51">
        <v>58.18</v>
      </c>
      <c r="AS31" s="51">
        <v>1.2450000000000001</v>
      </c>
      <c r="AT31" s="51">
        <v>43.04</v>
      </c>
      <c r="AU31" s="51">
        <v>8.2729999999999997</v>
      </c>
      <c r="AV31" s="51">
        <v>3.266</v>
      </c>
      <c r="AW31" s="51">
        <v>2.3559999999999999</v>
      </c>
      <c r="AX31" s="51">
        <f t="shared" si="30"/>
        <v>51.313000000000002</v>
      </c>
      <c r="AY31" s="51">
        <f t="shared" si="31"/>
        <v>5.6219999999999999</v>
      </c>
      <c r="BA31" s="51">
        <f>RECS_2!AA32</f>
        <v>24.491</v>
      </c>
      <c r="BB31" s="51">
        <f>RECS_2!AB32</f>
        <v>1.22</v>
      </c>
      <c r="BC31" s="51">
        <f>RECS_2!AC32</f>
        <v>15.45</v>
      </c>
      <c r="BD31" s="51">
        <f>RECS_2!AD32</f>
        <v>2.8319999999999999</v>
      </c>
      <c r="BE31" s="51">
        <f>RECS_2!AE32</f>
        <v>2.173</v>
      </c>
      <c r="BF31" s="51">
        <f>RECS_2!AF32</f>
        <v>2.8170000000000002</v>
      </c>
      <c r="BG31" s="51">
        <f t="shared" si="32"/>
        <v>18.282</v>
      </c>
      <c r="BH31" s="51">
        <f t="shared" si="33"/>
        <v>4.99</v>
      </c>
      <c r="BJ31" s="51">
        <f t="shared" si="34"/>
        <v>2001</v>
      </c>
      <c r="BK31" s="51">
        <f t="shared" si="22"/>
        <v>2375.5665346453802</v>
      </c>
      <c r="BL31" s="51">
        <f t="shared" si="23"/>
        <v>1020.4918032786887</v>
      </c>
      <c r="BM31" s="51">
        <f t="shared" si="24"/>
        <v>2785.7605177993528</v>
      </c>
      <c r="BN31" s="51">
        <f t="shared" si="25"/>
        <v>2921.2570621468926</v>
      </c>
      <c r="BO31" s="51">
        <f t="shared" si="26"/>
        <v>1502.9912563276575</v>
      </c>
      <c r="BP31" s="51">
        <f t="shared" si="27"/>
        <v>836.35072772452952</v>
      </c>
      <c r="BQ31" s="51">
        <f t="shared" si="28"/>
        <v>2806.7498085548632</v>
      </c>
      <c r="BR31" s="51">
        <f t="shared" si="29"/>
        <v>1126.6533066132265</v>
      </c>
    </row>
    <row r="32" spans="1:70" x14ac:dyDescent="0.2">
      <c r="A32" s="93" t="s">
        <v>143</v>
      </c>
      <c r="B32" s="90">
        <v>1.94</v>
      </c>
      <c r="C32" s="90">
        <v>1.74</v>
      </c>
      <c r="D32" s="90">
        <v>1.45</v>
      </c>
      <c r="E32" s="90">
        <v>1.81</v>
      </c>
      <c r="F32" s="90">
        <v>1.83</v>
      </c>
      <c r="G32" s="90">
        <v>1.68</v>
      </c>
      <c r="H32" s="90">
        <v>2.5499999999999998</v>
      </c>
      <c r="I32" s="90">
        <v>3.18</v>
      </c>
      <c r="J32" s="90">
        <v>3.4510000000000001</v>
      </c>
      <c r="K32" s="90">
        <v>4.0524362888400001</v>
      </c>
      <c r="L32" s="95"/>
      <c r="M32" s="51">
        <v>2009</v>
      </c>
      <c r="O32" s="51">
        <v>6.9</v>
      </c>
      <c r="P32" s="51">
        <v>71.8</v>
      </c>
      <c r="Q32" s="51">
        <v>6.7</v>
      </c>
      <c r="R32" s="51">
        <v>9</v>
      </c>
      <c r="S32" s="51">
        <v>19.100000000000001</v>
      </c>
      <c r="W32" s="216">
        <f t="shared" ref="W32" si="36">P32+Q32</f>
        <v>78.5</v>
      </c>
      <c r="X32" s="216">
        <f t="shared" ref="X32" si="37">Q32+R32</f>
        <v>15.7</v>
      </c>
      <c r="AR32" s="51">
        <v>65.690008157039998</v>
      </c>
      <c r="AS32" s="51">
        <v>0.83648927824999997</v>
      </c>
      <c r="AT32" s="51">
        <v>56.111823793269998</v>
      </c>
      <c r="AU32" s="51">
        <v>3.8974926893299999</v>
      </c>
      <c r="AV32" s="51">
        <v>2.0537016674199999</v>
      </c>
      <c r="AW32" s="51">
        <v>2.7905007287700001</v>
      </c>
      <c r="AX32" s="51">
        <f t="shared" si="30"/>
        <v>60.009316482599999</v>
      </c>
      <c r="AY32" s="51">
        <f t="shared" si="31"/>
        <v>4.84420239619</v>
      </c>
      <c r="BA32" s="51">
        <f>RECS_2!AA33</f>
        <v>25.603971000000001</v>
      </c>
      <c r="BB32" s="51">
        <f>RECS_2!AB33</f>
        <v>0.76502977000000005</v>
      </c>
      <c r="BC32" s="51">
        <f>RECS_2!AC33</f>
        <v>18.693806949999999</v>
      </c>
      <c r="BD32" s="51">
        <f>RECS_2!AD33</f>
        <v>1.50499136</v>
      </c>
      <c r="BE32" s="51">
        <f>RECS_2!AE33</f>
        <v>1.52241157</v>
      </c>
      <c r="BF32" s="51">
        <f>RECS_2!AF33</f>
        <v>3.1177313600000001</v>
      </c>
      <c r="BG32" s="51">
        <f t="shared" si="32"/>
        <v>20.198798310000001</v>
      </c>
      <c r="BH32" s="51">
        <f t="shared" si="33"/>
        <v>4.6401429299999997</v>
      </c>
      <c r="BJ32" s="51">
        <f t="shared" si="34"/>
        <v>2005</v>
      </c>
      <c r="BK32" s="51">
        <f t="shared" si="22"/>
        <v>2565.6179721903291</v>
      </c>
      <c r="BL32" s="51">
        <f t="shared" si="23"/>
        <v>1093.4074869400179</v>
      </c>
      <c r="BM32" s="51">
        <f t="shared" si="24"/>
        <v>3001.6263644613064</v>
      </c>
      <c r="BN32" s="51">
        <f t="shared" si="25"/>
        <v>2589.7110062678366</v>
      </c>
      <c r="BO32" s="51">
        <f t="shared" si="26"/>
        <v>1348.9792825339603</v>
      </c>
      <c r="BP32" s="51">
        <f t="shared" si="27"/>
        <v>895.0420695547034</v>
      </c>
      <c r="BQ32" s="51">
        <f t="shared" si="28"/>
        <v>2970.9349814583102</v>
      </c>
      <c r="BR32" s="51">
        <f t="shared" si="29"/>
        <v>1043.9769785690632</v>
      </c>
    </row>
    <row r="33" spans="1:70" x14ac:dyDescent="0.2">
      <c r="A33" s="93" t="s">
        <v>144</v>
      </c>
      <c r="B33" s="90">
        <v>35</v>
      </c>
      <c r="C33" s="90">
        <v>35.11</v>
      </c>
      <c r="D33" s="90">
        <v>37.11</v>
      </c>
      <c r="E33" s="90">
        <v>36.64</v>
      </c>
      <c r="F33" s="90">
        <v>37.47</v>
      </c>
      <c r="G33" s="90">
        <v>42.48</v>
      </c>
      <c r="H33" s="90">
        <v>44.87</v>
      </c>
      <c r="I33" s="90">
        <v>42.99</v>
      </c>
      <c r="J33" s="90">
        <v>59.875999999999998</v>
      </c>
      <c r="K33" s="90">
        <v>78.913996374850001</v>
      </c>
      <c r="L33" s="95"/>
      <c r="M33" s="51">
        <v>2015</v>
      </c>
      <c r="O33" s="51">
        <v>6.8</v>
      </c>
      <c r="P33" s="51">
        <v>73.900000000000006</v>
      </c>
      <c r="Q33" s="51">
        <v>7</v>
      </c>
      <c r="R33" s="51">
        <v>9.4</v>
      </c>
      <c r="S33" s="51">
        <v>21.1</v>
      </c>
      <c r="W33" s="216">
        <f t="shared" ref="W33" si="38">P33+Q33</f>
        <v>80.900000000000006</v>
      </c>
      <c r="X33" s="216">
        <f t="shared" ref="X33" si="39">Q33+R33</f>
        <v>16.399999999999999</v>
      </c>
    </row>
    <row r="34" spans="1:70" x14ac:dyDescent="0.2">
      <c r="A34" s="93" t="s">
        <v>145</v>
      </c>
      <c r="B34" s="90">
        <v>1.1200000000000001</v>
      </c>
      <c r="C34" s="90">
        <v>1.1200000000000001</v>
      </c>
      <c r="D34" s="90">
        <v>0.69</v>
      </c>
      <c r="E34" s="90">
        <v>1.81</v>
      </c>
      <c r="F34" s="90">
        <v>2.37</v>
      </c>
      <c r="G34" s="90">
        <v>2.59</v>
      </c>
      <c r="H34" s="90">
        <v>4.37</v>
      </c>
      <c r="I34" s="90">
        <v>4.0999999999999996</v>
      </c>
      <c r="J34" s="90">
        <v>6.5590000000000002</v>
      </c>
      <c r="K34" s="90">
        <v>3.2755992484299998</v>
      </c>
      <c r="L34" s="95"/>
    </row>
    <row r="35" spans="1:70" x14ac:dyDescent="0.2">
      <c r="A35" s="96" t="s">
        <v>146</v>
      </c>
      <c r="B35" s="90">
        <v>1.82</v>
      </c>
      <c r="C35" s="90">
        <v>1.59</v>
      </c>
      <c r="D35" s="90">
        <v>2.21</v>
      </c>
      <c r="E35" s="90">
        <v>1.53</v>
      </c>
      <c r="F35" s="90">
        <v>2.1</v>
      </c>
      <c r="G35" s="90">
        <v>2.34</v>
      </c>
      <c r="H35" s="90">
        <v>1.56</v>
      </c>
      <c r="I35" s="90">
        <v>1.34</v>
      </c>
      <c r="J35" s="90">
        <v>2.7370000000000001</v>
      </c>
      <c r="K35" s="90">
        <v>1.70180912948</v>
      </c>
      <c r="L35" s="95"/>
    </row>
    <row r="36" spans="1:70" x14ac:dyDescent="0.2">
      <c r="A36" s="96" t="s">
        <v>147</v>
      </c>
      <c r="B36" s="90">
        <v>2.31</v>
      </c>
      <c r="C36" s="90">
        <v>3.02</v>
      </c>
      <c r="D36" s="90">
        <v>2.23</v>
      </c>
      <c r="E36" s="90">
        <v>2.73</v>
      </c>
      <c r="F36" s="90">
        <v>3.37</v>
      </c>
      <c r="G36" s="90">
        <v>3.35</v>
      </c>
      <c r="H36" s="90">
        <v>3.79</v>
      </c>
      <c r="I36" s="90">
        <v>4.51</v>
      </c>
      <c r="J36" s="90">
        <v>4.008</v>
      </c>
      <c r="K36" s="90">
        <v>5.4883407585900006</v>
      </c>
      <c r="L36" s="95"/>
      <c r="M36" s="141" t="s">
        <v>720</v>
      </c>
    </row>
    <row r="37" spans="1:70" x14ac:dyDescent="0.2">
      <c r="A37" s="93"/>
      <c r="B37" s="90"/>
      <c r="C37" s="90"/>
      <c r="D37" s="90"/>
      <c r="E37" s="90"/>
      <c r="F37" s="90"/>
      <c r="G37" s="90"/>
      <c r="H37" s="90"/>
      <c r="I37" s="90"/>
      <c r="J37" s="90"/>
      <c r="K37" s="90"/>
      <c r="L37" s="95"/>
      <c r="AR37" s="51" t="s">
        <v>91</v>
      </c>
      <c r="AS37" s="51" t="s">
        <v>360</v>
      </c>
      <c r="AT37" s="51" t="s">
        <v>536</v>
      </c>
      <c r="AU37" s="51" t="s">
        <v>537</v>
      </c>
      <c r="AV37" s="51" t="s">
        <v>538</v>
      </c>
      <c r="AW37" s="51" t="s">
        <v>539</v>
      </c>
      <c r="AX37" s="51" t="s">
        <v>110</v>
      </c>
      <c r="AY37" s="51" t="s">
        <v>261</v>
      </c>
      <c r="BA37" s="141" t="s">
        <v>91</v>
      </c>
      <c r="BB37" s="141" t="s">
        <v>360</v>
      </c>
      <c r="BC37" s="141" t="s">
        <v>536</v>
      </c>
      <c r="BD37" s="141" t="s">
        <v>537</v>
      </c>
      <c r="BE37" s="141" t="s">
        <v>538</v>
      </c>
      <c r="BF37" s="141" t="s">
        <v>539</v>
      </c>
      <c r="BG37" s="141" t="s">
        <v>110</v>
      </c>
      <c r="BH37" s="141" t="s">
        <v>261</v>
      </c>
      <c r="BK37" s="141" t="s">
        <v>91</v>
      </c>
      <c r="BL37" s="141" t="s">
        <v>360</v>
      </c>
      <c r="BM37" s="141" t="s">
        <v>536</v>
      </c>
      <c r="BN37" s="141" t="s">
        <v>537</v>
      </c>
      <c r="BO37" s="141" t="s">
        <v>538</v>
      </c>
      <c r="BP37" s="141" t="s">
        <v>539</v>
      </c>
      <c r="BQ37" s="141" t="s">
        <v>110</v>
      </c>
      <c r="BR37" s="141" t="s">
        <v>261</v>
      </c>
    </row>
    <row r="38" spans="1:70" x14ac:dyDescent="0.2">
      <c r="A38" s="89" t="s">
        <v>151</v>
      </c>
      <c r="B38" s="90">
        <v>24.67</v>
      </c>
      <c r="C38" s="90">
        <v>25.06</v>
      </c>
      <c r="D38" s="90">
        <v>24.29</v>
      </c>
      <c r="E38" s="90">
        <v>25.68</v>
      </c>
      <c r="F38" s="90">
        <v>28.59</v>
      </c>
      <c r="G38" s="90">
        <v>29.5</v>
      </c>
      <c r="H38" s="90">
        <v>33.46</v>
      </c>
      <c r="I38" s="90">
        <v>32</v>
      </c>
      <c r="J38" s="90">
        <v>40.982999999999997</v>
      </c>
      <c r="K38" s="90">
        <v>47.477302019180001</v>
      </c>
      <c r="L38" s="95"/>
      <c r="M38" s="51">
        <f t="shared" ref="M38:M47" si="40">M22</f>
        <v>1980</v>
      </c>
      <c r="N38" s="216">
        <f t="shared" ref="N38:X38" si="41">N9/N22*1000</f>
        <v>1746.3235294117646</v>
      </c>
      <c r="O38" s="216">
        <f t="shared" si="41"/>
        <v>826.08695652173913</v>
      </c>
      <c r="P38" s="216">
        <f t="shared" si="41"/>
        <v>2130.9433962264152</v>
      </c>
      <c r="Q38" s="216">
        <f t="shared" si="41"/>
        <v>1839.3939393939395</v>
      </c>
      <c r="R38" s="216">
        <f t="shared" si="41"/>
        <v>1089.8989898989896</v>
      </c>
      <c r="S38" s="216">
        <f t="shared" si="41"/>
        <v>823.14814814814815</v>
      </c>
      <c r="T38" s="216" t="e">
        <f t="shared" si="41"/>
        <v>#N/A</v>
      </c>
      <c r="U38" s="216" t="e">
        <f t="shared" si="41"/>
        <v>#N/A</v>
      </c>
      <c r="V38" s="216" t="e">
        <f t="shared" si="41"/>
        <v>#N/A</v>
      </c>
      <c r="W38" s="216">
        <f t="shared" si="41"/>
        <v>2113.8543516873888</v>
      </c>
      <c r="X38" s="216">
        <f t="shared" si="41"/>
        <v>950.72463768115927</v>
      </c>
      <c r="AR38" s="51">
        <f t="array" ref="AR38:AW47">TRANSPOSE(B31:K36)</f>
        <v>42.18</v>
      </c>
      <c r="AS38" s="51">
        <v>1.94</v>
      </c>
      <c r="AT38" s="51">
        <v>35</v>
      </c>
      <c r="AU38" s="51">
        <v>1.1200000000000001</v>
      </c>
      <c r="AV38" s="51">
        <v>1.82</v>
      </c>
      <c r="AW38" s="51">
        <v>2.31</v>
      </c>
      <c r="AX38" s="51">
        <f>AT38+AU38</f>
        <v>36.119999999999997</v>
      </c>
      <c r="AY38" s="51">
        <f>AV38+AW38</f>
        <v>4.13</v>
      </c>
      <c r="BA38" s="51">
        <f>RECS_2!AA38</f>
        <v>26.9</v>
      </c>
      <c r="BB38" s="51">
        <f>RECS_2!AB38</f>
        <v>2.4</v>
      </c>
      <c r="BC38" s="51">
        <f>RECS_2!AC38</f>
        <v>19.100000000000001</v>
      </c>
      <c r="BD38" s="51">
        <f>RECS_2!AD38</f>
        <v>0.6</v>
      </c>
      <c r="BE38" s="51">
        <f>RECS_2!AE38</f>
        <v>2</v>
      </c>
      <c r="BF38" s="51">
        <f>RECS_2!AF38</f>
        <v>2.8</v>
      </c>
      <c r="BG38" s="51">
        <f>BC38+BD38</f>
        <v>19.700000000000003</v>
      </c>
      <c r="BH38" s="51">
        <f>BE38+BF38</f>
        <v>4.8</v>
      </c>
      <c r="BJ38" s="51">
        <f>BJ23</f>
        <v>1980</v>
      </c>
      <c r="BK38" s="51">
        <f t="shared" ref="BK38:BK47" si="42">AR38/BA38*1000</f>
        <v>1568.0297397769518</v>
      </c>
      <c r="BL38" s="51">
        <f t="shared" ref="BL38:BL47" si="43">AS38/BB38*1000</f>
        <v>808.33333333333337</v>
      </c>
      <c r="BM38" s="51">
        <f t="shared" ref="BM38:BM47" si="44">AT38/BC38*1000</f>
        <v>1832.4607329842929</v>
      </c>
      <c r="BN38" s="51">
        <f t="shared" ref="BN38:BN47" si="45">AU38/BD38*1000</f>
        <v>1866.666666666667</v>
      </c>
      <c r="BO38" s="51">
        <f t="shared" ref="BO38:BO47" si="46">AV38/BE38*1000</f>
        <v>910</v>
      </c>
      <c r="BP38" s="51">
        <f t="shared" ref="BP38:BP47" si="47">AW38/BF38*1000</f>
        <v>825.00000000000011</v>
      </c>
      <c r="BQ38" s="51">
        <f t="shared" ref="BQ38:BQ47" si="48">AX38/BG38*1000</f>
        <v>1833.5025380710656</v>
      </c>
      <c r="BR38" s="51">
        <f t="shared" ref="BR38:BR47" si="49">AY38/BH38*1000</f>
        <v>860.41666666666674</v>
      </c>
    </row>
    <row r="39" spans="1:70" x14ac:dyDescent="0.2">
      <c r="A39" s="93" t="s">
        <v>143</v>
      </c>
      <c r="B39" s="90">
        <v>0.91</v>
      </c>
      <c r="C39" s="90">
        <v>0.81</v>
      </c>
      <c r="D39" s="90">
        <v>0.88</v>
      </c>
      <c r="E39" s="90">
        <v>0.95</v>
      </c>
      <c r="F39" s="90">
        <v>1.04</v>
      </c>
      <c r="G39" s="90">
        <v>1.19</v>
      </c>
      <c r="H39" s="90">
        <v>0.99</v>
      </c>
      <c r="I39" s="90">
        <v>1.65</v>
      </c>
      <c r="J39" s="90">
        <v>1.85</v>
      </c>
      <c r="K39" s="90">
        <v>2.0987516931900001</v>
      </c>
      <c r="L39" s="95"/>
      <c r="M39" s="51">
        <f t="shared" si="40"/>
        <v>1981</v>
      </c>
      <c r="N39" s="216">
        <f t="shared" ref="N39:X39" si="50">N10/N23*1000</f>
        <v>1735.2587244283995</v>
      </c>
      <c r="O39" s="216">
        <f t="shared" si="50"/>
        <v>880.95238095238096</v>
      </c>
      <c r="P39" s="216">
        <f t="shared" si="50"/>
        <v>2091.7582417582416</v>
      </c>
      <c r="Q39" s="216">
        <f t="shared" si="50"/>
        <v>1950</v>
      </c>
      <c r="R39" s="216">
        <f t="shared" si="50"/>
        <v>1130.1075268817203</v>
      </c>
      <c r="S39" s="216">
        <f t="shared" si="50"/>
        <v>828.33333333333326</v>
      </c>
      <c r="T39" s="216" t="e">
        <f t="shared" si="50"/>
        <v>#N/A</v>
      </c>
      <c r="U39" s="216" t="e">
        <f t="shared" si="50"/>
        <v>#N/A</v>
      </c>
      <c r="V39" s="216" t="e">
        <f t="shared" si="50"/>
        <v>#N/A</v>
      </c>
      <c r="W39" s="216">
        <f t="shared" si="50"/>
        <v>2084.3749999999995</v>
      </c>
      <c r="X39" s="216">
        <f t="shared" si="50"/>
        <v>960.09389671361498</v>
      </c>
      <c r="AR39" s="51">
        <v>42.59</v>
      </c>
      <c r="AS39" s="51">
        <v>1.74</v>
      </c>
      <c r="AT39" s="51">
        <v>35.11</v>
      </c>
      <c r="AU39" s="51">
        <v>1.1200000000000001</v>
      </c>
      <c r="AV39" s="51">
        <v>1.59</v>
      </c>
      <c r="AW39" s="51">
        <v>3.02</v>
      </c>
      <c r="AX39" s="51">
        <f t="shared" ref="AX39:AX47" si="51">AT39+AU39</f>
        <v>36.229999999999997</v>
      </c>
      <c r="AY39" s="51">
        <f t="shared" ref="AY39:AY47" si="52">AV39+AW39</f>
        <v>4.6100000000000003</v>
      </c>
      <c r="BA39" s="51">
        <f>RECS_2!AA39</f>
        <v>27.7</v>
      </c>
      <c r="BB39" s="51">
        <f>RECS_2!AB39</f>
        <v>2.1</v>
      </c>
      <c r="BC39" s="51">
        <f>RECS_2!AC39</f>
        <v>19.899999999999999</v>
      </c>
      <c r="BD39" s="51">
        <f>RECS_2!AD39</f>
        <v>0.7</v>
      </c>
      <c r="BE39" s="51">
        <f>RECS_2!AE39</f>
        <v>1.8</v>
      </c>
      <c r="BF39" s="51">
        <f>RECS_2!AF39</f>
        <v>3.2</v>
      </c>
      <c r="BG39" s="51">
        <f t="shared" ref="BG39:BG47" si="53">BC39+BD39</f>
        <v>20.599999999999998</v>
      </c>
      <c r="BH39" s="51">
        <f t="shared" ref="BH39:BH47" si="54">BE39+BF39</f>
        <v>5</v>
      </c>
      <c r="BJ39" s="51">
        <f t="shared" ref="BJ39:BJ47" si="55">BJ24</f>
        <v>1981</v>
      </c>
      <c r="BK39" s="51">
        <f t="shared" si="42"/>
        <v>1537.5451263537907</v>
      </c>
      <c r="BL39" s="51">
        <f t="shared" si="43"/>
        <v>828.57142857142856</v>
      </c>
      <c r="BM39" s="51">
        <f t="shared" si="44"/>
        <v>1764.321608040201</v>
      </c>
      <c r="BN39" s="51">
        <f t="shared" si="45"/>
        <v>1600.0000000000002</v>
      </c>
      <c r="BO39" s="51">
        <f t="shared" si="46"/>
        <v>883.33333333333326</v>
      </c>
      <c r="BP39" s="51">
        <f t="shared" si="47"/>
        <v>943.75</v>
      </c>
      <c r="BQ39" s="51">
        <f t="shared" si="48"/>
        <v>1758.7378640776699</v>
      </c>
      <c r="BR39" s="51">
        <f t="shared" si="49"/>
        <v>922</v>
      </c>
    </row>
    <row r="40" spans="1:70" x14ac:dyDescent="0.2">
      <c r="A40" s="93" t="s">
        <v>144</v>
      </c>
      <c r="B40" s="90">
        <v>18.97</v>
      </c>
      <c r="C40" s="90">
        <v>19.489999999999998</v>
      </c>
      <c r="D40" s="90">
        <v>17.89</v>
      </c>
      <c r="E40" s="90">
        <v>18.690000000000001</v>
      </c>
      <c r="F40" s="90">
        <v>20.65</v>
      </c>
      <c r="G40" s="90">
        <v>21.97</v>
      </c>
      <c r="H40" s="90">
        <v>24.81</v>
      </c>
      <c r="I40" s="90">
        <v>23.14</v>
      </c>
      <c r="J40" s="90">
        <v>29.821999999999999</v>
      </c>
      <c r="K40" s="90">
        <v>37.594850201699998</v>
      </c>
      <c r="L40" s="95"/>
      <c r="M40" s="51">
        <f t="shared" si="40"/>
        <v>1982</v>
      </c>
      <c r="N40" s="216">
        <f t="shared" ref="N40:X40" si="56">N11/N24*1000</f>
        <v>1697.4940334128878</v>
      </c>
      <c r="O40" s="216">
        <f t="shared" si="56"/>
        <v>870.27027027027032</v>
      </c>
      <c r="P40" s="216">
        <f t="shared" si="56"/>
        <v>2060.2230483271373</v>
      </c>
      <c r="Q40" s="216">
        <f t="shared" si="56"/>
        <v>1774.3589743589744</v>
      </c>
      <c r="R40" s="216">
        <f t="shared" si="56"/>
        <v>1142.5742574257424</v>
      </c>
      <c r="S40" s="216">
        <f t="shared" si="56"/>
        <v>797.54098360655746</v>
      </c>
      <c r="T40" s="216" t="e">
        <f t="shared" si="56"/>
        <v>#N/A</v>
      </c>
      <c r="U40" s="216" t="e">
        <f t="shared" si="56"/>
        <v>#N/A</v>
      </c>
      <c r="V40" s="216" t="e">
        <f t="shared" si="56"/>
        <v>#N/A</v>
      </c>
      <c r="W40" s="216">
        <f t="shared" si="56"/>
        <v>2040.9012131715776</v>
      </c>
      <c r="X40" s="216">
        <f t="shared" si="56"/>
        <v>953.81165919282523</v>
      </c>
      <c r="AR40" s="51">
        <v>43.69</v>
      </c>
      <c r="AS40" s="51">
        <v>1.45</v>
      </c>
      <c r="AT40" s="51">
        <v>37.11</v>
      </c>
      <c r="AU40" s="51">
        <v>0.69</v>
      </c>
      <c r="AV40" s="51">
        <v>2.21</v>
      </c>
      <c r="AW40" s="51">
        <v>2.23</v>
      </c>
      <c r="AX40" s="51">
        <f t="shared" si="51"/>
        <v>37.799999999999997</v>
      </c>
      <c r="AY40" s="51">
        <f t="shared" si="52"/>
        <v>4.4399999999999995</v>
      </c>
      <c r="BA40" s="51">
        <f>RECS_2!AA40</f>
        <v>28</v>
      </c>
      <c r="BB40" s="51">
        <f>RECS_2!AB40</f>
        <v>1.8</v>
      </c>
      <c r="BC40" s="51">
        <f>RECS_2!AC40</f>
        <v>20.5</v>
      </c>
      <c r="BD40" s="51">
        <f>RECS_2!AD40</f>
        <v>0.4</v>
      </c>
      <c r="BE40" s="51">
        <f>RECS_2!AE40</f>
        <v>2.4</v>
      </c>
      <c r="BF40" s="51">
        <f>RECS_2!AF40</f>
        <v>3</v>
      </c>
      <c r="BG40" s="51">
        <f t="shared" si="53"/>
        <v>20.9</v>
      </c>
      <c r="BH40" s="51">
        <f t="shared" si="54"/>
        <v>5.4</v>
      </c>
      <c r="BJ40" s="51">
        <f t="shared" si="55"/>
        <v>1982</v>
      </c>
      <c r="BK40" s="51">
        <f t="shared" si="42"/>
        <v>1560.3571428571427</v>
      </c>
      <c r="BL40" s="51">
        <f t="shared" si="43"/>
        <v>805.55555555555543</v>
      </c>
      <c r="BM40" s="51">
        <f t="shared" si="44"/>
        <v>1810.2439024390244</v>
      </c>
      <c r="BN40" s="51">
        <f t="shared" si="45"/>
        <v>1724.9999999999998</v>
      </c>
      <c r="BO40" s="51">
        <f t="shared" si="46"/>
        <v>920.83333333333337</v>
      </c>
      <c r="BP40" s="51">
        <f t="shared" si="47"/>
        <v>743.33333333333326</v>
      </c>
      <c r="BQ40" s="51">
        <f t="shared" si="48"/>
        <v>1808.6124401913873</v>
      </c>
      <c r="BR40" s="51">
        <f t="shared" si="49"/>
        <v>822.22222222222206</v>
      </c>
    </row>
    <row r="41" spans="1:70" x14ac:dyDescent="0.2">
      <c r="A41" s="93" t="s">
        <v>145</v>
      </c>
      <c r="B41" s="90">
        <v>1.34</v>
      </c>
      <c r="C41" s="90">
        <v>1.29</v>
      </c>
      <c r="D41" s="90">
        <v>1.38</v>
      </c>
      <c r="E41" s="90">
        <v>0.52</v>
      </c>
      <c r="F41" s="90">
        <v>1.47</v>
      </c>
      <c r="G41" s="90">
        <v>1.83</v>
      </c>
      <c r="H41" s="90">
        <v>2.39</v>
      </c>
      <c r="I41" s="90">
        <v>2.88</v>
      </c>
      <c r="J41" s="90">
        <v>3.609</v>
      </c>
      <c r="K41" s="90">
        <v>3.30322369254</v>
      </c>
      <c r="L41" s="95"/>
      <c r="M41" s="51">
        <f t="shared" si="40"/>
        <v>1984</v>
      </c>
      <c r="N41" s="216">
        <f t="shared" ref="N41:X41" si="57">N12/N25*1000</f>
        <v>1672.769409038239</v>
      </c>
      <c r="O41" s="216">
        <f t="shared" si="57"/>
        <v>843.13725490196077</v>
      </c>
      <c r="P41" s="216">
        <f t="shared" si="57"/>
        <v>2050.2803738317757</v>
      </c>
      <c r="Q41" s="216">
        <f t="shared" si="57"/>
        <v>1870.7317073170732</v>
      </c>
      <c r="R41" s="216">
        <f t="shared" si="57"/>
        <v>1161</v>
      </c>
      <c r="S41" s="216">
        <f t="shared" si="57"/>
        <v>815.44117647058818</v>
      </c>
      <c r="T41" s="216" t="e">
        <f t="shared" si="57"/>
        <v>#N/A</v>
      </c>
      <c r="U41" s="216" t="e">
        <f t="shared" si="57"/>
        <v>#N/A</v>
      </c>
      <c r="V41" s="216" t="e">
        <f t="shared" si="57"/>
        <v>#N/A</v>
      </c>
      <c r="W41" s="216">
        <f t="shared" si="57"/>
        <v>2037.5</v>
      </c>
      <c r="X41" s="216">
        <f t="shared" si="57"/>
        <v>961.86440677966084</v>
      </c>
      <c r="AR41" s="51">
        <v>44.52</v>
      </c>
      <c r="AS41" s="51">
        <v>1.81</v>
      </c>
      <c r="AT41" s="51">
        <v>36.64</v>
      </c>
      <c r="AU41" s="51">
        <v>1.81</v>
      </c>
      <c r="AV41" s="51">
        <v>1.53</v>
      </c>
      <c r="AW41" s="51">
        <v>2.73</v>
      </c>
      <c r="AX41" s="51">
        <f t="shared" si="51"/>
        <v>38.450000000000003</v>
      </c>
      <c r="AY41" s="51">
        <f t="shared" si="52"/>
        <v>4.26</v>
      </c>
      <c r="BA41" s="51">
        <f>RECS_2!AA41</f>
        <v>29.3</v>
      </c>
      <c r="BB41" s="51">
        <f>RECS_2!AB41</f>
        <v>2.2999999999999998</v>
      </c>
      <c r="BC41" s="51">
        <f>RECS_2!AC41</f>
        <v>20.7</v>
      </c>
      <c r="BD41" s="51">
        <f>RECS_2!AD41</f>
        <v>1.1000000000000001</v>
      </c>
      <c r="BE41" s="51">
        <f>RECS_2!AE41</f>
        <v>1.7</v>
      </c>
      <c r="BF41" s="51">
        <f>RECS_2!AF41</f>
        <v>3.5</v>
      </c>
      <c r="BG41" s="51">
        <f t="shared" si="53"/>
        <v>21.8</v>
      </c>
      <c r="BH41" s="51">
        <f t="shared" si="54"/>
        <v>5.2</v>
      </c>
      <c r="BJ41" s="51">
        <f t="shared" si="55"/>
        <v>1984</v>
      </c>
      <c r="BK41" s="51">
        <f t="shared" si="42"/>
        <v>1519.453924914676</v>
      </c>
      <c r="BL41" s="51">
        <f t="shared" si="43"/>
        <v>786.95652173913061</v>
      </c>
      <c r="BM41" s="51">
        <f t="shared" si="44"/>
        <v>1770.0483091787439</v>
      </c>
      <c r="BN41" s="51">
        <f t="shared" si="45"/>
        <v>1645.4545454545453</v>
      </c>
      <c r="BO41" s="51">
        <f t="shared" si="46"/>
        <v>900</v>
      </c>
      <c r="BP41" s="51">
        <f t="shared" si="47"/>
        <v>780</v>
      </c>
      <c r="BQ41" s="51">
        <f t="shared" si="48"/>
        <v>1763.7614678899083</v>
      </c>
      <c r="BR41" s="51">
        <f t="shared" si="49"/>
        <v>819.23076923076917</v>
      </c>
    </row>
    <row r="42" spans="1:70" x14ac:dyDescent="0.2">
      <c r="A42" s="96" t="s">
        <v>146</v>
      </c>
      <c r="B42" s="90">
        <v>1.45</v>
      </c>
      <c r="C42" s="90">
        <v>1.48</v>
      </c>
      <c r="D42" s="90">
        <v>1.56</v>
      </c>
      <c r="E42" s="90">
        <v>2.2400000000000002</v>
      </c>
      <c r="F42" s="90">
        <v>2.12</v>
      </c>
      <c r="G42" s="90">
        <v>1.67</v>
      </c>
      <c r="H42" s="90">
        <v>1.49</v>
      </c>
      <c r="I42" s="90">
        <v>0.71</v>
      </c>
      <c r="J42" s="90">
        <v>1.4890000000000001</v>
      </c>
      <c r="K42" s="90">
        <v>1.5345870756500002</v>
      </c>
      <c r="L42" s="95"/>
      <c r="M42" s="51">
        <f t="shared" si="40"/>
        <v>1987</v>
      </c>
      <c r="N42" s="216">
        <f t="shared" ref="N42:X42" si="58">N13/N26*1000</f>
        <v>1732.8176795580109</v>
      </c>
      <c r="O42" s="216">
        <f t="shared" si="58"/>
        <v>864.70588235294122</v>
      </c>
      <c r="P42" s="216">
        <f t="shared" si="58"/>
        <v>2150.1811594202895</v>
      </c>
      <c r="Q42" s="216">
        <f t="shared" si="58"/>
        <v>1920.7547169811321</v>
      </c>
      <c r="R42" s="216">
        <f t="shared" si="58"/>
        <v>1150.4950495049504</v>
      </c>
      <c r="S42" s="216">
        <f t="shared" si="58"/>
        <v>799.99999999999989</v>
      </c>
      <c r="T42" s="216" t="e">
        <f t="shared" si="58"/>
        <v>#N/A</v>
      </c>
      <c r="U42" s="216" t="e">
        <f t="shared" si="58"/>
        <v>#N/A</v>
      </c>
      <c r="V42" s="216" t="e">
        <f t="shared" si="58"/>
        <v>#N/A</v>
      </c>
      <c r="W42" s="216">
        <f t="shared" si="58"/>
        <v>2130.0826446280989</v>
      </c>
      <c r="X42" s="216">
        <f t="shared" si="58"/>
        <v>941.6</v>
      </c>
      <c r="AR42" s="51">
        <v>47.13</v>
      </c>
      <c r="AS42" s="51">
        <v>1.83</v>
      </c>
      <c r="AT42" s="51">
        <v>37.47</v>
      </c>
      <c r="AU42" s="51">
        <v>2.37</v>
      </c>
      <c r="AV42" s="51">
        <v>2.1</v>
      </c>
      <c r="AW42" s="51">
        <v>3.37</v>
      </c>
      <c r="AX42" s="51">
        <f t="shared" si="51"/>
        <v>39.839999999999996</v>
      </c>
      <c r="AY42" s="51">
        <f t="shared" si="52"/>
        <v>5.4700000000000006</v>
      </c>
      <c r="BA42" s="51">
        <f>RECS_2!AA42</f>
        <v>30.9</v>
      </c>
      <c r="BB42" s="51">
        <f>RECS_2!AB42</f>
        <v>2.2000000000000002</v>
      </c>
      <c r="BC42" s="51">
        <f>RECS_2!AC42</f>
        <v>20.8</v>
      </c>
      <c r="BD42" s="51">
        <f>RECS_2!AD42</f>
        <v>1.5</v>
      </c>
      <c r="BE42" s="51">
        <f>RECS_2!AE42</f>
        <v>2.2000000000000002</v>
      </c>
      <c r="BF42" s="51">
        <f>RECS_2!AF42</f>
        <v>4.2</v>
      </c>
      <c r="BG42" s="51">
        <f t="shared" si="53"/>
        <v>22.3</v>
      </c>
      <c r="BH42" s="51">
        <f t="shared" si="54"/>
        <v>6.4</v>
      </c>
      <c r="BJ42" s="51">
        <f t="shared" si="55"/>
        <v>1987</v>
      </c>
      <c r="BK42" s="51">
        <f t="shared" si="42"/>
        <v>1525.2427184466021</v>
      </c>
      <c r="BL42" s="51">
        <f t="shared" si="43"/>
        <v>831.81818181818176</v>
      </c>
      <c r="BM42" s="51">
        <f t="shared" si="44"/>
        <v>1801.4423076923076</v>
      </c>
      <c r="BN42" s="51">
        <f t="shared" si="45"/>
        <v>1580</v>
      </c>
      <c r="BO42" s="51">
        <f t="shared" si="46"/>
        <v>954.5454545454545</v>
      </c>
      <c r="BP42" s="51">
        <f t="shared" si="47"/>
        <v>802.38095238095241</v>
      </c>
      <c r="BQ42" s="51">
        <f t="shared" si="48"/>
        <v>1786.5470852017936</v>
      </c>
      <c r="BR42" s="51">
        <f t="shared" si="49"/>
        <v>854.6875</v>
      </c>
    </row>
    <row r="43" spans="1:70" x14ac:dyDescent="0.2">
      <c r="A43" s="96" t="s">
        <v>147</v>
      </c>
      <c r="B43" s="90">
        <v>2</v>
      </c>
      <c r="C43" s="90">
        <v>1.99</v>
      </c>
      <c r="D43" s="90">
        <v>2.59</v>
      </c>
      <c r="E43" s="90">
        <v>3.28</v>
      </c>
      <c r="F43" s="90">
        <v>3.32</v>
      </c>
      <c r="G43" s="90">
        <v>2.84</v>
      </c>
      <c r="H43" s="90">
        <v>3.78</v>
      </c>
      <c r="I43" s="90">
        <v>3.62</v>
      </c>
      <c r="J43" s="90">
        <v>4.2119999999999997</v>
      </c>
      <c r="K43" s="90">
        <v>2.9458893560999999</v>
      </c>
      <c r="L43" s="95"/>
      <c r="M43" s="51">
        <f t="shared" si="40"/>
        <v>1990</v>
      </c>
      <c r="N43" s="216">
        <f t="shared" ref="N43:X43" si="59">N14/N27*1000</f>
        <v>1800.31914893617</v>
      </c>
      <c r="O43" s="216">
        <f t="shared" si="59"/>
        <v>942.30769230769226</v>
      </c>
      <c r="P43" s="216">
        <f t="shared" si="59"/>
        <v>2240.7534246575347</v>
      </c>
      <c r="Q43" s="216">
        <f t="shared" si="59"/>
        <v>1668.3333333333333</v>
      </c>
      <c r="R43" s="216">
        <f t="shared" si="59"/>
        <v>1178</v>
      </c>
      <c r="S43" s="216">
        <f t="shared" si="59"/>
        <v>811.11111111111109</v>
      </c>
      <c r="T43" s="216" t="e">
        <f t="shared" si="59"/>
        <v>#N/A</v>
      </c>
      <c r="U43" s="216" t="e">
        <f t="shared" si="59"/>
        <v>#N/A</v>
      </c>
      <c r="V43" s="216" t="e">
        <f t="shared" si="59"/>
        <v>#N/A</v>
      </c>
      <c r="W43" s="216">
        <f t="shared" si="59"/>
        <v>2187.4223602484471</v>
      </c>
      <c r="X43" s="216">
        <f t="shared" si="59"/>
        <v>961.47540983606575</v>
      </c>
      <c r="AR43" s="51">
        <v>52.44</v>
      </c>
      <c r="AS43" s="51">
        <v>1.68</v>
      </c>
      <c r="AT43" s="51">
        <v>42.48</v>
      </c>
      <c r="AU43" s="51">
        <v>2.59</v>
      </c>
      <c r="AV43" s="51">
        <v>2.34</v>
      </c>
      <c r="AW43" s="51">
        <v>3.35</v>
      </c>
      <c r="AX43" s="51">
        <f t="shared" si="51"/>
        <v>45.069999999999993</v>
      </c>
      <c r="AY43" s="51">
        <f t="shared" si="52"/>
        <v>5.6899999999999995</v>
      </c>
      <c r="BA43" s="51">
        <f>RECS_2!AA43</f>
        <v>32.299999999999997</v>
      </c>
      <c r="BB43" s="51">
        <f>RECS_2!AB43</f>
        <v>1.9</v>
      </c>
      <c r="BC43" s="51">
        <f>RECS_2!AC43</f>
        <v>21.8</v>
      </c>
      <c r="BD43" s="51">
        <f>RECS_2!AD43</f>
        <v>1.9</v>
      </c>
      <c r="BE43" s="51">
        <f>RECS_2!AE43</f>
        <v>2.4</v>
      </c>
      <c r="BF43" s="51">
        <f>RECS_2!AF43</f>
        <v>4.3</v>
      </c>
      <c r="BG43" s="51">
        <f t="shared" si="53"/>
        <v>23.7</v>
      </c>
      <c r="BH43" s="51">
        <f t="shared" si="54"/>
        <v>6.6999999999999993</v>
      </c>
      <c r="BJ43" s="51">
        <f t="shared" si="55"/>
        <v>1990</v>
      </c>
      <c r="BK43" s="51">
        <f t="shared" si="42"/>
        <v>1623.5294117647059</v>
      </c>
      <c r="BL43" s="51">
        <f t="shared" si="43"/>
        <v>884.21052631578948</v>
      </c>
      <c r="BM43" s="51">
        <f t="shared" si="44"/>
        <v>1948.623853211009</v>
      </c>
      <c r="BN43" s="51">
        <f t="shared" si="45"/>
        <v>1363.1578947368421</v>
      </c>
      <c r="BO43" s="51">
        <f t="shared" si="46"/>
        <v>975</v>
      </c>
      <c r="BP43" s="51">
        <f t="shared" si="47"/>
        <v>779.06976744186056</v>
      </c>
      <c r="BQ43" s="51">
        <f t="shared" si="48"/>
        <v>1901.6877637130799</v>
      </c>
      <c r="BR43" s="51">
        <f t="shared" si="49"/>
        <v>849.25373134328368</v>
      </c>
    </row>
    <row r="44" spans="1:70" x14ac:dyDescent="0.2">
      <c r="A44" s="96"/>
      <c r="B44" s="90"/>
      <c r="C44" s="90"/>
      <c r="D44" s="90"/>
      <c r="E44" s="90"/>
      <c r="F44" s="90"/>
      <c r="G44" s="90"/>
      <c r="H44" s="90"/>
      <c r="I44" s="90"/>
      <c r="J44" s="90"/>
      <c r="M44" s="51">
        <f t="shared" si="40"/>
        <v>1993</v>
      </c>
      <c r="N44" s="216">
        <f t="shared" ref="N44:X44" si="60">N15/N28*1000</f>
        <v>1876.086956521739</v>
      </c>
      <c r="O44" s="216">
        <f t="shared" si="60"/>
        <v>971.42857142857156</v>
      </c>
      <c r="P44" s="216">
        <f t="shared" si="60"/>
        <v>2337.1428571428573</v>
      </c>
      <c r="Q44" s="216">
        <f t="shared" si="60"/>
        <v>1800</v>
      </c>
      <c r="R44" s="216">
        <f t="shared" si="60"/>
        <v>1201.25</v>
      </c>
      <c r="S44" s="216">
        <f t="shared" si="60"/>
        <v>862.34567901234573</v>
      </c>
      <c r="T44" s="216" t="e">
        <f t="shared" si="60"/>
        <v>#N/A</v>
      </c>
      <c r="U44" s="216" t="e">
        <f t="shared" si="60"/>
        <v>#N/A</v>
      </c>
      <c r="V44" s="216" t="e">
        <f t="shared" si="60"/>
        <v>#N/A</v>
      </c>
      <c r="W44" s="216">
        <f t="shared" si="60"/>
        <v>2278.443113772455</v>
      </c>
      <c r="X44" s="216">
        <f t="shared" si="60"/>
        <v>974.38016528925618</v>
      </c>
      <c r="AR44" s="51">
        <v>57.15</v>
      </c>
      <c r="AS44" s="51">
        <v>2.5499999999999998</v>
      </c>
      <c r="AT44" s="51">
        <v>44.87</v>
      </c>
      <c r="AU44" s="51">
        <v>4.37</v>
      </c>
      <c r="AV44" s="51">
        <v>1.56</v>
      </c>
      <c r="AW44" s="51">
        <v>3.79</v>
      </c>
      <c r="AX44" s="51">
        <f t="shared" si="51"/>
        <v>49.239999999999995</v>
      </c>
      <c r="AY44" s="51">
        <f t="shared" si="52"/>
        <v>5.35</v>
      </c>
      <c r="BA44" s="51">
        <f>RECS_2!AA44</f>
        <v>33.5</v>
      </c>
      <c r="BB44" s="51">
        <f>RECS_2!AB44</f>
        <v>2.6</v>
      </c>
      <c r="BC44" s="51">
        <f>RECS_2!AC44</f>
        <v>22.3</v>
      </c>
      <c r="BD44" s="51">
        <f>RECS_2!AD44</f>
        <v>2.5</v>
      </c>
      <c r="BE44" s="51">
        <f>RECS_2!AE44</f>
        <v>1.7</v>
      </c>
      <c r="BF44" s="51">
        <f>RECS_2!AF44</f>
        <v>4.4000000000000004</v>
      </c>
      <c r="BG44" s="51">
        <f t="shared" si="53"/>
        <v>24.8</v>
      </c>
      <c r="BH44" s="51">
        <f t="shared" si="54"/>
        <v>6.1000000000000005</v>
      </c>
      <c r="BJ44" s="51">
        <f t="shared" si="55"/>
        <v>1993</v>
      </c>
      <c r="BK44" s="51">
        <f t="shared" si="42"/>
        <v>1705.9701492537313</v>
      </c>
      <c r="BL44" s="51">
        <f t="shared" si="43"/>
        <v>980.7692307692306</v>
      </c>
      <c r="BM44" s="51">
        <f t="shared" si="44"/>
        <v>2012.1076233183858</v>
      </c>
      <c r="BN44" s="51">
        <f t="shared" si="45"/>
        <v>1748</v>
      </c>
      <c r="BO44" s="51">
        <f t="shared" si="46"/>
        <v>917.64705882352951</v>
      </c>
      <c r="BP44" s="51">
        <f t="shared" si="47"/>
        <v>861.36363636363637</v>
      </c>
      <c r="BQ44" s="51">
        <f t="shared" si="48"/>
        <v>1985.4838709677415</v>
      </c>
      <c r="BR44" s="51">
        <f t="shared" si="49"/>
        <v>877.04918032786873</v>
      </c>
    </row>
    <row r="45" spans="1:70" x14ac:dyDescent="0.2">
      <c r="A45" s="93" t="s">
        <v>152</v>
      </c>
      <c r="B45" s="93"/>
      <c r="C45" s="93"/>
      <c r="D45" s="93"/>
      <c r="E45" s="93"/>
      <c r="F45" s="93"/>
      <c r="G45" s="93"/>
      <c r="H45" s="93"/>
      <c r="I45" s="93"/>
      <c r="M45" s="51">
        <f t="shared" si="40"/>
        <v>1997</v>
      </c>
      <c r="N45" s="216">
        <f t="shared" ref="N45:X45" si="61">N16/N29*1000</f>
        <v>1663.152709359606</v>
      </c>
      <c r="O45" s="216">
        <f t="shared" si="61"/>
        <v>995.23809523809518</v>
      </c>
      <c r="P45" s="216">
        <f t="shared" si="61"/>
        <v>2019.9059561128529</v>
      </c>
      <c r="Q45" s="216">
        <f t="shared" si="61"/>
        <v>1473.7373737373737</v>
      </c>
      <c r="R45" s="216">
        <f t="shared" si="61"/>
        <v>985.71428571428567</v>
      </c>
      <c r="S45" s="216">
        <f t="shared" si="61"/>
        <v>857.59493670886081</v>
      </c>
      <c r="T45" s="216" t="e">
        <f t="shared" si="61"/>
        <v>#N/A</v>
      </c>
      <c r="U45" s="216" t="e">
        <f t="shared" si="61"/>
        <v>#N/A</v>
      </c>
      <c r="V45" s="216" t="e">
        <f t="shared" si="61"/>
        <v>#N/A</v>
      </c>
      <c r="W45" s="216">
        <f t="shared" si="61"/>
        <v>1946.5400271370422</v>
      </c>
      <c r="X45" s="216">
        <f t="shared" si="61"/>
        <v>891.12149532710282</v>
      </c>
      <c r="AR45" s="51">
        <v>56.12</v>
      </c>
      <c r="AS45" s="51">
        <v>3.18</v>
      </c>
      <c r="AT45" s="51">
        <v>42.99</v>
      </c>
      <c r="AU45" s="51">
        <v>4.0999999999999996</v>
      </c>
      <c r="AV45" s="51">
        <v>1.34</v>
      </c>
      <c r="AW45" s="51">
        <v>4.51</v>
      </c>
      <c r="AX45" s="51">
        <f t="shared" si="51"/>
        <v>47.09</v>
      </c>
      <c r="AY45" s="51">
        <f t="shared" si="52"/>
        <v>5.85</v>
      </c>
      <c r="BA45" s="51">
        <f>RECS_2!AA45</f>
        <v>35.9</v>
      </c>
      <c r="BB45" s="51">
        <f>RECS_2!AB45</f>
        <v>3</v>
      </c>
      <c r="BC45" s="51">
        <f>RECS_2!AC45</f>
        <v>23.9</v>
      </c>
      <c r="BD45" s="51">
        <f>RECS_2!AD45</f>
        <v>2.7</v>
      </c>
      <c r="BE45" s="51">
        <f>RECS_2!AE45</f>
        <v>1.4</v>
      </c>
      <c r="BF45" s="51">
        <f>RECS_2!AF45</f>
        <v>4.8</v>
      </c>
      <c r="BG45" s="51">
        <f t="shared" si="53"/>
        <v>26.599999999999998</v>
      </c>
      <c r="BH45" s="51">
        <f t="shared" si="54"/>
        <v>6.1999999999999993</v>
      </c>
      <c r="BJ45" s="51">
        <f t="shared" si="55"/>
        <v>1997</v>
      </c>
      <c r="BK45" s="51">
        <f t="shared" si="42"/>
        <v>1563.2311977715879</v>
      </c>
      <c r="BL45" s="51">
        <f t="shared" si="43"/>
        <v>1060</v>
      </c>
      <c r="BM45" s="51">
        <f t="shared" si="44"/>
        <v>1798.7447698744772</v>
      </c>
      <c r="BN45" s="51">
        <f t="shared" si="45"/>
        <v>1518.5185185185185</v>
      </c>
      <c r="BO45" s="51">
        <f t="shared" si="46"/>
        <v>957.14285714285734</v>
      </c>
      <c r="BP45" s="51">
        <f t="shared" si="47"/>
        <v>939.58333333333337</v>
      </c>
      <c r="BQ45" s="51">
        <f t="shared" si="48"/>
        <v>1770.3007518796996</v>
      </c>
      <c r="BR45" s="51">
        <f t="shared" si="49"/>
        <v>943.54838709677426</v>
      </c>
    </row>
    <row r="46" spans="1:70" x14ac:dyDescent="0.2">
      <c r="A46" s="93" t="s">
        <v>153</v>
      </c>
      <c r="B46" s="93"/>
      <c r="C46" s="93"/>
      <c r="D46" s="93"/>
      <c r="E46" s="93"/>
      <c r="F46" s="93"/>
      <c r="G46" s="93"/>
      <c r="H46" s="93"/>
      <c r="I46" s="93"/>
      <c r="M46" s="51">
        <f t="shared" si="40"/>
        <v>2001</v>
      </c>
      <c r="N46" s="216">
        <f t="shared" ref="N46:X46" si="62">N17/N30*1000</f>
        <v>2066.3619624447374</v>
      </c>
      <c r="O46" s="216">
        <f t="shared" si="62"/>
        <v>1062.151043197179</v>
      </c>
      <c r="P46" s="216">
        <f t="shared" si="62"/>
        <v>2552.9564652371669</v>
      </c>
      <c r="Q46" s="216">
        <f t="shared" si="62"/>
        <v>2373.4302709847984</v>
      </c>
      <c r="R46" s="216">
        <f t="shared" si="62"/>
        <v>1392.8345626975765</v>
      </c>
      <c r="S46" s="216">
        <f t="shared" si="62"/>
        <v>847.20343468799615</v>
      </c>
      <c r="T46" s="216" t="e">
        <f t="shared" si="62"/>
        <v>#N/A</v>
      </c>
      <c r="U46" s="216" t="e">
        <f t="shared" si="62"/>
        <v>#N/A</v>
      </c>
      <c r="V46" s="216" t="e">
        <f t="shared" si="62"/>
        <v>#N/A</v>
      </c>
      <c r="W46" s="216">
        <f t="shared" si="62"/>
        <v>2527.1542950196772</v>
      </c>
      <c r="X46" s="216">
        <f t="shared" si="62"/>
        <v>1042.652776205035</v>
      </c>
      <c r="AR46" s="51">
        <v>76.631</v>
      </c>
      <c r="AS46" s="51">
        <v>3.4510000000000001</v>
      </c>
      <c r="AT46" s="51">
        <v>59.875999999999998</v>
      </c>
      <c r="AU46" s="51">
        <v>6.5590000000000002</v>
      </c>
      <c r="AV46" s="51">
        <v>2.7370000000000001</v>
      </c>
      <c r="AW46" s="51">
        <v>4.008</v>
      </c>
      <c r="AX46" s="51">
        <f t="shared" si="51"/>
        <v>66.435000000000002</v>
      </c>
      <c r="AY46" s="51">
        <f t="shared" si="52"/>
        <v>6.7450000000000001</v>
      </c>
      <c r="BA46" s="51">
        <f>RECS_2!AA46</f>
        <v>38.933999999999997</v>
      </c>
      <c r="BB46" s="51">
        <f>RECS_2!AB46</f>
        <v>3.254</v>
      </c>
      <c r="BC46" s="51">
        <f>RECS_2!AC46</f>
        <v>25.498000000000001</v>
      </c>
      <c r="BD46" s="51">
        <f>RECS_2!AD46</f>
        <v>3.1139999999999999</v>
      </c>
      <c r="BE46" s="51">
        <f>RECS_2!AE46</f>
        <v>2.5870000000000002</v>
      </c>
      <c r="BF46" s="51">
        <f>RECS_2!AF46</f>
        <v>4.4800000000000004</v>
      </c>
      <c r="BG46" s="51">
        <f t="shared" si="53"/>
        <v>28.612000000000002</v>
      </c>
      <c r="BH46" s="51">
        <f t="shared" si="54"/>
        <v>7.0670000000000002</v>
      </c>
      <c r="BJ46" s="51">
        <f t="shared" si="55"/>
        <v>2001</v>
      </c>
      <c r="BK46" s="51">
        <f t="shared" si="42"/>
        <v>1968.2282837622645</v>
      </c>
      <c r="BL46" s="51">
        <f t="shared" si="43"/>
        <v>1060.540872771973</v>
      </c>
      <c r="BM46" s="51">
        <f t="shared" si="44"/>
        <v>2348.2626088320653</v>
      </c>
      <c r="BN46" s="51">
        <f t="shared" si="45"/>
        <v>2106.2941554271038</v>
      </c>
      <c r="BO46" s="51">
        <f t="shared" si="46"/>
        <v>1057.9822187862389</v>
      </c>
      <c r="BP46" s="51">
        <f t="shared" si="47"/>
        <v>894.64285714285711</v>
      </c>
      <c r="BQ46" s="51">
        <f t="shared" si="48"/>
        <v>2321.9278624353419</v>
      </c>
      <c r="BR46" s="51">
        <f t="shared" si="49"/>
        <v>954.43611150417428</v>
      </c>
    </row>
    <row r="47" spans="1:70" x14ac:dyDescent="0.2">
      <c r="A47" s="97" t="s">
        <v>154</v>
      </c>
      <c r="K47" s="415"/>
      <c r="M47" s="51">
        <f t="shared" si="40"/>
        <v>2005</v>
      </c>
      <c r="N47" s="216">
        <f t="shared" ref="N47:X47" si="63">N18/N31*1000</f>
        <v>2308.6055434282093</v>
      </c>
      <c r="O47" s="216">
        <f t="shared" si="63"/>
        <v>1062.0089797723372</v>
      </c>
      <c r="P47" s="216">
        <f t="shared" si="63"/>
        <v>2918.9727445218368</v>
      </c>
      <c r="Q47" s="216">
        <f t="shared" si="63"/>
        <v>2068.7503713153797</v>
      </c>
      <c r="R47" s="216">
        <f t="shared" si="63"/>
        <v>1089.757343450465</v>
      </c>
      <c r="S47" s="216">
        <f t="shared" si="63"/>
        <v>871.65422076756533</v>
      </c>
      <c r="T47" s="216" t="e">
        <f t="shared" si="63"/>
        <v>#N/A</v>
      </c>
      <c r="U47" s="216" t="e">
        <f t="shared" si="63"/>
        <v>#N/A</v>
      </c>
      <c r="V47" s="216" t="e">
        <f t="shared" si="63"/>
        <v>#N/A</v>
      </c>
      <c r="W47" s="216">
        <f t="shared" si="63"/>
        <v>2837.89508364833</v>
      </c>
      <c r="X47" s="216">
        <f t="shared" si="63"/>
        <v>1500.9954637388805</v>
      </c>
      <c r="AR47" s="51">
        <v>93.432181800190008</v>
      </c>
      <c r="AS47" s="51">
        <v>4.0524362888400001</v>
      </c>
      <c r="AT47" s="51">
        <v>78.913996374850001</v>
      </c>
      <c r="AU47" s="51">
        <v>3.2755992484299998</v>
      </c>
      <c r="AV47" s="51">
        <v>1.70180912948</v>
      </c>
      <c r="AW47" s="51">
        <v>5.4883407585900006</v>
      </c>
      <c r="AX47" s="51">
        <f t="shared" si="51"/>
        <v>82.189595623279999</v>
      </c>
      <c r="AY47" s="51">
        <f t="shared" si="52"/>
        <v>7.1901498880700006</v>
      </c>
      <c r="BA47" s="51">
        <f>RECS_2!AA47</f>
        <v>40.712299999999999</v>
      </c>
      <c r="BB47" s="51">
        <f>RECS_2!AB47</f>
        <v>3.79696751</v>
      </c>
      <c r="BC47" s="51">
        <f>RECS_2!AC47</f>
        <v>27.17950901</v>
      </c>
      <c r="BD47" s="51">
        <f>RECS_2!AD47</f>
        <v>1.9749653</v>
      </c>
      <c r="BE47" s="51">
        <f>RECS_2!AE47</f>
        <v>1.93199926</v>
      </c>
      <c r="BF47" s="51">
        <f>RECS_2!AF47</f>
        <v>5.8288589200000001</v>
      </c>
      <c r="BG47" s="51">
        <f t="shared" si="53"/>
        <v>29.154474310000001</v>
      </c>
      <c r="BH47" s="51">
        <f t="shared" si="54"/>
        <v>7.7608581799999996</v>
      </c>
      <c r="BJ47" s="51">
        <f t="shared" si="55"/>
        <v>2005</v>
      </c>
      <c r="BK47" s="51">
        <f t="shared" si="42"/>
        <v>2294.9374464274929</v>
      </c>
      <c r="BL47" s="51">
        <f t="shared" si="43"/>
        <v>1067.2823188945329</v>
      </c>
      <c r="BM47" s="51">
        <f t="shared" si="44"/>
        <v>2903.4371572281025</v>
      </c>
      <c r="BN47" s="51">
        <f t="shared" si="45"/>
        <v>1658.5604053043362</v>
      </c>
      <c r="BO47" s="51">
        <f t="shared" si="46"/>
        <v>880.85392407448433</v>
      </c>
      <c r="BP47" s="51">
        <f t="shared" si="47"/>
        <v>941.58064793065887</v>
      </c>
      <c r="BQ47" s="51">
        <f t="shared" si="48"/>
        <v>2819.1074464027956</v>
      </c>
      <c r="BR47" s="51">
        <f t="shared" si="49"/>
        <v>926.46324946373409</v>
      </c>
    </row>
    <row r="48" spans="1:70" x14ac:dyDescent="0.2">
      <c r="M48" s="51">
        <v>2009</v>
      </c>
      <c r="N48" s="216" t="e">
        <f t="shared" ref="N48:X48" si="64">N19/N32*1000</f>
        <v>#DIV/0!</v>
      </c>
      <c r="O48" s="216">
        <f t="shared" si="64"/>
        <v>1086.9565217391303</v>
      </c>
      <c r="P48" s="216">
        <f t="shared" si="64"/>
        <v>2484.6796657381619</v>
      </c>
      <c r="Q48" s="216">
        <f t="shared" si="64"/>
        <v>1776.1194029850747</v>
      </c>
      <c r="R48" s="216">
        <f t="shared" si="64"/>
        <v>1100</v>
      </c>
      <c r="S48" s="216">
        <f t="shared" si="64"/>
        <v>848.16753926701563</v>
      </c>
      <c r="T48" s="216" t="e">
        <f t="shared" si="64"/>
        <v>#DIV/0!</v>
      </c>
      <c r="U48" s="216" t="e">
        <f t="shared" si="64"/>
        <v>#DIV/0!</v>
      </c>
      <c r="V48" s="216" t="e">
        <f t="shared" si="64"/>
        <v>#DIV/0!</v>
      </c>
      <c r="W48" s="216">
        <f t="shared" si="64"/>
        <v>2424.2038216560509</v>
      </c>
      <c r="X48" s="216">
        <f t="shared" si="64"/>
        <v>1388.535031847134</v>
      </c>
    </row>
    <row r="49" spans="11:70" x14ac:dyDescent="0.2">
      <c r="M49" s="51">
        <v>2015</v>
      </c>
      <c r="N49" s="216" t="e">
        <f t="shared" ref="N49:X49" si="65">N20/N33*1000</f>
        <v>#DIV/0!</v>
      </c>
      <c r="O49" s="216">
        <f t="shared" si="65"/>
        <v>1191.1764705882354</v>
      </c>
      <c r="P49" s="216">
        <f t="shared" si="65"/>
        <v>2552.0974289580513</v>
      </c>
      <c r="Q49" s="216">
        <f t="shared" si="65"/>
        <v>1771.4285714285716</v>
      </c>
      <c r="R49" s="216">
        <f t="shared" si="65"/>
        <v>1021.2765957446808</v>
      </c>
      <c r="S49" s="216">
        <f t="shared" si="65"/>
        <v>886.25592417061603</v>
      </c>
      <c r="T49" s="216" t="e">
        <f t="shared" si="65"/>
        <v>#DIV/0!</v>
      </c>
      <c r="U49" s="216" t="e">
        <f t="shared" si="65"/>
        <v>#DIV/0!</v>
      </c>
      <c r="V49" s="216" t="e">
        <f t="shared" si="65"/>
        <v>#DIV/0!</v>
      </c>
      <c r="W49" s="216">
        <f t="shared" si="65"/>
        <v>2484.5488257107536</v>
      </c>
      <c r="X49" s="216">
        <f t="shared" si="65"/>
        <v>1341.4634146341464</v>
      </c>
    </row>
    <row r="51" spans="11:70" x14ac:dyDescent="0.2">
      <c r="K51" s="141" t="s">
        <v>721</v>
      </c>
      <c r="L51" s="416" t="s">
        <v>704</v>
      </c>
      <c r="O51" s="412">
        <f>(O49-O48)/3</f>
        <v>34.739982949701698</v>
      </c>
      <c r="P51" s="412">
        <f t="shared" ref="P51:X51" si="66">(P49-P48)/3</f>
        <v>22.472587739963121</v>
      </c>
      <c r="Q51" s="412">
        <f t="shared" si="66"/>
        <v>-1.5636105188343663</v>
      </c>
      <c r="R51" s="412">
        <f t="shared" si="66"/>
        <v>-26.241134751773075</v>
      </c>
      <c r="S51" s="412">
        <f t="shared" si="66"/>
        <v>12.696128301200133</v>
      </c>
      <c r="T51" s="51" t="e">
        <f t="shared" si="66"/>
        <v>#DIV/0!</v>
      </c>
      <c r="U51" s="51" t="e">
        <f t="shared" si="66"/>
        <v>#DIV/0!</v>
      </c>
      <c r="V51" s="51" t="e">
        <f t="shared" si="66"/>
        <v>#DIV/0!</v>
      </c>
      <c r="W51" s="51">
        <f t="shared" si="66"/>
        <v>20.115001351567571</v>
      </c>
      <c r="X51" s="51">
        <f t="shared" si="66"/>
        <v>-15.690539070995859</v>
      </c>
    </row>
    <row r="52" spans="11:70" x14ac:dyDescent="0.2">
      <c r="L52" s="401">
        <v>0.8</v>
      </c>
      <c r="O52" s="412">
        <f>$L52*O51</f>
        <v>27.79198635976136</v>
      </c>
      <c r="P52" s="412">
        <f t="shared" ref="P52:X52" si="67">$L52*P51</f>
        <v>17.978070191970499</v>
      </c>
      <c r="Q52" s="412">
        <f t="shared" si="67"/>
        <v>-1.250888415067493</v>
      </c>
      <c r="R52" s="412">
        <f t="shared" si="67"/>
        <v>-20.992907801418461</v>
      </c>
      <c r="S52" s="412">
        <f t="shared" si="67"/>
        <v>10.156902640960107</v>
      </c>
      <c r="T52" s="51" t="e">
        <f t="shared" si="67"/>
        <v>#DIV/0!</v>
      </c>
      <c r="U52" s="51" t="e">
        <f t="shared" si="67"/>
        <v>#DIV/0!</v>
      </c>
      <c r="V52" s="51" t="e">
        <f t="shared" si="67"/>
        <v>#DIV/0!</v>
      </c>
      <c r="W52" s="413">
        <f t="shared" si="67"/>
        <v>16.092001081254057</v>
      </c>
      <c r="X52" s="51">
        <f t="shared" si="67"/>
        <v>-12.552431256796687</v>
      </c>
      <c r="AR52" s="51" t="s">
        <v>91</v>
      </c>
      <c r="AS52" s="51" t="s">
        <v>360</v>
      </c>
      <c r="AT52" s="51" t="s">
        <v>536</v>
      </c>
      <c r="AU52" s="51" t="s">
        <v>537</v>
      </c>
      <c r="AV52" s="51" t="s">
        <v>538</v>
      </c>
      <c r="AW52" s="51" t="s">
        <v>539</v>
      </c>
      <c r="AX52" s="51" t="s">
        <v>110</v>
      </c>
      <c r="AY52" s="51" t="s">
        <v>261</v>
      </c>
      <c r="BA52" s="141" t="s">
        <v>91</v>
      </c>
      <c r="BB52" s="141" t="s">
        <v>360</v>
      </c>
      <c r="BC52" s="141" t="s">
        <v>536</v>
      </c>
      <c r="BD52" s="141" t="s">
        <v>537</v>
      </c>
      <c r="BE52" s="141" t="s">
        <v>538</v>
      </c>
      <c r="BF52" s="141" t="s">
        <v>539</v>
      </c>
      <c r="BG52" s="141" t="s">
        <v>110</v>
      </c>
      <c r="BH52" s="141" t="s">
        <v>261</v>
      </c>
      <c r="BK52" s="141" t="s">
        <v>91</v>
      </c>
      <c r="BL52" s="141" t="s">
        <v>360</v>
      </c>
      <c r="BM52" s="141" t="s">
        <v>536</v>
      </c>
      <c r="BN52" s="141" t="s">
        <v>537</v>
      </c>
      <c r="BO52" s="141" t="s">
        <v>538</v>
      </c>
      <c r="BP52" s="141" t="s">
        <v>539</v>
      </c>
      <c r="BQ52" s="141" t="s">
        <v>110</v>
      </c>
      <c r="BR52" s="141" t="s">
        <v>261</v>
      </c>
    </row>
    <row r="53" spans="11:70" x14ac:dyDescent="0.2">
      <c r="AR53" s="51">
        <f t="array" ref="AR53:AW62">TRANSPOSE(B38:K43)</f>
        <v>24.67</v>
      </c>
      <c r="AS53" s="51">
        <v>0.91</v>
      </c>
      <c r="AT53" s="51">
        <v>18.97</v>
      </c>
      <c r="AU53" s="51">
        <v>1.34</v>
      </c>
      <c r="AV53" s="51">
        <v>1.45</v>
      </c>
      <c r="AW53" s="51">
        <v>2</v>
      </c>
      <c r="AX53" s="51">
        <f>AT53+AU53</f>
        <v>20.309999999999999</v>
      </c>
      <c r="AY53" s="51">
        <f>AV53+AW53</f>
        <v>3.45</v>
      </c>
      <c r="BA53" s="51">
        <f>RECS_2!AA52</f>
        <v>15.9</v>
      </c>
      <c r="BB53" s="51">
        <f>RECS_2!AB52</f>
        <v>1.1000000000000001</v>
      </c>
      <c r="BC53" s="51">
        <f>RECS_2!AC52</f>
        <v>9.9</v>
      </c>
      <c r="BD53" s="51">
        <f>RECS_2!AD52</f>
        <v>0.9</v>
      </c>
      <c r="BE53" s="51">
        <f>RECS_2!AE52</f>
        <v>1.7</v>
      </c>
      <c r="BF53" s="51">
        <f>RECS_2!AF52</f>
        <v>2.2999999999999998</v>
      </c>
      <c r="BG53" s="51">
        <f>BC53+BD53</f>
        <v>10.8</v>
      </c>
      <c r="BH53" s="51">
        <f>BE53+BF53</f>
        <v>4</v>
      </c>
      <c r="BJ53" s="51">
        <f>BJ38</f>
        <v>1980</v>
      </c>
      <c r="BK53" s="51">
        <f t="shared" ref="BK53:BK62" si="68">AR53/BA53*1000</f>
        <v>1551.5723270440251</v>
      </c>
      <c r="BL53" s="51">
        <f t="shared" ref="BL53:BL62" si="69">AS53/BB53*1000</f>
        <v>827.27272727272725</v>
      </c>
      <c r="BM53" s="51">
        <f t="shared" ref="BM53:BM62" si="70">AT53/BC53*1000</f>
        <v>1916.1616161616159</v>
      </c>
      <c r="BN53" s="51">
        <f t="shared" ref="BN53:BN62" si="71">AU53/BD53*1000</f>
        <v>1488.8888888888889</v>
      </c>
      <c r="BO53" s="51">
        <f t="shared" ref="BO53:BO62" si="72">AV53/BE53*1000</f>
        <v>852.94117647058818</v>
      </c>
      <c r="BP53" s="51">
        <f t="shared" ref="BP53:BP62" si="73">AW53/BF53*1000</f>
        <v>869.56521739130449</v>
      </c>
      <c r="BQ53" s="51">
        <f t="shared" ref="BQ53:BQ62" si="74">AX53/BG53*1000</f>
        <v>1880.5555555555552</v>
      </c>
      <c r="BR53" s="51">
        <f t="shared" ref="BR53:BR62" si="75">AY53/BH53*1000</f>
        <v>862.5</v>
      </c>
    </row>
    <row r="54" spans="11:70" x14ac:dyDescent="0.2">
      <c r="AR54" s="51">
        <v>25.06</v>
      </c>
      <c r="AS54" s="51">
        <v>0.81</v>
      </c>
      <c r="AT54" s="51">
        <v>19.489999999999998</v>
      </c>
      <c r="AU54" s="51">
        <v>1.29</v>
      </c>
      <c r="AV54" s="51">
        <v>1.48</v>
      </c>
      <c r="AW54" s="51">
        <v>1.99</v>
      </c>
      <c r="AX54" s="51">
        <f t="shared" ref="AX54:AX62" si="76">AT54+AU54</f>
        <v>20.779999999999998</v>
      </c>
      <c r="AY54" s="51">
        <f t="shared" ref="AY54:AY62" si="77">AV54+AW54</f>
        <v>3.4699999999999998</v>
      </c>
      <c r="BA54" s="51">
        <f>RECS_2!AA53</f>
        <v>16.3</v>
      </c>
      <c r="BB54" s="51">
        <f>RECS_2!AB53</f>
        <v>0.8</v>
      </c>
      <c r="BC54" s="51">
        <f>RECS_2!AC53</f>
        <v>10.7</v>
      </c>
      <c r="BD54" s="51">
        <f>RECS_2!AD53</f>
        <v>0.7</v>
      </c>
      <c r="BE54" s="51">
        <f>RECS_2!AE53</f>
        <v>1.5</v>
      </c>
      <c r="BF54" s="51">
        <f>RECS_2!AF53</f>
        <v>2.5</v>
      </c>
      <c r="BG54" s="51">
        <f t="shared" ref="BG54:BG62" si="78">BC54+BD54</f>
        <v>11.399999999999999</v>
      </c>
      <c r="BH54" s="51">
        <f t="shared" ref="BH54:BH62" si="79">BE54+BF54</f>
        <v>4</v>
      </c>
      <c r="BJ54" s="51">
        <f t="shared" ref="BJ54:BJ62" si="80">BJ39</f>
        <v>1981</v>
      </c>
      <c r="BK54" s="51">
        <f t="shared" si="68"/>
        <v>1537.4233128834353</v>
      </c>
      <c r="BL54" s="51">
        <f t="shared" si="69"/>
        <v>1012.5</v>
      </c>
      <c r="BM54" s="51">
        <f t="shared" si="70"/>
        <v>1821.4953271028039</v>
      </c>
      <c r="BN54" s="51">
        <f t="shared" si="71"/>
        <v>1842.8571428571429</v>
      </c>
      <c r="BO54" s="51">
        <f t="shared" si="72"/>
        <v>986.66666666666674</v>
      </c>
      <c r="BP54" s="51">
        <f t="shared" si="73"/>
        <v>796</v>
      </c>
      <c r="BQ54" s="51">
        <f t="shared" si="74"/>
        <v>1822.8070175438597</v>
      </c>
      <c r="BR54" s="51">
        <f t="shared" si="75"/>
        <v>867.49999999999989</v>
      </c>
    </row>
    <row r="55" spans="11:70" x14ac:dyDescent="0.2">
      <c r="N55" s="141"/>
      <c r="AR55" s="51">
        <v>24.29</v>
      </c>
      <c r="AS55" s="51">
        <v>0.88</v>
      </c>
      <c r="AT55" s="51">
        <v>17.89</v>
      </c>
      <c r="AU55" s="51">
        <v>1.38</v>
      </c>
      <c r="AV55" s="51">
        <v>1.56</v>
      </c>
      <c r="AW55" s="51">
        <v>2.59</v>
      </c>
      <c r="AX55" s="51">
        <f t="shared" si="76"/>
        <v>19.27</v>
      </c>
      <c r="AY55" s="51">
        <f t="shared" si="77"/>
        <v>4.1500000000000004</v>
      </c>
      <c r="BA55" s="51">
        <f>RECS_2!AA54</f>
        <v>16.5</v>
      </c>
      <c r="BB55" s="51">
        <f>RECS_2!AB54</f>
        <v>0.9</v>
      </c>
      <c r="BC55" s="51">
        <f>RECS_2!AC54</f>
        <v>10.199999999999999</v>
      </c>
      <c r="BD55" s="51">
        <f>RECS_2!AD54</f>
        <v>0.9</v>
      </c>
      <c r="BE55" s="51">
        <f>RECS_2!AE54</f>
        <v>1.7</v>
      </c>
      <c r="BF55" s="51">
        <f>RECS_2!AF54</f>
        <v>2.7</v>
      </c>
      <c r="BG55" s="51">
        <f t="shared" si="78"/>
        <v>11.1</v>
      </c>
      <c r="BH55" s="51">
        <f t="shared" si="79"/>
        <v>4.4000000000000004</v>
      </c>
      <c r="BJ55" s="51">
        <f t="shared" si="80"/>
        <v>1982</v>
      </c>
      <c r="BK55" s="51">
        <f t="shared" si="68"/>
        <v>1472.1212121212122</v>
      </c>
      <c r="BL55" s="51">
        <f t="shared" si="69"/>
        <v>977.77777777777771</v>
      </c>
      <c r="BM55" s="51">
        <f t="shared" si="70"/>
        <v>1753.9215686274513</v>
      </c>
      <c r="BN55" s="51">
        <f t="shared" si="71"/>
        <v>1533.3333333333333</v>
      </c>
      <c r="BO55" s="51">
        <f t="shared" si="72"/>
        <v>917.64705882352951</v>
      </c>
      <c r="BP55" s="51">
        <f t="shared" si="73"/>
        <v>959.25925925925912</v>
      </c>
      <c r="BQ55" s="51">
        <f t="shared" si="74"/>
        <v>1736.036036036036</v>
      </c>
      <c r="BR55" s="51">
        <f t="shared" si="75"/>
        <v>943.18181818181824</v>
      </c>
    </row>
    <row r="56" spans="11:70" x14ac:dyDescent="0.2">
      <c r="N56" s="141"/>
      <c r="O56" s="141"/>
      <c r="AR56" s="51">
        <v>25.68</v>
      </c>
      <c r="AS56" s="51">
        <v>0.95</v>
      </c>
      <c r="AT56" s="51">
        <v>18.690000000000001</v>
      </c>
      <c r="AU56" s="51">
        <v>0.52</v>
      </c>
      <c r="AV56" s="51">
        <v>2.2400000000000002</v>
      </c>
      <c r="AW56" s="51">
        <v>3.28</v>
      </c>
      <c r="AX56" s="51">
        <f t="shared" si="76"/>
        <v>19.21</v>
      </c>
      <c r="AY56" s="51">
        <f t="shared" si="77"/>
        <v>5.52</v>
      </c>
      <c r="BA56" s="51">
        <f>RECS_2!AA55</f>
        <v>17.100000000000001</v>
      </c>
      <c r="BB56" s="51">
        <f>RECS_2!AB55</f>
        <v>1</v>
      </c>
      <c r="BC56" s="51">
        <f>RECS_2!AC55</f>
        <v>10</v>
      </c>
      <c r="BD56" s="51">
        <f>RECS_2!AD55</f>
        <v>0.3</v>
      </c>
      <c r="BE56" s="51">
        <f>RECS_2!AE55</f>
        <v>2.2999999999999998</v>
      </c>
      <c r="BF56" s="51">
        <f>RECS_2!AF55</f>
        <v>3.4</v>
      </c>
      <c r="BG56" s="51">
        <f t="shared" si="78"/>
        <v>10.3</v>
      </c>
      <c r="BH56" s="51">
        <f t="shared" si="79"/>
        <v>5.6999999999999993</v>
      </c>
      <c r="BJ56" s="51">
        <f t="shared" si="80"/>
        <v>1984</v>
      </c>
      <c r="BK56" s="51">
        <f t="shared" si="68"/>
        <v>1501.754385964912</v>
      </c>
      <c r="BL56" s="51">
        <f t="shared" si="69"/>
        <v>950</v>
      </c>
      <c r="BM56" s="51">
        <f t="shared" si="70"/>
        <v>1869.0000000000002</v>
      </c>
      <c r="BN56" s="51">
        <f t="shared" si="71"/>
        <v>1733.3333333333335</v>
      </c>
      <c r="BO56" s="51">
        <f t="shared" si="72"/>
        <v>973.91304347826099</v>
      </c>
      <c r="BP56" s="51">
        <f t="shared" si="73"/>
        <v>964.70588235294122</v>
      </c>
      <c r="BQ56" s="51">
        <f t="shared" si="74"/>
        <v>1865.0485436893202</v>
      </c>
      <c r="BR56" s="51">
        <f t="shared" si="75"/>
        <v>968.42105263157896</v>
      </c>
    </row>
    <row r="57" spans="11:70" x14ac:dyDescent="0.2">
      <c r="R57" s="141"/>
      <c r="AR57" s="51">
        <v>28.59</v>
      </c>
      <c r="AS57" s="51">
        <v>1.04</v>
      </c>
      <c r="AT57" s="51">
        <v>20.65</v>
      </c>
      <c r="AU57" s="51">
        <v>1.47</v>
      </c>
      <c r="AV57" s="51">
        <v>2.12</v>
      </c>
      <c r="AW57" s="51">
        <v>3.32</v>
      </c>
      <c r="AX57" s="51">
        <f t="shared" si="76"/>
        <v>22.119999999999997</v>
      </c>
      <c r="AY57" s="51">
        <f t="shared" si="77"/>
        <v>5.4399999999999995</v>
      </c>
      <c r="BA57" s="51">
        <f>RECS_2!AA56</f>
        <v>18.3</v>
      </c>
      <c r="BB57" s="51">
        <f>RECS_2!AB56</f>
        <v>1</v>
      </c>
      <c r="BC57" s="51">
        <f>RECS_2!AC56</f>
        <v>10.5</v>
      </c>
      <c r="BD57" s="51">
        <f>RECS_2!AD56</f>
        <v>0.9</v>
      </c>
      <c r="BE57" s="51">
        <f>RECS_2!AE56</f>
        <v>2</v>
      </c>
      <c r="BF57" s="51">
        <f>RECS_2!AF56</f>
        <v>3.8</v>
      </c>
      <c r="BG57" s="51">
        <f t="shared" si="78"/>
        <v>11.4</v>
      </c>
      <c r="BH57" s="51">
        <f t="shared" si="79"/>
        <v>5.8</v>
      </c>
      <c r="BJ57" s="51">
        <f t="shared" si="80"/>
        <v>1987</v>
      </c>
      <c r="BK57" s="51">
        <f t="shared" si="68"/>
        <v>1562.295081967213</v>
      </c>
      <c r="BL57" s="51">
        <f t="shared" si="69"/>
        <v>1040</v>
      </c>
      <c r="BM57" s="51">
        <f t="shared" si="70"/>
        <v>1966.6666666666665</v>
      </c>
      <c r="BN57" s="51">
        <f t="shared" si="71"/>
        <v>1633.3333333333333</v>
      </c>
      <c r="BO57" s="51">
        <f t="shared" si="72"/>
        <v>1060</v>
      </c>
      <c r="BP57" s="51">
        <f t="shared" si="73"/>
        <v>873.68421052631584</v>
      </c>
      <c r="BQ57" s="51">
        <f t="shared" si="74"/>
        <v>1940.3508771929824</v>
      </c>
      <c r="BR57" s="51">
        <f t="shared" si="75"/>
        <v>937.93103448275861</v>
      </c>
    </row>
    <row r="58" spans="11:70" x14ac:dyDescent="0.2">
      <c r="AR58" s="51">
        <v>29.5</v>
      </c>
      <c r="AS58" s="51">
        <v>1.19</v>
      </c>
      <c r="AT58" s="51">
        <v>21.97</v>
      </c>
      <c r="AU58" s="51">
        <v>1.83</v>
      </c>
      <c r="AV58" s="51">
        <v>1.67</v>
      </c>
      <c r="AW58" s="51">
        <v>2.84</v>
      </c>
      <c r="AX58" s="51">
        <f t="shared" si="76"/>
        <v>23.799999999999997</v>
      </c>
      <c r="AY58" s="51">
        <f t="shared" si="77"/>
        <v>4.51</v>
      </c>
      <c r="BA58" s="51">
        <f>RECS_2!AA57</f>
        <v>19.399999999999999</v>
      </c>
      <c r="BB58" s="51">
        <f>RECS_2!AB57</f>
        <v>1.2</v>
      </c>
      <c r="BC58" s="51">
        <f>RECS_2!AC57</f>
        <v>11.5</v>
      </c>
      <c r="BD58" s="51">
        <f>RECS_2!AD57</f>
        <v>1.2</v>
      </c>
      <c r="BE58" s="51">
        <f>RECS_2!AE57</f>
        <v>1.7</v>
      </c>
      <c r="BF58" s="51">
        <f>RECS_2!AF57</f>
        <v>3.8</v>
      </c>
      <c r="BG58" s="51">
        <f t="shared" si="78"/>
        <v>12.7</v>
      </c>
      <c r="BH58" s="51">
        <f t="shared" si="79"/>
        <v>5.5</v>
      </c>
      <c r="BJ58" s="51">
        <f t="shared" si="80"/>
        <v>1990</v>
      </c>
      <c r="BK58" s="51">
        <f t="shared" si="68"/>
        <v>1520.6185567010311</v>
      </c>
      <c r="BL58" s="51">
        <f t="shared" si="69"/>
        <v>991.66666666666674</v>
      </c>
      <c r="BM58" s="51">
        <f t="shared" si="70"/>
        <v>1910.4347826086955</v>
      </c>
      <c r="BN58" s="51">
        <f t="shared" si="71"/>
        <v>1525.0000000000002</v>
      </c>
      <c r="BO58" s="51">
        <f t="shared" si="72"/>
        <v>982.35294117647049</v>
      </c>
      <c r="BP58" s="51">
        <f t="shared" si="73"/>
        <v>747.36842105263156</v>
      </c>
      <c r="BQ58" s="51">
        <f t="shared" si="74"/>
        <v>1874.0157480314958</v>
      </c>
      <c r="BR58" s="51">
        <f t="shared" si="75"/>
        <v>820</v>
      </c>
    </row>
    <row r="59" spans="11:70" x14ac:dyDescent="0.2">
      <c r="AR59" s="51">
        <v>33.46</v>
      </c>
      <c r="AS59" s="51">
        <v>0.99</v>
      </c>
      <c r="AT59" s="51">
        <v>24.81</v>
      </c>
      <c r="AU59" s="51">
        <v>2.39</v>
      </c>
      <c r="AV59" s="51">
        <v>1.49</v>
      </c>
      <c r="AW59" s="51">
        <v>3.78</v>
      </c>
      <c r="AX59" s="51">
        <f t="shared" si="76"/>
        <v>27.2</v>
      </c>
      <c r="AY59" s="51">
        <f t="shared" si="77"/>
        <v>5.27</v>
      </c>
      <c r="BA59" s="51">
        <f>RECS_2!AA58</f>
        <v>20.399999999999999</v>
      </c>
      <c r="BB59" s="51">
        <f>RECS_2!AB58</f>
        <v>1</v>
      </c>
      <c r="BC59" s="51">
        <f>RECS_2!AC58</f>
        <v>12</v>
      </c>
      <c r="BD59" s="51">
        <f>RECS_2!AD58</f>
        <v>1.5</v>
      </c>
      <c r="BE59" s="51">
        <f>RECS_2!AE58</f>
        <v>1.6</v>
      </c>
      <c r="BF59" s="51">
        <f>RECS_2!AF58</f>
        <v>4.3</v>
      </c>
      <c r="BG59" s="51">
        <f t="shared" si="78"/>
        <v>13.5</v>
      </c>
      <c r="BH59" s="51">
        <f t="shared" si="79"/>
        <v>5.9</v>
      </c>
      <c r="BJ59" s="51">
        <f t="shared" si="80"/>
        <v>1993</v>
      </c>
      <c r="BK59" s="51">
        <f t="shared" si="68"/>
        <v>1640.1960784313728</v>
      </c>
      <c r="BL59" s="51">
        <f t="shared" si="69"/>
        <v>990</v>
      </c>
      <c r="BM59" s="51">
        <f t="shared" si="70"/>
        <v>2067.5</v>
      </c>
      <c r="BN59" s="51">
        <f t="shared" si="71"/>
        <v>1593.3333333333335</v>
      </c>
      <c r="BO59" s="51">
        <f t="shared" si="72"/>
        <v>931.24999999999989</v>
      </c>
      <c r="BP59" s="51">
        <f t="shared" si="73"/>
        <v>879.06976744186045</v>
      </c>
      <c r="BQ59" s="51">
        <f t="shared" si="74"/>
        <v>2014.8148148148146</v>
      </c>
      <c r="BR59" s="51">
        <f t="shared" si="75"/>
        <v>893.22033898305074</v>
      </c>
    </row>
    <row r="60" spans="11:70" x14ac:dyDescent="0.2">
      <c r="AR60" s="51">
        <v>32</v>
      </c>
      <c r="AS60" s="51">
        <v>1.65</v>
      </c>
      <c r="AT60" s="51">
        <v>23.14</v>
      </c>
      <c r="AU60" s="51">
        <v>2.88</v>
      </c>
      <c r="AV60" s="51">
        <v>0.71</v>
      </c>
      <c r="AW60" s="51">
        <v>3.62</v>
      </c>
      <c r="AX60" s="51">
        <f t="shared" si="76"/>
        <v>26.02</v>
      </c>
      <c r="AY60" s="51">
        <f t="shared" si="77"/>
        <v>4.33</v>
      </c>
      <c r="BA60" s="51">
        <f>RECS_2!AA59</f>
        <v>21.8</v>
      </c>
      <c r="BB60" s="51">
        <f>RECS_2!AB59</f>
        <v>1.7</v>
      </c>
      <c r="BC60" s="51">
        <f>RECS_2!AC59</f>
        <v>12.6</v>
      </c>
      <c r="BD60" s="51">
        <f>RECS_2!AD59</f>
        <v>2.2999999999999998</v>
      </c>
      <c r="BE60" s="51">
        <f>RECS_2!AE59</f>
        <v>0.8</v>
      </c>
      <c r="BF60" s="51">
        <f>RECS_2!AF59</f>
        <v>4.4000000000000004</v>
      </c>
      <c r="BG60" s="51">
        <f t="shared" si="78"/>
        <v>14.899999999999999</v>
      </c>
      <c r="BH60" s="51">
        <f t="shared" si="79"/>
        <v>5.2</v>
      </c>
      <c r="BJ60" s="51">
        <f t="shared" si="80"/>
        <v>1997</v>
      </c>
      <c r="BK60" s="51">
        <f t="shared" si="68"/>
        <v>1467.8899082568805</v>
      </c>
      <c r="BL60" s="51">
        <f t="shared" si="69"/>
        <v>970.58823529411768</v>
      </c>
      <c r="BM60" s="51">
        <f t="shared" si="70"/>
        <v>1836.5079365079366</v>
      </c>
      <c r="BN60" s="51">
        <f t="shared" si="71"/>
        <v>1252.1739130434783</v>
      </c>
      <c r="BO60" s="51">
        <f t="shared" si="72"/>
        <v>887.5</v>
      </c>
      <c r="BP60" s="51">
        <f t="shared" si="73"/>
        <v>822.72727272727263</v>
      </c>
      <c r="BQ60" s="51">
        <f t="shared" si="74"/>
        <v>1746.3087248322149</v>
      </c>
      <c r="BR60" s="51">
        <f t="shared" si="75"/>
        <v>832.69230769230774</v>
      </c>
    </row>
    <row r="61" spans="11:70" x14ac:dyDescent="0.2">
      <c r="AR61" s="51">
        <v>40.982999999999997</v>
      </c>
      <c r="AS61" s="51">
        <v>1.85</v>
      </c>
      <c r="AT61" s="51">
        <v>29.821999999999999</v>
      </c>
      <c r="AU61" s="51">
        <v>3.609</v>
      </c>
      <c r="AV61" s="51">
        <v>1.4890000000000001</v>
      </c>
      <c r="AW61" s="51">
        <v>4.2119999999999997</v>
      </c>
      <c r="AX61" s="51">
        <f t="shared" si="76"/>
        <v>33.430999999999997</v>
      </c>
      <c r="AY61" s="51">
        <f t="shared" si="77"/>
        <v>5.7009999999999996</v>
      </c>
      <c r="BA61" s="51">
        <f>RECS_2!AA60</f>
        <v>23.31</v>
      </c>
      <c r="BB61" s="51">
        <f>RECS_2!AB60</f>
        <v>1.68</v>
      </c>
      <c r="BC61" s="51">
        <f>RECS_2!AC60</f>
        <v>12.973000000000001</v>
      </c>
      <c r="BD61" s="51">
        <f>RECS_2!AD60</f>
        <v>1.8129999999999999</v>
      </c>
      <c r="BE61" s="51">
        <f>RECS_2!AE60</f>
        <v>1.593</v>
      </c>
      <c r="BF61" s="51">
        <f>RECS_2!AF60</f>
        <v>5.2519999999999998</v>
      </c>
      <c r="BG61" s="51">
        <f t="shared" si="78"/>
        <v>14.786000000000001</v>
      </c>
      <c r="BH61" s="51">
        <f t="shared" si="79"/>
        <v>6.8449999999999998</v>
      </c>
      <c r="BJ61" s="51">
        <f t="shared" si="80"/>
        <v>2001</v>
      </c>
      <c r="BK61" s="51">
        <f t="shared" si="68"/>
        <v>1758.1724581724579</v>
      </c>
      <c r="BL61" s="51">
        <f t="shared" si="69"/>
        <v>1101.1904761904764</v>
      </c>
      <c r="BM61" s="51">
        <f t="shared" si="70"/>
        <v>2298.77437755338</v>
      </c>
      <c r="BN61" s="51">
        <f t="shared" si="71"/>
        <v>1990.6232763375622</v>
      </c>
      <c r="BO61" s="51">
        <f t="shared" si="72"/>
        <v>934.71437539234159</v>
      </c>
      <c r="BP61" s="51">
        <f t="shared" si="73"/>
        <v>801.98019801980195</v>
      </c>
      <c r="BQ61" s="51">
        <f t="shared" si="74"/>
        <v>2260.9901257946703</v>
      </c>
      <c r="BR61" s="51">
        <f t="shared" si="75"/>
        <v>832.87070854638421</v>
      </c>
    </row>
    <row r="62" spans="11:70" x14ac:dyDescent="0.2">
      <c r="AR62" s="51">
        <v>47.477302019180001</v>
      </c>
      <c r="AS62" s="51">
        <v>2.0987516931900001</v>
      </c>
      <c r="AT62" s="51">
        <v>37.594850201699998</v>
      </c>
      <c r="AU62" s="51">
        <v>3.30322369254</v>
      </c>
      <c r="AV62" s="51">
        <v>1.5345870756500002</v>
      </c>
      <c r="AW62" s="51">
        <v>2.9458893560999999</v>
      </c>
      <c r="AX62" s="51">
        <f t="shared" si="76"/>
        <v>40.89807389424</v>
      </c>
      <c r="AY62" s="51">
        <f t="shared" si="77"/>
        <v>4.4804764317500005</v>
      </c>
      <c r="BA62" s="51">
        <f>RECS_2!AA61</f>
        <v>24.191822999999999</v>
      </c>
      <c r="BB62" s="51">
        <f>RECS_2!AB61</f>
        <v>1.9535169399999999</v>
      </c>
      <c r="BC62" s="51">
        <f>RECS_2!AC61</f>
        <v>15.012443130000001</v>
      </c>
      <c r="BD62" s="51">
        <f>RECS_2!AD61</f>
        <v>1.8180323500000002</v>
      </c>
      <c r="BE62" s="51">
        <f>RECS_2!AE61</f>
        <v>1.7664162400000001</v>
      </c>
      <c r="BF62" s="51">
        <f>RECS_2!AF61</f>
        <v>3.6414143299999999</v>
      </c>
      <c r="BG62" s="51">
        <f t="shared" si="78"/>
        <v>16.83047548</v>
      </c>
      <c r="BH62" s="51">
        <f t="shared" si="79"/>
        <v>5.4078305699999998</v>
      </c>
      <c r="BJ62" s="51">
        <f t="shared" si="80"/>
        <v>2005</v>
      </c>
      <c r="BK62" s="51">
        <f t="shared" si="68"/>
        <v>1962.5351102800314</v>
      </c>
      <c r="BL62" s="51">
        <f t="shared" si="69"/>
        <v>1074.3452745231889</v>
      </c>
      <c r="BM62" s="51">
        <f t="shared" si="70"/>
        <v>2504.2459695699108</v>
      </c>
      <c r="BN62" s="51">
        <f t="shared" si="71"/>
        <v>1816.9223955448315</v>
      </c>
      <c r="BO62" s="51">
        <f t="shared" si="72"/>
        <v>868.75734093681126</v>
      </c>
      <c r="BP62" s="51">
        <f t="shared" si="73"/>
        <v>808.99592551996136</v>
      </c>
      <c r="BQ62" s="51">
        <f t="shared" si="74"/>
        <v>2430.0010978798559</v>
      </c>
      <c r="BR62" s="51">
        <f t="shared" si="75"/>
        <v>828.51642146584504</v>
      </c>
    </row>
  </sheetData>
  <pageMargins left="0.75" right="0.75" top="1" bottom="1" header="0.5" footer="0.5"/>
  <pageSetup scale="85" orientation="landscape" r:id="rId1"/>
  <headerFooter alignWithMargins="0"/>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9AD9F-40CD-4B30-B66A-19467B20F923}">
  <dimension ref="C2:AN78"/>
  <sheetViews>
    <sheetView topLeftCell="AO18" workbookViewId="0">
      <selection activeCell="AZ45" sqref="AZ45"/>
    </sheetView>
  </sheetViews>
  <sheetFormatPr defaultRowHeight="12.75" x14ac:dyDescent="0.2"/>
  <cols>
    <col min="1" max="16384" width="9.140625" style="355"/>
  </cols>
  <sheetData>
    <row r="2" spans="4:40" x14ac:dyDescent="0.2">
      <c r="D2" s="355" t="s">
        <v>810</v>
      </c>
    </row>
    <row r="4" spans="4:40" x14ac:dyDescent="0.2">
      <c r="L4" s="355" t="s">
        <v>27</v>
      </c>
      <c r="P4" s="355" t="s">
        <v>259</v>
      </c>
      <c r="T4" s="355" t="s">
        <v>794</v>
      </c>
      <c r="Z4" s="355" t="s">
        <v>156</v>
      </c>
    </row>
    <row r="5" spans="4:40" x14ac:dyDescent="0.2">
      <c r="AA5" s="355" t="s">
        <v>91</v>
      </c>
    </row>
    <row r="6" spans="4:40" x14ac:dyDescent="0.2">
      <c r="L6" s="355" t="s">
        <v>792</v>
      </c>
      <c r="M6" s="355" t="s">
        <v>791</v>
      </c>
      <c r="P6" s="355" t="s">
        <v>792</v>
      </c>
      <c r="Q6" s="355" t="s">
        <v>791</v>
      </c>
      <c r="T6" s="355" t="s">
        <v>792</v>
      </c>
      <c r="U6" s="355" t="s">
        <v>791</v>
      </c>
      <c r="AD6" s="355" t="s">
        <v>809</v>
      </c>
      <c r="AE6" s="355" t="s">
        <v>758</v>
      </c>
      <c r="AG6" s="355" t="s">
        <v>808</v>
      </c>
      <c r="AM6" s="355" t="s">
        <v>807</v>
      </c>
      <c r="AN6" s="355" t="s">
        <v>806</v>
      </c>
    </row>
    <row r="7" spans="4:40" x14ac:dyDescent="0.2">
      <c r="F7" s="355" t="s">
        <v>790</v>
      </c>
      <c r="H7" s="355" t="s">
        <v>805</v>
      </c>
      <c r="L7" s="355" t="s">
        <v>799</v>
      </c>
      <c r="M7" s="355" t="s">
        <v>786</v>
      </c>
      <c r="N7" s="355" t="s">
        <v>110</v>
      </c>
      <c r="P7" s="355" t="s">
        <v>799</v>
      </c>
      <c r="Q7" s="355" t="s">
        <v>786</v>
      </c>
      <c r="R7" s="355" t="s">
        <v>110</v>
      </c>
      <c r="T7" s="355" t="s">
        <v>799</v>
      </c>
      <c r="U7" s="355" t="s">
        <v>786</v>
      </c>
      <c r="V7" s="355" t="s">
        <v>110</v>
      </c>
      <c r="Z7" s="355">
        <v>1970</v>
      </c>
      <c r="AA7" s="355">
        <f>AG7*AA9</f>
        <v>692.60907613424581</v>
      </c>
      <c r="AC7" s="355">
        <v>1970</v>
      </c>
      <c r="AD7" s="496">
        <f>AA7</f>
        <v>692.60907613424581</v>
      </c>
      <c r="AE7" s="355">
        <f>(AD11-AD7)/4</f>
        <v>21.829470953896049</v>
      </c>
      <c r="AG7" s="355">
        <f>[10]RECS_Vintage_size!V75</f>
        <v>0.83842151321513969</v>
      </c>
      <c r="AL7" s="355">
        <f>AC7</f>
        <v>1970</v>
      </c>
      <c r="AM7" s="355">
        <f>AD7</f>
        <v>692.60907613424581</v>
      </c>
    </row>
    <row r="8" spans="4:40" x14ac:dyDescent="0.2">
      <c r="D8" s="355" t="s">
        <v>785</v>
      </c>
      <c r="F8" s="355">
        <v>25.2</v>
      </c>
      <c r="H8" s="355">
        <v>37.200000000000003</v>
      </c>
      <c r="I8" s="355">
        <f>H8/F8*1000</f>
        <v>1476.1904761904764</v>
      </c>
      <c r="J8" s="355">
        <v>1478</v>
      </c>
      <c r="L8" s="355">
        <v>17.7</v>
      </c>
      <c r="M8" s="355">
        <v>1695</v>
      </c>
      <c r="N8" s="355">
        <f>L8*M8</f>
        <v>30001.5</v>
      </c>
      <c r="P8" s="355">
        <v>7.5</v>
      </c>
      <c r="Q8" s="355">
        <v>963</v>
      </c>
      <c r="R8" s="355">
        <f>P8*Q8</f>
        <v>7222.5</v>
      </c>
      <c r="T8" s="355">
        <v>0</v>
      </c>
      <c r="U8" s="355">
        <v>0</v>
      </c>
      <c r="V8" s="355">
        <f>T8*U8</f>
        <v>0</v>
      </c>
      <c r="Z8" s="355">
        <v>1974</v>
      </c>
      <c r="AA8" s="355">
        <f>AG8*AA9</f>
        <v>779.92695994983001</v>
      </c>
      <c r="AC8" s="355">
        <v>1971</v>
      </c>
      <c r="AD8" s="355">
        <f>AD7+AE$7</f>
        <v>714.43854708814183</v>
      </c>
      <c r="AG8" s="355">
        <f>[10]RECS_Vintage_size!V76</f>
        <v>0.94412210941295216</v>
      </c>
      <c r="AL8" s="355">
        <f>AC8</f>
        <v>1971</v>
      </c>
      <c r="AM8" s="355">
        <f>AD8</f>
        <v>714.43854708814183</v>
      </c>
    </row>
    <row r="9" spans="4:40" x14ac:dyDescent="0.2">
      <c r="D9" s="355" t="s">
        <v>784</v>
      </c>
      <c r="F9" s="355">
        <v>7</v>
      </c>
      <c r="H9" s="355">
        <v>9.6999999999999993</v>
      </c>
      <c r="I9" s="355">
        <f>H9/F9*1000</f>
        <v>1385.7142857142858</v>
      </c>
      <c r="J9" s="355">
        <v>1387</v>
      </c>
      <c r="L9" s="355">
        <v>5.4</v>
      </c>
      <c r="M9" s="355">
        <v>1541</v>
      </c>
      <c r="N9" s="355">
        <f>L9*M9</f>
        <v>8321.4000000000015</v>
      </c>
      <c r="P9" s="355">
        <v>1.6</v>
      </c>
      <c r="Q9" s="355">
        <v>850</v>
      </c>
      <c r="R9" s="355">
        <f>P9*Q9</f>
        <v>1360</v>
      </c>
      <c r="T9" s="355">
        <v>0</v>
      </c>
      <c r="U9" s="355">
        <v>0</v>
      </c>
      <c r="V9" s="355">
        <f>T9*U9</f>
        <v>0</v>
      </c>
      <c r="Z9" s="355">
        <v>1980</v>
      </c>
      <c r="AA9" s="355">
        <f>'[10]REC_Total_SF (2)'!$D$77</f>
        <v>826.08695652173913</v>
      </c>
      <c r="AC9" s="355">
        <f>AC8+1</f>
        <v>1972</v>
      </c>
      <c r="AD9" s="355">
        <f>AD8+AE$7</f>
        <v>736.26801804203785</v>
      </c>
      <c r="AL9" s="355">
        <f>AC9</f>
        <v>1972</v>
      </c>
      <c r="AM9" s="355">
        <f>AD9</f>
        <v>736.26801804203785</v>
      </c>
    </row>
    <row r="10" spans="4:40" x14ac:dyDescent="0.2">
      <c r="D10" s="355" t="s">
        <v>783</v>
      </c>
      <c r="F10" s="355">
        <v>12.6</v>
      </c>
      <c r="H10" s="355">
        <v>18.3</v>
      </c>
      <c r="I10" s="355">
        <f>H10/F10*1000</f>
        <v>1452.3809523809525</v>
      </c>
      <c r="J10" s="355">
        <v>1451</v>
      </c>
      <c r="L10" s="355">
        <v>10.4</v>
      </c>
      <c r="M10" s="355">
        <v>1577</v>
      </c>
      <c r="N10" s="355">
        <f>L10*M10</f>
        <v>16400.8</v>
      </c>
      <c r="P10" s="355">
        <v>2</v>
      </c>
      <c r="Q10" s="355">
        <v>914</v>
      </c>
      <c r="R10" s="355">
        <f>P10*Q10</f>
        <v>1828</v>
      </c>
      <c r="T10" s="355">
        <v>0.2</v>
      </c>
      <c r="U10" s="355">
        <v>435</v>
      </c>
      <c r="V10" s="355">
        <f>T10*U10</f>
        <v>87</v>
      </c>
      <c r="Z10" s="355">
        <v>1984</v>
      </c>
      <c r="AA10" s="355">
        <f>'[10]REC_Total_SF (2)'!$E$77</f>
        <v>843.13725490196077</v>
      </c>
      <c r="AC10" s="355">
        <f>AC9+1</f>
        <v>1973</v>
      </c>
      <c r="AD10" s="355">
        <f>AD9+AE$7</f>
        <v>758.09748899593387</v>
      </c>
      <c r="AL10" s="355">
        <f>AC10</f>
        <v>1973</v>
      </c>
      <c r="AM10" s="355">
        <f>AD10</f>
        <v>758.09748899593387</v>
      </c>
    </row>
    <row r="11" spans="4:40" x14ac:dyDescent="0.2">
      <c r="D11" s="355" t="s">
        <v>804</v>
      </c>
      <c r="F11" s="355">
        <v>7.5</v>
      </c>
      <c r="H11" s="355">
        <v>22.7</v>
      </c>
      <c r="I11" s="355">
        <f>H11/F11*1000</f>
        <v>3026.6666666666665</v>
      </c>
      <c r="J11" s="355">
        <v>1456</v>
      </c>
      <c r="L11" s="355">
        <v>5</v>
      </c>
      <c r="M11" s="355">
        <v>1731</v>
      </c>
      <c r="N11" s="355">
        <f>L11*M11</f>
        <v>8655</v>
      </c>
      <c r="P11" s="355">
        <v>2.1</v>
      </c>
      <c r="Q11" s="355">
        <v>912</v>
      </c>
      <c r="R11" s="355">
        <f>P11*Q11</f>
        <v>1915.2</v>
      </c>
      <c r="T11" s="355">
        <v>0.3</v>
      </c>
      <c r="U11" s="355">
        <v>557</v>
      </c>
      <c r="V11" s="355">
        <f>T11*U11</f>
        <v>167.1</v>
      </c>
      <c r="Z11" s="355">
        <v>1987</v>
      </c>
      <c r="AA11" s="355">
        <f>'[10]REC_Total_SF (2)'!$F$77</f>
        <v>864.70588235294122</v>
      </c>
      <c r="AC11" s="355">
        <f>AC10+1</f>
        <v>1974</v>
      </c>
      <c r="AD11" s="496">
        <f>AA8</f>
        <v>779.92695994983001</v>
      </c>
      <c r="AE11" s="355">
        <f>(AD17-AD11)/6</f>
        <v>7.6933327619848528</v>
      </c>
      <c r="AL11" s="355">
        <f>AC11</f>
        <v>1974</v>
      </c>
      <c r="AM11" s="355">
        <f>AD11</f>
        <v>779.92695994983001</v>
      </c>
    </row>
    <row r="12" spans="4:40" x14ac:dyDescent="0.2">
      <c r="D12" s="355" t="s">
        <v>803</v>
      </c>
      <c r="F12" s="355">
        <v>8.1999999999999993</v>
      </c>
      <c r="J12" s="355">
        <v>1431</v>
      </c>
      <c r="L12" s="355">
        <v>5.2</v>
      </c>
      <c r="M12" s="355">
        <v>1804</v>
      </c>
      <c r="N12" s="355">
        <f>L12*M12</f>
        <v>9380.8000000000011</v>
      </c>
      <c r="P12" s="355">
        <v>2.2000000000000002</v>
      </c>
      <c r="Q12" s="355">
        <v>823</v>
      </c>
      <c r="R12" s="355">
        <f>P12*Q12</f>
        <v>1810.6000000000001</v>
      </c>
      <c r="T12" s="355">
        <v>0.9</v>
      </c>
      <c r="U12" s="355">
        <v>777</v>
      </c>
      <c r="V12" s="355">
        <f>T12*U12</f>
        <v>699.30000000000007</v>
      </c>
      <c r="Z12" s="355">
        <v>1990</v>
      </c>
      <c r="AA12" s="355">
        <f>'[10]REC_Total_SF (2)'!$G$77</f>
        <v>942.30769230769226</v>
      </c>
      <c r="AC12" s="355">
        <f>AC11+1</f>
        <v>1975</v>
      </c>
      <c r="AD12" s="355">
        <f>AD11+AE$11</f>
        <v>787.62029271181484</v>
      </c>
      <c r="AL12" s="355">
        <f>AC12</f>
        <v>1975</v>
      </c>
      <c r="AM12" s="355">
        <f>AD12</f>
        <v>787.62029271181484</v>
      </c>
    </row>
    <row r="13" spans="4:40" x14ac:dyDescent="0.2">
      <c r="D13" s="355" t="s">
        <v>798</v>
      </c>
      <c r="F13" s="355">
        <v>10.7</v>
      </c>
      <c r="H13" s="355">
        <v>14.7</v>
      </c>
      <c r="I13" s="355">
        <f>H13/F13*1000</f>
        <v>1373.8317757009347</v>
      </c>
      <c r="J13" s="355">
        <v>1376</v>
      </c>
      <c r="L13" s="355">
        <v>5.4</v>
      </c>
      <c r="M13" s="355">
        <v>1858</v>
      </c>
      <c r="N13" s="355">
        <f>L13*M13</f>
        <v>10033.200000000001</v>
      </c>
      <c r="P13" s="355">
        <v>3.4</v>
      </c>
      <c r="Q13" s="355">
        <v>883</v>
      </c>
      <c r="R13" s="355">
        <f>P13*Q13</f>
        <v>3002.2</v>
      </c>
      <c r="T13" s="355">
        <v>1.9</v>
      </c>
      <c r="U13" s="355">
        <v>859</v>
      </c>
      <c r="V13" s="355">
        <f>T13*U13</f>
        <v>1632.1</v>
      </c>
      <c r="Z13" s="355">
        <v>1993</v>
      </c>
      <c r="AA13" s="355">
        <f>'[10]REC_Total_SF (2)'!$H$77</f>
        <v>989.09090909090912</v>
      </c>
      <c r="AC13" s="355">
        <f>AC12+1</f>
        <v>1976</v>
      </c>
      <c r="AD13" s="355">
        <f>AD12+AE$11</f>
        <v>795.31362547379968</v>
      </c>
      <c r="AL13" s="355">
        <f>AC13</f>
        <v>1976</v>
      </c>
      <c r="AM13" s="355">
        <f>AD13</f>
        <v>795.31362547379968</v>
      </c>
    </row>
    <row r="14" spans="4:40" x14ac:dyDescent="0.2">
      <c r="D14" s="355" t="s">
        <v>802</v>
      </c>
      <c r="F14" s="355">
        <v>10.1</v>
      </c>
      <c r="H14" s="355">
        <v>14.9</v>
      </c>
      <c r="I14" s="355">
        <f>H14/F14*1000</f>
        <v>1475.2475247524753</v>
      </c>
      <c r="J14" s="355">
        <v>1472</v>
      </c>
      <c r="L14" s="355">
        <v>5.5</v>
      </c>
      <c r="M14" s="355">
        <v>1908</v>
      </c>
      <c r="N14" s="355">
        <f>L14*M14</f>
        <v>10494</v>
      </c>
      <c r="P14" s="355">
        <v>3.3</v>
      </c>
      <c r="Q14" s="355">
        <v>963</v>
      </c>
      <c r="R14" s="355">
        <f>P14*Q14</f>
        <v>3177.8999999999996</v>
      </c>
      <c r="T14" s="355">
        <v>1.2</v>
      </c>
      <c r="U14" s="355">
        <v>883</v>
      </c>
      <c r="V14" s="355">
        <f>T14*U14</f>
        <v>1059.5999999999999</v>
      </c>
      <c r="Z14" s="355">
        <v>1997</v>
      </c>
      <c r="AA14" s="355">
        <f>'[10]REC_Total_SF (2)'!$I$77</f>
        <v>995.23809523809518</v>
      </c>
      <c r="AC14" s="355">
        <f>AC13+1</f>
        <v>1977</v>
      </c>
      <c r="AD14" s="355">
        <f>AD13+AE$11</f>
        <v>803.00695823578451</v>
      </c>
      <c r="AL14" s="355">
        <f>AC14</f>
        <v>1977</v>
      </c>
      <c r="AM14" s="355">
        <f>AD14</f>
        <v>803.00695823578451</v>
      </c>
    </row>
    <row r="15" spans="4:40" x14ac:dyDescent="0.2">
      <c r="D15" s="355" t="s">
        <v>801</v>
      </c>
      <c r="F15" s="355">
        <v>5</v>
      </c>
      <c r="H15" s="355">
        <v>6.8</v>
      </c>
      <c r="I15" s="355">
        <f>H15/F15*1000</f>
        <v>1359.9999999999998</v>
      </c>
      <c r="J15" s="355">
        <v>1353</v>
      </c>
      <c r="L15" s="355">
        <v>2.8</v>
      </c>
      <c r="M15" s="355">
        <v>1753</v>
      </c>
      <c r="N15" s="355">
        <f>L15*M15</f>
        <v>4908.3999999999996</v>
      </c>
      <c r="P15" s="355">
        <v>1.7</v>
      </c>
      <c r="Q15" s="355">
        <v>834</v>
      </c>
      <c r="R15" s="355">
        <f>P15*Q15</f>
        <v>1417.8</v>
      </c>
      <c r="T15" s="355">
        <v>0.5</v>
      </c>
      <c r="U15" s="355">
        <v>913</v>
      </c>
      <c r="V15" s="355">
        <f>T15*U15</f>
        <v>456.5</v>
      </c>
      <c r="Z15" s="355">
        <v>2001</v>
      </c>
      <c r="AA15" s="355">
        <f>'[10]REC_Total_SF (2)'!$J$77</f>
        <v>1061.9950051417659</v>
      </c>
      <c r="AC15" s="355">
        <f>AC14+1</f>
        <v>1978</v>
      </c>
      <c r="AD15" s="355">
        <f>AD14+AE$11</f>
        <v>810.70029099776934</v>
      </c>
      <c r="AL15" s="355">
        <f>AC15</f>
        <v>1978</v>
      </c>
      <c r="AM15" s="355">
        <f>AD15</f>
        <v>810.70029099776934</v>
      </c>
    </row>
    <row r="16" spans="4:40" x14ac:dyDescent="0.2">
      <c r="Z16" s="355">
        <v>2005</v>
      </c>
      <c r="AA16" s="355">
        <f>'[10]REC_Total_SF (2)'!$K$77</f>
        <v>1062.008978242769</v>
      </c>
      <c r="AC16" s="355">
        <f>AC15+1</f>
        <v>1979</v>
      </c>
      <c r="AD16" s="355">
        <f>AD15+AE$11</f>
        <v>818.39362375975418</v>
      </c>
      <c r="AL16" s="355">
        <f>AC16</f>
        <v>1979</v>
      </c>
      <c r="AM16" s="355">
        <f>AD16</f>
        <v>818.39362375975418</v>
      </c>
    </row>
    <row r="17" spans="4:40" x14ac:dyDescent="0.2">
      <c r="Z17" s="355">
        <v>2009</v>
      </c>
      <c r="AA17" s="355">
        <f>'[10]REC_Total_SF (2)'!$L$77</f>
        <v>1087</v>
      </c>
      <c r="AC17" s="355">
        <f>AC16+1</f>
        <v>1980</v>
      </c>
      <c r="AD17" s="496">
        <f>AA9</f>
        <v>826.08695652173913</v>
      </c>
      <c r="AE17" s="355">
        <f>(AD21-AD17)/4</f>
        <v>4.2625745950554119</v>
      </c>
      <c r="AL17" s="355">
        <f>AC17</f>
        <v>1980</v>
      </c>
      <c r="AM17" s="355">
        <f>AD17</f>
        <v>826.08695652173913</v>
      </c>
      <c r="AN17" s="355">
        <f>$AD17</f>
        <v>826.08695652173913</v>
      </c>
    </row>
    <row r="18" spans="4:40" x14ac:dyDescent="0.2">
      <c r="D18" s="355" t="s">
        <v>773</v>
      </c>
      <c r="F18" s="355">
        <f>SUM(F$8:F12)</f>
        <v>60.5</v>
      </c>
      <c r="H18" s="355">
        <f>SUM(H$8:H12)</f>
        <v>87.9</v>
      </c>
      <c r="I18" s="355">
        <f>H18/F18*1000</f>
        <v>1452.8925619834711</v>
      </c>
      <c r="L18" s="355">
        <f>SUM(L$8:L12)</f>
        <v>43.7</v>
      </c>
      <c r="M18" s="494">
        <f>N18/L18</f>
        <v>1664.9771167048054</v>
      </c>
      <c r="N18" s="355">
        <f>SUM(N$8:N12)</f>
        <v>72759.5</v>
      </c>
      <c r="P18" s="355">
        <f>SUM(P$8:P12)</f>
        <v>15.399999999999999</v>
      </c>
      <c r="Q18" s="494">
        <f>R18/P18</f>
        <v>917.94155844155864</v>
      </c>
      <c r="R18" s="355">
        <f>SUM(R$8:R12)</f>
        <v>14136.300000000001</v>
      </c>
      <c r="T18" s="355">
        <f>SUM(T$8:T12)</f>
        <v>1.4</v>
      </c>
      <c r="U18" s="47">
        <f>V18/T18</f>
        <v>681.00000000000011</v>
      </c>
      <c r="V18" s="355">
        <f>SUM(V$8:V12)</f>
        <v>953.40000000000009</v>
      </c>
      <c r="AC18" s="355">
        <f>AC17+1</f>
        <v>1981</v>
      </c>
      <c r="AD18" s="355">
        <f>AD17+AE$17</f>
        <v>830.34953111679454</v>
      </c>
      <c r="AL18" s="355">
        <f>AC18</f>
        <v>1981</v>
      </c>
      <c r="AM18" s="355">
        <f>AD18</f>
        <v>830.34953111679454</v>
      </c>
    </row>
    <row r="19" spans="4:40" x14ac:dyDescent="0.2">
      <c r="D19" s="355" t="s">
        <v>772</v>
      </c>
      <c r="F19" s="355">
        <f>SUM(F$8:F13)</f>
        <v>71.2</v>
      </c>
      <c r="H19" s="355">
        <f>SUM(H$8:H13)</f>
        <v>102.60000000000001</v>
      </c>
      <c r="I19" s="355">
        <f>H19/F19*1000</f>
        <v>1441.0112359550562</v>
      </c>
      <c r="L19" s="355">
        <f>SUM(L$8:L13)</f>
        <v>49.1</v>
      </c>
      <c r="M19" s="494">
        <f>N19/L19</f>
        <v>1686.2057026476577</v>
      </c>
      <c r="N19" s="355">
        <f>SUM(N$8:N13)</f>
        <v>82792.7</v>
      </c>
      <c r="P19" s="355">
        <f>SUM(P$8:P13)</f>
        <v>18.799999999999997</v>
      </c>
      <c r="Q19" s="494">
        <f>R19/P19</f>
        <v>911.622340425532</v>
      </c>
      <c r="R19" s="355">
        <f>SUM(R$8:R13)</f>
        <v>17138.5</v>
      </c>
      <c r="T19" s="355">
        <f>SUM(T$8:T13)</f>
        <v>3.3</v>
      </c>
      <c r="U19" s="47">
        <f>V19/T19</f>
        <v>783.4848484848485</v>
      </c>
      <c r="V19" s="355">
        <f>SUM(V$8:V13)</f>
        <v>2585.5</v>
      </c>
      <c r="AC19" s="355">
        <f>AC18+1</f>
        <v>1982</v>
      </c>
      <c r="AD19" s="355">
        <f>AD18+AE$17</f>
        <v>834.61210571184995</v>
      </c>
      <c r="AL19" s="355">
        <f>AC19</f>
        <v>1982</v>
      </c>
      <c r="AM19" s="355">
        <f>AD19</f>
        <v>834.61210571184995</v>
      </c>
    </row>
    <row r="20" spans="4:40" x14ac:dyDescent="0.2">
      <c r="D20" s="355" t="s">
        <v>771</v>
      </c>
      <c r="F20" s="355">
        <f>SUM(F$8:F14)</f>
        <v>81.3</v>
      </c>
      <c r="H20" s="355">
        <f>SUM(H$8:H14)</f>
        <v>117.50000000000001</v>
      </c>
      <c r="I20" s="355">
        <f>H20/F20*1000</f>
        <v>1445.2644526445267</v>
      </c>
      <c r="L20" s="355">
        <f>SUM(L$8:L14)</f>
        <v>54.6</v>
      </c>
      <c r="M20" s="494">
        <f>N20/L20</f>
        <v>1708.547619047619</v>
      </c>
      <c r="N20" s="355">
        <f>SUM(N$8:N14)</f>
        <v>93286.7</v>
      </c>
      <c r="P20" s="355">
        <f>SUM(P$8:P14)</f>
        <v>22.099999999999998</v>
      </c>
      <c r="Q20" s="494">
        <f>R20/P20</f>
        <v>919.29411764705901</v>
      </c>
      <c r="R20" s="355">
        <f>SUM(R$8:R14)</f>
        <v>20316.400000000001</v>
      </c>
      <c r="T20" s="355">
        <f>SUM(T$8:T14)</f>
        <v>4.5</v>
      </c>
      <c r="U20" s="47">
        <f>V20/T20</f>
        <v>810.02222222222224</v>
      </c>
      <c r="V20" s="355">
        <f>SUM(V$8:V14)</f>
        <v>3645.1</v>
      </c>
      <c r="AC20" s="355">
        <f>AC19+1</f>
        <v>1983</v>
      </c>
      <c r="AD20" s="355">
        <f>AD19+AE$17</f>
        <v>838.87468030690536</v>
      </c>
      <c r="AL20" s="355">
        <f>AC20</f>
        <v>1983</v>
      </c>
      <c r="AM20" s="355">
        <f>AD20</f>
        <v>838.87468030690536</v>
      </c>
    </row>
    <row r="21" spans="4:40" x14ac:dyDescent="0.2">
      <c r="D21" s="355" t="s">
        <v>770</v>
      </c>
      <c r="F21" s="355">
        <f>SUM(F$8:F15)</f>
        <v>86.3</v>
      </c>
      <c r="H21" s="355">
        <f>SUM(H$8:H15)</f>
        <v>124.30000000000001</v>
      </c>
      <c r="I21" s="355">
        <f>H21/F21*1000</f>
        <v>1440.3244495944382</v>
      </c>
      <c r="L21" s="355">
        <f>SUM(L$8:L15)</f>
        <v>57.4</v>
      </c>
      <c r="M21" s="494">
        <f>N21/L21</f>
        <v>1710.7160278745644</v>
      </c>
      <c r="N21" s="355">
        <f>SUM(N$8:N15)</f>
        <v>98195.099999999991</v>
      </c>
      <c r="P21" s="355">
        <f>SUM(P$8:P15)</f>
        <v>23.799999999999997</v>
      </c>
      <c r="Q21" s="494">
        <f>R21/P21</f>
        <v>913.20168067226905</v>
      </c>
      <c r="R21" s="355">
        <f>SUM(R$8:R15)</f>
        <v>21734.2</v>
      </c>
      <c r="T21" s="355">
        <f>SUM(T$8:T15)</f>
        <v>5</v>
      </c>
      <c r="U21" s="47">
        <f>V21/T21</f>
        <v>820.32</v>
      </c>
      <c r="V21" s="355">
        <f>SUM(V$8:V15)</f>
        <v>4101.6000000000004</v>
      </c>
      <c r="AC21" s="355">
        <f>AC20+1</f>
        <v>1984</v>
      </c>
      <c r="AD21" s="496">
        <f>AA10</f>
        <v>843.13725490196077</v>
      </c>
      <c r="AE21" s="355">
        <f>(AD24-AD21)/3</f>
        <v>7.1895424836601478</v>
      </c>
      <c r="AL21" s="355">
        <f>AC21</f>
        <v>1984</v>
      </c>
      <c r="AM21" s="355">
        <f>AD21</f>
        <v>843.13725490196077</v>
      </c>
      <c r="AN21" s="355">
        <f>$AD21</f>
        <v>843.13725490196077</v>
      </c>
    </row>
    <row r="22" spans="4:40" x14ac:dyDescent="0.2">
      <c r="AC22" s="355">
        <f>AC21+1</f>
        <v>1985</v>
      </c>
      <c r="AD22" s="355">
        <f>AD21+AE$21</f>
        <v>850.32679738562092</v>
      </c>
      <c r="AL22" s="355">
        <f>AC22</f>
        <v>1985</v>
      </c>
      <c r="AM22" s="355">
        <f>AD22</f>
        <v>850.32679738562092</v>
      </c>
    </row>
    <row r="23" spans="4:40" x14ac:dyDescent="0.2">
      <c r="AC23" s="355">
        <f>AC22+1</f>
        <v>1986</v>
      </c>
      <c r="AD23" s="355">
        <f>AD22+AE$21</f>
        <v>857.51633986928107</v>
      </c>
      <c r="AL23" s="355">
        <f>AC23</f>
        <v>1986</v>
      </c>
      <c r="AM23" s="355">
        <f>AD23</f>
        <v>857.51633986928107</v>
      </c>
    </row>
    <row r="24" spans="4:40" x14ac:dyDescent="0.2">
      <c r="AC24" s="355">
        <f>AC23+1</f>
        <v>1987</v>
      </c>
      <c r="AD24" s="496">
        <f>AA11</f>
        <v>864.70588235294122</v>
      </c>
      <c r="AE24" s="355">
        <f>(AD27-AD24)/3</f>
        <v>25.867269984917016</v>
      </c>
      <c r="AL24" s="355">
        <f>AC24</f>
        <v>1987</v>
      </c>
      <c r="AM24" s="355">
        <f>AD24</f>
        <v>864.70588235294122</v>
      </c>
      <c r="AN24" s="355">
        <f>$AD24</f>
        <v>864.70588235294122</v>
      </c>
    </row>
    <row r="25" spans="4:40" x14ac:dyDescent="0.2">
      <c r="D25" s="355" t="s">
        <v>800</v>
      </c>
      <c r="AC25" s="355">
        <f>AC24+1</f>
        <v>1988</v>
      </c>
      <c r="AD25" s="355">
        <f>AD24+AE$24</f>
        <v>890.57315233785823</v>
      </c>
      <c r="AL25" s="355">
        <f>AC25</f>
        <v>1988</v>
      </c>
      <c r="AM25" s="355">
        <f>AD25</f>
        <v>890.57315233785823</v>
      </c>
    </row>
    <row r="26" spans="4:40" x14ac:dyDescent="0.2">
      <c r="AC26" s="355">
        <f>AC25+1</f>
        <v>1989</v>
      </c>
      <c r="AD26" s="355">
        <f>AD25+AE$24</f>
        <v>916.44042232277525</v>
      </c>
      <c r="AL26" s="355">
        <f>AC26</f>
        <v>1989</v>
      </c>
      <c r="AM26" s="355">
        <f>AD26</f>
        <v>916.44042232277525</v>
      </c>
    </row>
    <row r="27" spans="4:40" x14ac:dyDescent="0.2">
      <c r="L27" s="355" t="s">
        <v>27</v>
      </c>
      <c r="P27" s="355" t="s">
        <v>259</v>
      </c>
      <c r="T27" s="355" t="s">
        <v>794</v>
      </c>
      <c r="AC27" s="355">
        <f>AC26+1</f>
        <v>1990</v>
      </c>
      <c r="AD27" s="496">
        <f>AA12</f>
        <v>942.30769230769226</v>
      </c>
      <c r="AE27" s="355">
        <f>(AD30-AD27)/3</f>
        <v>15.59440559440562</v>
      </c>
      <c r="AL27" s="355">
        <f>AC27</f>
        <v>1990</v>
      </c>
      <c r="AM27" s="355">
        <f>AD27</f>
        <v>942.30769230769226</v>
      </c>
    </row>
    <row r="28" spans="4:40" x14ac:dyDescent="0.2">
      <c r="AC28" s="355">
        <f>AC27+1</f>
        <v>1991</v>
      </c>
      <c r="AD28" s="355">
        <f>AD27+AE$27</f>
        <v>957.90209790209792</v>
      </c>
      <c r="AL28" s="355">
        <f>AC28</f>
        <v>1991</v>
      </c>
      <c r="AM28" s="355">
        <f>AD28</f>
        <v>957.90209790209792</v>
      </c>
    </row>
    <row r="29" spans="4:40" x14ac:dyDescent="0.2">
      <c r="L29" s="355" t="s">
        <v>792</v>
      </c>
      <c r="M29" s="355" t="s">
        <v>791</v>
      </c>
      <c r="P29" s="355" t="s">
        <v>792</v>
      </c>
      <c r="Q29" s="355" t="s">
        <v>791</v>
      </c>
      <c r="T29" s="355" t="s">
        <v>792</v>
      </c>
      <c r="U29" s="355" t="s">
        <v>791</v>
      </c>
      <c r="AC29" s="355">
        <f>AC28+1</f>
        <v>1992</v>
      </c>
      <c r="AD29" s="355">
        <f>AD28+AE$27</f>
        <v>973.49650349650358</v>
      </c>
      <c r="AL29" s="355">
        <f>AC29</f>
        <v>1992</v>
      </c>
      <c r="AM29" s="355">
        <f>AD29</f>
        <v>973.49650349650358</v>
      </c>
    </row>
    <row r="30" spans="4:40" x14ac:dyDescent="0.2">
      <c r="F30" s="355" t="s">
        <v>790</v>
      </c>
      <c r="H30" s="355" t="s">
        <v>788</v>
      </c>
      <c r="L30" s="355" t="s">
        <v>799</v>
      </c>
      <c r="M30" s="355" t="s">
        <v>786</v>
      </c>
      <c r="N30" s="355" t="s">
        <v>110</v>
      </c>
      <c r="P30" s="355" t="s">
        <v>799</v>
      </c>
      <c r="Q30" s="355" t="s">
        <v>786</v>
      </c>
      <c r="R30" s="355" t="s">
        <v>110</v>
      </c>
      <c r="T30" s="355" t="s">
        <v>799</v>
      </c>
      <c r="U30" s="355" t="s">
        <v>786</v>
      </c>
      <c r="V30" s="355" t="s">
        <v>110</v>
      </c>
      <c r="AC30" s="355">
        <f>AC29+1</f>
        <v>1993</v>
      </c>
      <c r="AD30" s="496">
        <f>AA13</f>
        <v>989.09090909090912</v>
      </c>
      <c r="AE30" s="355">
        <f>(AD38-AD30)/8</f>
        <v>9.1130120063570956</v>
      </c>
      <c r="AL30" s="355">
        <f>AC30</f>
        <v>1993</v>
      </c>
      <c r="AM30" s="355">
        <f>AD30</f>
        <v>989.09090909090912</v>
      </c>
      <c r="AN30" s="355">
        <f>$AD30</f>
        <v>989.09090909090912</v>
      </c>
    </row>
    <row r="31" spans="4:40" x14ac:dyDescent="0.2">
      <c r="D31" s="355" t="s">
        <v>785</v>
      </c>
      <c r="F31" s="355">
        <v>25.2</v>
      </c>
      <c r="H31" s="355">
        <v>37.200000000000003</v>
      </c>
      <c r="I31" s="355">
        <f>H31/F31*1000</f>
        <v>1476.1904761904764</v>
      </c>
      <c r="J31" s="355">
        <v>1478</v>
      </c>
      <c r="L31" s="355">
        <v>14.7</v>
      </c>
      <c r="M31" s="355">
        <v>1781</v>
      </c>
      <c r="N31" s="355">
        <f>L31*M31</f>
        <v>26180.699999999997</v>
      </c>
      <c r="P31" s="355">
        <v>6.7</v>
      </c>
      <c r="Q31" s="355">
        <v>1018</v>
      </c>
      <c r="R31" s="355">
        <f>P31*Q31</f>
        <v>6820.6</v>
      </c>
      <c r="T31" s="355">
        <v>0</v>
      </c>
      <c r="U31" s="355">
        <v>0</v>
      </c>
      <c r="V31" s="355">
        <f>T31*U31</f>
        <v>0</v>
      </c>
      <c r="AC31" s="355">
        <f>AC30+1</f>
        <v>1994</v>
      </c>
      <c r="AD31" s="355">
        <f>AD30+AE$30</f>
        <v>998.20392109726617</v>
      </c>
      <c r="AL31" s="355">
        <f>AC31</f>
        <v>1994</v>
      </c>
      <c r="AM31" s="355">
        <f>AD31</f>
        <v>998.20392109726617</v>
      </c>
    </row>
    <row r="32" spans="4:40" x14ac:dyDescent="0.2">
      <c r="D32" s="355" t="s">
        <v>784</v>
      </c>
      <c r="F32" s="355">
        <v>7</v>
      </c>
      <c r="H32" s="355">
        <v>9.6999999999999993</v>
      </c>
      <c r="I32" s="355">
        <f>H32/F32*1000</f>
        <v>1385.7142857142858</v>
      </c>
      <c r="J32" s="355">
        <v>1387</v>
      </c>
      <c r="L32" s="355">
        <v>6.2</v>
      </c>
      <c r="M32" s="355">
        <v>1565</v>
      </c>
      <c r="N32" s="355">
        <f>L32*M32</f>
        <v>9703</v>
      </c>
      <c r="P32" s="355">
        <v>1.9</v>
      </c>
      <c r="Q32" s="355">
        <v>862</v>
      </c>
      <c r="R32" s="355">
        <f>P32*Q32</f>
        <v>1637.8</v>
      </c>
      <c r="T32" s="355">
        <v>0</v>
      </c>
      <c r="U32" s="355">
        <v>0</v>
      </c>
      <c r="V32" s="355">
        <f>T32*U32</f>
        <v>0</v>
      </c>
      <c r="AC32" s="355">
        <f>AC31+1</f>
        <v>1995</v>
      </c>
      <c r="AD32" s="355">
        <f>AD31+AE$30</f>
        <v>1007.3169331036232</v>
      </c>
      <c r="AL32" s="355">
        <f>AC32</f>
        <v>1995</v>
      </c>
      <c r="AM32" s="355">
        <f>AD32</f>
        <v>1007.3169331036232</v>
      </c>
    </row>
    <row r="33" spans="4:40" x14ac:dyDescent="0.2">
      <c r="D33" s="355" t="s">
        <v>783</v>
      </c>
      <c r="F33" s="355">
        <v>12.6</v>
      </c>
      <c r="H33" s="355">
        <v>18.3</v>
      </c>
      <c r="I33" s="355">
        <f>H33/F33*1000</f>
        <v>1452.3809523809525</v>
      </c>
      <c r="J33" s="355">
        <v>1451</v>
      </c>
      <c r="L33" s="355">
        <v>10.8</v>
      </c>
      <c r="M33" s="355">
        <v>1658</v>
      </c>
      <c r="N33" s="355">
        <f>L33*M33</f>
        <v>17906.400000000001</v>
      </c>
      <c r="P33" s="355">
        <v>2.1</v>
      </c>
      <c r="Q33" s="355">
        <v>820</v>
      </c>
      <c r="R33" s="355">
        <f>P33*Q33</f>
        <v>1722</v>
      </c>
      <c r="T33" s="355">
        <v>0.2</v>
      </c>
      <c r="U33" s="355">
        <v>609</v>
      </c>
      <c r="V33" s="355">
        <f>T33*U33</f>
        <v>121.80000000000001</v>
      </c>
      <c r="AC33" s="355">
        <f>AC32+1</f>
        <v>1996</v>
      </c>
      <c r="AD33" s="355">
        <f>AD32+AE$30</f>
        <v>1016.4299451099803</v>
      </c>
      <c r="AL33" s="355">
        <f>AC33</f>
        <v>1996</v>
      </c>
      <c r="AM33" s="355">
        <f>AD33</f>
        <v>1016.4299451099803</v>
      </c>
    </row>
    <row r="34" spans="4:40" x14ac:dyDescent="0.2">
      <c r="D34" s="355" t="s">
        <v>782</v>
      </c>
      <c r="F34" s="355">
        <v>7.5</v>
      </c>
      <c r="H34" s="355">
        <v>22.7</v>
      </c>
      <c r="I34" s="355">
        <f>H34/F34*1000</f>
        <v>3026.6666666666665</v>
      </c>
      <c r="J34" s="355">
        <v>1456</v>
      </c>
      <c r="L34" s="355">
        <v>9.9</v>
      </c>
      <c r="M34" s="355">
        <v>1894</v>
      </c>
      <c r="N34" s="355">
        <f>L34*M34</f>
        <v>18750.600000000002</v>
      </c>
      <c r="P34" s="355">
        <v>5.5</v>
      </c>
      <c r="Q34" s="355">
        <v>862</v>
      </c>
      <c r="R34" s="355">
        <f>P34*Q34</f>
        <v>4741</v>
      </c>
      <c r="T34" s="355">
        <v>0.9</v>
      </c>
      <c r="U34" s="355">
        <v>693</v>
      </c>
      <c r="V34" s="355">
        <f>T34*U34</f>
        <v>623.70000000000005</v>
      </c>
      <c r="AC34" s="355">
        <f>AC33+1</f>
        <v>1997</v>
      </c>
      <c r="AD34" s="355">
        <f>AD33+AE$30</f>
        <v>1025.5429571163374</v>
      </c>
      <c r="AL34" s="355">
        <f>AC34</f>
        <v>1997</v>
      </c>
      <c r="AM34" s="355">
        <f>AD34</f>
        <v>1025.5429571163374</v>
      </c>
    </row>
    <row r="35" spans="4:40" x14ac:dyDescent="0.2">
      <c r="D35" s="355" t="s">
        <v>798</v>
      </c>
      <c r="F35" s="355">
        <v>8.1999999999999993</v>
      </c>
      <c r="J35" s="355">
        <v>1431</v>
      </c>
      <c r="L35" s="355">
        <v>5</v>
      </c>
      <c r="M35" s="355">
        <v>1904</v>
      </c>
      <c r="N35" s="355">
        <f>L35*M35</f>
        <v>9520</v>
      </c>
      <c r="P35" s="355">
        <v>3.1</v>
      </c>
      <c r="Q35" s="355">
        <v>843</v>
      </c>
      <c r="R35" s="355">
        <f>P35*Q35</f>
        <v>2613.3000000000002</v>
      </c>
      <c r="T35" s="355">
        <v>1.5</v>
      </c>
      <c r="U35" s="355">
        <v>797</v>
      </c>
      <c r="V35" s="355">
        <f>T35*U35</f>
        <v>1195.5</v>
      </c>
      <c r="AC35" s="355">
        <f>AC34+1</f>
        <v>1998</v>
      </c>
      <c r="AD35" s="355">
        <f>AD34+AE$30</f>
        <v>1034.6559691226946</v>
      </c>
      <c r="AL35" s="355">
        <f>AC35</f>
        <v>1998</v>
      </c>
      <c r="AM35" s="355">
        <f>AD35</f>
        <v>1034.6559691226946</v>
      </c>
    </row>
    <row r="36" spans="4:40" x14ac:dyDescent="0.2">
      <c r="D36" s="355" t="s">
        <v>797</v>
      </c>
      <c r="F36" s="355">
        <v>10.7</v>
      </c>
      <c r="H36" s="355">
        <v>14.7</v>
      </c>
      <c r="I36" s="355">
        <f>H36/F36*1000</f>
        <v>1373.8317757009347</v>
      </c>
      <c r="J36" s="355">
        <v>1376</v>
      </c>
      <c r="L36" s="355">
        <v>6.7</v>
      </c>
      <c r="M36" s="355">
        <v>2020</v>
      </c>
      <c r="N36" s="355">
        <f>L36*M36</f>
        <v>13534</v>
      </c>
      <c r="P36" s="355">
        <v>2.7</v>
      </c>
      <c r="Q36" s="355">
        <v>901</v>
      </c>
      <c r="R36" s="355">
        <f>P36*Q36</f>
        <v>2432.7000000000003</v>
      </c>
      <c r="T36" s="355">
        <v>1</v>
      </c>
      <c r="U36" s="355">
        <v>977</v>
      </c>
      <c r="V36" s="355">
        <f>T36*U36</f>
        <v>977</v>
      </c>
      <c r="AC36" s="355">
        <f>AC35+1</f>
        <v>1999</v>
      </c>
      <c r="AD36" s="355">
        <f>AD35+AE$30</f>
        <v>1043.7689811290518</v>
      </c>
      <c r="AL36" s="355">
        <f>AC36</f>
        <v>1999</v>
      </c>
      <c r="AM36" s="355">
        <f>AD36</f>
        <v>1043.7689811290518</v>
      </c>
    </row>
    <row r="37" spans="4:40" x14ac:dyDescent="0.2">
      <c r="D37" s="355" t="s">
        <v>780</v>
      </c>
      <c r="F37" s="355">
        <v>10.1</v>
      </c>
      <c r="H37" s="355">
        <v>14.9</v>
      </c>
      <c r="I37" s="355">
        <f>H37/F37*1000</f>
        <v>1475.2475247524753</v>
      </c>
      <c r="J37" s="355">
        <v>1472</v>
      </c>
      <c r="L37" s="355">
        <v>4.4000000000000004</v>
      </c>
      <c r="M37" s="355">
        <v>1751</v>
      </c>
      <c r="N37" s="355">
        <f>L37*M37</f>
        <v>7704.4000000000005</v>
      </c>
      <c r="P37" s="355">
        <v>2.2000000000000002</v>
      </c>
      <c r="Q37" s="355">
        <v>925</v>
      </c>
      <c r="R37" s="355">
        <f>P37*Q37</f>
        <v>2035.0000000000002</v>
      </c>
      <c r="T37" s="355">
        <v>0.8</v>
      </c>
      <c r="U37" s="355">
        <v>967</v>
      </c>
      <c r="V37" s="355">
        <f>T37*U37</f>
        <v>773.6</v>
      </c>
      <c r="AC37" s="355">
        <f>AC36+1</f>
        <v>2000</v>
      </c>
      <c r="AD37" s="355">
        <f>AD36+AE$30</f>
        <v>1052.8819931354089</v>
      </c>
      <c r="AL37" s="355">
        <f>AC37</f>
        <v>2000</v>
      </c>
      <c r="AM37" s="355">
        <f>AD37</f>
        <v>1052.8819931354089</v>
      </c>
    </row>
    <row r="38" spans="4:40" x14ac:dyDescent="0.2">
      <c r="D38" s="355" t="s">
        <v>796</v>
      </c>
      <c r="F38" s="355">
        <v>5</v>
      </c>
      <c r="H38" s="355">
        <v>6.8</v>
      </c>
      <c r="I38" s="355">
        <f>H38/F38*1000</f>
        <v>1359.9999999999998</v>
      </c>
      <c r="J38" s="355">
        <v>1353</v>
      </c>
      <c r="L38" s="355">
        <v>2.7</v>
      </c>
      <c r="M38" s="355">
        <v>1734</v>
      </c>
      <c r="N38" s="355">
        <f>L38*M38</f>
        <v>4681.8</v>
      </c>
      <c r="P38" s="355">
        <v>0.3</v>
      </c>
      <c r="Q38" s="355">
        <v>841</v>
      </c>
      <c r="R38" s="355">
        <f>P38*Q38</f>
        <v>252.29999999999998</v>
      </c>
      <c r="T38" s="355">
        <v>0.4</v>
      </c>
      <c r="U38" s="355">
        <v>1024</v>
      </c>
      <c r="V38" s="355">
        <f>T38*U38</f>
        <v>409.6</v>
      </c>
      <c r="AC38" s="355">
        <f>AC37+1</f>
        <v>2001</v>
      </c>
      <c r="AD38" s="496">
        <f>AA15</f>
        <v>1061.9950051417659</v>
      </c>
      <c r="AE38" s="355">
        <f>(AD42-AD38)/4</f>
        <v>3.4932752507756959E-3</v>
      </c>
      <c r="AL38" s="355">
        <f>AC38</f>
        <v>2001</v>
      </c>
      <c r="AM38" s="355">
        <f>AD38</f>
        <v>1061.9950051417659</v>
      </c>
      <c r="AN38" s="355">
        <f>$AD38</f>
        <v>1061.9950051417659</v>
      </c>
    </row>
    <row r="39" spans="4:40" x14ac:dyDescent="0.2">
      <c r="AC39" s="355">
        <f>AC38+1</f>
        <v>2002</v>
      </c>
      <c r="AD39" s="355">
        <f>AD38+AE$38</f>
        <v>1061.9984984170167</v>
      </c>
      <c r="AL39" s="355">
        <f>AC39</f>
        <v>2002</v>
      </c>
      <c r="AM39" s="355">
        <f>AD39</f>
        <v>1061.9984984170167</v>
      </c>
    </row>
    <row r="40" spans="4:40" x14ac:dyDescent="0.2">
      <c r="AC40" s="355">
        <f>AC39+1</f>
        <v>2003</v>
      </c>
      <c r="AD40" s="355">
        <f>AD39+AE$38</f>
        <v>1062.0019916922674</v>
      </c>
      <c r="AL40" s="355">
        <f>AC40</f>
        <v>2003</v>
      </c>
      <c r="AM40" s="355">
        <f>AD40</f>
        <v>1062.0019916922674</v>
      </c>
    </row>
    <row r="41" spans="4:40" x14ac:dyDescent="0.2">
      <c r="AC41" s="355">
        <f>AC40+1</f>
        <v>2004</v>
      </c>
      <c r="AD41" s="355">
        <f>AD40+AE$38</f>
        <v>1062.0054849675182</v>
      </c>
      <c r="AL41" s="355">
        <f>AC41</f>
        <v>2004</v>
      </c>
      <c r="AM41" s="355">
        <f>AD41</f>
        <v>1062.0054849675182</v>
      </c>
    </row>
    <row r="42" spans="4:40" x14ac:dyDescent="0.2">
      <c r="D42" s="355" t="s">
        <v>773</v>
      </c>
      <c r="F42" s="355">
        <f>SUM(F$31:F34)</f>
        <v>52.300000000000004</v>
      </c>
      <c r="H42" s="355">
        <f>SUM(H$31:H34)</f>
        <v>87.9</v>
      </c>
      <c r="I42" s="355">
        <f>H42/F42*1000</f>
        <v>1680.6883365200765</v>
      </c>
      <c r="L42" s="355">
        <f>SUM(L$31:L34)</f>
        <v>41.6</v>
      </c>
      <c r="M42" s="494">
        <f>N42/L42</f>
        <v>1743.7668269230769</v>
      </c>
      <c r="N42" s="355">
        <f>SUM(N$31:N34)</f>
        <v>72540.7</v>
      </c>
      <c r="P42" s="355">
        <f>SUM(P$31:P34)</f>
        <v>16.2</v>
      </c>
      <c r="Q42" s="494">
        <f>R42/P42</f>
        <v>921.07407407407413</v>
      </c>
      <c r="R42" s="355">
        <f>SUM(R$31:R34)</f>
        <v>14921.4</v>
      </c>
      <c r="T42" s="355">
        <f>SUM(T$31:T34)</f>
        <v>1.1000000000000001</v>
      </c>
      <c r="U42" s="47">
        <f>V42/T42</f>
        <v>677.72727272727263</v>
      </c>
      <c r="V42" s="355">
        <f>SUM(V$31:V34)</f>
        <v>745.5</v>
      </c>
      <c r="AC42" s="355">
        <f>AC41+1</f>
        <v>2005</v>
      </c>
      <c r="AD42" s="496">
        <f>AA16</f>
        <v>1062.008978242769</v>
      </c>
      <c r="AE42" s="355">
        <f>(AD46-AD42)/4</f>
        <v>6.2477554393077526</v>
      </c>
      <c r="AL42" s="355">
        <f>AC42</f>
        <v>2005</v>
      </c>
      <c r="AM42" s="355">
        <f>AD42</f>
        <v>1062.008978242769</v>
      </c>
      <c r="AN42" s="355">
        <f>$AD42</f>
        <v>1062.008978242769</v>
      </c>
    </row>
    <row r="43" spans="4:40" x14ac:dyDescent="0.2">
      <c r="D43" s="355" t="s">
        <v>772</v>
      </c>
      <c r="F43" s="355">
        <f>SUM(F$31:F35)</f>
        <v>60.5</v>
      </c>
      <c r="H43" s="355">
        <f>SUM(H$31:H35)</f>
        <v>87.9</v>
      </c>
      <c r="I43" s="355">
        <f>H43/F43*1000</f>
        <v>1452.8925619834711</v>
      </c>
      <c r="L43" s="355">
        <f>SUM(L$31:L35)</f>
        <v>46.6</v>
      </c>
      <c r="M43" s="494">
        <f>N43/L43</f>
        <v>1760.9592274678109</v>
      </c>
      <c r="N43" s="355">
        <f>SUM(N$31:N35)</f>
        <v>82060.7</v>
      </c>
      <c r="P43" s="355">
        <f>SUM(P$31:P35)</f>
        <v>19.3</v>
      </c>
      <c r="Q43" s="494">
        <f>R43/P43</f>
        <v>908.53367875647666</v>
      </c>
      <c r="R43" s="355">
        <f>SUM(R$31:R35)</f>
        <v>17534.7</v>
      </c>
      <c r="T43" s="355">
        <f>SUM(T$31:T35)</f>
        <v>2.6</v>
      </c>
      <c r="U43" s="47">
        <f>V43/T43</f>
        <v>746.53846153846155</v>
      </c>
      <c r="V43" s="355">
        <f>SUM(V$31:V35)</f>
        <v>1941</v>
      </c>
      <c r="AC43" s="355">
        <f>AC42+1</f>
        <v>2006</v>
      </c>
      <c r="AD43" s="355">
        <f>AD42+AE$42</f>
        <v>1068.2567336820766</v>
      </c>
      <c r="AL43" s="355">
        <f>AC43</f>
        <v>2006</v>
      </c>
      <c r="AM43" s="355">
        <f>AD43</f>
        <v>1068.2567336820766</v>
      </c>
    </row>
    <row r="44" spans="4:40" x14ac:dyDescent="0.2">
      <c r="D44" s="355" t="s">
        <v>771</v>
      </c>
      <c r="F44" s="355">
        <f>SUM(F$31:F36)</f>
        <v>71.2</v>
      </c>
      <c r="H44" s="355">
        <f>SUM(H$31:H36)</f>
        <v>102.60000000000001</v>
      </c>
      <c r="I44" s="355">
        <f>H44/F44*1000</f>
        <v>1441.0112359550562</v>
      </c>
      <c r="L44" s="355">
        <f>SUM(L$31:L36)</f>
        <v>53.300000000000004</v>
      </c>
      <c r="M44" s="494">
        <f>N44/L44</f>
        <v>1793.5215759849905</v>
      </c>
      <c r="N44" s="355">
        <f>SUM(N$31:N36)</f>
        <v>95594.7</v>
      </c>
      <c r="P44" s="355">
        <f>SUM(P$31:P36)</f>
        <v>22</v>
      </c>
      <c r="Q44" s="494">
        <f>R44/P44</f>
        <v>907.60909090909092</v>
      </c>
      <c r="R44" s="355">
        <f>SUM(R$31:R36)</f>
        <v>19967.400000000001</v>
      </c>
      <c r="T44" s="355">
        <f>SUM(T$31:T36)</f>
        <v>3.6</v>
      </c>
      <c r="U44" s="47">
        <f>V44/T44</f>
        <v>810.55555555555554</v>
      </c>
      <c r="V44" s="355">
        <f>SUM(V$31:V36)</f>
        <v>2918</v>
      </c>
      <c r="AC44" s="355">
        <f>AC43+1</f>
        <v>2007</v>
      </c>
      <c r="AD44" s="355">
        <f>AD43+AE$42</f>
        <v>1074.5044891213843</v>
      </c>
      <c r="AL44" s="355">
        <f>AC44</f>
        <v>2007</v>
      </c>
      <c r="AM44" s="355">
        <f>AD44</f>
        <v>1074.5044891213843</v>
      </c>
    </row>
    <row r="45" spans="4:40" x14ac:dyDescent="0.2">
      <c r="D45" s="355" t="s">
        <v>770</v>
      </c>
      <c r="F45" s="355">
        <f>SUM(F$31:F37)</f>
        <v>81.3</v>
      </c>
      <c r="H45" s="355">
        <f>SUM(H$31:H37)</f>
        <v>117.50000000000001</v>
      </c>
      <c r="I45" s="355">
        <f>H45/F45*1000</f>
        <v>1445.2644526445267</v>
      </c>
      <c r="L45" s="355">
        <f>SUM(L$31:L37)</f>
        <v>57.7</v>
      </c>
      <c r="M45" s="494">
        <f>N45/L45</f>
        <v>1790.279029462738</v>
      </c>
      <c r="N45" s="355">
        <f>SUM(N$31:N37)</f>
        <v>103299.09999999999</v>
      </c>
      <c r="P45" s="355">
        <f>SUM(P$31:P37)</f>
        <v>24.2</v>
      </c>
      <c r="Q45" s="494">
        <f>R45/P45</f>
        <v>909.19008264462821</v>
      </c>
      <c r="R45" s="355">
        <f>SUM(R$31:R37)</f>
        <v>22002.400000000001</v>
      </c>
      <c r="T45" s="355">
        <f>SUM(T$31:T37)</f>
        <v>4.4000000000000004</v>
      </c>
      <c r="U45" s="47">
        <f>V45/T45</f>
        <v>838.99999999999989</v>
      </c>
      <c r="V45" s="355">
        <f>SUM(V$31:V37)</f>
        <v>3691.6</v>
      </c>
      <c r="AC45" s="355">
        <f>AC44+1</f>
        <v>2008</v>
      </c>
      <c r="AD45" s="355">
        <f>AD44+AE$42</f>
        <v>1080.7522445606919</v>
      </c>
      <c r="AL45" s="355">
        <f>AC45</f>
        <v>2008</v>
      </c>
      <c r="AM45" s="355">
        <f>AD45</f>
        <v>1080.7522445606919</v>
      </c>
    </row>
    <row r="46" spans="4:40" x14ac:dyDescent="0.2">
      <c r="D46" s="355" t="s">
        <v>776</v>
      </c>
      <c r="F46" s="355">
        <f>SUM(F$31:F38)</f>
        <v>86.3</v>
      </c>
      <c r="H46" s="355">
        <f>SUM(H$31:H38)</f>
        <v>124.30000000000001</v>
      </c>
      <c r="I46" s="355">
        <f>H46/F46*1000</f>
        <v>1440.3244495944382</v>
      </c>
      <c r="L46" s="355">
        <f>SUM(L$31:L38)</f>
        <v>60.400000000000006</v>
      </c>
      <c r="M46" s="494">
        <f>N46/L46</f>
        <v>1787.7632450331123</v>
      </c>
      <c r="N46" s="355">
        <f>SUM(N$31:N38)</f>
        <v>107980.9</v>
      </c>
      <c r="P46" s="355">
        <f>SUM(P$31:P38)</f>
        <v>24.5</v>
      </c>
      <c r="Q46" s="494">
        <f>R46/P46</f>
        <v>908.3551020408164</v>
      </c>
      <c r="R46" s="355">
        <f>SUM(R$31:R38)</f>
        <v>22254.7</v>
      </c>
      <c r="T46" s="355">
        <f>SUM(T$31:T38)</f>
        <v>4.8000000000000007</v>
      </c>
      <c r="U46" s="47">
        <f>V46/T46</f>
        <v>854.41666666666652</v>
      </c>
      <c r="V46" s="355">
        <f>SUM(V$31:V38)</f>
        <v>4101.2</v>
      </c>
      <c r="AC46" s="355">
        <f>AC45+1</f>
        <v>2009</v>
      </c>
      <c r="AD46" s="496">
        <f>AA17</f>
        <v>1087</v>
      </c>
      <c r="AE46" s="47">
        <f>(AD52-AD46)/6</f>
        <v>17.362745098039227</v>
      </c>
      <c r="AL46" s="355">
        <f>AC46</f>
        <v>2009</v>
      </c>
      <c r="AM46" s="355">
        <f>AD46</f>
        <v>1087</v>
      </c>
      <c r="AN46" s="355">
        <f>$AD46</f>
        <v>1087</v>
      </c>
    </row>
    <row r="47" spans="4:40" x14ac:dyDescent="0.2">
      <c r="AC47" s="355">
        <f>AC46+1</f>
        <v>2010</v>
      </c>
      <c r="AD47" s="47">
        <f>AD46+AE$46</f>
        <v>1104.3627450980393</v>
      </c>
      <c r="AL47" s="355">
        <f>AC47</f>
        <v>2010</v>
      </c>
      <c r="AM47" s="355">
        <f>AD47</f>
        <v>1104.3627450980393</v>
      </c>
    </row>
    <row r="48" spans="4:40" x14ac:dyDescent="0.2">
      <c r="AC48" s="355">
        <v>2011</v>
      </c>
      <c r="AD48" s="47">
        <f t="shared" ref="AD48:AD51" si="0">AD47+AE$46</f>
        <v>1121.7254901960787</v>
      </c>
      <c r="AL48" s="355">
        <f>AC48</f>
        <v>2011</v>
      </c>
      <c r="AM48" s="355">
        <f>AD48</f>
        <v>1121.7254901960787</v>
      </c>
    </row>
    <row r="49" spans="4:40" x14ac:dyDescent="0.2">
      <c r="AC49" s="355">
        <v>2012</v>
      </c>
      <c r="AD49" s="47">
        <f t="shared" si="0"/>
        <v>1139.088235294118</v>
      </c>
      <c r="AL49" s="355">
        <f>AC49</f>
        <v>2012</v>
      </c>
      <c r="AM49" s="355">
        <f t="shared" ref="AM49:AM54" si="1">AD49</f>
        <v>1139.088235294118</v>
      </c>
    </row>
    <row r="50" spans="4:40" x14ac:dyDescent="0.2">
      <c r="D50" s="355" t="s">
        <v>795</v>
      </c>
      <c r="AC50" s="355">
        <v>2013</v>
      </c>
      <c r="AD50" s="47">
        <f t="shared" si="0"/>
        <v>1156.4509803921574</v>
      </c>
      <c r="AL50" s="355">
        <f t="shared" ref="AL50:AL54" si="2">AC50</f>
        <v>2013</v>
      </c>
      <c r="AM50" s="355">
        <f t="shared" si="1"/>
        <v>1156.4509803921574</v>
      </c>
    </row>
    <row r="51" spans="4:40" x14ac:dyDescent="0.2">
      <c r="AC51" s="355">
        <v>2014</v>
      </c>
      <c r="AD51" s="47">
        <f t="shared" si="0"/>
        <v>1173.8137254901967</v>
      </c>
      <c r="AL51" s="355">
        <f t="shared" si="2"/>
        <v>2014</v>
      </c>
      <c r="AM51" s="355">
        <f t="shared" si="1"/>
        <v>1173.8137254901967</v>
      </c>
    </row>
    <row r="52" spans="4:40" x14ac:dyDescent="0.2">
      <c r="L52" s="355" t="s">
        <v>27</v>
      </c>
      <c r="P52" s="355" t="s">
        <v>259</v>
      </c>
      <c r="T52" s="355" t="s">
        <v>794</v>
      </c>
      <c r="AC52" s="355">
        <v>2015</v>
      </c>
      <c r="AD52" s="421">
        <f>RECS_4_adj!$O$49</f>
        <v>1191.1764705882354</v>
      </c>
      <c r="AL52" s="355">
        <f t="shared" si="2"/>
        <v>2015</v>
      </c>
      <c r="AM52" s="355">
        <f t="shared" si="1"/>
        <v>1191.1764705882354</v>
      </c>
      <c r="AN52" s="47">
        <f>AD52</f>
        <v>1191.1764705882354</v>
      </c>
    </row>
    <row r="53" spans="4:40" x14ac:dyDescent="0.2">
      <c r="AC53" s="355">
        <v>2016</v>
      </c>
      <c r="AD53" s="355">
        <f>Total_stock_MH!CD46</f>
        <v>1196</v>
      </c>
      <c r="AL53" s="355">
        <f t="shared" si="2"/>
        <v>2016</v>
      </c>
      <c r="AM53" s="355">
        <f t="shared" si="1"/>
        <v>1196</v>
      </c>
    </row>
    <row r="54" spans="4:40" x14ac:dyDescent="0.2">
      <c r="F54" s="355" t="s">
        <v>106</v>
      </c>
      <c r="G54" s="355" t="s">
        <v>793</v>
      </c>
      <c r="L54" s="355" t="s">
        <v>792</v>
      </c>
      <c r="M54" s="355" t="s">
        <v>791</v>
      </c>
      <c r="P54" s="355" t="s">
        <v>792</v>
      </c>
      <c r="Q54" s="355" t="s">
        <v>791</v>
      </c>
      <c r="T54" s="355" t="s">
        <v>792</v>
      </c>
      <c r="U54" s="355" t="s">
        <v>791</v>
      </c>
      <c r="AC54" s="355">
        <v>2017</v>
      </c>
      <c r="AD54" s="355">
        <f>Total_stock_MH!CD47</f>
        <v>1201</v>
      </c>
      <c r="AL54" s="355">
        <f t="shared" si="2"/>
        <v>2017</v>
      </c>
      <c r="AM54" s="355">
        <f t="shared" si="1"/>
        <v>1201</v>
      </c>
    </row>
    <row r="55" spans="4:40" x14ac:dyDescent="0.2">
      <c r="F55" s="355" t="s">
        <v>790</v>
      </c>
      <c r="G55" s="355" t="s">
        <v>789</v>
      </c>
      <c r="H55" s="355" t="s">
        <v>788</v>
      </c>
      <c r="L55" s="355" t="s">
        <v>787</v>
      </c>
      <c r="M55" s="355" t="s">
        <v>786</v>
      </c>
      <c r="N55" s="355" t="s">
        <v>110</v>
      </c>
      <c r="P55" s="355" t="s">
        <v>787</v>
      </c>
      <c r="Q55" s="355" t="s">
        <v>786</v>
      </c>
      <c r="R55" s="355" t="s">
        <v>110</v>
      </c>
      <c r="T55" s="355" t="s">
        <v>787</v>
      </c>
      <c r="U55" s="355" t="s">
        <v>786</v>
      </c>
      <c r="V55" s="355" t="s">
        <v>110</v>
      </c>
    </row>
    <row r="56" spans="4:40" x14ac:dyDescent="0.2">
      <c r="D56" s="355" t="s">
        <v>785</v>
      </c>
      <c r="F56" s="355">
        <v>21.5</v>
      </c>
      <c r="G56" s="355">
        <f>L56+P56+T56</f>
        <v>21.4</v>
      </c>
      <c r="H56" s="355">
        <v>37.200000000000003</v>
      </c>
      <c r="I56" s="355">
        <f>H56/F56*1000</f>
        <v>1730.2325581395351</v>
      </c>
      <c r="J56" s="355">
        <v>1478</v>
      </c>
      <c r="L56" s="355">
        <v>15</v>
      </c>
      <c r="M56" s="355">
        <v>1875</v>
      </c>
      <c r="N56" s="355">
        <f>L56*M56</f>
        <v>28125</v>
      </c>
      <c r="P56" s="355">
        <v>6.4</v>
      </c>
      <c r="Q56" s="355">
        <v>1090</v>
      </c>
      <c r="R56" s="355">
        <f>P56*Q56</f>
        <v>6976</v>
      </c>
      <c r="T56" s="355">
        <v>0</v>
      </c>
      <c r="U56" s="355">
        <v>0</v>
      </c>
      <c r="V56" s="355">
        <f>T56*U56</f>
        <v>0</v>
      </c>
    </row>
    <row r="57" spans="4:40" x14ac:dyDescent="0.2">
      <c r="D57" s="355" t="s">
        <v>784</v>
      </c>
      <c r="F57" s="355">
        <v>7</v>
      </c>
      <c r="G57" s="355">
        <f>L57+P57+T57</f>
        <v>7.1</v>
      </c>
      <c r="H57" s="355">
        <v>9.6999999999999993</v>
      </c>
      <c r="I57" s="355">
        <f>H57/F57*1000</f>
        <v>1385.7142857142858</v>
      </c>
      <c r="J57" s="355">
        <v>1387</v>
      </c>
      <c r="L57" s="355">
        <v>5.7</v>
      </c>
      <c r="M57" s="355">
        <v>1575</v>
      </c>
      <c r="N57" s="355">
        <f>L57*M57</f>
        <v>8977.5</v>
      </c>
      <c r="P57" s="355">
        <v>1.4</v>
      </c>
      <c r="Q57" s="355">
        <v>1019</v>
      </c>
      <c r="R57" s="355">
        <f>P57*Q57</f>
        <v>1426.6</v>
      </c>
      <c r="T57" s="355">
        <v>0</v>
      </c>
      <c r="U57" s="355">
        <v>0</v>
      </c>
      <c r="V57" s="355">
        <f>T57*U57</f>
        <v>0</v>
      </c>
    </row>
    <row r="58" spans="4:40" x14ac:dyDescent="0.2">
      <c r="D58" s="355" t="s">
        <v>783</v>
      </c>
      <c r="F58" s="355">
        <v>13.4</v>
      </c>
      <c r="G58" s="355">
        <f>L58+P58+T58</f>
        <v>13.5</v>
      </c>
      <c r="H58" s="355">
        <v>18.3</v>
      </c>
      <c r="I58" s="355">
        <f>H58/F58*1000</f>
        <v>1365.6716417910447</v>
      </c>
      <c r="J58" s="355">
        <v>1451</v>
      </c>
      <c r="L58" s="355">
        <v>11.4</v>
      </c>
      <c r="M58" s="355">
        <v>1758</v>
      </c>
      <c r="N58" s="355">
        <f>L58*M58</f>
        <v>20041.2</v>
      </c>
      <c r="P58" s="355">
        <v>1.9</v>
      </c>
      <c r="Q58" s="355">
        <v>774</v>
      </c>
      <c r="R58" s="355">
        <f>P58*Q58</f>
        <v>1470.6</v>
      </c>
      <c r="T58" s="495">
        <v>0.2</v>
      </c>
      <c r="U58" s="495">
        <f>U33</f>
        <v>609</v>
      </c>
      <c r="V58" s="355">
        <f>T58*U58</f>
        <v>121.80000000000001</v>
      </c>
    </row>
    <row r="59" spans="4:40" x14ac:dyDescent="0.2">
      <c r="D59" s="355" t="s">
        <v>782</v>
      </c>
      <c r="F59" s="355">
        <v>14.8</v>
      </c>
      <c r="G59" s="355">
        <f>L59+P59+T59</f>
        <v>14.799999999999999</v>
      </c>
      <c r="H59" s="355">
        <v>22.7</v>
      </c>
      <c r="I59" s="355">
        <f>H59/F59*1000</f>
        <v>1533.7837837837837</v>
      </c>
      <c r="J59" s="355">
        <v>1456</v>
      </c>
      <c r="L59" s="355">
        <v>10</v>
      </c>
      <c r="M59" s="355">
        <v>1887</v>
      </c>
      <c r="N59" s="355">
        <f>L59*M59</f>
        <v>18870</v>
      </c>
      <c r="P59" s="355">
        <v>4.0999999999999996</v>
      </c>
      <c r="Q59" s="355">
        <v>848</v>
      </c>
      <c r="R59" s="355">
        <f>P59*Q59</f>
        <v>3476.7999999999997</v>
      </c>
      <c r="T59" s="355">
        <v>0.7</v>
      </c>
      <c r="U59" s="355">
        <v>735</v>
      </c>
      <c r="V59" s="355">
        <f>T59*U59</f>
        <v>514.5</v>
      </c>
    </row>
    <row r="60" spans="4:40" x14ac:dyDescent="0.2">
      <c r="D60" s="355" t="s">
        <v>781</v>
      </c>
      <c r="F60" s="355">
        <v>21.4</v>
      </c>
      <c r="G60" s="355">
        <f>L60+P60+T60</f>
        <v>21.5</v>
      </c>
      <c r="J60" s="355">
        <v>1431</v>
      </c>
      <c r="L60" s="355">
        <v>12</v>
      </c>
      <c r="M60" s="355">
        <v>1951</v>
      </c>
      <c r="N60" s="355">
        <f>L60*M60</f>
        <v>23412</v>
      </c>
      <c r="P60" s="355">
        <v>7</v>
      </c>
      <c r="Q60" s="355">
        <v>876</v>
      </c>
      <c r="R60" s="355">
        <f>P60*Q60</f>
        <v>6132</v>
      </c>
      <c r="T60" s="355">
        <v>2.5</v>
      </c>
      <c r="U60" s="355">
        <v>914</v>
      </c>
      <c r="V60" s="355">
        <f>T60*U60</f>
        <v>2285</v>
      </c>
    </row>
    <row r="61" spans="4:40" x14ac:dyDescent="0.2">
      <c r="D61" s="355" t="s">
        <v>780</v>
      </c>
      <c r="F61" s="355">
        <v>8</v>
      </c>
      <c r="G61" s="355">
        <f>L61+P61+T61</f>
        <v>7.9999999999999991</v>
      </c>
      <c r="H61" s="355">
        <v>14.7</v>
      </c>
      <c r="I61" s="355">
        <f>H61/F61*1000</f>
        <v>1837.5</v>
      </c>
      <c r="J61" s="355">
        <v>1376</v>
      </c>
      <c r="L61" s="355">
        <v>5.0999999999999996</v>
      </c>
      <c r="M61" s="355">
        <v>1832</v>
      </c>
      <c r="N61" s="355">
        <f>L61*M61</f>
        <v>9343.1999999999989</v>
      </c>
      <c r="P61" s="355">
        <v>2.1</v>
      </c>
      <c r="Q61" s="355">
        <v>817</v>
      </c>
      <c r="R61" s="355">
        <f>P61*Q61</f>
        <v>1715.7</v>
      </c>
      <c r="T61" s="355">
        <v>0.8</v>
      </c>
      <c r="U61" s="355">
        <v>972</v>
      </c>
      <c r="V61" s="355">
        <f>T61*U61</f>
        <v>777.6</v>
      </c>
    </row>
    <row r="62" spans="4:40" x14ac:dyDescent="0.2">
      <c r="D62" s="355" t="s">
        <v>779</v>
      </c>
      <c r="F62" s="355">
        <v>5.0999999999999996</v>
      </c>
      <c r="G62" s="355">
        <f>L62+P62+T62</f>
        <v>5</v>
      </c>
      <c r="H62" s="355">
        <v>14.9</v>
      </c>
      <c r="I62" s="355">
        <f>H62/F62*1000</f>
        <v>2921.5686274509808</v>
      </c>
      <c r="J62" s="355">
        <v>1472</v>
      </c>
      <c r="L62" s="355">
        <v>3.2</v>
      </c>
      <c r="M62" s="355">
        <v>1939</v>
      </c>
      <c r="N62" s="355">
        <f>L62*M62</f>
        <v>6204.8</v>
      </c>
      <c r="P62" s="495">
        <v>1.2</v>
      </c>
      <c r="Q62" s="355">
        <v>938</v>
      </c>
      <c r="R62" s="355">
        <f>P62*Q62</f>
        <v>1125.5999999999999</v>
      </c>
      <c r="T62" s="355">
        <v>0.6</v>
      </c>
      <c r="U62" s="355">
        <v>978</v>
      </c>
      <c r="V62" s="355">
        <f>T62*U62</f>
        <v>586.79999999999995</v>
      </c>
    </row>
    <row r="63" spans="4:40" x14ac:dyDescent="0.2">
      <c r="D63" s="355" t="s">
        <v>778</v>
      </c>
      <c r="F63" s="355">
        <v>2.8</v>
      </c>
      <c r="G63" s="355">
        <f>L63+P63+T63</f>
        <v>2.8</v>
      </c>
      <c r="H63" s="355">
        <v>6.8</v>
      </c>
      <c r="I63" s="355">
        <f>H63/F63*1000</f>
        <v>2428.5714285714289</v>
      </c>
      <c r="J63" s="355">
        <v>1353</v>
      </c>
      <c r="L63" s="495">
        <v>2</v>
      </c>
      <c r="M63" s="355">
        <v>2570</v>
      </c>
      <c r="N63" s="355">
        <f>L63*M63</f>
        <v>5140</v>
      </c>
      <c r="P63" s="355">
        <v>0.3</v>
      </c>
      <c r="Q63" s="355">
        <v>1075</v>
      </c>
      <c r="R63" s="355">
        <f>P63*Q63</f>
        <v>322.5</v>
      </c>
      <c r="T63" s="355">
        <v>0.5</v>
      </c>
      <c r="U63" s="355">
        <v>1104</v>
      </c>
      <c r="V63" s="355">
        <f>T63*U63</f>
        <v>552</v>
      </c>
    </row>
    <row r="64" spans="4:40" x14ac:dyDescent="0.2">
      <c r="K64" s="355" t="s">
        <v>777</v>
      </c>
      <c r="L64" s="355">
        <f>SUM(L56:L63)</f>
        <v>64.400000000000006</v>
      </c>
      <c r="P64" s="355">
        <f>SUM(P56:P63)</f>
        <v>24.400000000000002</v>
      </c>
      <c r="T64" s="355">
        <f>SUM(T56:T63)</f>
        <v>5.3</v>
      </c>
    </row>
    <row r="65" spans="3:22" x14ac:dyDescent="0.2">
      <c r="K65" s="355" t="s">
        <v>106</v>
      </c>
      <c r="L65" s="355">
        <v>64.400000000000006</v>
      </c>
      <c r="P65" s="355">
        <v>24.4</v>
      </c>
      <c r="T65" s="355">
        <v>5.2</v>
      </c>
    </row>
    <row r="67" spans="3:22" x14ac:dyDescent="0.2">
      <c r="D67" s="355" t="s">
        <v>773</v>
      </c>
      <c r="F67" s="355">
        <f>SUM(F$31:F59)</f>
        <v>494.6</v>
      </c>
      <c r="H67" s="355">
        <f>SUM(H$31:H59)</f>
        <v>732.40000000000009</v>
      </c>
      <c r="I67" s="355">
        <f>H67/F67*1000</f>
        <v>1480.7925596441569</v>
      </c>
      <c r="L67" s="355">
        <f>SUM(L$56:L59)</f>
        <v>42.1</v>
      </c>
      <c r="M67" s="494">
        <f>N67/L67</f>
        <v>1805.5510688836102</v>
      </c>
      <c r="N67" s="355">
        <f>SUM(N$56:N59)</f>
        <v>76013.7</v>
      </c>
      <c r="P67" s="355">
        <f>SUM(P$56:P59)</f>
        <v>13.8</v>
      </c>
      <c r="Q67" s="494">
        <f>R67/P67</f>
        <v>967.39130434782601</v>
      </c>
      <c r="R67" s="355">
        <f>SUM(R$56:R59)</f>
        <v>13350</v>
      </c>
      <c r="T67" s="355">
        <f>SUM(T$56:T59)</f>
        <v>0.89999999999999991</v>
      </c>
      <c r="U67" s="47">
        <f>V67/T67</f>
        <v>707</v>
      </c>
      <c r="V67" s="355">
        <f>SUM(V$56:V59)</f>
        <v>636.29999999999995</v>
      </c>
    </row>
    <row r="68" spans="3:22" x14ac:dyDescent="0.2">
      <c r="D68" s="355" t="s">
        <v>771</v>
      </c>
      <c r="F68" s="355">
        <f>SUM(F$31:F60)</f>
        <v>516</v>
      </c>
      <c r="H68" s="355">
        <f>SUM(H$31:H60)</f>
        <v>732.40000000000009</v>
      </c>
      <c r="I68" s="355">
        <f>H68/F68*1000</f>
        <v>1419.3798449612405</v>
      </c>
      <c r="L68" s="355">
        <f>SUM(L$56:L60)</f>
        <v>54.1</v>
      </c>
      <c r="M68" s="494">
        <f>N68/L68</f>
        <v>1837.8133086876155</v>
      </c>
      <c r="N68" s="355">
        <f>SUM(N$56:N60)</f>
        <v>99425.7</v>
      </c>
      <c r="P68" s="355">
        <f>SUM(P$56:P60)</f>
        <v>20.8</v>
      </c>
      <c r="Q68" s="494">
        <f>R68/P68</f>
        <v>936.63461538461536</v>
      </c>
      <c r="R68" s="355">
        <f>SUM(R$56:R60)</f>
        <v>19482</v>
      </c>
      <c r="T68" s="355">
        <f>SUM(T$56:T60)</f>
        <v>3.4</v>
      </c>
      <c r="U68" s="47">
        <f>V68/T68</f>
        <v>859.20588235294122</v>
      </c>
      <c r="V68" s="355">
        <f>SUM(V$56:V60)</f>
        <v>2921.3</v>
      </c>
    </row>
    <row r="69" spans="3:22" x14ac:dyDescent="0.2">
      <c r="D69" s="355" t="s">
        <v>770</v>
      </c>
      <c r="F69" s="355">
        <f>SUM(F$31:F61)</f>
        <v>524</v>
      </c>
      <c r="H69" s="355">
        <f>SUM(H$31:H61)</f>
        <v>747.10000000000014</v>
      </c>
      <c r="I69" s="355">
        <f>H69/F69*1000</f>
        <v>1425.7633587786263</v>
      </c>
      <c r="L69" s="355">
        <f>SUM(L$56:L61)</f>
        <v>59.2</v>
      </c>
      <c r="M69" s="494">
        <f>N69/L69</f>
        <v>1837.3124999999998</v>
      </c>
      <c r="N69" s="355">
        <f>SUM(N$56:N61)</f>
        <v>108768.9</v>
      </c>
      <c r="P69" s="355">
        <f>SUM(P$56:P61)</f>
        <v>22.900000000000002</v>
      </c>
      <c r="Q69" s="494">
        <f>R69/P69</f>
        <v>925.6637554585152</v>
      </c>
      <c r="R69" s="355">
        <f>SUM(R$56:R61)</f>
        <v>21197.7</v>
      </c>
      <c r="T69" s="355">
        <f>SUM(T$56:T61)</f>
        <v>4.2</v>
      </c>
      <c r="U69" s="47">
        <f>V69/T69</f>
        <v>880.69047619047615</v>
      </c>
      <c r="V69" s="355">
        <f>SUM(V$56:V61)</f>
        <v>3698.9</v>
      </c>
    </row>
    <row r="70" spans="3:22" x14ac:dyDescent="0.2">
      <c r="D70" s="355" t="s">
        <v>776</v>
      </c>
      <c r="F70" s="355">
        <f>SUM(F$31:F62)</f>
        <v>529.1</v>
      </c>
      <c r="H70" s="355">
        <f>SUM(H$31:H62)</f>
        <v>762.00000000000011</v>
      </c>
      <c r="I70" s="355">
        <f>H70/F70*1000</f>
        <v>1440.1814401814404</v>
      </c>
      <c r="L70" s="355">
        <f>SUM(L$56:L62)</f>
        <v>62.400000000000006</v>
      </c>
      <c r="M70" s="494">
        <f>N70/L70</f>
        <v>1842.5272435897434</v>
      </c>
      <c r="N70" s="355">
        <f>SUM(N$56:N62)</f>
        <v>114973.7</v>
      </c>
      <c r="P70" s="355">
        <f>SUM(P$56:P62)</f>
        <v>24.1</v>
      </c>
      <c r="Q70" s="494">
        <f>R70/P70</f>
        <v>926.27800829875514</v>
      </c>
      <c r="R70" s="355">
        <f>SUM(R$56:R62)</f>
        <v>22323.3</v>
      </c>
      <c r="T70" s="355">
        <f>SUM(T$56:T62)</f>
        <v>4.8</v>
      </c>
      <c r="U70" s="47">
        <f>V70/T70</f>
        <v>892.85416666666663</v>
      </c>
      <c r="V70" s="355">
        <f>SUM(V$56:V62)</f>
        <v>4285.7</v>
      </c>
    </row>
    <row r="71" spans="3:22" x14ac:dyDescent="0.2">
      <c r="D71" s="355" t="s">
        <v>775</v>
      </c>
      <c r="F71" s="355">
        <f>SUM(F$31:F63)</f>
        <v>531.9</v>
      </c>
      <c r="H71" s="355">
        <f>SUM(H$31:H63)</f>
        <v>768.80000000000007</v>
      </c>
      <c r="I71" s="355">
        <f>H71/F71*1000</f>
        <v>1445.3844707651815</v>
      </c>
      <c r="L71" s="355">
        <f>SUM(L$56:L63)</f>
        <v>64.400000000000006</v>
      </c>
      <c r="M71" s="494">
        <f>N71/L71</f>
        <v>1865.119565217391</v>
      </c>
      <c r="N71" s="355">
        <f>SUM(N$56:N63)</f>
        <v>120113.7</v>
      </c>
      <c r="P71" s="355">
        <f>SUM(P$56:P63)</f>
        <v>24.400000000000002</v>
      </c>
      <c r="Q71" s="494">
        <f>R71/P71</f>
        <v>928.10655737704906</v>
      </c>
      <c r="R71" s="355">
        <f>SUM(R$56:R63)</f>
        <v>22645.8</v>
      </c>
      <c r="T71" s="355">
        <f>SUM(T$56:T63)</f>
        <v>5.3</v>
      </c>
      <c r="U71" s="47">
        <f>V71/T71</f>
        <v>912.77358490566041</v>
      </c>
      <c r="V71" s="355">
        <f>SUM(V$56:V63)</f>
        <v>4837.7</v>
      </c>
    </row>
    <row r="74" spans="3:22" x14ac:dyDescent="0.2">
      <c r="C74" s="355" t="s">
        <v>774</v>
      </c>
    </row>
    <row r="75" spans="3:22" x14ac:dyDescent="0.2">
      <c r="D75" s="355" t="s">
        <v>773</v>
      </c>
      <c r="M75" s="494">
        <f>AVERAGE(M18,M42)</f>
        <v>1704.3719718139412</v>
      </c>
      <c r="Q75" s="494">
        <f>AVERAGE(Q18,Q42)</f>
        <v>919.50781625781633</v>
      </c>
      <c r="U75" s="494">
        <f>AVERAGE(U18,U42)</f>
        <v>679.36363636363637</v>
      </c>
    </row>
    <row r="76" spans="3:22" x14ac:dyDescent="0.2">
      <c r="D76" s="355" t="s">
        <v>772</v>
      </c>
      <c r="M76" s="494">
        <f>AVERAGE(M19,M43)</f>
        <v>1723.5824650577342</v>
      </c>
      <c r="Q76" s="494">
        <f>AVERAGE(Q19,Q43)</f>
        <v>910.07800959100427</v>
      </c>
      <c r="U76" s="494">
        <f>AVERAGE(U19,U43)</f>
        <v>765.01165501165497</v>
      </c>
    </row>
    <row r="77" spans="3:22" x14ac:dyDescent="0.2">
      <c r="D77" s="355" t="s">
        <v>771</v>
      </c>
      <c r="M77" s="494">
        <f>AVERAGE(M20,M44)</f>
        <v>1751.0345975163048</v>
      </c>
      <c r="Q77" s="494">
        <f>AVERAGE(Q20,Q44)</f>
        <v>913.45160427807491</v>
      </c>
      <c r="U77" s="494">
        <f>AVERAGE(U20,U44)</f>
        <v>810.28888888888889</v>
      </c>
    </row>
    <row r="78" spans="3:22" x14ac:dyDescent="0.2">
      <c r="D78" s="355" t="s">
        <v>770</v>
      </c>
      <c r="M78" s="494">
        <f>AVERAGE(M21,M45)</f>
        <v>1750.4975286686513</v>
      </c>
      <c r="Q78" s="494">
        <f>AVERAGE(Q21,Q45)</f>
        <v>911.19588165844857</v>
      </c>
      <c r="U78" s="494">
        <f>AVERAGE(U21,U45)</f>
        <v>829.66</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G211"/>
  <sheetViews>
    <sheetView zoomScaleNormal="100" workbookViewId="0">
      <pane ySplit="10" topLeftCell="A11" activePane="bottomLeft" state="frozen"/>
      <selection activeCell="K21" sqref="K21"/>
      <selection pane="bottomLeft" activeCell="K21" sqref="K21"/>
    </sheetView>
  </sheetViews>
  <sheetFormatPr defaultColWidth="9.140625" defaultRowHeight="12.75" x14ac:dyDescent="0.2"/>
  <cols>
    <col min="1" max="1" width="33.28515625" style="51" customWidth="1"/>
    <col min="2" max="7" width="9.7109375" style="51" customWidth="1"/>
    <col min="8" max="16384" width="9.140625" style="51"/>
  </cols>
  <sheetData>
    <row r="1" spans="1:7" ht="15.75" x14ac:dyDescent="0.25">
      <c r="A1" s="116" t="s">
        <v>160</v>
      </c>
      <c r="B1" s="116"/>
      <c r="C1" s="116"/>
      <c r="D1" s="116"/>
      <c r="E1" s="116"/>
      <c r="F1" s="116"/>
      <c r="G1" s="116"/>
    </row>
    <row r="2" spans="1:7" ht="15.75" x14ac:dyDescent="0.25">
      <c r="A2" s="117" t="s">
        <v>161</v>
      </c>
      <c r="B2" s="117"/>
      <c r="C2" s="117"/>
      <c r="D2" s="117"/>
      <c r="E2" s="117"/>
      <c r="F2" s="117"/>
      <c r="G2" s="117"/>
    </row>
    <row r="3" spans="1:7" x14ac:dyDescent="0.2">
      <c r="B3" s="118"/>
      <c r="C3" s="474" t="s">
        <v>162</v>
      </c>
      <c r="D3" s="475"/>
      <c r="E3" s="475"/>
      <c r="F3" s="475"/>
      <c r="G3" s="475"/>
    </row>
    <row r="4" spans="1:7" x14ac:dyDescent="0.2">
      <c r="B4" s="119"/>
      <c r="C4" s="476"/>
      <c r="D4" s="477"/>
      <c r="E4" s="477"/>
      <c r="F4" s="477"/>
      <c r="G4" s="477"/>
    </row>
    <row r="5" spans="1:7" ht="12.75" customHeight="1" x14ac:dyDescent="0.2">
      <c r="A5" s="120"/>
      <c r="C5" s="478" t="s">
        <v>163</v>
      </c>
      <c r="D5" s="479"/>
      <c r="E5" s="482" t="s">
        <v>164</v>
      </c>
      <c r="F5" s="483"/>
      <c r="G5" s="121"/>
    </row>
    <row r="6" spans="1:7" ht="12.75" customHeight="1" x14ac:dyDescent="0.2">
      <c r="B6" s="486" t="s">
        <v>165</v>
      </c>
      <c r="C6" s="480"/>
      <c r="D6" s="481"/>
      <c r="E6" s="484"/>
      <c r="F6" s="485"/>
    </row>
    <row r="7" spans="1:7" ht="12.75" customHeight="1" x14ac:dyDescent="0.2">
      <c r="B7" s="486"/>
      <c r="C7" s="486" t="s">
        <v>166</v>
      </c>
      <c r="D7" s="486" t="s">
        <v>167</v>
      </c>
      <c r="E7" s="489" t="s">
        <v>168</v>
      </c>
      <c r="F7" s="491" t="s">
        <v>169</v>
      </c>
      <c r="G7" s="492" t="s">
        <v>170</v>
      </c>
    </row>
    <row r="8" spans="1:7" x14ac:dyDescent="0.2">
      <c r="A8" s="122" t="s">
        <v>171</v>
      </c>
      <c r="B8" s="487"/>
      <c r="C8" s="488"/>
      <c r="D8" s="487"/>
      <c r="E8" s="490"/>
      <c r="F8" s="487"/>
      <c r="G8" s="484"/>
    </row>
    <row r="9" spans="1:7" ht="10.5" customHeight="1" x14ac:dyDescent="0.2"/>
    <row r="10" spans="1:7" x14ac:dyDescent="0.2">
      <c r="A10" s="123" t="s">
        <v>172</v>
      </c>
      <c r="B10" s="124">
        <v>113.6</v>
      </c>
      <c r="C10" s="124">
        <v>71.8</v>
      </c>
      <c r="D10" s="124">
        <v>6.7</v>
      </c>
      <c r="E10" s="124">
        <v>9</v>
      </c>
      <c r="F10" s="124">
        <v>19.100000000000001</v>
      </c>
      <c r="G10" s="124">
        <v>6.9</v>
      </c>
    </row>
    <row r="11" spans="1:7" ht="10.5" customHeight="1" x14ac:dyDescent="0.2">
      <c r="B11" s="124"/>
      <c r="C11" s="124"/>
      <c r="D11" s="124"/>
      <c r="E11" s="124"/>
      <c r="F11" s="124"/>
      <c r="G11" s="124"/>
    </row>
    <row r="12" spans="1:7" ht="10.5" customHeight="1" x14ac:dyDescent="0.2">
      <c r="A12" s="89" t="s">
        <v>173</v>
      </c>
      <c r="B12" s="124"/>
      <c r="C12" s="124"/>
      <c r="D12" s="124"/>
      <c r="E12" s="124"/>
      <c r="F12" s="124"/>
      <c r="G12" s="124"/>
    </row>
    <row r="13" spans="1:7" ht="10.5" customHeight="1" x14ac:dyDescent="0.2">
      <c r="A13" s="125" t="s">
        <v>174</v>
      </c>
      <c r="B13" s="124">
        <v>31.3</v>
      </c>
      <c r="C13" s="124">
        <v>14.4</v>
      </c>
      <c r="D13" s="124">
        <v>2.1</v>
      </c>
      <c r="E13" s="124">
        <v>3.4</v>
      </c>
      <c r="F13" s="124">
        <v>9.6</v>
      </c>
      <c r="G13" s="124">
        <v>1.9</v>
      </c>
    </row>
    <row r="14" spans="1:7" ht="10.5" customHeight="1" x14ac:dyDescent="0.2">
      <c r="A14" s="125" t="s">
        <v>175</v>
      </c>
      <c r="B14" s="124">
        <v>35.799999999999997</v>
      </c>
      <c r="C14" s="124">
        <v>24.2</v>
      </c>
      <c r="D14" s="124">
        <v>1.9</v>
      </c>
      <c r="E14" s="124">
        <v>2.5</v>
      </c>
      <c r="F14" s="124">
        <v>5</v>
      </c>
      <c r="G14" s="124">
        <v>2.1</v>
      </c>
    </row>
    <row r="15" spans="1:7" ht="10.5" customHeight="1" x14ac:dyDescent="0.2">
      <c r="A15" s="125" t="s">
        <v>176</v>
      </c>
      <c r="B15" s="124">
        <v>18.100000000000001</v>
      </c>
      <c r="C15" s="124">
        <v>12.1</v>
      </c>
      <c r="D15" s="124">
        <v>1.2</v>
      </c>
      <c r="E15" s="124">
        <v>1.3</v>
      </c>
      <c r="F15" s="124">
        <v>2.2000000000000002</v>
      </c>
      <c r="G15" s="124">
        <v>1.2</v>
      </c>
    </row>
    <row r="16" spans="1:7" ht="10.5" customHeight="1" x14ac:dyDescent="0.2">
      <c r="A16" s="125" t="s">
        <v>177</v>
      </c>
      <c r="B16" s="124">
        <v>15.7</v>
      </c>
      <c r="C16" s="124">
        <v>11.5</v>
      </c>
      <c r="D16" s="124">
        <v>1</v>
      </c>
      <c r="E16" s="124">
        <v>1</v>
      </c>
      <c r="F16" s="124">
        <v>1.5</v>
      </c>
      <c r="G16" s="124">
        <v>0.8</v>
      </c>
    </row>
    <row r="17" spans="1:7" ht="10.5" customHeight="1" x14ac:dyDescent="0.2">
      <c r="A17" s="125" t="s">
        <v>178</v>
      </c>
      <c r="B17" s="124">
        <v>7.7</v>
      </c>
      <c r="C17" s="124">
        <v>5.8</v>
      </c>
      <c r="D17" s="124">
        <v>0.3</v>
      </c>
      <c r="E17" s="124">
        <v>0.5</v>
      </c>
      <c r="F17" s="124">
        <v>0.6</v>
      </c>
      <c r="G17" s="124">
        <v>0.5</v>
      </c>
    </row>
    <row r="18" spans="1:7" ht="10.5" customHeight="1" x14ac:dyDescent="0.2">
      <c r="A18" s="125" t="s">
        <v>179</v>
      </c>
      <c r="B18" s="124">
        <v>5</v>
      </c>
      <c r="C18" s="124">
        <v>3.8</v>
      </c>
      <c r="D18" s="124">
        <v>0.2</v>
      </c>
      <c r="E18" s="124">
        <v>0.3</v>
      </c>
      <c r="F18" s="124">
        <v>0.2</v>
      </c>
      <c r="G18" s="124">
        <v>0.4</v>
      </c>
    </row>
    <row r="19" spans="1:7" ht="10.5" customHeight="1" x14ac:dyDescent="0.2">
      <c r="A19" s="93"/>
      <c r="B19" s="124"/>
      <c r="C19" s="124"/>
      <c r="D19" s="124"/>
      <c r="E19" s="124"/>
      <c r="F19" s="124"/>
      <c r="G19" s="124"/>
    </row>
    <row r="20" spans="1:7" ht="10.5" customHeight="1" x14ac:dyDescent="0.2">
      <c r="A20" s="89" t="s">
        <v>180</v>
      </c>
      <c r="B20" s="124"/>
      <c r="C20" s="124"/>
      <c r="D20" s="124"/>
      <c r="E20" s="124"/>
      <c r="F20" s="124"/>
      <c r="G20" s="124"/>
    </row>
    <row r="21" spans="1:7" ht="10.5" customHeight="1" x14ac:dyDescent="0.2">
      <c r="A21" s="125" t="s">
        <v>181</v>
      </c>
      <c r="B21" s="124">
        <v>23.7</v>
      </c>
      <c r="C21" s="124">
        <v>9.3000000000000007</v>
      </c>
      <c r="D21" s="124">
        <v>1.2</v>
      </c>
      <c r="E21" s="124">
        <v>3.6</v>
      </c>
      <c r="F21" s="124">
        <v>7</v>
      </c>
      <c r="G21" s="124">
        <v>2.5</v>
      </c>
    </row>
    <row r="22" spans="1:7" ht="10.5" customHeight="1" x14ac:dyDescent="0.2">
      <c r="A22" s="125" t="s">
        <v>182</v>
      </c>
      <c r="B22" s="124">
        <v>27.5</v>
      </c>
      <c r="C22" s="124">
        <v>15.5</v>
      </c>
      <c r="D22" s="124">
        <v>1.8</v>
      </c>
      <c r="E22" s="124">
        <v>2.5</v>
      </c>
      <c r="F22" s="124">
        <v>5.2</v>
      </c>
      <c r="G22" s="124">
        <v>2.6</v>
      </c>
    </row>
    <row r="23" spans="1:7" ht="10.5" customHeight="1" x14ac:dyDescent="0.2">
      <c r="A23" s="125" t="s">
        <v>183</v>
      </c>
      <c r="B23" s="124">
        <v>21.2</v>
      </c>
      <c r="C23" s="124">
        <v>14.3</v>
      </c>
      <c r="D23" s="124">
        <v>1.3</v>
      </c>
      <c r="E23" s="124">
        <v>1.4</v>
      </c>
      <c r="F23" s="124">
        <v>3.2</v>
      </c>
      <c r="G23" s="124">
        <v>1</v>
      </c>
    </row>
    <row r="24" spans="1:7" ht="10.5" customHeight="1" x14ac:dyDescent="0.2">
      <c r="A24" s="125" t="s">
        <v>184</v>
      </c>
      <c r="B24" s="124">
        <v>14.2</v>
      </c>
      <c r="C24" s="124">
        <v>10.1</v>
      </c>
      <c r="D24" s="124">
        <v>0.9</v>
      </c>
      <c r="E24" s="124">
        <v>0.8</v>
      </c>
      <c r="F24" s="124">
        <v>1.8</v>
      </c>
      <c r="G24" s="124">
        <v>0.5</v>
      </c>
    </row>
    <row r="25" spans="1:7" ht="10.5" customHeight="1" x14ac:dyDescent="0.2">
      <c r="A25" s="125" t="s">
        <v>185</v>
      </c>
      <c r="B25" s="124">
        <v>9.3000000000000007</v>
      </c>
      <c r="C25" s="124">
        <v>7.3</v>
      </c>
      <c r="D25" s="124">
        <v>0.6</v>
      </c>
      <c r="E25" s="124">
        <v>0.3</v>
      </c>
      <c r="F25" s="124">
        <v>0.9</v>
      </c>
      <c r="G25" s="124">
        <v>0.2</v>
      </c>
    </row>
    <row r="26" spans="1:7" ht="10.5" customHeight="1" x14ac:dyDescent="0.2">
      <c r="A26" s="125" t="s">
        <v>186</v>
      </c>
      <c r="B26" s="124">
        <v>5.7</v>
      </c>
      <c r="C26" s="124">
        <v>4.9000000000000004</v>
      </c>
      <c r="D26" s="124">
        <v>0.3</v>
      </c>
      <c r="E26" s="124">
        <v>0.2</v>
      </c>
      <c r="F26" s="124">
        <v>0.3</v>
      </c>
      <c r="G26" s="124" t="s">
        <v>187</v>
      </c>
    </row>
    <row r="27" spans="1:7" ht="10.5" customHeight="1" x14ac:dyDescent="0.2">
      <c r="A27" s="125" t="s">
        <v>188</v>
      </c>
      <c r="B27" s="124">
        <v>12</v>
      </c>
      <c r="C27" s="124">
        <v>10.3</v>
      </c>
      <c r="D27" s="124">
        <v>0.6</v>
      </c>
      <c r="E27" s="124">
        <v>0.3</v>
      </c>
      <c r="F27" s="124">
        <v>0.8</v>
      </c>
      <c r="G27" s="124" t="s">
        <v>187</v>
      </c>
    </row>
    <row r="28" spans="1:7" ht="10.5" customHeight="1" x14ac:dyDescent="0.2">
      <c r="A28" s="93"/>
      <c r="B28" s="124"/>
      <c r="C28" s="124"/>
      <c r="D28" s="124"/>
      <c r="E28" s="124"/>
      <c r="F28" s="124"/>
      <c r="G28" s="124"/>
    </row>
    <row r="29" spans="1:7" ht="14.25" x14ac:dyDescent="0.2">
      <c r="A29" s="89" t="s">
        <v>189</v>
      </c>
      <c r="B29" s="124"/>
      <c r="C29" s="124"/>
      <c r="D29" s="124"/>
      <c r="E29" s="124"/>
      <c r="F29" s="124"/>
      <c r="G29" s="124"/>
    </row>
    <row r="30" spans="1:7" ht="10.5" customHeight="1" x14ac:dyDescent="0.2">
      <c r="A30" s="125" t="s">
        <v>190</v>
      </c>
      <c r="B30" s="124">
        <v>16.899999999999999</v>
      </c>
      <c r="C30" s="124">
        <v>6.9</v>
      </c>
      <c r="D30" s="124">
        <v>0.9</v>
      </c>
      <c r="E30" s="124">
        <v>2.7</v>
      </c>
      <c r="F30" s="124">
        <v>4.5</v>
      </c>
      <c r="G30" s="124">
        <v>1.9</v>
      </c>
    </row>
    <row r="31" spans="1:7" ht="10.5" customHeight="1" x14ac:dyDescent="0.2">
      <c r="A31" s="125" t="s">
        <v>191</v>
      </c>
      <c r="B31" s="124">
        <v>11.3</v>
      </c>
      <c r="C31" s="124">
        <v>5.3</v>
      </c>
      <c r="D31" s="124">
        <v>0.7</v>
      </c>
      <c r="E31" s="124">
        <v>1.3</v>
      </c>
      <c r="F31" s="124">
        <v>2.7</v>
      </c>
      <c r="G31" s="124">
        <v>1.3</v>
      </c>
    </row>
    <row r="32" spans="1:7" ht="10.5" customHeight="1" x14ac:dyDescent="0.2">
      <c r="A32" s="125" t="s">
        <v>192</v>
      </c>
      <c r="B32" s="124">
        <v>85.5</v>
      </c>
      <c r="C32" s="124">
        <v>59.6</v>
      </c>
      <c r="D32" s="124">
        <v>5.0999999999999996</v>
      </c>
      <c r="E32" s="124">
        <v>5.0999999999999996</v>
      </c>
      <c r="F32" s="124">
        <v>12</v>
      </c>
      <c r="G32" s="124">
        <v>3.8</v>
      </c>
    </row>
    <row r="33" spans="1:7" ht="10.5" customHeight="1" x14ac:dyDescent="0.2">
      <c r="A33" s="93"/>
      <c r="B33" s="124"/>
      <c r="C33" s="124"/>
      <c r="D33" s="124"/>
      <c r="E33" s="124"/>
      <c r="F33" s="124"/>
      <c r="G33" s="124"/>
    </row>
    <row r="34" spans="1:7" ht="14.25" x14ac:dyDescent="0.2">
      <c r="A34" s="126" t="s">
        <v>193</v>
      </c>
      <c r="B34" s="124"/>
      <c r="C34" s="124"/>
      <c r="D34" s="124"/>
      <c r="E34" s="124"/>
      <c r="F34" s="124"/>
      <c r="G34" s="124"/>
    </row>
    <row r="35" spans="1:7" ht="10.5" customHeight="1" x14ac:dyDescent="0.2">
      <c r="A35" s="125" t="s">
        <v>194</v>
      </c>
      <c r="B35" s="124">
        <v>76.5</v>
      </c>
      <c r="C35" s="124">
        <v>63.2</v>
      </c>
      <c r="D35" s="124">
        <v>3.9</v>
      </c>
      <c r="E35" s="124">
        <v>1.5</v>
      </c>
      <c r="F35" s="124">
        <v>2.2999999999999998</v>
      </c>
      <c r="G35" s="124">
        <v>5.5</v>
      </c>
    </row>
    <row r="36" spans="1:7" ht="10.5" customHeight="1" x14ac:dyDescent="0.2">
      <c r="A36" s="125" t="s">
        <v>195</v>
      </c>
      <c r="B36" s="124">
        <v>37.1</v>
      </c>
      <c r="C36" s="124">
        <v>8.6</v>
      </c>
      <c r="D36" s="124">
        <v>2.8</v>
      </c>
      <c r="E36" s="124">
        <v>7.6</v>
      </c>
      <c r="F36" s="124">
        <v>16.8</v>
      </c>
      <c r="G36" s="124">
        <v>1.4</v>
      </c>
    </row>
    <row r="37" spans="1:7" ht="10.5" customHeight="1" x14ac:dyDescent="0.2">
      <c r="A37" s="125"/>
      <c r="B37" s="124"/>
      <c r="C37" s="124"/>
      <c r="D37" s="124"/>
      <c r="E37" s="124"/>
      <c r="F37" s="124"/>
      <c r="G37" s="124"/>
    </row>
    <row r="38" spans="1:7" ht="10.5" customHeight="1" x14ac:dyDescent="0.2">
      <c r="A38" s="126" t="s">
        <v>196</v>
      </c>
      <c r="B38" s="124"/>
      <c r="C38" s="124"/>
      <c r="D38" s="124"/>
      <c r="E38" s="124"/>
      <c r="F38" s="124"/>
      <c r="G38" s="124"/>
    </row>
    <row r="39" spans="1:7" ht="10.5" customHeight="1" x14ac:dyDescent="0.2">
      <c r="A39" s="125" t="s">
        <v>197</v>
      </c>
      <c r="B39" s="124">
        <v>101</v>
      </c>
      <c r="C39" s="124">
        <v>70.5</v>
      </c>
      <c r="D39" s="124">
        <v>6.2</v>
      </c>
      <c r="E39" s="124">
        <v>6.4</v>
      </c>
      <c r="F39" s="124">
        <v>11.3</v>
      </c>
      <c r="G39" s="124">
        <v>6.6</v>
      </c>
    </row>
    <row r="40" spans="1:7" ht="10.5" customHeight="1" x14ac:dyDescent="0.2">
      <c r="A40" s="125" t="s">
        <v>198</v>
      </c>
      <c r="B40" s="124">
        <v>6.1</v>
      </c>
      <c r="C40" s="124">
        <v>0.2</v>
      </c>
      <c r="D40" s="124">
        <v>0.1</v>
      </c>
      <c r="E40" s="124">
        <v>1.4</v>
      </c>
      <c r="F40" s="124">
        <v>4.3</v>
      </c>
      <c r="G40" s="124" t="s">
        <v>187</v>
      </c>
    </row>
    <row r="41" spans="1:7" ht="10.5" customHeight="1" x14ac:dyDescent="0.2">
      <c r="A41" s="125" t="s">
        <v>199</v>
      </c>
      <c r="B41" s="124">
        <v>4.3</v>
      </c>
      <c r="C41" s="124">
        <v>0.3</v>
      </c>
      <c r="D41" s="124">
        <v>0.2</v>
      </c>
      <c r="E41" s="124">
        <v>0.9</v>
      </c>
      <c r="F41" s="124">
        <v>2.8</v>
      </c>
      <c r="G41" s="124" t="s">
        <v>187</v>
      </c>
    </row>
    <row r="42" spans="1:7" ht="10.5" customHeight="1" x14ac:dyDescent="0.2">
      <c r="A42" s="125" t="s">
        <v>200</v>
      </c>
      <c r="B42" s="124">
        <v>2.2000000000000002</v>
      </c>
      <c r="C42" s="124">
        <v>0.7</v>
      </c>
      <c r="D42" s="124">
        <v>0.2</v>
      </c>
      <c r="E42" s="124">
        <v>0.4</v>
      </c>
      <c r="F42" s="124">
        <v>0.7</v>
      </c>
      <c r="G42" s="124">
        <v>0.2</v>
      </c>
    </row>
    <row r="43" spans="1:7" ht="10.5" customHeight="1" x14ac:dyDescent="0.2">
      <c r="A43" s="125"/>
      <c r="B43" s="124"/>
      <c r="C43" s="124"/>
      <c r="D43" s="124"/>
      <c r="E43" s="124"/>
      <c r="F43" s="124"/>
      <c r="G43" s="124"/>
    </row>
    <row r="44" spans="1:7" ht="10.5" customHeight="1" x14ac:dyDescent="0.2">
      <c r="A44" s="126" t="s">
        <v>201</v>
      </c>
      <c r="B44" s="124"/>
      <c r="C44" s="124"/>
      <c r="D44" s="124"/>
      <c r="E44" s="124"/>
      <c r="F44" s="124"/>
      <c r="G44" s="124"/>
    </row>
    <row r="45" spans="1:7" ht="10.5" customHeight="1" x14ac:dyDescent="0.2">
      <c r="A45" s="125" t="s">
        <v>202</v>
      </c>
      <c r="B45" s="124">
        <v>4.9000000000000004</v>
      </c>
      <c r="C45" s="124">
        <v>0.3</v>
      </c>
      <c r="D45" s="124">
        <v>0.4</v>
      </c>
      <c r="E45" s="124">
        <v>0.8</v>
      </c>
      <c r="F45" s="124">
        <v>3.3</v>
      </c>
      <c r="G45" s="124" t="s">
        <v>187</v>
      </c>
    </row>
    <row r="46" spans="1:7" ht="10.5" customHeight="1" x14ac:dyDescent="0.2">
      <c r="A46" s="125" t="s">
        <v>203</v>
      </c>
      <c r="B46" s="124">
        <v>1.6</v>
      </c>
      <c r="C46" s="124">
        <v>0.1</v>
      </c>
      <c r="D46" s="124">
        <v>0.1</v>
      </c>
      <c r="E46" s="124">
        <v>0.4</v>
      </c>
      <c r="F46" s="124">
        <v>0.9</v>
      </c>
      <c r="G46" s="124" t="s">
        <v>187</v>
      </c>
    </row>
    <row r="47" spans="1:7" ht="10.5" customHeight="1" x14ac:dyDescent="0.2">
      <c r="A47" s="125" t="s">
        <v>204</v>
      </c>
      <c r="B47" s="124">
        <v>107.1</v>
      </c>
      <c r="C47" s="124">
        <v>71.400000000000006</v>
      </c>
      <c r="D47" s="124">
        <v>6.2</v>
      </c>
      <c r="E47" s="124">
        <v>7.8</v>
      </c>
      <c r="F47" s="124">
        <v>14.9</v>
      </c>
      <c r="G47" s="124">
        <v>6.9</v>
      </c>
    </row>
    <row r="48" spans="1:7" ht="10.5" customHeight="1" x14ac:dyDescent="0.2">
      <c r="A48" s="125"/>
      <c r="B48" s="124"/>
      <c r="C48" s="124"/>
      <c r="D48" s="124"/>
      <c r="E48" s="124"/>
      <c r="F48" s="124"/>
      <c r="G48" s="124"/>
    </row>
    <row r="49" spans="1:7" ht="10.5" customHeight="1" x14ac:dyDescent="0.2">
      <c r="A49" s="126" t="s">
        <v>205</v>
      </c>
      <c r="B49" s="124"/>
      <c r="C49" s="124"/>
      <c r="D49" s="124"/>
      <c r="E49" s="124"/>
      <c r="F49" s="124"/>
      <c r="G49" s="124"/>
    </row>
    <row r="50" spans="1:7" ht="10.5" customHeight="1" x14ac:dyDescent="0.2">
      <c r="A50" s="125" t="s">
        <v>206</v>
      </c>
      <c r="B50" s="124">
        <v>12.6</v>
      </c>
      <c r="C50" s="124">
        <v>5.0999999999999996</v>
      </c>
      <c r="D50" s="124">
        <v>0.8</v>
      </c>
      <c r="E50" s="124">
        <v>2</v>
      </c>
      <c r="F50" s="124">
        <v>3.1</v>
      </c>
      <c r="G50" s="124">
        <v>1.6</v>
      </c>
    </row>
    <row r="51" spans="1:7" ht="10.5" customHeight="1" x14ac:dyDescent="0.2">
      <c r="A51" s="125" t="s">
        <v>204</v>
      </c>
      <c r="B51" s="124">
        <v>101</v>
      </c>
      <c r="C51" s="124">
        <v>66.7</v>
      </c>
      <c r="D51" s="124">
        <v>5.9</v>
      </c>
      <c r="E51" s="124">
        <v>7</v>
      </c>
      <c r="F51" s="124">
        <v>16</v>
      </c>
      <c r="G51" s="124">
        <v>5.3</v>
      </c>
    </row>
    <row r="52" spans="1:7" ht="10.5" customHeight="1" x14ac:dyDescent="0.2">
      <c r="A52" s="93"/>
      <c r="B52" s="124"/>
      <c r="C52" s="124"/>
      <c r="D52" s="124"/>
      <c r="E52" s="124"/>
      <c r="F52" s="124"/>
      <c r="G52" s="124"/>
    </row>
    <row r="53" spans="1:7" ht="10.5" customHeight="1" x14ac:dyDescent="0.2">
      <c r="A53" s="89" t="s">
        <v>207</v>
      </c>
      <c r="B53" s="124"/>
      <c r="C53" s="124"/>
      <c r="D53" s="124"/>
      <c r="E53" s="124"/>
      <c r="F53" s="124"/>
      <c r="G53" s="124"/>
    </row>
    <row r="54" spans="1:7" ht="10.5" customHeight="1" x14ac:dyDescent="0.2">
      <c r="A54" s="125" t="s">
        <v>206</v>
      </c>
      <c r="B54" s="124">
        <v>14.8</v>
      </c>
      <c r="C54" s="124">
        <v>9.4</v>
      </c>
      <c r="D54" s="124">
        <v>0.9</v>
      </c>
      <c r="E54" s="124">
        <v>1.4</v>
      </c>
      <c r="F54" s="124">
        <v>2</v>
      </c>
      <c r="G54" s="124">
        <v>1</v>
      </c>
    </row>
    <row r="55" spans="1:7" ht="10.5" customHeight="1" x14ac:dyDescent="0.2">
      <c r="A55" s="125" t="s">
        <v>204</v>
      </c>
      <c r="B55" s="124">
        <v>98.8</v>
      </c>
      <c r="C55" s="124">
        <v>62.4</v>
      </c>
      <c r="D55" s="124">
        <v>5.8</v>
      </c>
      <c r="E55" s="124">
        <v>7.6</v>
      </c>
      <c r="F55" s="124">
        <v>17.100000000000001</v>
      </c>
      <c r="G55" s="124">
        <v>5.9</v>
      </c>
    </row>
    <row r="56" spans="1:7" ht="10.5" customHeight="1" x14ac:dyDescent="0.2">
      <c r="A56" s="93"/>
      <c r="B56" s="124"/>
      <c r="C56" s="124"/>
      <c r="D56" s="124"/>
      <c r="E56" s="124"/>
      <c r="F56" s="124"/>
      <c r="G56" s="124"/>
    </row>
    <row r="57" spans="1:7" ht="10.5" customHeight="1" x14ac:dyDescent="0.2">
      <c r="A57" s="89" t="s">
        <v>208</v>
      </c>
      <c r="B57" s="124"/>
      <c r="C57" s="124"/>
      <c r="D57" s="124"/>
      <c r="E57" s="124"/>
      <c r="F57" s="124"/>
      <c r="G57" s="124"/>
    </row>
    <row r="58" spans="1:7" ht="10.5" customHeight="1" x14ac:dyDescent="0.2">
      <c r="A58" s="125" t="s">
        <v>206</v>
      </c>
      <c r="B58" s="124">
        <v>29.7</v>
      </c>
      <c r="C58" s="124">
        <v>20.9</v>
      </c>
      <c r="D58" s="124">
        <v>1.8</v>
      </c>
      <c r="E58" s="124">
        <v>2.1</v>
      </c>
      <c r="F58" s="124">
        <v>3</v>
      </c>
      <c r="G58" s="124">
        <v>1.9</v>
      </c>
    </row>
    <row r="59" spans="1:7" ht="10.5" customHeight="1" x14ac:dyDescent="0.2">
      <c r="A59" s="125" t="s">
        <v>204</v>
      </c>
      <c r="B59" s="124">
        <v>83.9</v>
      </c>
      <c r="C59" s="124">
        <v>50.9</v>
      </c>
      <c r="D59" s="124">
        <v>4.9000000000000004</v>
      </c>
      <c r="E59" s="124">
        <v>6.9</v>
      </c>
      <c r="F59" s="124">
        <v>16.100000000000001</v>
      </c>
      <c r="G59" s="124">
        <v>5.0999999999999996</v>
      </c>
    </row>
    <row r="60" spans="1:7" ht="10.5" customHeight="1" x14ac:dyDescent="0.2">
      <c r="A60" s="125"/>
      <c r="B60" s="124"/>
      <c r="C60" s="124"/>
      <c r="D60" s="124"/>
      <c r="E60" s="124"/>
      <c r="F60" s="124"/>
      <c r="G60" s="124"/>
    </row>
    <row r="61" spans="1:7" ht="10.5" customHeight="1" x14ac:dyDescent="0.2">
      <c r="A61" s="89" t="s">
        <v>209</v>
      </c>
      <c r="B61" s="124"/>
      <c r="C61" s="124"/>
      <c r="D61" s="124"/>
      <c r="E61" s="124"/>
      <c r="F61" s="124"/>
      <c r="G61" s="124"/>
    </row>
    <row r="62" spans="1:7" ht="10.5" customHeight="1" x14ac:dyDescent="0.2">
      <c r="A62" s="125" t="s">
        <v>206</v>
      </c>
      <c r="B62" s="124">
        <v>94.7</v>
      </c>
      <c r="C62" s="124">
        <v>59.7</v>
      </c>
      <c r="D62" s="124">
        <v>5.5</v>
      </c>
      <c r="E62" s="124">
        <v>7.9</v>
      </c>
      <c r="F62" s="124">
        <v>15.7</v>
      </c>
      <c r="G62" s="124">
        <v>5.8</v>
      </c>
    </row>
    <row r="63" spans="1:7" ht="10.5" customHeight="1" x14ac:dyDescent="0.2">
      <c r="A63" s="125" t="s">
        <v>204</v>
      </c>
      <c r="B63" s="124">
        <v>19</v>
      </c>
      <c r="C63" s="124">
        <v>12.1</v>
      </c>
      <c r="D63" s="124">
        <v>1.2</v>
      </c>
      <c r="E63" s="124">
        <v>1.1000000000000001</v>
      </c>
      <c r="F63" s="124">
        <v>3.4</v>
      </c>
      <c r="G63" s="124">
        <v>1.1000000000000001</v>
      </c>
    </row>
    <row r="64" spans="1:7" ht="10.5" customHeight="1" x14ac:dyDescent="0.2">
      <c r="A64" s="93"/>
      <c r="B64" s="124"/>
      <c r="C64" s="124"/>
      <c r="D64" s="124"/>
      <c r="E64" s="124"/>
      <c r="F64" s="124"/>
      <c r="G64" s="124"/>
    </row>
    <row r="65" spans="1:7" ht="10.5" customHeight="1" x14ac:dyDescent="0.2">
      <c r="A65" s="89" t="s">
        <v>210</v>
      </c>
      <c r="B65" s="124"/>
      <c r="C65" s="124"/>
      <c r="D65" s="124"/>
      <c r="E65" s="124"/>
      <c r="F65" s="124"/>
      <c r="G65" s="124"/>
    </row>
    <row r="66" spans="1:7" ht="10.5" customHeight="1" x14ac:dyDescent="0.2">
      <c r="A66" s="125" t="s">
        <v>206</v>
      </c>
      <c r="B66" s="124">
        <v>28.3</v>
      </c>
      <c r="C66" s="124">
        <v>19.5</v>
      </c>
      <c r="D66" s="124">
        <v>1.6</v>
      </c>
      <c r="E66" s="124">
        <v>1.5</v>
      </c>
      <c r="F66" s="124">
        <v>4</v>
      </c>
      <c r="G66" s="124">
        <v>1.7</v>
      </c>
    </row>
    <row r="67" spans="1:7" ht="10.5" customHeight="1" x14ac:dyDescent="0.2">
      <c r="A67" s="125" t="s">
        <v>204</v>
      </c>
      <c r="B67" s="124">
        <v>85.3</v>
      </c>
      <c r="C67" s="124">
        <v>52.3</v>
      </c>
      <c r="D67" s="124">
        <v>5.0999999999999996</v>
      </c>
      <c r="E67" s="124">
        <v>7.5</v>
      </c>
      <c r="F67" s="124">
        <v>15.1</v>
      </c>
      <c r="G67" s="124">
        <v>5.2</v>
      </c>
    </row>
    <row r="68" spans="1:7" ht="10.5" customHeight="1" x14ac:dyDescent="0.2">
      <c r="A68" s="125"/>
      <c r="B68" s="124"/>
      <c r="C68" s="124"/>
      <c r="D68" s="124"/>
      <c r="E68" s="124"/>
      <c r="F68" s="124"/>
      <c r="G68" s="124"/>
    </row>
    <row r="69" spans="1:7" ht="14.25" x14ac:dyDescent="0.2">
      <c r="A69" s="126" t="s">
        <v>211</v>
      </c>
      <c r="B69" s="124"/>
      <c r="C69" s="124"/>
      <c r="D69" s="124"/>
      <c r="E69" s="124"/>
      <c r="F69" s="124"/>
      <c r="G69" s="124"/>
    </row>
    <row r="70" spans="1:7" ht="10.5" customHeight="1" x14ac:dyDescent="0.2">
      <c r="A70" s="126"/>
      <c r="B70" s="124"/>
      <c r="C70" s="124"/>
      <c r="D70" s="124"/>
      <c r="E70" s="124"/>
      <c r="F70" s="124"/>
      <c r="G70" s="124"/>
    </row>
    <row r="71" spans="1:7" ht="10.5" customHeight="1" x14ac:dyDescent="0.2">
      <c r="A71" s="127" t="s">
        <v>212</v>
      </c>
      <c r="B71" s="124"/>
      <c r="C71" s="124"/>
      <c r="D71" s="124"/>
      <c r="E71" s="124"/>
      <c r="F71" s="124"/>
      <c r="G71" s="124"/>
    </row>
    <row r="72" spans="1:7" ht="10.5" customHeight="1" x14ac:dyDescent="0.2">
      <c r="A72" s="128" t="s">
        <v>213</v>
      </c>
      <c r="B72" s="124">
        <v>5.4</v>
      </c>
      <c r="C72" s="124">
        <v>1.5</v>
      </c>
      <c r="D72" s="124">
        <v>0.3</v>
      </c>
      <c r="E72" s="124">
        <v>0.9</v>
      </c>
      <c r="F72" s="124">
        <v>2.5</v>
      </c>
      <c r="G72" s="124">
        <v>0.2</v>
      </c>
    </row>
    <row r="73" spans="1:7" ht="10.5" customHeight="1" x14ac:dyDescent="0.2">
      <c r="A73" s="128" t="s">
        <v>214</v>
      </c>
      <c r="B73" s="124">
        <v>17.7</v>
      </c>
      <c r="C73" s="124">
        <v>8.5</v>
      </c>
      <c r="D73" s="124">
        <v>1.3</v>
      </c>
      <c r="E73" s="124">
        <v>2.4</v>
      </c>
      <c r="F73" s="124">
        <v>4.5</v>
      </c>
      <c r="G73" s="124">
        <v>1</v>
      </c>
    </row>
    <row r="74" spans="1:7" ht="10.5" customHeight="1" x14ac:dyDescent="0.2">
      <c r="A74" s="128" t="s">
        <v>215</v>
      </c>
      <c r="B74" s="124">
        <v>21.6</v>
      </c>
      <c r="C74" s="124">
        <v>14</v>
      </c>
      <c r="D74" s="124">
        <v>1.2</v>
      </c>
      <c r="E74" s="124">
        <v>1.7</v>
      </c>
      <c r="F74" s="124">
        <v>3.2</v>
      </c>
      <c r="G74" s="124">
        <v>1.5</v>
      </c>
    </row>
    <row r="75" spans="1:7" ht="10.5" customHeight="1" x14ac:dyDescent="0.2">
      <c r="A75" s="128" t="s">
        <v>216</v>
      </c>
      <c r="B75" s="124">
        <v>24.4</v>
      </c>
      <c r="C75" s="124">
        <v>16.899999999999999</v>
      </c>
      <c r="D75" s="124">
        <v>1.4</v>
      </c>
      <c r="E75" s="124">
        <v>1.5</v>
      </c>
      <c r="F75" s="124">
        <v>2.9</v>
      </c>
      <c r="G75" s="124">
        <v>1.6</v>
      </c>
    </row>
    <row r="76" spans="1:7" ht="10.5" customHeight="1" x14ac:dyDescent="0.2">
      <c r="A76" s="128" t="s">
        <v>217</v>
      </c>
      <c r="B76" s="124">
        <v>20.399999999999999</v>
      </c>
      <c r="C76" s="124">
        <v>14.8</v>
      </c>
      <c r="D76" s="124">
        <v>0.9</v>
      </c>
      <c r="E76" s="124">
        <v>1.1000000000000001</v>
      </c>
      <c r="F76" s="124">
        <v>2.4</v>
      </c>
      <c r="G76" s="124">
        <v>1.2</v>
      </c>
    </row>
    <row r="77" spans="1:7" ht="10.5" customHeight="1" x14ac:dyDescent="0.2">
      <c r="A77" s="128" t="s">
        <v>218</v>
      </c>
      <c r="B77" s="124">
        <v>12.4</v>
      </c>
      <c r="C77" s="124">
        <v>8.6</v>
      </c>
      <c r="D77" s="124">
        <v>0.7</v>
      </c>
      <c r="E77" s="124">
        <v>0.6</v>
      </c>
      <c r="F77" s="124">
        <v>1.9</v>
      </c>
      <c r="G77" s="124">
        <v>0.7</v>
      </c>
    </row>
    <row r="78" spans="1:7" ht="10.5" customHeight="1" x14ac:dyDescent="0.2">
      <c r="A78" s="128" t="s">
        <v>219</v>
      </c>
      <c r="B78" s="124">
        <v>11.7</v>
      </c>
      <c r="C78" s="124">
        <v>7.6</v>
      </c>
      <c r="D78" s="124">
        <v>0.7</v>
      </c>
      <c r="E78" s="124">
        <v>0.8</v>
      </c>
      <c r="F78" s="124">
        <v>1.8</v>
      </c>
      <c r="G78" s="124">
        <v>0.8</v>
      </c>
    </row>
    <row r="79" spans="1:7" ht="10.5" customHeight="1" x14ac:dyDescent="0.2">
      <c r="A79" s="125"/>
      <c r="B79" s="124"/>
      <c r="C79" s="124"/>
      <c r="D79" s="124"/>
      <c r="E79" s="124"/>
      <c r="F79" s="124"/>
      <c r="G79" s="124"/>
    </row>
    <row r="80" spans="1:7" ht="10.5" customHeight="1" x14ac:dyDescent="0.2">
      <c r="A80" s="127" t="s">
        <v>220</v>
      </c>
      <c r="B80" s="124"/>
      <c r="C80" s="124"/>
      <c r="D80" s="124"/>
      <c r="E80" s="124"/>
      <c r="F80" s="124"/>
      <c r="G80" s="124"/>
    </row>
    <row r="81" spans="1:7" ht="10.5" customHeight="1" x14ac:dyDescent="0.2">
      <c r="A81" s="128" t="s">
        <v>221</v>
      </c>
      <c r="B81" s="124">
        <v>14.6</v>
      </c>
      <c r="C81" s="124">
        <v>7</v>
      </c>
      <c r="D81" s="124">
        <v>1</v>
      </c>
      <c r="E81" s="124">
        <v>1.9</v>
      </c>
      <c r="F81" s="124">
        <v>3.5</v>
      </c>
      <c r="G81" s="124">
        <v>1.3</v>
      </c>
    </row>
    <row r="82" spans="1:7" ht="10.5" customHeight="1" x14ac:dyDescent="0.2">
      <c r="A82" s="128" t="s">
        <v>222</v>
      </c>
      <c r="B82" s="124">
        <v>99</v>
      </c>
      <c r="C82" s="124">
        <v>64.900000000000006</v>
      </c>
      <c r="D82" s="124">
        <v>5.7</v>
      </c>
      <c r="E82" s="124">
        <v>7.1</v>
      </c>
      <c r="F82" s="124">
        <v>15.7</v>
      </c>
      <c r="G82" s="124">
        <v>5.6</v>
      </c>
    </row>
    <row r="83" spans="1:7" ht="10.5" customHeight="1" x14ac:dyDescent="0.2">
      <c r="A83" s="129"/>
      <c r="B83" s="124"/>
      <c r="C83" s="124"/>
      <c r="D83" s="124"/>
      <c r="E83" s="124"/>
      <c r="F83" s="124"/>
      <c r="G83" s="124"/>
    </row>
    <row r="84" spans="1:7" ht="14.25" x14ac:dyDescent="0.2">
      <c r="A84" s="127" t="s">
        <v>223</v>
      </c>
      <c r="B84" s="124"/>
      <c r="C84" s="124"/>
      <c r="D84" s="124"/>
      <c r="E84" s="124"/>
      <c r="F84" s="124"/>
      <c r="G84" s="124"/>
    </row>
    <row r="85" spans="1:7" ht="10.5" customHeight="1" x14ac:dyDescent="0.2">
      <c r="A85" s="128" t="s">
        <v>224</v>
      </c>
      <c r="B85" s="124">
        <v>89.6</v>
      </c>
      <c r="C85" s="124">
        <v>59.6</v>
      </c>
      <c r="D85" s="124">
        <v>4.9000000000000004</v>
      </c>
      <c r="E85" s="124">
        <v>6</v>
      </c>
      <c r="F85" s="124">
        <v>12.9</v>
      </c>
      <c r="G85" s="124">
        <v>6.2</v>
      </c>
    </row>
    <row r="86" spans="1:7" ht="10.5" customHeight="1" x14ac:dyDescent="0.2">
      <c r="A86" s="130" t="s">
        <v>225</v>
      </c>
      <c r="B86" s="124">
        <v>12.8</v>
      </c>
      <c r="C86" s="124">
        <v>6.2</v>
      </c>
      <c r="D86" s="124">
        <v>0.8</v>
      </c>
      <c r="E86" s="124">
        <v>1.6</v>
      </c>
      <c r="F86" s="124">
        <v>3.1</v>
      </c>
      <c r="G86" s="124">
        <v>1.1000000000000001</v>
      </c>
    </row>
    <row r="87" spans="1:7" ht="10.5" customHeight="1" x14ac:dyDescent="0.2">
      <c r="A87" s="130" t="s">
        <v>226</v>
      </c>
      <c r="B87" s="124">
        <v>76.8</v>
      </c>
      <c r="C87" s="124">
        <v>53.3</v>
      </c>
      <c r="D87" s="124">
        <v>4.0999999999999996</v>
      </c>
      <c r="E87" s="124">
        <v>4.4000000000000004</v>
      </c>
      <c r="F87" s="124">
        <v>9.8000000000000007</v>
      </c>
      <c r="G87" s="124">
        <v>5.0999999999999996</v>
      </c>
    </row>
    <row r="88" spans="1:7" ht="10.5" customHeight="1" x14ac:dyDescent="0.2">
      <c r="A88" s="128" t="s">
        <v>227</v>
      </c>
      <c r="B88" s="124">
        <v>15.4</v>
      </c>
      <c r="C88" s="124">
        <v>7.8</v>
      </c>
      <c r="D88" s="124">
        <v>1.2</v>
      </c>
      <c r="E88" s="124">
        <v>1.9</v>
      </c>
      <c r="F88" s="124">
        <v>4</v>
      </c>
      <c r="G88" s="124">
        <v>0.4</v>
      </c>
    </row>
    <row r="89" spans="1:7" ht="10.5" customHeight="1" x14ac:dyDescent="0.2">
      <c r="A89" s="130" t="s">
        <v>225</v>
      </c>
      <c r="B89" s="124">
        <v>0.4</v>
      </c>
      <c r="C89" s="124" t="s">
        <v>187</v>
      </c>
      <c r="D89" s="124">
        <v>0.1</v>
      </c>
      <c r="E89" s="124" t="s">
        <v>187</v>
      </c>
      <c r="F89" s="124" t="s">
        <v>187</v>
      </c>
      <c r="G89" s="124" t="s">
        <v>187</v>
      </c>
    </row>
    <row r="90" spans="1:7" ht="10.5" customHeight="1" x14ac:dyDescent="0.2">
      <c r="A90" s="130" t="s">
        <v>226</v>
      </c>
      <c r="B90" s="124">
        <v>15</v>
      </c>
      <c r="C90" s="124">
        <v>7.7</v>
      </c>
      <c r="D90" s="124">
        <v>1.1000000000000001</v>
      </c>
      <c r="E90" s="124">
        <v>1.9</v>
      </c>
      <c r="F90" s="124">
        <v>4</v>
      </c>
      <c r="G90" s="124">
        <v>0.3</v>
      </c>
    </row>
    <row r="91" spans="1:7" ht="10.5" customHeight="1" x14ac:dyDescent="0.2">
      <c r="A91" s="128" t="s">
        <v>228</v>
      </c>
      <c r="B91" s="124">
        <v>3.8</v>
      </c>
      <c r="C91" s="124">
        <v>2</v>
      </c>
      <c r="D91" s="124">
        <v>0.3</v>
      </c>
      <c r="E91" s="124">
        <v>0.4</v>
      </c>
      <c r="F91" s="124">
        <v>1.1000000000000001</v>
      </c>
      <c r="G91" s="124" t="s">
        <v>187</v>
      </c>
    </row>
    <row r="92" spans="1:7" ht="10.5" customHeight="1" x14ac:dyDescent="0.2">
      <c r="A92" s="128" t="s">
        <v>229</v>
      </c>
      <c r="B92" s="124">
        <v>1.1000000000000001</v>
      </c>
      <c r="C92" s="124">
        <v>0.6</v>
      </c>
      <c r="D92" s="124">
        <v>0.1</v>
      </c>
      <c r="E92" s="124">
        <v>0.1</v>
      </c>
      <c r="F92" s="124">
        <v>0.2</v>
      </c>
      <c r="G92" s="124" t="s">
        <v>187</v>
      </c>
    </row>
    <row r="93" spans="1:7" ht="10.5" customHeight="1" x14ac:dyDescent="0.2">
      <c r="A93" s="128" t="s">
        <v>230</v>
      </c>
      <c r="B93" s="124">
        <v>0.3</v>
      </c>
      <c r="C93" s="124">
        <v>0.2</v>
      </c>
      <c r="D93" s="124" t="s">
        <v>187</v>
      </c>
      <c r="E93" s="124" t="s">
        <v>187</v>
      </c>
      <c r="F93" s="124">
        <v>0.1</v>
      </c>
      <c r="G93" s="124" t="s">
        <v>187</v>
      </c>
    </row>
    <row r="94" spans="1:7" ht="10.5" customHeight="1" x14ac:dyDescent="0.2">
      <c r="A94" s="128" t="s">
        <v>231</v>
      </c>
      <c r="B94" s="124">
        <v>1.8</v>
      </c>
      <c r="C94" s="124">
        <v>0.8</v>
      </c>
      <c r="D94" s="124">
        <v>0.1</v>
      </c>
      <c r="E94" s="124">
        <v>0.3</v>
      </c>
      <c r="F94" s="124">
        <v>0.5</v>
      </c>
      <c r="G94" s="124" t="s">
        <v>187</v>
      </c>
    </row>
    <row r="95" spans="1:7" ht="10.5" customHeight="1" x14ac:dyDescent="0.2">
      <c r="A95" s="128" t="s">
        <v>232</v>
      </c>
      <c r="B95" s="124">
        <v>1.5</v>
      </c>
      <c r="C95" s="124">
        <v>0.9</v>
      </c>
      <c r="D95" s="124">
        <v>0.1</v>
      </c>
      <c r="E95" s="124">
        <v>0.2</v>
      </c>
      <c r="F95" s="124">
        <v>0.3</v>
      </c>
      <c r="G95" s="124" t="s">
        <v>187</v>
      </c>
    </row>
    <row r="96" spans="1:7" ht="10.5" customHeight="1" x14ac:dyDescent="0.2">
      <c r="A96" s="125"/>
      <c r="B96" s="124"/>
      <c r="C96" s="124"/>
      <c r="D96" s="124"/>
      <c r="E96" s="124"/>
      <c r="F96" s="124"/>
      <c r="G96" s="124"/>
    </row>
    <row r="97" spans="1:7" ht="10.5" customHeight="1" x14ac:dyDescent="0.2">
      <c r="A97" s="126" t="s">
        <v>233</v>
      </c>
      <c r="B97" s="124"/>
      <c r="C97" s="124"/>
      <c r="D97" s="124"/>
      <c r="E97" s="124"/>
      <c r="F97" s="124"/>
      <c r="G97" s="124"/>
    </row>
    <row r="98" spans="1:7" ht="10.5" customHeight="1" x14ac:dyDescent="0.2">
      <c r="A98" s="127" t="s">
        <v>234</v>
      </c>
      <c r="B98" s="124"/>
      <c r="C98" s="124"/>
      <c r="D98" s="124"/>
      <c r="E98" s="124"/>
      <c r="F98" s="124"/>
      <c r="G98" s="124"/>
    </row>
    <row r="99" spans="1:7" ht="10.5" customHeight="1" x14ac:dyDescent="0.2">
      <c r="A99" s="128" t="s">
        <v>206</v>
      </c>
      <c r="B99" s="124">
        <v>9.1999999999999993</v>
      </c>
      <c r="C99" s="124">
        <v>7.2</v>
      </c>
      <c r="D99" s="124">
        <v>0.4</v>
      </c>
      <c r="E99" s="124">
        <v>0.3</v>
      </c>
      <c r="F99" s="124">
        <v>0.8</v>
      </c>
      <c r="G99" s="124">
        <v>0.3</v>
      </c>
    </row>
    <row r="100" spans="1:7" ht="10.5" customHeight="1" x14ac:dyDescent="0.2">
      <c r="A100" s="128" t="s">
        <v>204</v>
      </c>
      <c r="B100" s="124">
        <v>104.5</v>
      </c>
      <c r="C100" s="124">
        <v>64.599999999999994</v>
      </c>
      <c r="D100" s="124">
        <v>6.3</v>
      </c>
      <c r="E100" s="124">
        <v>8.6999999999999993</v>
      </c>
      <c r="F100" s="124">
        <v>18.3</v>
      </c>
      <c r="G100" s="124">
        <v>6.6</v>
      </c>
    </row>
    <row r="101" spans="1:7" ht="10.5" customHeight="1" x14ac:dyDescent="0.2">
      <c r="A101" s="127" t="s">
        <v>235</v>
      </c>
      <c r="B101" s="124"/>
      <c r="C101" s="124"/>
      <c r="D101" s="124"/>
      <c r="E101" s="124"/>
      <c r="F101" s="124"/>
      <c r="G101" s="124"/>
    </row>
    <row r="102" spans="1:7" ht="10.5" customHeight="1" x14ac:dyDescent="0.2">
      <c r="A102" s="128" t="s">
        <v>206</v>
      </c>
      <c r="B102" s="124">
        <v>65.2</v>
      </c>
      <c r="C102" s="124">
        <v>43.3</v>
      </c>
      <c r="D102" s="124">
        <v>3.5</v>
      </c>
      <c r="E102" s="124">
        <v>4.5999999999999996</v>
      </c>
      <c r="F102" s="124">
        <v>9.1999999999999993</v>
      </c>
      <c r="G102" s="124">
        <v>4.5999999999999996</v>
      </c>
    </row>
    <row r="103" spans="1:7" ht="10.5" customHeight="1" x14ac:dyDescent="0.2">
      <c r="A103" s="128" t="s">
        <v>204</v>
      </c>
      <c r="B103" s="124">
        <v>48.4</v>
      </c>
      <c r="C103" s="124">
        <v>28.6</v>
      </c>
      <c r="D103" s="124">
        <v>3.2</v>
      </c>
      <c r="E103" s="124">
        <v>4.4000000000000004</v>
      </c>
      <c r="F103" s="124">
        <v>10</v>
      </c>
      <c r="G103" s="124">
        <v>2.2999999999999998</v>
      </c>
    </row>
    <row r="104" spans="1:7" ht="10.5" customHeight="1" x14ac:dyDescent="0.2">
      <c r="A104" s="128"/>
      <c r="B104" s="124"/>
      <c r="C104" s="124"/>
      <c r="D104" s="124"/>
      <c r="E104" s="124"/>
      <c r="F104" s="124"/>
      <c r="G104" s="124"/>
    </row>
    <row r="105" spans="1:7" ht="10.5" customHeight="1" x14ac:dyDescent="0.2">
      <c r="A105" s="131" t="s">
        <v>236</v>
      </c>
      <c r="B105" s="124"/>
      <c r="C105" s="124"/>
      <c r="D105" s="124"/>
      <c r="E105" s="124"/>
      <c r="F105" s="124"/>
      <c r="G105" s="124"/>
    </row>
    <row r="106" spans="1:7" ht="10.5" customHeight="1" x14ac:dyDescent="0.2">
      <c r="A106" s="131" t="s">
        <v>237</v>
      </c>
      <c r="B106" s="124"/>
      <c r="C106" s="124"/>
      <c r="D106" s="124"/>
      <c r="E106" s="124"/>
      <c r="F106" s="124"/>
      <c r="G106" s="124"/>
    </row>
    <row r="107" spans="1:7" ht="10.5" customHeight="1" x14ac:dyDescent="0.2">
      <c r="A107" s="125" t="s">
        <v>238</v>
      </c>
      <c r="B107" s="124">
        <v>104.4</v>
      </c>
      <c r="C107" s="124">
        <v>64.8</v>
      </c>
      <c r="D107" s="124">
        <v>6.2</v>
      </c>
      <c r="E107" s="124">
        <v>8.5</v>
      </c>
      <c r="F107" s="124">
        <v>18.100000000000001</v>
      </c>
      <c r="G107" s="124">
        <v>6.8</v>
      </c>
    </row>
    <row r="108" spans="1:7" ht="10.5" customHeight="1" x14ac:dyDescent="0.2">
      <c r="A108" s="125" t="s">
        <v>239</v>
      </c>
      <c r="B108" s="124">
        <v>4.3</v>
      </c>
      <c r="C108" s="124">
        <v>3.4</v>
      </c>
      <c r="D108" s="124">
        <v>0.3</v>
      </c>
      <c r="E108" s="124">
        <v>0.2</v>
      </c>
      <c r="F108" s="124">
        <v>0.5</v>
      </c>
      <c r="G108" s="124" t="s">
        <v>187</v>
      </c>
    </row>
    <row r="109" spans="1:7" ht="10.5" customHeight="1" x14ac:dyDescent="0.2">
      <c r="A109" s="125" t="s">
        <v>240</v>
      </c>
      <c r="B109" s="124">
        <v>1.4</v>
      </c>
      <c r="C109" s="124">
        <v>1</v>
      </c>
      <c r="D109" s="124">
        <v>0.1</v>
      </c>
      <c r="E109" s="124">
        <v>0.1</v>
      </c>
      <c r="F109" s="124">
        <v>0.2</v>
      </c>
      <c r="G109" s="124" t="s">
        <v>187</v>
      </c>
    </row>
    <row r="110" spans="1:7" ht="10.5" customHeight="1" x14ac:dyDescent="0.2">
      <c r="A110" s="125" t="s">
        <v>241</v>
      </c>
      <c r="B110" s="124">
        <v>3.5</v>
      </c>
      <c r="C110" s="124">
        <v>2.7</v>
      </c>
      <c r="D110" s="124">
        <v>0.2</v>
      </c>
      <c r="E110" s="124">
        <v>0.2</v>
      </c>
      <c r="F110" s="124">
        <v>0.3</v>
      </c>
      <c r="G110" s="124">
        <v>0.1</v>
      </c>
    </row>
    <row r="111" spans="1:7" ht="10.5" customHeight="1" x14ac:dyDescent="0.2">
      <c r="A111" s="132"/>
      <c r="B111" s="133"/>
      <c r="C111" s="133"/>
      <c r="D111" s="133"/>
      <c r="E111" s="133"/>
      <c r="F111" s="133"/>
      <c r="G111" s="133"/>
    </row>
    <row r="112" spans="1:7" ht="10.5" customHeight="1" x14ac:dyDescent="0.2">
      <c r="B112" s="124"/>
      <c r="C112" s="124"/>
      <c r="D112" s="124"/>
      <c r="E112" s="124"/>
      <c r="F112" s="124"/>
      <c r="G112" s="124"/>
    </row>
    <row r="113" spans="1:7" ht="10.5" customHeight="1" x14ac:dyDescent="0.2">
      <c r="A113" s="473" t="s">
        <v>242</v>
      </c>
      <c r="B113" s="473"/>
      <c r="C113" s="473"/>
      <c r="D113" s="473"/>
      <c r="E113" s="473"/>
      <c r="F113" s="473"/>
      <c r="G113" s="473"/>
    </row>
    <row r="114" spans="1:7" ht="10.5" customHeight="1" x14ac:dyDescent="0.2">
      <c r="A114" s="473"/>
      <c r="B114" s="473"/>
      <c r="C114" s="473"/>
      <c r="D114" s="473"/>
      <c r="E114" s="473"/>
      <c r="F114" s="473"/>
      <c r="G114" s="473"/>
    </row>
    <row r="115" spans="1:7" ht="10.5" customHeight="1" x14ac:dyDescent="0.2">
      <c r="A115" s="473"/>
      <c r="B115" s="473"/>
      <c r="C115" s="473"/>
      <c r="D115" s="473"/>
      <c r="E115" s="473"/>
      <c r="F115" s="473"/>
      <c r="G115" s="473"/>
    </row>
    <row r="116" spans="1:7" ht="10.5" customHeight="1" x14ac:dyDescent="0.2">
      <c r="A116" s="473"/>
      <c r="B116" s="473"/>
      <c r="C116" s="473"/>
      <c r="D116" s="473"/>
      <c r="E116" s="473"/>
      <c r="F116" s="473"/>
      <c r="G116" s="473"/>
    </row>
    <row r="117" spans="1:7" ht="10.5" customHeight="1" x14ac:dyDescent="0.2">
      <c r="A117" s="473"/>
      <c r="B117" s="473"/>
      <c r="C117" s="473"/>
      <c r="D117" s="473"/>
      <c r="E117" s="473"/>
      <c r="F117" s="473"/>
      <c r="G117" s="473"/>
    </row>
    <row r="118" spans="1:7" ht="10.5" customHeight="1" x14ac:dyDescent="0.2">
      <c r="A118" s="473"/>
      <c r="B118" s="473"/>
      <c r="C118" s="473"/>
      <c r="D118" s="473"/>
      <c r="E118" s="473"/>
      <c r="F118" s="473"/>
      <c r="G118" s="473"/>
    </row>
    <row r="119" spans="1:7" ht="10.5" customHeight="1" x14ac:dyDescent="0.2">
      <c r="A119" s="473"/>
      <c r="B119" s="473"/>
      <c r="C119" s="473"/>
      <c r="D119" s="473"/>
      <c r="E119" s="473"/>
      <c r="F119" s="473"/>
      <c r="G119" s="473"/>
    </row>
    <row r="120" spans="1:7" ht="10.5" customHeight="1" x14ac:dyDescent="0.2">
      <c r="A120" s="473"/>
      <c r="B120" s="473"/>
      <c r="C120" s="473"/>
      <c r="D120" s="473"/>
      <c r="E120" s="473"/>
      <c r="F120" s="473"/>
      <c r="G120" s="473"/>
    </row>
    <row r="121" spans="1:7" ht="10.5" customHeight="1" x14ac:dyDescent="0.2">
      <c r="A121" s="473"/>
      <c r="B121" s="473"/>
      <c r="C121" s="473"/>
      <c r="D121" s="473"/>
      <c r="E121" s="473"/>
      <c r="F121" s="473"/>
      <c r="G121" s="473"/>
    </row>
    <row r="122" spans="1:7" ht="10.5" customHeight="1" x14ac:dyDescent="0.2">
      <c r="A122" s="473"/>
      <c r="B122" s="473"/>
      <c r="C122" s="473"/>
      <c r="D122" s="473"/>
      <c r="E122" s="473"/>
      <c r="F122" s="473"/>
      <c r="G122" s="473"/>
    </row>
    <row r="123" spans="1:7" ht="10.5" customHeight="1" x14ac:dyDescent="0.2">
      <c r="A123" s="473"/>
      <c r="B123" s="473"/>
      <c r="C123" s="473"/>
      <c r="D123" s="473"/>
      <c r="E123" s="473"/>
      <c r="F123" s="473"/>
      <c r="G123" s="473"/>
    </row>
    <row r="124" spans="1:7" ht="10.5" customHeight="1" x14ac:dyDescent="0.2">
      <c r="A124" s="473"/>
      <c r="B124" s="473"/>
      <c r="C124" s="473"/>
      <c r="D124" s="473"/>
      <c r="E124" s="473"/>
      <c r="F124" s="473"/>
      <c r="G124" s="473"/>
    </row>
    <row r="125" spans="1:7" ht="10.5" customHeight="1" x14ac:dyDescent="0.2">
      <c r="A125" s="473"/>
      <c r="B125" s="473"/>
      <c r="C125" s="473"/>
      <c r="D125" s="473"/>
      <c r="E125" s="473"/>
      <c r="F125" s="473"/>
      <c r="G125" s="473"/>
    </row>
    <row r="126" spans="1:7" ht="10.5" customHeight="1" x14ac:dyDescent="0.2">
      <c r="A126" s="473"/>
      <c r="B126" s="473"/>
      <c r="C126" s="473"/>
      <c r="D126" s="473"/>
      <c r="E126" s="473"/>
      <c r="F126" s="473"/>
      <c r="G126" s="473"/>
    </row>
    <row r="127" spans="1:7" ht="10.5" customHeight="1" x14ac:dyDescent="0.2">
      <c r="A127" s="473"/>
      <c r="B127" s="473"/>
      <c r="C127" s="473"/>
      <c r="D127" s="473"/>
      <c r="E127" s="473"/>
      <c r="F127" s="473"/>
      <c r="G127" s="473"/>
    </row>
    <row r="128" spans="1:7" ht="10.5" customHeight="1" x14ac:dyDescent="0.2">
      <c r="A128" s="473"/>
      <c r="B128" s="473"/>
      <c r="C128" s="473"/>
      <c r="D128" s="473"/>
      <c r="E128" s="473"/>
      <c r="F128" s="473"/>
      <c r="G128" s="473"/>
    </row>
    <row r="129" spans="1:7" ht="10.5" customHeight="1" x14ac:dyDescent="0.2">
      <c r="A129" s="473"/>
      <c r="B129" s="473"/>
      <c r="C129" s="473"/>
      <c r="D129" s="473"/>
      <c r="E129" s="473"/>
      <c r="F129" s="473"/>
      <c r="G129" s="473"/>
    </row>
    <row r="130" spans="1:7" ht="10.5" customHeight="1" x14ac:dyDescent="0.2">
      <c r="A130" s="473"/>
      <c r="B130" s="473"/>
      <c r="C130" s="473"/>
      <c r="D130" s="473"/>
      <c r="E130" s="473"/>
      <c r="F130" s="473"/>
      <c r="G130" s="473"/>
    </row>
    <row r="131" spans="1:7" ht="10.5" customHeight="1" x14ac:dyDescent="0.2">
      <c r="A131" s="125"/>
      <c r="B131" s="124"/>
      <c r="C131" s="124"/>
      <c r="D131" s="124"/>
      <c r="E131" s="124"/>
      <c r="F131" s="124"/>
      <c r="G131" s="124"/>
    </row>
    <row r="132" spans="1:7" ht="10.5" customHeight="1" x14ac:dyDescent="0.2">
      <c r="A132" s="134"/>
      <c r="B132" s="124"/>
      <c r="C132" s="124"/>
      <c r="D132" s="124"/>
      <c r="E132" s="124"/>
      <c r="F132" s="124"/>
      <c r="G132" s="124"/>
    </row>
    <row r="133" spans="1:7" ht="10.5" customHeight="1" x14ac:dyDescent="0.2">
      <c r="A133" s="134"/>
      <c r="B133" s="124"/>
      <c r="C133" s="124"/>
      <c r="D133" s="124"/>
      <c r="E133" s="124"/>
      <c r="F133" s="124"/>
      <c r="G133" s="124"/>
    </row>
    <row r="134" spans="1:7" ht="10.5" customHeight="1" x14ac:dyDescent="0.2">
      <c r="A134" s="130"/>
      <c r="B134" s="124"/>
      <c r="C134" s="124"/>
      <c r="D134" s="124"/>
      <c r="E134" s="124"/>
      <c r="F134" s="124"/>
      <c r="G134" s="124"/>
    </row>
    <row r="135" spans="1:7" ht="10.5" customHeight="1" x14ac:dyDescent="0.2">
      <c r="A135" s="130"/>
      <c r="B135" s="124"/>
      <c r="C135" s="124"/>
      <c r="D135" s="124"/>
      <c r="E135" s="124"/>
      <c r="F135" s="124"/>
      <c r="G135" s="124"/>
    </row>
    <row r="136" spans="1:7" ht="10.5" customHeight="1" x14ac:dyDescent="0.2">
      <c r="A136" s="130"/>
      <c r="B136" s="124"/>
      <c r="C136" s="124"/>
      <c r="D136" s="124"/>
      <c r="E136" s="124"/>
      <c r="F136" s="124"/>
      <c r="G136" s="124"/>
    </row>
    <row r="137" spans="1:7" ht="10.5" customHeight="1" x14ac:dyDescent="0.2">
      <c r="A137" s="130"/>
      <c r="B137" s="124"/>
      <c r="C137" s="124"/>
      <c r="D137" s="124"/>
      <c r="E137" s="124"/>
      <c r="F137" s="124"/>
      <c r="G137" s="124"/>
    </row>
    <row r="138" spans="1:7" ht="10.5" customHeight="1" x14ac:dyDescent="0.2">
      <c r="A138" s="130"/>
      <c r="B138" s="124"/>
      <c r="C138" s="124"/>
      <c r="D138" s="124"/>
      <c r="E138" s="124"/>
      <c r="F138" s="124"/>
      <c r="G138" s="124"/>
    </row>
    <row r="139" spans="1:7" ht="10.5" customHeight="1" x14ac:dyDescent="0.2">
      <c r="A139" s="130"/>
      <c r="B139" s="124"/>
      <c r="C139" s="124"/>
      <c r="D139" s="124"/>
      <c r="E139" s="124"/>
      <c r="F139" s="124"/>
      <c r="G139" s="124"/>
    </row>
    <row r="140" spans="1:7" ht="10.5" customHeight="1" x14ac:dyDescent="0.2">
      <c r="A140" s="125"/>
      <c r="B140" s="124"/>
      <c r="C140" s="124"/>
      <c r="D140" s="124"/>
      <c r="E140" s="124"/>
      <c r="F140" s="124"/>
      <c r="G140" s="124"/>
    </row>
    <row r="141" spans="1:7" ht="10.5" customHeight="1" x14ac:dyDescent="0.2">
      <c r="A141" s="134"/>
      <c r="B141" s="124"/>
      <c r="C141" s="124"/>
      <c r="D141" s="124"/>
      <c r="E141" s="124"/>
      <c r="F141" s="124"/>
      <c r="G141" s="124"/>
    </row>
    <row r="142" spans="1:7" ht="10.5" customHeight="1" x14ac:dyDescent="0.2">
      <c r="A142" s="130"/>
      <c r="B142" s="124"/>
      <c r="C142" s="124"/>
      <c r="D142" s="124"/>
      <c r="E142" s="124"/>
      <c r="F142" s="124"/>
      <c r="G142" s="124"/>
    </row>
    <row r="143" spans="1:7" ht="10.5" customHeight="1" x14ac:dyDescent="0.2">
      <c r="A143" s="135"/>
      <c r="B143" s="124"/>
      <c r="C143" s="124"/>
      <c r="D143" s="124"/>
      <c r="E143" s="124"/>
      <c r="F143" s="124"/>
      <c r="G143" s="124"/>
    </row>
    <row r="144" spans="1:7" ht="10.5" customHeight="1" x14ac:dyDescent="0.2">
      <c r="A144" s="135"/>
      <c r="B144" s="124"/>
      <c r="C144" s="124"/>
      <c r="D144" s="124"/>
      <c r="E144" s="124"/>
      <c r="F144" s="124"/>
      <c r="G144" s="124"/>
    </row>
    <row r="145" spans="1:7" ht="10.5" customHeight="1" x14ac:dyDescent="0.2">
      <c r="A145" s="130"/>
      <c r="B145" s="124"/>
      <c r="C145" s="124"/>
      <c r="D145" s="124"/>
      <c r="E145" s="124"/>
      <c r="F145" s="124"/>
      <c r="G145" s="124"/>
    </row>
    <row r="146" spans="1:7" ht="10.5" customHeight="1" x14ac:dyDescent="0.2">
      <c r="A146" s="130"/>
      <c r="B146" s="124"/>
      <c r="C146" s="124"/>
      <c r="D146" s="124"/>
      <c r="E146" s="124"/>
      <c r="F146" s="124"/>
      <c r="G146" s="124"/>
    </row>
    <row r="147" spans="1:7" ht="10.5" customHeight="1" x14ac:dyDescent="0.2">
      <c r="A147" s="130"/>
      <c r="B147" s="124"/>
      <c r="C147" s="124"/>
      <c r="D147" s="124"/>
      <c r="E147" s="124"/>
      <c r="F147" s="124"/>
      <c r="G147" s="124"/>
    </row>
    <row r="148" spans="1:7" ht="10.5" customHeight="1" x14ac:dyDescent="0.2">
      <c r="A148" s="125"/>
      <c r="B148" s="124"/>
      <c r="C148" s="124"/>
      <c r="D148" s="124"/>
      <c r="E148" s="124"/>
      <c r="F148" s="124"/>
      <c r="G148" s="124"/>
    </row>
    <row r="149" spans="1:7" ht="10.5" customHeight="1" x14ac:dyDescent="0.2">
      <c r="A149" s="134"/>
      <c r="B149" s="124"/>
      <c r="C149" s="124"/>
      <c r="D149" s="124"/>
      <c r="E149" s="124"/>
      <c r="F149" s="124"/>
      <c r="G149" s="124"/>
    </row>
    <row r="150" spans="1:7" ht="10.5" customHeight="1" x14ac:dyDescent="0.2">
      <c r="A150" s="130"/>
      <c r="B150" s="124"/>
      <c r="C150" s="124"/>
      <c r="D150" s="124"/>
      <c r="E150" s="124"/>
      <c r="F150" s="124"/>
      <c r="G150" s="124"/>
    </row>
    <row r="151" spans="1:7" ht="10.5" customHeight="1" x14ac:dyDescent="0.2">
      <c r="A151" s="135"/>
      <c r="B151" s="124"/>
      <c r="C151" s="124"/>
      <c r="D151" s="124"/>
      <c r="E151" s="124"/>
      <c r="F151" s="124"/>
      <c r="G151" s="124"/>
    </row>
    <row r="152" spans="1:7" ht="10.5" customHeight="1" x14ac:dyDescent="0.2">
      <c r="A152" s="135"/>
      <c r="B152" s="124"/>
      <c r="C152" s="124"/>
      <c r="D152" s="124"/>
      <c r="E152" s="124"/>
      <c r="F152" s="124"/>
      <c r="G152" s="124"/>
    </row>
    <row r="153" spans="1:7" ht="10.5" customHeight="1" x14ac:dyDescent="0.2">
      <c r="A153" s="130"/>
      <c r="B153" s="124"/>
      <c r="C153" s="124"/>
      <c r="D153" s="124"/>
      <c r="E153" s="124"/>
      <c r="F153" s="124"/>
      <c r="G153" s="124"/>
    </row>
    <row r="154" spans="1:7" ht="10.5" customHeight="1" x14ac:dyDescent="0.2">
      <c r="A154" s="130"/>
      <c r="B154" s="124"/>
      <c r="C154" s="124"/>
      <c r="D154" s="124"/>
      <c r="E154" s="124"/>
      <c r="F154" s="124"/>
      <c r="G154" s="124"/>
    </row>
    <row r="155" spans="1:7" ht="10.5" customHeight="1" x14ac:dyDescent="0.2">
      <c r="A155" s="130"/>
      <c r="B155" s="124"/>
      <c r="C155" s="124"/>
      <c r="D155" s="124"/>
      <c r="E155" s="124"/>
      <c r="F155" s="124"/>
      <c r="G155" s="124"/>
    </row>
    <row r="156" spans="1:7" ht="10.5" customHeight="1" x14ac:dyDescent="0.2">
      <c r="A156" s="128"/>
      <c r="B156" s="124"/>
      <c r="C156" s="124"/>
      <c r="D156" s="124"/>
      <c r="E156" s="124"/>
      <c r="F156" s="124"/>
      <c r="G156" s="124"/>
    </row>
    <row r="157" spans="1:7" ht="10.5" customHeight="1" x14ac:dyDescent="0.2">
      <c r="A157" s="126"/>
      <c r="B157" s="124"/>
      <c r="C157" s="124"/>
      <c r="D157" s="124"/>
      <c r="E157" s="124"/>
      <c r="F157" s="124"/>
      <c r="G157" s="124"/>
    </row>
    <row r="158" spans="1:7" ht="10.5" customHeight="1" x14ac:dyDescent="0.2">
      <c r="A158" s="136"/>
      <c r="B158" s="124"/>
      <c r="C158" s="124"/>
      <c r="D158" s="124"/>
      <c r="E158" s="124"/>
      <c r="F158" s="124"/>
      <c r="G158" s="124"/>
    </row>
    <row r="159" spans="1:7" ht="10.5" customHeight="1" x14ac:dyDescent="0.2">
      <c r="A159" s="137"/>
      <c r="B159" s="124"/>
      <c r="C159" s="124"/>
      <c r="D159" s="124"/>
      <c r="E159" s="124"/>
      <c r="F159" s="124"/>
      <c r="G159" s="124"/>
    </row>
    <row r="160" spans="1:7" ht="10.5" customHeight="1" x14ac:dyDescent="0.2">
      <c r="A160" s="137"/>
      <c r="B160" s="124"/>
      <c r="C160" s="124"/>
      <c r="D160" s="124"/>
      <c r="E160" s="124"/>
      <c r="F160" s="124"/>
      <c r="G160" s="124"/>
    </row>
    <row r="161" spans="1:7" ht="10.5" customHeight="1" x14ac:dyDescent="0.2">
      <c r="A161" s="128"/>
      <c r="B161" s="124"/>
      <c r="C161" s="124"/>
      <c r="D161" s="124"/>
      <c r="E161" s="124"/>
      <c r="F161" s="124"/>
      <c r="G161" s="124"/>
    </row>
    <row r="162" spans="1:7" ht="10.5" customHeight="1" x14ac:dyDescent="0.2">
      <c r="A162" s="128"/>
      <c r="B162" s="124"/>
      <c r="C162" s="124"/>
      <c r="D162" s="124"/>
      <c r="E162" s="124"/>
      <c r="F162" s="124"/>
      <c r="G162" s="124"/>
    </row>
    <row r="163" spans="1:7" ht="10.5" customHeight="1" x14ac:dyDescent="0.2">
      <c r="A163" s="138"/>
      <c r="B163" s="124"/>
      <c r="C163" s="124"/>
      <c r="D163" s="124"/>
      <c r="E163" s="124"/>
      <c r="F163" s="124"/>
      <c r="G163" s="124"/>
    </row>
    <row r="164" spans="1:7" ht="10.5" customHeight="1" x14ac:dyDescent="0.2">
      <c r="A164" s="128"/>
      <c r="B164" s="124"/>
      <c r="C164" s="124"/>
      <c r="D164" s="124"/>
      <c r="E164" s="124"/>
      <c r="F164" s="124"/>
      <c r="G164" s="124"/>
    </row>
    <row r="165" spans="1:7" ht="10.5" customHeight="1" x14ac:dyDescent="0.2">
      <c r="A165" s="125"/>
      <c r="B165" s="124"/>
      <c r="C165" s="124"/>
      <c r="D165" s="124"/>
      <c r="E165" s="124"/>
      <c r="F165" s="124"/>
      <c r="G165" s="124"/>
    </row>
    <row r="166" spans="1:7" ht="10.5" customHeight="1" x14ac:dyDescent="0.2">
      <c r="A166" s="134"/>
      <c r="B166" s="124"/>
      <c r="C166" s="124"/>
      <c r="D166" s="124"/>
      <c r="E166" s="124"/>
      <c r="F166" s="124"/>
      <c r="G166" s="124"/>
    </row>
    <row r="167" spans="1:7" ht="10.5" customHeight="1" x14ac:dyDescent="0.2">
      <c r="A167" s="130"/>
      <c r="B167" s="124"/>
      <c r="C167" s="124"/>
      <c r="D167" s="124"/>
      <c r="E167" s="124"/>
      <c r="F167" s="124"/>
      <c r="G167" s="124"/>
    </row>
    <row r="168" spans="1:7" ht="10.5" customHeight="1" x14ac:dyDescent="0.2">
      <c r="A168" s="130"/>
      <c r="B168" s="124"/>
      <c r="C168" s="124"/>
      <c r="D168" s="124"/>
      <c r="E168" s="124"/>
      <c r="F168" s="124"/>
      <c r="G168" s="124"/>
    </row>
    <row r="169" spans="1:7" ht="10.5" customHeight="1" x14ac:dyDescent="0.2">
      <c r="A169" s="130"/>
      <c r="B169" s="124"/>
      <c r="C169" s="124"/>
      <c r="D169" s="124"/>
      <c r="E169" s="124"/>
      <c r="F169" s="124"/>
      <c r="G169" s="124"/>
    </row>
    <row r="170" spans="1:7" ht="10.5" customHeight="1" x14ac:dyDescent="0.2">
      <c r="A170" s="130"/>
      <c r="B170" s="124"/>
      <c r="C170" s="124"/>
      <c r="D170" s="124"/>
      <c r="E170" s="124"/>
      <c r="F170" s="124"/>
      <c r="G170" s="124"/>
    </row>
    <row r="171" spans="1:7" ht="10.5" customHeight="1" x14ac:dyDescent="0.2">
      <c r="A171" s="125"/>
      <c r="B171" s="124"/>
      <c r="C171" s="124"/>
      <c r="D171" s="124"/>
      <c r="E171" s="124"/>
      <c r="F171" s="124"/>
      <c r="G171" s="124"/>
    </row>
    <row r="172" spans="1:7" ht="10.5" customHeight="1" x14ac:dyDescent="0.2">
      <c r="A172" s="134"/>
      <c r="B172" s="124"/>
      <c r="C172" s="124"/>
      <c r="D172" s="124"/>
      <c r="E172" s="124"/>
      <c r="F172" s="124"/>
      <c r="G172" s="124"/>
    </row>
    <row r="173" spans="1:7" ht="10.5" customHeight="1" x14ac:dyDescent="0.2">
      <c r="A173" s="130"/>
      <c r="B173" s="124"/>
      <c r="C173" s="124"/>
      <c r="D173" s="124"/>
      <c r="E173" s="124"/>
      <c r="F173" s="124"/>
      <c r="G173" s="124"/>
    </row>
    <row r="174" spans="1:7" ht="10.5" customHeight="1" x14ac:dyDescent="0.2">
      <c r="A174" s="130"/>
      <c r="B174" s="124"/>
      <c r="C174" s="124"/>
      <c r="D174" s="124"/>
      <c r="E174" s="124"/>
      <c r="F174" s="124"/>
      <c r="G174" s="124"/>
    </row>
    <row r="175" spans="1:7" ht="10.5" customHeight="1" x14ac:dyDescent="0.2">
      <c r="A175" s="130"/>
      <c r="B175" s="124"/>
      <c r="C175" s="124"/>
      <c r="D175" s="124"/>
      <c r="E175" s="124"/>
      <c r="F175" s="124"/>
      <c r="G175" s="124"/>
    </row>
    <row r="176" spans="1:7" ht="10.5" customHeight="1" x14ac:dyDescent="0.2">
      <c r="A176" s="130"/>
      <c r="B176" s="124"/>
      <c r="C176" s="124"/>
      <c r="D176" s="124"/>
      <c r="E176" s="124"/>
      <c r="F176" s="124"/>
      <c r="G176" s="124"/>
    </row>
    <row r="177" spans="1:7" ht="10.5" customHeight="1" x14ac:dyDescent="0.2">
      <c r="A177" s="130"/>
      <c r="B177" s="124"/>
      <c r="C177" s="124"/>
      <c r="D177" s="124"/>
      <c r="E177" s="124"/>
      <c r="F177" s="124"/>
      <c r="G177" s="124"/>
    </row>
    <row r="178" spans="1:7" ht="10.5" customHeight="1" x14ac:dyDescent="0.2">
      <c r="A178" s="130"/>
      <c r="B178" s="124"/>
      <c r="C178" s="124"/>
      <c r="D178" s="124"/>
      <c r="E178" s="124"/>
      <c r="F178" s="124"/>
      <c r="G178" s="124"/>
    </row>
    <row r="179" spans="1:7" ht="10.5" customHeight="1" x14ac:dyDescent="0.2">
      <c r="A179" s="125"/>
      <c r="B179" s="124"/>
      <c r="C179" s="124"/>
      <c r="D179" s="124"/>
      <c r="E179" s="124"/>
      <c r="F179" s="124"/>
      <c r="G179" s="124"/>
    </row>
    <row r="180" spans="1:7" ht="10.5" customHeight="1" x14ac:dyDescent="0.2">
      <c r="A180" s="134"/>
      <c r="B180" s="124"/>
      <c r="C180" s="124"/>
      <c r="D180" s="124"/>
      <c r="E180" s="124"/>
      <c r="F180" s="124"/>
      <c r="G180" s="124"/>
    </row>
    <row r="181" spans="1:7" ht="10.5" customHeight="1" x14ac:dyDescent="0.2">
      <c r="A181" s="130"/>
      <c r="B181" s="124"/>
      <c r="C181" s="124"/>
      <c r="D181" s="124"/>
      <c r="E181" s="124"/>
      <c r="F181" s="124"/>
      <c r="G181" s="124"/>
    </row>
    <row r="182" spans="1:7" ht="10.5" customHeight="1" x14ac:dyDescent="0.2">
      <c r="A182" s="135"/>
      <c r="B182" s="124"/>
      <c r="C182" s="124"/>
      <c r="D182" s="124"/>
      <c r="E182" s="124"/>
      <c r="F182" s="124"/>
      <c r="G182" s="124"/>
    </row>
    <row r="183" spans="1:7" ht="10.5" customHeight="1" x14ac:dyDescent="0.2">
      <c r="A183" s="135"/>
      <c r="B183" s="124"/>
      <c r="C183" s="124"/>
      <c r="D183" s="124"/>
      <c r="E183" s="124"/>
      <c r="F183" s="124"/>
      <c r="G183" s="124"/>
    </row>
    <row r="184" spans="1:7" ht="10.5" customHeight="1" x14ac:dyDescent="0.2">
      <c r="A184" s="130"/>
      <c r="B184" s="124"/>
      <c r="C184" s="124"/>
      <c r="D184" s="124"/>
      <c r="E184" s="124"/>
      <c r="F184" s="124"/>
      <c r="G184" s="124"/>
    </row>
    <row r="185" spans="1:7" ht="10.5" customHeight="1" x14ac:dyDescent="0.2">
      <c r="A185" s="130"/>
      <c r="B185" s="124"/>
      <c r="C185" s="124"/>
      <c r="D185" s="124"/>
      <c r="E185" s="124"/>
      <c r="F185" s="124"/>
      <c r="G185" s="124"/>
    </row>
    <row r="186" spans="1:7" ht="10.5" customHeight="1" x14ac:dyDescent="0.2">
      <c r="A186" s="130"/>
      <c r="B186" s="124"/>
      <c r="C186" s="124"/>
      <c r="D186" s="124"/>
      <c r="E186" s="124"/>
      <c r="F186" s="124"/>
      <c r="G186" s="124"/>
    </row>
    <row r="187" spans="1:7" ht="10.5" customHeight="1" x14ac:dyDescent="0.2">
      <c r="A187" s="125"/>
      <c r="B187" s="124"/>
      <c r="C187" s="124"/>
      <c r="D187" s="124"/>
      <c r="E187" s="124"/>
      <c r="F187" s="124"/>
      <c r="G187" s="124"/>
    </row>
    <row r="188" spans="1:7" ht="10.5" customHeight="1" x14ac:dyDescent="0.2">
      <c r="A188" s="134"/>
      <c r="B188" s="124"/>
      <c r="C188" s="124"/>
      <c r="D188" s="124"/>
      <c r="E188" s="124"/>
      <c r="F188" s="124"/>
      <c r="G188" s="124"/>
    </row>
    <row r="189" spans="1:7" ht="10.5" customHeight="1" x14ac:dyDescent="0.2">
      <c r="A189" s="130"/>
      <c r="B189" s="124"/>
      <c r="C189" s="124"/>
      <c r="D189" s="124"/>
      <c r="E189" s="124"/>
      <c r="F189" s="124"/>
      <c r="G189" s="124"/>
    </row>
    <row r="190" spans="1:7" ht="10.5" customHeight="1" x14ac:dyDescent="0.2">
      <c r="A190" s="135"/>
      <c r="B190" s="124"/>
      <c r="C190" s="124"/>
      <c r="D190" s="124"/>
      <c r="E190" s="124"/>
      <c r="F190" s="124"/>
      <c r="G190" s="124"/>
    </row>
    <row r="191" spans="1:7" ht="10.5" customHeight="1" x14ac:dyDescent="0.2">
      <c r="A191" s="135"/>
      <c r="B191" s="124"/>
      <c r="C191" s="124"/>
      <c r="D191" s="124"/>
      <c r="E191" s="124"/>
      <c r="F191" s="124"/>
      <c r="G191" s="124"/>
    </row>
    <row r="192" spans="1:7" ht="10.5" customHeight="1" x14ac:dyDescent="0.2">
      <c r="A192" s="130"/>
      <c r="B192" s="124"/>
      <c r="C192" s="124"/>
      <c r="D192" s="124"/>
      <c r="E192" s="124"/>
      <c r="F192" s="124"/>
      <c r="G192" s="124"/>
    </row>
    <row r="193" spans="1:7" ht="10.5" customHeight="1" x14ac:dyDescent="0.2">
      <c r="A193" s="130"/>
      <c r="B193" s="124"/>
      <c r="C193" s="124"/>
      <c r="D193" s="124"/>
      <c r="E193" s="124"/>
      <c r="F193" s="124"/>
      <c r="G193" s="124"/>
    </row>
    <row r="194" spans="1:7" ht="10.5" customHeight="1" x14ac:dyDescent="0.2">
      <c r="A194" s="130"/>
      <c r="B194" s="124"/>
      <c r="C194" s="124"/>
      <c r="D194" s="124"/>
      <c r="E194" s="124"/>
      <c r="F194" s="124"/>
      <c r="G194" s="124"/>
    </row>
    <row r="195" spans="1:7" ht="10.5" customHeight="1" x14ac:dyDescent="0.2">
      <c r="A195" s="136"/>
      <c r="B195" s="124"/>
      <c r="C195" s="124"/>
      <c r="D195" s="124"/>
      <c r="E195" s="124"/>
      <c r="F195" s="124"/>
      <c r="G195" s="124"/>
    </row>
    <row r="196" spans="1:7" ht="10.5" customHeight="1" x14ac:dyDescent="0.2">
      <c r="A196" s="139"/>
      <c r="B196" s="124"/>
      <c r="C196" s="124"/>
      <c r="D196" s="124"/>
      <c r="E196" s="124"/>
      <c r="F196" s="124"/>
      <c r="G196" s="124"/>
    </row>
    <row r="197" spans="1:7" ht="10.5" customHeight="1" x14ac:dyDescent="0.2">
      <c r="A197" s="139"/>
      <c r="B197" s="124"/>
      <c r="C197" s="124"/>
      <c r="D197" s="124"/>
      <c r="E197" s="124"/>
      <c r="F197" s="124"/>
      <c r="G197" s="124"/>
    </row>
    <row r="198" spans="1:7" ht="10.5" customHeight="1" x14ac:dyDescent="0.2">
      <c r="A198" s="125"/>
      <c r="B198" s="124"/>
      <c r="C198" s="124"/>
      <c r="D198" s="124"/>
      <c r="E198" s="124"/>
      <c r="F198" s="124"/>
      <c r="G198" s="124"/>
    </row>
    <row r="199" spans="1:7" ht="10.5" customHeight="1" x14ac:dyDescent="0.2">
      <c r="A199" s="128"/>
      <c r="B199" s="124"/>
      <c r="C199" s="124"/>
      <c r="D199" s="124"/>
      <c r="E199" s="124"/>
      <c r="F199" s="124"/>
      <c r="G199" s="124"/>
    </row>
    <row r="200" spans="1:7" ht="10.5" customHeight="1" x14ac:dyDescent="0.2">
      <c r="A200" s="130"/>
      <c r="B200" s="124"/>
      <c r="C200" s="124"/>
      <c r="D200" s="124"/>
      <c r="E200" s="124"/>
      <c r="F200" s="124"/>
      <c r="G200" s="124"/>
    </row>
    <row r="201" spans="1:7" ht="10.5" customHeight="1" x14ac:dyDescent="0.2">
      <c r="A201" s="130"/>
      <c r="B201" s="124"/>
      <c r="C201" s="124"/>
      <c r="D201" s="124"/>
      <c r="E201" s="124"/>
      <c r="F201" s="124"/>
      <c r="G201" s="124"/>
    </row>
    <row r="202" spans="1:7" ht="10.5" customHeight="1" x14ac:dyDescent="0.2">
      <c r="A202" s="130"/>
      <c r="B202" s="124"/>
      <c r="C202" s="124"/>
      <c r="D202" s="124"/>
      <c r="E202" s="124"/>
      <c r="F202" s="124"/>
      <c r="G202" s="124"/>
    </row>
    <row r="203" spans="1:7" ht="10.5" customHeight="1" x14ac:dyDescent="0.2">
      <c r="A203" s="128"/>
      <c r="B203" s="124"/>
      <c r="C203" s="124"/>
      <c r="D203" s="124"/>
      <c r="E203" s="124"/>
      <c r="F203" s="124"/>
      <c r="G203" s="124"/>
    </row>
    <row r="204" spans="1:7" ht="10.5" customHeight="1" x14ac:dyDescent="0.2">
      <c r="A204" s="130"/>
      <c r="B204" s="124"/>
      <c r="C204" s="124"/>
      <c r="D204" s="124"/>
      <c r="E204" s="124"/>
      <c r="F204" s="124"/>
      <c r="G204" s="124"/>
    </row>
    <row r="205" spans="1:7" ht="10.5" customHeight="1" x14ac:dyDescent="0.2">
      <c r="A205" s="130"/>
      <c r="B205" s="124"/>
      <c r="C205" s="124"/>
      <c r="D205" s="124"/>
      <c r="E205" s="124"/>
      <c r="F205" s="124"/>
      <c r="G205" s="124"/>
    </row>
    <row r="206" spans="1:7" ht="10.5" customHeight="1" x14ac:dyDescent="0.2">
      <c r="A206" s="130"/>
      <c r="B206" s="124"/>
      <c r="C206" s="124"/>
      <c r="D206" s="124"/>
      <c r="E206" s="124"/>
      <c r="F206" s="124"/>
      <c r="G206" s="124"/>
    </row>
    <row r="207" spans="1:7" ht="10.5" customHeight="1" x14ac:dyDescent="0.2">
      <c r="A207" s="128"/>
      <c r="B207" s="124"/>
      <c r="C207" s="124"/>
      <c r="D207" s="124"/>
      <c r="E207" s="124"/>
      <c r="F207" s="124"/>
      <c r="G207" s="124"/>
    </row>
    <row r="208" spans="1:7" ht="10.5" customHeight="1" x14ac:dyDescent="0.2">
      <c r="A208" s="125"/>
      <c r="B208" s="124"/>
      <c r="C208" s="124"/>
      <c r="D208" s="124"/>
      <c r="E208" s="124"/>
      <c r="F208" s="124"/>
      <c r="G208" s="124"/>
    </row>
    <row r="209" spans="1:7" ht="10.5" customHeight="1" x14ac:dyDescent="0.2">
      <c r="A209" s="125"/>
      <c r="B209" s="124"/>
      <c r="C209" s="124"/>
      <c r="D209" s="124"/>
      <c r="E209" s="124"/>
      <c r="F209" s="124"/>
      <c r="G209" s="124"/>
    </row>
    <row r="210" spans="1:7" x14ac:dyDescent="0.2">
      <c r="A210" s="140"/>
      <c r="B210" s="132"/>
      <c r="C210" s="132"/>
      <c r="D210" s="132"/>
      <c r="E210" s="132"/>
      <c r="F210" s="132"/>
      <c r="G210" s="132"/>
    </row>
    <row r="211" spans="1:7" x14ac:dyDescent="0.2">
      <c r="A211" s="93"/>
    </row>
  </sheetData>
  <mergeCells count="10">
    <mergeCell ref="A113:G130"/>
    <mergeCell ref="C3:G4"/>
    <mergeCell ref="C5:D6"/>
    <mergeCell ref="E5:F6"/>
    <mergeCell ref="B6:B8"/>
    <mergeCell ref="C7:C8"/>
    <mergeCell ref="D7:D8"/>
    <mergeCell ref="E7:E8"/>
    <mergeCell ref="F7:F8"/>
    <mergeCell ref="G7:G8"/>
  </mergeCells>
  <pageMargins left="0.5" right="0.5" top="0.5" bottom="0.5" header="0.5" footer="0.25"/>
  <pageSetup orientation="portrait" r:id="rId1"/>
  <headerFooter alignWithMargins="0">
    <oddFooter>&amp;C&amp;"Arial,Bold"&amp;8Energy Information Administration
2009 Residential Energy Consumption Survey:  Preliminary Housing Characteristics Tables</oddFooter>
  </headerFooter>
  <rowBreaks count="3" manualBreakCount="3">
    <brk id="67" max="6" man="1"/>
    <brk id="110" max="6" man="1"/>
    <brk id="156" max="6"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ransitionEvaluation="1" codeName="Sheet27"/>
  <dimension ref="A1:AF61"/>
  <sheetViews>
    <sheetView defaultGridColor="0" colorId="22" workbookViewId="0">
      <selection activeCell="O27" sqref="O27"/>
    </sheetView>
  </sheetViews>
  <sheetFormatPr defaultColWidth="8.28515625" defaultRowHeight="11.25" x14ac:dyDescent="0.2"/>
  <cols>
    <col min="1" max="1" width="31.7109375" style="108" customWidth="1"/>
    <col min="2" max="2" width="7.7109375" style="99" customWidth="1"/>
    <col min="3" max="3" width="7.140625" style="100" customWidth="1"/>
    <col min="4" max="4" width="7.7109375" style="99" customWidth="1"/>
    <col min="5" max="5" width="7.140625" style="99" customWidth="1"/>
    <col min="6" max="6" width="7.7109375" style="101" customWidth="1"/>
    <col min="7" max="7" width="8.140625" style="101" customWidth="1"/>
    <col min="8" max="9" width="7.7109375" style="101" customWidth="1"/>
    <col min="10" max="11" width="8.140625" style="101" customWidth="1"/>
    <col min="12" max="12" width="8.28515625" style="101"/>
    <col min="13" max="13" width="8.28515625" style="101" customWidth="1"/>
    <col min="14" max="14" width="9.85546875" style="101" customWidth="1"/>
    <col min="15" max="16384" width="8.28515625" style="101"/>
  </cols>
  <sheetData>
    <row r="1" spans="1:32" ht="12.75" x14ac:dyDescent="0.2">
      <c r="A1" s="98" t="s">
        <v>136</v>
      </c>
    </row>
    <row r="2" spans="1:32" ht="12.75" x14ac:dyDescent="0.2">
      <c r="A2" s="102" t="s">
        <v>137</v>
      </c>
    </row>
    <row r="4" spans="1:32" x14ac:dyDescent="0.2">
      <c r="A4" s="103" t="s">
        <v>157</v>
      </c>
      <c r="B4" s="101"/>
      <c r="C4" s="104"/>
      <c r="D4" s="101"/>
      <c r="E4" s="101"/>
    </row>
    <row r="5" spans="1:32" x14ac:dyDescent="0.2">
      <c r="A5" s="103" t="s">
        <v>158</v>
      </c>
      <c r="B5" s="101"/>
      <c r="C5" s="104"/>
      <c r="D5" s="101"/>
      <c r="E5" s="101"/>
    </row>
    <row r="6" spans="1:32" x14ac:dyDescent="0.2">
      <c r="A6" s="103"/>
      <c r="B6" s="101"/>
      <c r="C6" s="104"/>
      <c r="D6" s="101"/>
      <c r="E6" s="101"/>
    </row>
    <row r="7" spans="1:32" x14ac:dyDescent="0.2">
      <c r="A7" s="105" t="s">
        <v>140</v>
      </c>
      <c r="B7" s="103"/>
      <c r="C7" s="106"/>
      <c r="D7" s="103"/>
      <c r="E7" s="103"/>
      <c r="F7" s="107"/>
      <c r="G7" s="107" t="s">
        <v>26</v>
      </c>
      <c r="H7" s="103"/>
      <c r="I7" s="103"/>
      <c r="J7" s="103"/>
      <c r="K7" s="103"/>
    </row>
    <row r="8" spans="1:32" x14ac:dyDescent="0.2">
      <c r="A8" s="105" t="s">
        <v>141</v>
      </c>
      <c r="B8" s="103"/>
      <c r="C8" s="106"/>
      <c r="D8" s="103"/>
      <c r="E8" s="103"/>
      <c r="F8" s="103"/>
      <c r="G8" s="103"/>
      <c r="H8" s="103"/>
      <c r="I8" s="103"/>
      <c r="J8" s="103"/>
      <c r="K8" s="103"/>
      <c r="AA8" s="101" t="s">
        <v>20</v>
      </c>
    </row>
    <row r="9" spans="1:32" ht="12.75" x14ac:dyDescent="0.2">
      <c r="B9" s="109">
        <v>1978</v>
      </c>
      <c r="C9" s="109">
        <v>1979</v>
      </c>
      <c r="D9" s="109">
        <v>1980</v>
      </c>
      <c r="E9" s="109">
        <v>1981</v>
      </c>
      <c r="F9" s="109">
        <v>1982</v>
      </c>
      <c r="G9" s="109">
        <v>1984</v>
      </c>
      <c r="H9" s="109">
        <v>1987</v>
      </c>
      <c r="I9" s="109">
        <v>1990</v>
      </c>
      <c r="J9" s="109">
        <v>1993</v>
      </c>
      <c r="K9" s="109">
        <v>1997</v>
      </c>
      <c r="L9" s="109">
        <v>2001</v>
      </c>
      <c r="M9" s="109">
        <v>2005</v>
      </c>
      <c r="O9" s="51">
        <f t="array" ref="O9:X18">TRANSPOSE(D9:M15)</f>
        <v>1980</v>
      </c>
      <c r="P9" s="51">
        <v>81.599999999999994</v>
      </c>
      <c r="Q9" s="51">
        <v>4.5999999999999996</v>
      </c>
      <c r="R9" s="51">
        <v>53</v>
      </c>
      <c r="S9" s="51">
        <v>3.3</v>
      </c>
      <c r="T9" s="51">
        <v>9.9</v>
      </c>
      <c r="U9" s="51">
        <v>10.8</v>
      </c>
      <c r="V9" s="51" t="e">
        <v>#N/A</v>
      </c>
      <c r="W9" s="51" t="e">
        <v>#N/A</v>
      </c>
      <c r="X9" s="51" t="e">
        <v>#N/A</v>
      </c>
      <c r="Y9" s="51">
        <f>R9+S9</f>
        <v>56.3</v>
      </c>
      <c r="AA9" s="101">
        <f t="array" ref="AA9:AF18">TRANSPOSE(D17:M22)</f>
        <v>17.7</v>
      </c>
      <c r="AB9" s="101">
        <v>0.5</v>
      </c>
      <c r="AC9" s="101">
        <v>8.8000000000000007</v>
      </c>
      <c r="AD9" s="101">
        <v>1.6</v>
      </c>
      <c r="AE9" s="101">
        <v>3.3</v>
      </c>
      <c r="AF9" s="101">
        <v>3.5</v>
      </c>
    </row>
    <row r="10" spans="1:32" ht="12.75" x14ac:dyDescent="0.2">
      <c r="A10" s="105" t="s">
        <v>142</v>
      </c>
      <c r="B10" s="100">
        <v>76.599999999999994</v>
      </c>
      <c r="C10" s="100">
        <v>77.5</v>
      </c>
      <c r="D10" s="100">
        <v>81.599999999999994</v>
      </c>
      <c r="E10" s="100">
        <v>83.1</v>
      </c>
      <c r="F10" s="100">
        <v>83.8</v>
      </c>
      <c r="G10" s="100">
        <v>86.3</v>
      </c>
      <c r="H10" s="100">
        <v>90.5</v>
      </c>
      <c r="I10" s="100">
        <v>94</v>
      </c>
      <c r="J10" s="100">
        <v>96.6</v>
      </c>
      <c r="K10" s="100">
        <v>101.5</v>
      </c>
      <c r="L10" s="110">
        <v>106.989</v>
      </c>
      <c r="M10" s="110">
        <v>111.09061699999999</v>
      </c>
      <c r="N10" s="111"/>
      <c r="O10" s="414">
        <v>1981</v>
      </c>
      <c r="P10" s="51">
        <v>83.1</v>
      </c>
      <c r="Q10" s="51">
        <v>4.2</v>
      </c>
      <c r="R10" s="51">
        <v>54.6</v>
      </c>
      <c r="S10" s="51">
        <v>3</v>
      </c>
      <c r="T10" s="51">
        <v>9.3000000000000007</v>
      </c>
      <c r="U10" s="51">
        <v>12</v>
      </c>
      <c r="V10" s="51" t="e">
        <v>#N/A</v>
      </c>
      <c r="W10" s="51" t="e">
        <v>#N/A</v>
      </c>
      <c r="X10" s="51" t="e">
        <v>#N/A</v>
      </c>
      <c r="Y10" s="51">
        <f t="shared" ref="Y10:Y18" si="0">R10+S10</f>
        <v>57.6</v>
      </c>
      <c r="Z10" s="112"/>
      <c r="AA10" s="101">
        <v>17.899999999999999</v>
      </c>
      <c r="AB10" s="112">
        <v>0.4</v>
      </c>
      <c r="AC10" s="112">
        <v>8.8000000000000007</v>
      </c>
      <c r="AD10" s="112">
        <v>1.3</v>
      </c>
      <c r="AE10" s="101">
        <v>3.6</v>
      </c>
      <c r="AF10" s="101">
        <v>3.8</v>
      </c>
    </row>
    <row r="11" spans="1:32" ht="12.75" x14ac:dyDescent="0.2">
      <c r="A11" s="108" t="s">
        <v>143</v>
      </c>
      <c r="B11" s="100">
        <v>4.8</v>
      </c>
      <c r="C11" s="100">
        <v>4.0999999999999996</v>
      </c>
      <c r="D11" s="100">
        <v>4.5999999999999996</v>
      </c>
      <c r="E11" s="100">
        <v>4.2</v>
      </c>
      <c r="F11" s="100">
        <v>3.7</v>
      </c>
      <c r="G11" s="100">
        <v>5.0999999999999996</v>
      </c>
      <c r="H11" s="100">
        <v>5.0999999999999996</v>
      </c>
      <c r="I11" s="100">
        <v>5.2</v>
      </c>
      <c r="J11" s="100">
        <v>5.6</v>
      </c>
      <c r="K11" s="100">
        <v>6.3</v>
      </c>
      <c r="L11" s="110">
        <v>6.806</v>
      </c>
      <c r="M11" s="110">
        <v>6.9431960699999999</v>
      </c>
      <c r="N11" s="111"/>
      <c r="O11" s="51">
        <v>1982</v>
      </c>
      <c r="P11" s="51">
        <v>83.8</v>
      </c>
      <c r="Q11" s="51">
        <v>3.7</v>
      </c>
      <c r="R11" s="51">
        <v>53.8</v>
      </c>
      <c r="S11" s="51">
        <v>3.9</v>
      </c>
      <c r="T11" s="51">
        <v>10.1</v>
      </c>
      <c r="U11" s="51">
        <v>12.2</v>
      </c>
      <c r="V11" s="51" t="e">
        <v>#N/A</v>
      </c>
      <c r="W11" s="51" t="e">
        <v>#N/A</v>
      </c>
      <c r="X11" s="51" t="e">
        <v>#N/A</v>
      </c>
      <c r="Y11" s="51">
        <f t="shared" si="0"/>
        <v>57.699999999999996</v>
      </c>
      <c r="Z11" s="112"/>
      <c r="AA11" s="101">
        <v>18</v>
      </c>
      <c r="AB11" s="112">
        <v>0.4</v>
      </c>
      <c r="AC11" s="112">
        <v>8.6999999999999993</v>
      </c>
      <c r="AD11" s="112">
        <v>1.9</v>
      </c>
      <c r="AE11" s="101">
        <v>3.5</v>
      </c>
      <c r="AF11" s="101">
        <v>3.5</v>
      </c>
    </row>
    <row r="12" spans="1:32" ht="12.75" x14ac:dyDescent="0.2">
      <c r="A12" s="108" t="s">
        <v>144</v>
      </c>
      <c r="B12" s="100">
        <v>48.5</v>
      </c>
      <c r="C12" s="100">
        <v>50.1</v>
      </c>
      <c r="D12" s="100">
        <v>53</v>
      </c>
      <c r="E12" s="100">
        <v>54.6</v>
      </c>
      <c r="F12" s="100">
        <v>53.8</v>
      </c>
      <c r="G12" s="100">
        <v>53.5</v>
      </c>
      <c r="H12" s="100">
        <v>55.2</v>
      </c>
      <c r="I12" s="100">
        <v>58.4</v>
      </c>
      <c r="J12" s="100">
        <v>59.5</v>
      </c>
      <c r="K12" s="100">
        <v>63.8</v>
      </c>
      <c r="L12" s="110">
        <v>63.098999999999997</v>
      </c>
      <c r="M12" s="110">
        <v>72.058082349999992</v>
      </c>
      <c r="N12" s="111"/>
      <c r="O12" s="51">
        <v>1984</v>
      </c>
      <c r="P12" s="51">
        <v>86.3</v>
      </c>
      <c r="Q12" s="51">
        <v>5.0999999999999996</v>
      </c>
      <c r="R12" s="51">
        <v>53.5</v>
      </c>
      <c r="S12" s="51">
        <v>4.0999999999999996</v>
      </c>
      <c r="T12" s="51">
        <v>10</v>
      </c>
      <c r="U12" s="51">
        <v>13.6</v>
      </c>
      <c r="V12" s="51" t="e">
        <v>#N/A</v>
      </c>
      <c r="W12" s="51" t="e">
        <v>#N/A</v>
      </c>
      <c r="X12" s="51" t="e">
        <v>#N/A</v>
      </c>
      <c r="Y12" s="51">
        <f t="shared" si="0"/>
        <v>57.6</v>
      </c>
      <c r="Z12" s="112"/>
      <c r="AA12" s="101">
        <v>18.3</v>
      </c>
      <c r="AB12" s="112">
        <v>0.7</v>
      </c>
      <c r="AC12" s="112">
        <v>9.1</v>
      </c>
      <c r="AD12" s="112">
        <v>1.8</v>
      </c>
      <c r="AE12" s="101">
        <v>3.2</v>
      </c>
      <c r="AF12" s="101">
        <v>3.6</v>
      </c>
    </row>
    <row r="13" spans="1:32" ht="12.75" x14ac:dyDescent="0.2">
      <c r="A13" s="108" t="s">
        <v>145</v>
      </c>
      <c r="B13" s="100">
        <v>3.1</v>
      </c>
      <c r="C13" s="100">
        <v>3.3</v>
      </c>
      <c r="D13" s="100">
        <v>3.3</v>
      </c>
      <c r="E13" s="100">
        <v>3</v>
      </c>
      <c r="F13" s="100">
        <v>3.9</v>
      </c>
      <c r="G13" s="100">
        <v>4.0999999999999996</v>
      </c>
      <c r="H13" s="100">
        <v>5.3</v>
      </c>
      <c r="I13" s="100">
        <v>6</v>
      </c>
      <c r="J13" s="100">
        <v>7.3</v>
      </c>
      <c r="K13" s="100">
        <v>9.9</v>
      </c>
      <c r="L13" s="110">
        <v>10.590999999999999</v>
      </c>
      <c r="M13" s="110">
        <v>7.5958407699999997</v>
      </c>
      <c r="N13" s="111"/>
      <c r="O13" s="51">
        <v>1987</v>
      </c>
      <c r="P13" s="51">
        <v>90.5</v>
      </c>
      <c r="Q13" s="51">
        <v>5.0999999999999996</v>
      </c>
      <c r="R13" s="51">
        <v>55.2</v>
      </c>
      <c r="S13" s="51">
        <v>5.3</v>
      </c>
      <c r="T13" s="51">
        <v>10.1</v>
      </c>
      <c r="U13" s="51">
        <v>14.9</v>
      </c>
      <c r="V13" s="51" t="e">
        <v>#N/A</v>
      </c>
      <c r="W13" s="51" t="e">
        <v>#N/A</v>
      </c>
      <c r="X13" s="51" t="e">
        <v>#N/A</v>
      </c>
      <c r="Y13" s="51">
        <f t="shared" si="0"/>
        <v>60.5</v>
      </c>
      <c r="Z13" s="112"/>
      <c r="AA13" s="101">
        <v>19</v>
      </c>
      <c r="AB13" s="112">
        <v>0.7</v>
      </c>
      <c r="AC13" s="112">
        <v>9.1</v>
      </c>
      <c r="AD13" s="112">
        <v>2</v>
      </c>
      <c r="AE13" s="101">
        <v>3.2</v>
      </c>
      <c r="AF13" s="101">
        <v>4.0999999999999996</v>
      </c>
    </row>
    <row r="14" spans="1:32" ht="12.75" x14ac:dyDescent="0.2">
      <c r="A14" s="114" t="s">
        <v>146</v>
      </c>
      <c r="B14" s="100">
        <v>11</v>
      </c>
      <c r="C14" s="100">
        <v>9.4</v>
      </c>
      <c r="D14" s="100">
        <v>9.9</v>
      </c>
      <c r="E14" s="100">
        <v>9.3000000000000007</v>
      </c>
      <c r="F14" s="100">
        <v>10.1</v>
      </c>
      <c r="G14" s="100">
        <v>10</v>
      </c>
      <c r="H14" s="100">
        <v>10.1</v>
      </c>
      <c r="I14" s="100">
        <v>10</v>
      </c>
      <c r="J14" s="100">
        <v>8</v>
      </c>
      <c r="K14" s="100">
        <v>5.6</v>
      </c>
      <c r="L14" s="110">
        <v>9.49</v>
      </c>
      <c r="M14" s="110">
        <v>7.7547724699999998</v>
      </c>
      <c r="N14" s="111">
        <v>9</v>
      </c>
      <c r="O14" s="51">
        <v>1990</v>
      </c>
      <c r="P14" s="51">
        <v>94</v>
      </c>
      <c r="Q14" s="51">
        <v>5.2</v>
      </c>
      <c r="R14" s="51">
        <v>58.4</v>
      </c>
      <c r="S14" s="51">
        <v>6</v>
      </c>
      <c r="T14" s="51">
        <v>10</v>
      </c>
      <c r="U14" s="51">
        <v>14.4</v>
      </c>
      <c r="V14" s="51" t="e">
        <v>#N/A</v>
      </c>
      <c r="W14" s="51" t="e">
        <v>#N/A</v>
      </c>
      <c r="X14" s="51" t="e">
        <v>#N/A</v>
      </c>
      <c r="Y14" s="51">
        <f t="shared" si="0"/>
        <v>64.400000000000006</v>
      </c>
      <c r="Z14" s="112"/>
      <c r="AA14" s="101">
        <v>19.2</v>
      </c>
      <c r="AB14" s="112">
        <v>0.5</v>
      </c>
      <c r="AC14" s="112">
        <v>9.8000000000000007</v>
      </c>
      <c r="AD14" s="112">
        <v>2.1</v>
      </c>
      <c r="AE14" s="101">
        <v>3.5</v>
      </c>
      <c r="AF14" s="101">
        <v>3.3</v>
      </c>
    </row>
    <row r="15" spans="1:32" ht="12.75" x14ac:dyDescent="0.2">
      <c r="A15" s="114" t="s">
        <v>147</v>
      </c>
      <c r="B15" s="100">
        <v>9.1999999999999993</v>
      </c>
      <c r="C15" s="100">
        <v>10.6</v>
      </c>
      <c r="D15" s="100">
        <v>10.8</v>
      </c>
      <c r="E15" s="100">
        <v>12</v>
      </c>
      <c r="F15" s="100">
        <v>12.2</v>
      </c>
      <c r="G15" s="100">
        <v>13.6</v>
      </c>
      <c r="H15" s="100">
        <v>14.9</v>
      </c>
      <c r="I15" s="100">
        <v>14.4</v>
      </c>
      <c r="J15" s="100">
        <v>16.2</v>
      </c>
      <c r="K15" s="100">
        <v>15.8</v>
      </c>
      <c r="L15" s="110">
        <v>17.003</v>
      </c>
      <c r="M15" s="110">
        <v>16.738725339999998</v>
      </c>
      <c r="N15" s="111">
        <v>19.100000000000001</v>
      </c>
      <c r="O15" s="51">
        <v>1993</v>
      </c>
      <c r="P15" s="51">
        <v>96.6</v>
      </c>
      <c r="Q15" s="51">
        <v>5.6</v>
      </c>
      <c r="R15" s="51">
        <v>59.5</v>
      </c>
      <c r="S15" s="51">
        <v>7.3</v>
      </c>
      <c r="T15" s="51">
        <v>8</v>
      </c>
      <c r="U15" s="51">
        <v>16.2</v>
      </c>
      <c r="V15" s="51" t="e">
        <v>#N/A</v>
      </c>
      <c r="W15" s="51" t="e">
        <v>#N/A</v>
      </c>
      <c r="X15" s="51" t="e">
        <v>#N/A</v>
      </c>
      <c r="Y15" s="51">
        <f t="shared" si="0"/>
        <v>66.8</v>
      </c>
      <c r="Z15" s="112"/>
      <c r="AA15" s="101">
        <v>19.5</v>
      </c>
      <c r="AB15" s="112">
        <v>0.5</v>
      </c>
      <c r="AC15" s="112">
        <v>9.5</v>
      </c>
      <c r="AD15" s="112">
        <v>2.4</v>
      </c>
      <c r="AE15" s="101">
        <v>2.9</v>
      </c>
      <c r="AF15" s="101">
        <v>4.0999999999999996</v>
      </c>
    </row>
    <row r="16" spans="1:32" ht="12.75" x14ac:dyDescent="0.2">
      <c r="B16" s="100"/>
      <c r="D16" s="100"/>
      <c r="E16" s="100"/>
      <c r="F16" s="100"/>
      <c r="G16" s="100"/>
      <c r="H16" s="100"/>
      <c r="I16" s="100"/>
      <c r="J16" s="100"/>
      <c r="K16" s="100"/>
      <c r="L16" s="110"/>
      <c r="M16" s="110"/>
      <c r="N16" s="111"/>
      <c r="O16" s="51">
        <v>1997</v>
      </c>
      <c r="P16" s="51">
        <v>101.5</v>
      </c>
      <c r="Q16" s="51">
        <v>6.3</v>
      </c>
      <c r="R16" s="51">
        <v>63.8</v>
      </c>
      <c r="S16" s="51">
        <v>9.9</v>
      </c>
      <c r="T16" s="51">
        <v>5.6</v>
      </c>
      <c r="U16" s="51">
        <v>15.8</v>
      </c>
      <c r="V16" s="51" t="e">
        <v>#N/A</v>
      </c>
      <c r="W16" s="51" t="e">
        <v>#N/A</v>
      </c>
      <c r="X16" s="51" t="e">
        <v>#N/A</v>
      </c>
      <c r="Y16" s="51">
        <f t="shared" si="0"/>
        <v>73.7</v>
      </c>
      <c r="Z16" s="112"/>
      <c r="AA16" s="101">
        <v>19.7</v>
      </c>
      <c r="AB16" s="112">
        <v>0.5</v>
      </c>
      <c r="AC16" s="112">
        <v>10.7</v>
      </c>
      <c r="AD16" s="112">
        <v>3.1</v>
      </c>
      <c r="AE16" s="101">
        <v>1.7</v>
      </c>
      <c r="AF16" s="101">
        <v>3.8</v>
      </c>
    </row>
    <row r="17" spans="1:32" ht="12.75" x14ac:dyDescent="0.2">
      <c r="A17" s="105" t="s">
        <v>148</v>
      </c>
      <c r="B17" s="100">
        <v>17.399999999999999</v>
      </c>
      <c r="C17" s="100">
        <v>17.2</v>
      </c>
      <c r="D17" s="100">
        <v>17.7</v>
      </c>
      <c r="E17" s="100">
        <v>17.899999999999999</v>
      </c>
      <c r="F17" s="100">
        <v>18</v>
      </c>
      <c r="G17" s="100">
        <v>18.3</v>
      </c>
      <c r="H17" s="100">
        <v>19</v>
      </c>
      <c r="I17" s="100">
        <v>19.2</v>
      </c>
      <c r="J17" s="100">
        <v>19.5</v>
      </c>
      <c r="K17" s="100">
        <v>19.7</v>
      </c>
      <c r="L17" s="110">
        <v>20.254000000000001</v>
      </c>
      <c r="M17" s="110">
        <v>20.582522999999998</v>
      </c>
      <c r="N17" s="111"/>
      <c r="O17" s="51">
        <v>2001</v>
      </c>
      <c r="P17" s="411">
        <v>106.989</v>
      </c>
      <c r="Q17" s="411">
        <v>6.806</v>
      </c>
      <c r="R17" s="411">
        <v>63.098999999999997</v>
      </c>
      <c r="S17" s="411">
        <v>10.590999999999999</v>
      </c>
      <c r="T17" s="411">
        <v>9.49</v>
      </c>
      <c r="U17" s="411">
        <v>17.003</v>
      </c>
      <c r="V17" s="411" t="e">
        <v>#N/A</v>
      </c>
      <c r="W17" s="411" t="e">
        <v>#N/A</v>
      </c>
      <c r="X17" s="411" t="e">
        <v>#N/A</v>
      </c>
      <c r="Y17" s="411">
        <f t="shared" si="0"/>
        <v>73.69</v>
      </c>
      <c r="Z17" s="112"/>
      <c r="AA17" s="101">
        <v>20.254000000000001</v>
      </c>
      <c r="AB17" s="112">
        <v>0.65300000000000002</v>
      </c>
      <c r="AC17" s="112">
        <v>9.1780000000000008</v>
      </c>
      <c r="AD17" s="112">
        <v>2.8319999999999999</v>
      </c>
      <c r="AE17" s="101">
        <v>3.1379999999999999</v>
      </c>
      <c r="AF17" s="101">
        <v>4.4539999999999997</v>
      </c>
    </row>
    <row r="18" spans="1:32" ht="12.75" x14ac:dyDescent="0.2">
      <c r="A18" s="108" t="s">
        <v>143</v>
      </c>
      <c r="B18" s="100">
        <v>0.4</v>
      </c>
      <c r="C18" s="100">
        <v>0.2</v>
      </c>
      <c r="D18" s="100">
        <v>0.5</v>
      </c>
      <c r="E18" s="100">
        <v>0.4</v>
      </c>
      <c r="F18" s="100">
        <v>0.4</v>
      </c>
      <c r="G18" s="100">
        <v>0.7</v>
      </c>
      <c r="H18" s="100">
        <v>0.7</v>
      </c>
      <c r="I18" s="100">
        <v>0.5</v>
      </c>
      <c r="J18" s="100">
        <v>0.5</v>
      </c>
      <c r="K18" s="115">
        <v>0.5</v>
      </c>
      <c r="L18" s="110">
        <v>0.65300000000000002</v>
      </c>
      <c r="M18" s="110">
        <v>0.42768185999999997</v>
      </c>
      <c r="N18" s="111"/>
      <c r="O18" s="51">
        <v>2005</v>
      </c>
      <c r="P18" s="411">
        <v>111.09061699999999</v>
      </c>
      <c r="Q18" s="411">
        <v>6.9431960699999999</v>
      </c>
      <c r="R18" s="411">
        <v>72.058082349999992</v>
      </c>
      <c r="S18" s="411">
        <v>7.5958407699999997</v>
      </c>
      <c r="T18" s="411">
        <v>7.7547724699999998</v>
      </c>
      <c r="U18" s="411">
        <v>16.738725339999998</v>
      </c>
      <c r="V18" s="411" t="e">
        <v>#N/A</v>
      </c>
      <c r="W18" s="411" t="e">
        <v>#N/A</v>
      </c>
      <c r="X18" s="411" t="e">
        <v>#N/A</v>
      </c>
      <c r="Y18" s="411">
        <f t="shared" si="0"/>
        <v>79.653923119999988</v>
      </c>
      <c r="Z18" s="112"/>
      <c r="AA18" s="101">
        <v>20.582522999999998</v>
      </c>
      <c r="AB18" s="112">
        <v>0.42768185999999997</v>
      </c>
      <c r="AC18" s="112">
        <v>11.17232325</v>
      </c>
      <c r="AD18" s="112">
        <v>2.2978517599999999</v>
      </c>
      <c r="AE18" s="101">
        <v>2.5339453999999999</v>
      </c>
      <c r="AF18" s="101">
        <v>4.1507207299999997</v>
      </c>
    </row>
    <row r="19" spans="1:32" ht="12.75" x14ac:dyDescent="0.2">
      <c r="A19" s="108" t="s">
        <v>144</v>
      </c>
      <c r="B19" s="100">
        <v>7.9</v>
      </c>
      <c r="C19" s="100">
        <v>8</v>
      </c>
      <c r="D19" s="100">
        <v>8.8000000000000007</v>
      </c>
      <c r="E19" s="100">
        <v>8.8000000000000007</v>
      </c>
      <c r="F19" s="100">
        <v>8.6999999999999993</v>
      </c>
      <c r="G19" s="100">
        <v>9.1</v>
      </c>
      <c r="H19" s="100">
        <v>9.1</v>
      </c>
      <c r="I19" s="100">
        <v>9.8000000000000007</v>
      </c>
      <c r="J19" s="100">
        <v>9.5</v>
      </c>
      <c r="K19" s="115">
        <v>10.7</v>
      </c>
      <c r="L19" s="110">
        <v>9.1780000000000008</v>
      </c>
      <c r="M19" s="110">
        <v>11.17232325</v>
      </c>
      <c r="N19" s="111"/>
      <c r="O19" s="112"/>
      <c r="P19" s="112"/>
      <c r="Q19" s="113"/>
      <c r="R19" s="112"/>
      <c r="S19" s="112"/>
      <c r="T19" s="112"/>
      <c r="U19" s="112"/>
      <c r="X19" s="112"/>
      <c r="Y19" s="112"/>
      <c r="Z19" s="112"/>
      <c r="AB19" s="112"/>
      <c r="AC19" s="112"/>
      <c r="AD19" s="112"/>
    </row>
    <row r="20" spans="1:32" ht="12.75" x14ac:dyDescent="0.2">
      <c r="A20" s="108" t="s">
        <v>145</v>
      </c>
      <c r="B20" s="100">
        <v>1.6</v>
      </c>
      <c r="C20" s="100">
        <v>1.1000000000000001</v>
      </c>
      <c r="D20" s="100">
        <v>1.6</v>
      </c>
      <c r="E20" s="100">
        <v>1.3</v>
      </c>
      <c r="F20" s="100">
        <v>1.9</v>
      </c>
      <c r="G20" s="100">
        <v>1.8</v>
      </c>
      <c r="H20" s="100">
        <v>2</v>
      </c>
      <c r="I20" s="100">
        <v>2.1</v>
      </c>
      <c r="J20" s="100">
        <v>2.4</v>
      </c>
      <c r="K20" s="115">
        <v>3.1</v>
      </c>
      <c r="L20" s="110">
        <v>2.8319999999999999</v>
      </c>
      <c r="M20" s="110">
        <v>2.2978517599999999</v>
      </c>
      <c r="N20" s="111"/>
      <c r="O20" s="112"/>
      <c r="P20" s="112"/>
      <c r="Q20" s="113"/>
      <c r="R20" s="112"/>
      <c r="S20" s="112"/>
      <c r="T20" s="112"/>
      <c r="U20" s="112"/>
      <c r="X20" s="112"/>
      <c r="Y20" s="112"/>
      <c r="Z20" s="112"/>
      <c r="AB20" s="112"/>
      <c r="AC20" s="112"/>
      <c r="AD20" s="112"/>
    </row>
    <row r="21" spans="1:32" ht="12.75" x14ac:dyDescent="0.2">
      <c r="A21" s="114" t="s">
        <v>146</v>
      </c>
      <c r="B21" s="100">
        <v>4.4000000000000004</v>
      </c>
      <c r="C21" s="100">
        <v>3.5</v>
      </c>
      <c r="D21" s="100">
        <v>3.3</v>
      </c>
      <c r="E21" s="100">
        <v>3.6</v>
      </c>
      <c r="F21" s="100">
        <v>3.5</v>
      </c>
      <c r="G21" s="100">
        <v>3.2</v>
      </c>
      <c r="H21" s="100">
        <v>3.2</v>
      </c>
      <c r="I21" s="100">
        <v>3.5</v>
      </c>
      <c r="J21" s="100">
        <v>2.9</v>
      </c>
      <c r="K21" s="115">
        <v>1.7</v>
      </c>
      <c r="L21" s="110">
        <v>3.1379999999999999</v>
      </c>
      <c r="M21" s="110">
        <v>2.5339453999999999</v>
      </c>
      <c r="N21" s="111"/>
      <c r="O21" s="112"/>
      <c r="P21" s="112"/>
      <c r="Q21" s="113"/>
      <c r="R21" s="112"/>
      <c r="S21" s="112"/>
      <c r="T21" s="112"/>
      <c r="U21" s="112"/>
      <c r="X21" s="112"/>
      <c r="Y21" s="112"/>
      <c r="Z21" s="112"/>
      <c r="AB21" s="112"/>
      <c r="AC21" s="112"/>
      <c r="AD21" s="112"/>
    </row>
    <row r="22" spans="1:32" ht="12.75" x14ac:dyDescent="0.2">
      <c r="A22" s="114" t="s">
        <v>147</v>
      </c>
      <c r="B22" s="100">
        <v>3.1</v>
      </c>
      <c r="C22" s="100">
        <v>4.4000000000000004</v>
      </c>
      <c r="D22" s="100">
        <v>3.5</v>
      </c>
      <c r="E22" s="100">
        <v>3.8</v>
      </c>
      <c r="F22" s="100">
        <v>3.5</v>
      </c>
      <c r="G22" s="100">
        <v>3.6</v>
      </c>
      <c r="H22" s="100">
        <v>4.0999999999999996</v>
      </c>
      <c r="I22" s="100">
        <v>3.3</v>
      </c>
      <c r="J22" s="100">
        <v>4.0999999999999996</v>
      </c>
      <c r="K22" s="115">
        <v>3.8</v>
      </c>
      <c r="L22" s="110">
        <v>4.4539999999999997</v>
      </c>
      <c r="M22" s="110">
        <v>4.1507207299999997</v>
      </c>
      <c r="N22" s="111"/>
      <c r="O22" s="112"/>
      <c r="P22" s="112"/>
      <c r="Q22" s="113"/>
      <c r="R22" s="112"/>
      <c r="S22" s="112"/>
      <c r="T22" s="112"/>
      <c r="U22" s="112"/>
      <c r="X22" s="112"/>
      <c r="Y22" s="112"/>
      <c r="Z22" s="112"/>
      <c r="AB22" s="112"/>
      <c r="AC22" s="112"/>
      <c r="AD22" s="112"/>
    </row>
    <row r="23" spans="1:32" ht="12.75" x14ac:dyDescent="0.2">
      <c r="B23" s="100"/>
      <c r="D23" s="100"/>
      <c r="E23" s="100"/>
      <c r="F23" s="100"/>
      <c r="G23" s="100"/>
      <c r="H23" s="100"/>
      <c r="I23" s="100"/>
      <c r="J23" s="100"/>
      <c r="K23" s="100"/>
      <c r="L23" s="110"/>
      <c r="M23" s="110"/>
      <c r="N23" s="111"/>
      <c r="O23" s="112"/>
      <c r="P23" s="112"/>
      <c r="Q23" s="113"/>
      <c r="R23" s="112"/>
      <c r="S23" s="112"/>
      <c r="T23" s="112"/>
      <c r="U23" s="112"/>
      <c r="X23" s="112"/>
      <c r="Y23" s="112"/>
      <c r="Z23" s="112"/>
      <c r="AA23" s="101" t="s">
        <v>21</v>
      </c>
      <c r="AB23" s="112"/>
      <c r="AC23" s="112"/>
      <c r="AD23" s="112"/>
    </row>
    <row r="24" spans="1:32" ht="12.75" x14ac:dyDescent="0.2">
      <c r="A24" s="105" t="s">
        <v>149</v>
      </c>
      <c r="B24" s="100">
        <v>20.6</v>
      </c>
      <c r="C24" s="100">
        <v>20.7</v>
      </c>
      <c r="D24" s="100">
        <v>21.1</v>
      </c>
      <c r="E24" s="100">
        <v>21.2</v>
      </c>
      <c r="F24" s="100">
        <v>21.3</v>
      </c>
      <c r="G24" s="100">
        <v>21.6</v>
      </c>
      <c r="H24" s="100">
        <v>22.3</v>
      </c>
      <c r="I24" s="100">
        <v>23.1</v>
      </c>
      <c r="J24" s="100">
        <v>23.3</v>
      </c>
      <c r="K24" s="100">
        <v>24.1</v>
      </c>
      <c r="L24" s="110">
        <v>24.491</v>
      </c>
      <c r="M24" s="110">
        <v>25.603971000000001</v>
      </c>
      <c r="N24" s="111"/>
      <c r="O24" s="112"/>
      <c r="P24" s="112"/>
      <c r="Q24" s="113"/>
      <c r="R24" s="112"/>
      <c r="S24" s="112"/>
      <c r="T24" s="112"/>
      <c r="U24" s="112"/>
      <c r="X24" s="112"/>
      <c r="Y24" s="112"/>
      <c r="Z24" s="112"/>
      <c r="AA24" s="101">
        <f t="array" ref="AA24:AF33">TRANSPOSE(D24:M29)</f>
        <v>21.1</v>
      </c>
      <c r="AB24" s="112">
        <v>0.6</v>
      </c>
      <c r="AC24" s="112">
        <v>15.2</v>
      </c>
      <c r="AD24" s="112">
        <v>0.3</v>
      </c>
      <c r="AE24" s="101">
        <v>2.9</v>
      </c>
      <c r="AF24" s="101">
        <v>2.1</v>
      </c>
    </row>
    <row r="25" spans="1:32" ht="12.75" x14ac:dyDescent="0.2">
      <c r="A25" s="108" t="s">
        <v>143</v>
      </c>
      <c r="B25" s="100">
        <v>0.9</v>
      </c>
      <c r="C25" s="100">
        <v>0.7</v>
      </c>
      <c r="D25" s="100">
        <v>0.6</v>
      </c>
      <c r="E25" s="100">
        <v>0.8</v>
      </c>
      <c r="F25" s="100">
        <v>0.7</v>
      </c>
      <c r="G25" s="100">
        <v>1.1000000000000001</v>
      </c>
      <c r="H25" s="100">
        <v>1.2</v>
      </c>
      <c r="I25" s="100">
        <v>1.6</v>
      </c>
      <c r="J25" s="100">
        <v>1.4</v>
      </c>
      <c r="K25" s="115">
        <v>1.1000000000000001</v>
      </c>
      <c r="L25" s="110">
        <v>1.22</v>
      </c>
      <c r="M25" s="110">
        <v>0.76502977000000005</v>
      </c>
      <c r="N25" s="111"/>
      <c r="O25" s="112"/>
      <c r="P25" s="112"/>
      <c r="Q25" s="113"/>
      <c r="R25" s="112"/>
      <c r="S25" s="112"/>
      <c r="T25" s="112"/>
      <c r="U25" s="112"/>
      <c r="X25" s="112"/>
      <c r="Y25" s="112"/>
      <c r="Z25" s="112"/>
      <c r="AA25" s="101">
        <v>21.2</v>
      </c>
      <c r="AB25" s="112">
        <v>0.8</v>
      </c>
      <c r="AC25" s="112">
        <v>15.2</v>
      </c>
      <c r="AD25" s="112">
        <v>0.3</v>
      </c>
      <c r="AE25" s="101">
        <v>2.4</v>
      </c>
      <c r="AF25" s="101">
        <v>2.5</v>
      </c>
    </row>
    <row r="26" spans="1:32" ht="12.75" x14ac:dyDescent="0.2">
      <c r="A26" s="108" t="s">
        <v>144</v>
      </c>
      <c r="B26" s="100">
        <v>15.5</v>
      </c>
      <c r="C26" s="100">
        <v>15.6</v>
      </c>
      <c r="D26" s="100">
        <v>15.2</v>
      </c>
      <c r="E26" s="100">
        <v>15.2</v>
      </c>
      <c r="F26" s="100">
        <v>14.4</v>
      </c>
      <c r="G26" s="100">
        <v>13.7</v>
      </c>
      <c r="H26" s="100">
        <v>14.7</v>
      </c>
      <c r="I26" s="100">
        <v>15.3</v>
      </c>
      <c r="J26" s="100">
        <v>15.6</v>
      </c>
      <c r="K26" s="115">
        <v>16.600000000000001</v>
      </c>
      <c r="L26" s="110">
        <v>15.45</v>
      </c>
      <c r="M26" s="110">
        <v>18.693806949999999</v>
      </c>
      <c r="N26" s="111"/>
      <c r="O26" s="112"/>
      <c r="P26" s="112"/>
      <c r="Q26" s="113"/>
      <c r="R26" s="112"/>
      <c r="S26" s="112"/>
      <c r="T26" s="112"/>
      <c r="U26" s="112"/>
      <c r="X26" s="112"/>
      <c r="Y26" s="112"/>
      <c r="Z26" s="112"/>
      <c r="AA26" s="101">
        <v>21.3</v>
      </c>
      <c r="AB26" s="112">
        <v>0.7</v>
      </c>
      <c r="AC26" s="112">
        <v>14.4</v>
      </c>
      <c r="AD26" s="112">
        <v>0.6</v>
      </c>
      <c r="AE26" s="101">
        <v>2.5</v>
      </c>
      <c r="AF26" s="101">
        <v>3.1</v>
      </c>
    </row>
    <row r="27" spans="1:32" ht="12.75" x14ac:dyDescent="0.2">
      <c r="A27" s="108" t="s">
        <v>145</v>
      </c>
      <c r="B27" s="100">
        <v>0.6</v>
      </c>
      <c r="C27" s="100">
        <v>0.7</v>
      </c>
      <c r="D27" s="100">
        <v>0.3</v>
      </c>
      <c r="E27" s="100">
        <v>0.3</v>
      </c>
      <c r="F27" s="100">
        <v>0.6</v>
      </c>
      <c r="G27" s="100">
        <v>0.9</v>
      </c>
      <c r="H27" s="100">
        <v>0.9</v>
      </c>
      <c r="I27" s="100">
        <v>0.7</v>
      </c>
      <c r="J27" s="100">
        <v>0.9</v>
      </c>
      <c r="K27" s="115">
        <v>1.8</v>
      </c>
      <c r="L27" s="110">
        <v>2.8319999999999999</v>
      </c>
      <c r="M27" s="110">
        <v>1.50499136</v>
      </c>
      <c r="N27" s="111"/>
      <c r="O27" s="112"/>
      <c r="P27" s="112"/>
      <c r="Q27" s="113"/>
      <c r="R27" s="112"/>
      <c r="S27" s="112"/>
      <c r="T27" s="112"/>
      <c r="U27" s="112"/>
      <c r="X27" s="112"/>
      <c r="Y27" s="112"/>
      <c r="Z27" s="112"/>
      <c r="AA27" s="101">
        <v>21.6</v>
      </c>
      <c r="AB27" s="112">
        <v>1.1000000000000001</v>
      </c>
      <c r="AC27" s="112">
        <v>13.7</v>
      </c>
      <c r="AD27" s="112">
        <v>0.9</v>
      </c>
      <c r="AE27" s="101">
        <v>2.8</v>
      </c>
      <c r="AF27" s="101">
        <v>3.1</v>
      </c>
    </row>
    <row r="28" spans="1:32" ht="12.75" x14ac:dyDescent="0.2">
      <c r="A28" s="114" t="s">
        <v>146</v>
      </c>
      <c r="B28" s="100">
        <v>2.9</v>
      </c>
      <c r="C28" s="100">
        <v>2.7</v>
      </c>
      <c r="D28" s="100">
        <v>2.9</v>
      </c>
      <c r="E28" s="100">
        <v>2.4</v>
      </c>
      <c r="F28" s="100">
        <v>2.5</v>
      </c>
      <c r="G28" s="100">
        <v>2.8</v>
      </c>
      <c r="H28" s="100">
        <v>2.6</v>
      </c>
      <c r="I28" s="100">
        <v>2.5</v>
      </c>
      <c r="J28" s="100">
        <v>1.8</v>
      </c>
      <c r="K28" s="115">
        <v>1.7</v>
      </c>
      <c r="L28" s="110">
        <v>2.173</v>
      </c>
      <c r="M28" s="110">
        <v>1.52241157</v>
      </c>
      <c r="N28" s="111"/>
      <c r="O28" s="112"/>
      <c r="P28" s="112"/>
      <c r="Q28" s="113"/>
      <c r="R28" s="112"/>
      <c r="S28" s="112"/>
      <c r="T28" s="112"/>
      <c r="U28" s="112"/>
      <c r="X28" s="112"/>
      <c r="Y28" s="112"/>
      <c r="Z28" s="112"/>
      <c r="AA28" s="101">
        <v>22.3</v>
      </c>
      <c r="AB28" s="112">
        <v>1.2</v>
      </c>
      <c r="AC28" s="112">
        <v>14.7</v>
      </c>
      <c r="AD28" s="112">
        <v>0.9</v>
      </c>
      <c r="AE28" s="101">
        <v>2.6</v>
      </c>
      <c r="AF28" s="101">
        <v>2.8</v>
      </c>
    </row>
    <row r="29" spans="1:32" ht="12.75" x14ac:dyDescent="0.2">
      <c r="A29" s="114" t="s">
        <v>147</v>
      </c>
      <c r="B29" s="100">
        <v>0.8</v>
      </c>
      <c r="C29" s="100">
        <v>1</v>
      </c>
      <c r="D29" s="100">
        <v>2.1</v>
      </c>
      <c r="E29" s="100">
        <v>2.5</v>
      </c>
      <c r="F29" s="100">
        <v>3.1</v>
      </c>
      <c r="G29" s="100">
        <v>3.1</v>
      </c>
      <c r="H29" s="100">
        <v>2.8</v>
      </c>
      <c r="I29" s="100">
        <v>3</v>
      </c>
      <c r="J29" s="100">
        <v>3.5</v>
      </c>
      <c r="K29" s="115">
        <v>2.8</v>
      </c>
      <c r="L29" s="110">
        <v>2.8170000000000002</v>
      </c>
      <c r="M29" s="110">
        <v>3.1177313600000001</v>
      </c>
      <c r="N29" s="111"/>
      <c r="O29" s="112"/>
      <c r="P29" s="112"/>
      <c r="Q29" s="113"/>
      <c r="R29" s="112"/>
      <c r="S29" s="112"/>
      <c r="T29" s="112"/>
      <c r="U29" s="112"/>
      <c r="X29" s="112"/>
      <c r="Y29" s="112"/>
      <c r="Z29" s="112"/>
      <c r="AA29" s="101">
        <v>23.1</v>
      </c>
      <c r="AB29" s="112">
        <v>1.6</v>
      </c>
      <c r="AC29" s="112">
        <v>15.3</v>
      </c>
      <c r="AD29" s="112">
        <v>0.7</v>
      </c>
      <c r="AE29" s="101">
        <v>2.5</v>
      </c>
      <c r="AF29" s="101">
        <v>3</v>
      </c>
    </row>
    <row r="30" spans="1:32" ht="12.75" x14ac:dyDescent="0.2">
      <c r="B30" s="100"/>
      <c r="D30" s="100"/>
      <c r="E30" s="100"/>
      <c r="F30" s="100"/>
      <c r="G30" s="100"/>
      <c r="H30" s="100"/>
      <c r="I30" s="100"/>
      <c r="J30" s="100"/>
      <c r="K30" s="100"/>
      <c r="L30" s="110"/>
      <c r="M30" s="110"/>
      <c r="N30" s="111"/>
      <c r="O30" s="112"/>
      <c r="P30" s="112"/>
      <c r="Q30" s="113"/>
      <c r="R30" s="112"/>
      <c r="S30" s="112"/>
      <c r="T30" s="112"/>
      <c r="U30" s="112"/>
      <c r="X30" s="112"/>
      <c r="Y30" s="112"/>
      <c r="Z30" s="112"/>
      <c r="AA30" s="101">
        <v>23.3</v>
      </c>
      <c r="AB30" s="112">
        <v>1.4</v>
      </c>
      <c r="AC30" s="112">
        <v>15.6</v>
      </c>
      <c r="AD30" s="112">
        <v>0.9</v>
      </c>
      <c r="AE30" s="101">
        <v>1.8</v>
      </c>
      <c r="AF30" s="101">
        <v>3.5</v>
      </c>
    </row>
    <row r="31" spans="1:32" ht="12.75" x14ac:dyDescent="0.2">
      <c r="A31" s="105" t="s">
        <v>150</v>
      </c>
      <c r="B31" s="100">
        <v>24.6</v>
      </c>
      <c r="C31" s="100">
        <v>24.9</v>
      </c>
      <c r="D31" s="100">
        <v>26.9</v>
      </c>
      <c r="E31" s="100">
        <v>27.7</v>
      </c>
      <c r="F31" s="100">
        <v>28</v>
      </c>
      <c r="G31" s="100">
        <v>29.3</v>
      </c>
      <c r="H31" s="100">
        <v>30.9</v>
      </c>
      <c r="I31" s="100">
        <v>32.299999999999997</v>
      </c>
      <c r="J31" s="100">
        <v>33.5</v>
      </c>
      <c r="K31" s="100">
        <v>35.9</v>
      </c>
      <c r="L31" s="110">
        <v>38.933999999999997</v>
      </c>
      <c r="M31" s="110">
        <v>40.712299999999999</v>
      </c>
      <c r="N31" s="111"/>
      <c r="O31" s="112"/>
      <c r="P31" s="112"/>
      <c r="Q31" s="113"/>
      <c r="R31" s="112"/>
      <c r="S31" s="112"/>
      <c r="T31" s="112"/>
      <c r="U31" s="112"/>
      <c r="X31" s="112"/>
      <c r="Y31" s="112"/>
      <c r="Z31" s="112"/>
      <c r="AA31" s="101">
        <v>24.1</v>
      </c>
      <c r="AB31" s="112">
        <v>1.1000000000000001</v>
      </c>
      <c r="AC31" s="112">
        <v>16.600000000000001</v>
      </c>
      <c r="AD31" s="112">
        <v>1.8</v>
      </c>
      <c r="AE31" s="101">
        <v>1.7</v>
      </c>
      <c r="AF31" s="101">
        <v>2.8</v>
      </c>
    </row>
    <row r="32" spans="1:32" ht="12.75" x14ac:dyDescent="0.2">
      <c r="A32" s="108" t="s">
        <v>143</v>
      </c>
      <c r="B32" s="100">
        <v>2.8</v>
      </c>
      <c r="C32" s="100">
        <v>2.2000000000000002</v>
      </c>
      <c r="D32" s="100">
        <v>2.4</v>
      </c>
      <c r="E32" s="100">
        <v>2.1</v>
      </c>
      <c r="F32" s="100">
        <v>1.8</v>
      </c>
      <c r="G32" s="100">
        <v>2.2999999999999998</v>
      </c>
      <c r="H32" s="100">
        <v>2.2000000000000002</v>
      </c>
      <c r="I32" s="100">
        <v>1.9</v>
      </c>
      <c r="J32" s="100">
        <v>2.6</v>
      </c>
      <c r="K32" s="115">
        <v>3</v>
      </c>
      <c r="L32" s="110">
        <v>3.254</v>
      </c>
      <c r="M32" s="110">
        <v>3.79696751</v>
      </c>
      <c r="N32" s="111"/>
      <c r="O32" s="112"/>
      <c r="P32" s="112"/>
      <c r="Q32" s="113"/>
      <c r="R32" s="112"/>
      <c r="S32" s="112"/>
      <c r="T32" s="112"/>
      <c r="U32" s="112"/>
      <c r="X32" s="112"/>
      <c r="Y32" s="112"/>
      <c r="Z32" s="112"/>
      <c r="AA32" s="101">
        <v>24.491</v>
      </c>
      <c r="AB32" s="112">
        <v>1.22</v>
      </c>
      <c r="AC32" s="112">
        <v>15.45</v>
      </c>
      <c r="AD32" s="112">
        <v>2.8319999999999999</v>
      </c>
      <c r="AE32" s="101">
        <v>2.173</v>
      </c>
      <c r="AF32" s="101">
        <v>2.8170000000000002</v>
      </c>
    </row>
    <row r="33" spans="1:32" ht="12.75" x14ac:dyDescent="0.2">
      <c r="A33" s="108" t="s">
        <v>144</v>
      </c>
      <c r="B33" s="100">
        <v>16.899999999999999</v>
      </c>
      <c r="C33" s="100">
        <v>18</v>
      </c>
      <c r="D33" s="100">
        <v>19.100000000000001</v>
      </c>
      <c r="E33" s="100">
        <v>19.899999999999999</v>
      </c>
      <c r="F33" s="100">
        <v>20.5</v>
      </c>
      <c r="G33" s="100">
        <v>20.7</v>
      </c>
      <c r="H33" s="100">
        <v>20.8</v>
      </c>
      <c r="I33" s="100">
        <v>21.8</v>
      </c>
      <c r="J33" s="100">
        <v>22.3</v>
      </c>
      <c r="K33" s="115">
        <v>23.9</v>
      </c>
      <c r="L33" s="110">
        <v>25.498000000000001</v>
      </c>
      <c r="M33" s="110">
        <v>27.17950901</v>
      </c>
      <c r="N33" s="111"/>
      <c r="O33" s="112"/>
      <c r="P33" s="112"/>
      <c r="Q33" s="113"/>
      <c r="R33" s="112"/>
      <c r="S33" s="112"/>
      <c r="T33" s="112"/>
      <c r="U33" s="112"/>
      <c r="X33" s="112"/>
      <c r="Y33" s="112"/>
      <c r="Z33" s="112"/>
      <c r="AA33" s="101">
        <v>25.603971000000001</v>
      </c>
      <c r="AB33" s="112">
        <v>0.76502977000000005</v>
      </c>
      <c r="AC33" s="112">
        <v>18.693806949999999</v>
      </c>
      <c r="AD33" s="112">
        <v>1.50499136</v>
      </c>
      <c r="AE33" s="101">
        <v>1.52241157</v>
      </c>
      <c r="AF33" s="101">
        <v>3.1177313600000001</v>
      </c>
    </row>
    <row r="34" spans="1:32" ht="12.75" x14ac:dyDescent="0.2">
      <c r="A34" s="108" t="s">
        <v>145</v>
      </c>
      <c r="B34" s="100">
        <v>0.5</v>
      </c>
      <c r="C34" s="100">
        <v>0.9</v>
      </c>
      <c r="D34" s="100">
        <v>0.6</v>
      </c>
      <c r="E34" s="100">
        <v>0.7</v>
      </c>
      <c r="F34" s="100">
        <v>0.4</v>
      </c>
      <c r="G34" s="100">
        <v>1.1000000000000001</v>
      </c>
      <c r="H34" s="100">
        <v>1.5</v>
      </c>
      <c r="I34" s="100">
        <v>1.9</v>
      </c>
      <c r="J34" s="100">
        <v>2.5</v>
      </c>
      <c r="K34" s="115">
        <v>2.7</v>
      </c>
      <c r="L34" s="110">
        <v>3.1139999999999999</v>
      </c>
      <c r="M34" s="110">
        <v>1.9749653</v>
      </c>
      <c r="N34" s="111"/>
      <c r="O34" s="112"/>
      <c r="P34" s="112"/>
      <c r="Q34" s="113"/>
      <c r="R34" s="112"/>
      <c r="S34" s="112"/>
      <c r="T34" s="112"/>
      <c r="U34" s="112"/>
      <c r="X34" s="112"/>
      <c r="Y34" s="112"/>
      <c r="Z34" s="112"/>
      <c r="AB34" s="112"/>
      <c r="AC34" s="112"/>
      <c r="AD34" s="112"/>
    </row>
    <row r="35" spans="1:32" ht="12.75" x14ac:dyDescent="0.2">
      <c r="A35" s="114" t="s">
        <v>146</v>
      </c>
      <c r="B35" s="100">
        <v>2</v>
      </c>
      <c r="C35" s="100">
        <v>1.6</v>
      </c>
      <c r="D35" s="100">
        <v>2</v>
      </c>
      <c r="E35" s="100">
        <v>1.8</v>
      </c>
      <c r="F35" s="100">
        <v>2.4</v>
      </c>
      <c r="G35" s="100">
        <v>1.7</v>
      </c>
      <c r="H35" s="100">
        <v>2.2000000000000002</v>
      </c>
      <c r="I35" s="100">
        <v>2.4</v>
      </c>
      <c r="J35" s="100">
        <v>1.7</v>
      </c>
      <c r="K35" s="115">
        <v>1.4</v>
      </c>
      <c r="L35" s="110">
        <v>2.5870000000000002</v>
      </c>
      <c r="M35" s="110">
        <v>1.93199926</v>
      </c>
      <c r="N35" s="111"/>
      <c r="O35" s="112"/>
      <c r="P35" s="112"/>
      <c r="Q35" s="113"/>
      <c r="R35" s="112"/>
      <c r="S35" s="112"/>
      <c r="T35" s="112"/>
      <c r="U35" s="112"/>
      <c r="X35" s="112"/>
      <c r="Y35" s="112"/>
      <c r="Z35" s="112"/>
      <c r="AB35" s="112"/>
      <c r="AC35" s="112"/>
      <c r="AD35" s="112"/>
    </row>
    <row r="36" spans="1:32" ht="12.75" x14ac:dyDescent="0.2">
      <c r="A36" s="114" t="s">
        <v>147</v>
      </c>
      <c r="B36" s="100">
        <v>2.2999999999999998</v>
      </c>
      <c r="C36" s="100">
        <v>2.2000000000000002</v>
      </c>
      <c r="D36" s="100">
        <v>2.8</v>
      </c>
      <c r="E36" s="100">
        <v>3.2</v>
      </c>
      <c r="F36" s="100">
        <v>3</v>
      </c>
      <c r="G36" s="100">
        <v>3.5</v>
      </c>
      <c r="H36" s="100">
        <v>4.2</v>
      </c>
      <c r="I36" s="100">
        <v>4.3</v>
      </c>
      <c r="J36" s="100">
        <v>4.4000000000000004</v>
      </c>
      <c r="K36" s="115">
        <v>4.8</v>
      </c>
      <c r="L36" s="110">
        <v>4.4800000000000004</v>
      </c>
      <c r="M36" s="110">
        <v>5.8288589200000001</v>
      </c>
      <c r="N36" s="111"/>
      <c r="O36" s="112"/>
      <c r="P36" s="112"/>
      <c r="Q36" s="113"/>
      <c r="R36" s="112"/>
      <c r="S36" s="112"/>
      <c r="T36" s="112"/>
      <c r="U36" s="112"/>
      <c r="X36" s="112"/>
      <c r="Y36" s="112"/>
      <c r="Z36" s="112"/>
      <c r="AB36" s="112"/>
      <c r="AC36" s="112"/>
      <c r="AD36" s="112"/>
    </row>
    <row r="37" spans="1:32" ht="12.75" x14ac:dyDescent="0.2">
      <c r="B37" s="100"/>
      <c r="D37" s="100"/>
      <c r="E37" s="100"/>
      <c r="F37" s="100"/>
      <c r="G37" s="100"/>
      <c r="H37" s="100"/>
      <c r="I37" s="100"/>
      <c r="J37" s="100"/>
      <c r="K37" s="100"/>
      <c r="L37" s="110"/>
      <c r="M37" s="110"/>
      <c r="N37" s="111"/>
      <c r="O37" s="112"/>
      <c r="P37" s="112"/>
      <c r="Q37" s="113"/>
      <c r="R37" s="112"/>
      <c r="S37" s="112"/>
      <c r="T37" s="112"/>
      <c r="U37" s="112"/>
      <c r="X37" s="112"/>
      <c r="Y37" s="112"/>
      <c r="Z37" s="112"/>
      <c r="AA37" s="101" t="s">
        <v>22</v>
      </c>
      <c r="AB37" s="112"/>
      <c r="AC37" s="112"/>
      <c r="AD37" s="112"/>
    </row>
    <row r="38" spans="1:32" ht="12.75" x14ac:dyDescent="0.2">
      <c r="A38" s="105" t="s">
        <v>151</v>
      </c>
      <c r="B38" s="100">
        <v>14</v>
      </c>
      <c r="C38" s="100">
        <v>14.7</v>
      </c>
      <c r="D38" s="100">
        <v>15.9</v>
      </c>
      <c r="E38" s="100">
        <v>16.3</v>
      </c>
      <c r="F38" s="100">
        <v>16.5</v>
      </c>
      <c r="G38" s="100">
        <v>17.100000000000001</v>
      </c>
      <c r="H38" s="100">
        <v>18.3</v>
      </c>
      <c r="I38" s="100">
        <v>19.399999999999999</v>
      </c>
      <c r="J38" s="100">
        <v>20.399999999999999</v>
      </c>
      <c r="K38" s="100">
        <v>21.8</v>
      </c>
      <c r="L38" s="110">
        <v>23.31</v>
      </c>
      <c r="M38" s="110">
        <v>24.191822999999999</v>
      </c>
      <c r="N38" s="111"/>
      <c r="O38" s="112"/>
      <c r="P38" s="112"/>
      <c r="Q38" s="113"/>
      <c r="R38" s="112"/>
      <c r="S38" s="112"/>
      <c r="T38" s="112"/>
      <c r="U38" s="112"/>
      <c r="X38" s="112"/>
      <c r="Y38" s="112"/>
      <c r="Z38" s="112"/>
      <c r="AA38" s="101">
        <f t="array" ref="AA38:AF47">TRANSPOSE(D31:M36)</f>
        <v>26.9</v>
      </c>
      <c r="AB38" s="112">
        <v>2.4</v>
      </c>
      <c r="AC38" s="112">
        <v>19.100000000000001</v>
      </c>
      <c r="AD38" s="112">
        <v>0.6</v>
      </c>
      <c r="AE38" s="101">
        <v>2</v>
      </c>
      <c r="AF38" s="101">
        <v>2.8</v>
      </c>
    </row>
    <row r="39" spans="1:32" ht="12.75" x14ac:dyDescent="0.2">
      <c r="A39" s="108" t="s">
        <v>143</v>
      </c>
      <c r="B39" s="100">
        <v>0.7</v>
      </c>
      <c r="C39" s="100">
        <v>0.9</v>
      </c>
      <c r="D39" s="100">
        <v>1.1000000000000001</v>
      </c>
      <c r="E39" s="100">
        <v>0.8</v>
      </c>
      <c r="F39" s="100">
        <v>0.9</v>
      </c>
      <c r="G39" s="100">
        <v>1</v>
      </c>
      <c r="H39" s="100">
        <v>1</v>
      </c>
      <c r="I39" s="100">
        <v>1.2</v>
      </c>
      <c r="J39" s="100">
        <v>1</v>
      </c>
      <c r="K39" s="115">
        <v>1.7</v>
      </c>
      <c r="L39" s="110">
        <v>1.68</v>
      </c>
      <c r="M39" s="110">
        <v>1.9535169399999999</v>
      </c>
      <c r="N39" s="111"/>
      <c r="O39" s="112"/>
      <c r="P39" s="112"/>
      <c r="Q39" s="113"/>
      <c r="R39" s="112"/>
      <c r="S39" s="112"/>
      <c r="T39" s="112"/>
      <c r="U39" s="112"/>
      <c r="X39" s="112"/>
      <c r="Y39" s="112"/>
      <c r="Z39" s="112"/>
      <c r="AA39" s="101">
        <v>27.7</v>
      </c>
      <c r="AB39" s="112">
        <v>2.1</v>
      </c>
      <c r="AC39" s="112">
        <v>19.899999999999999</v>
      </c>
      <c r="AD39" s="112">
        <v>0.7</v>
      </c>
      <c r="AE39" s="101">
        <v>1.8</v>
      </c>
      <c r="AF39" s="101">
        <v>3.2</v>
      </c>
    </row>
    <row r="40" spans="1:32" x14ac:dyDescent="0.2">
      <c r="A40" s="108" t="s">
        <v>144</v>
      </c>
      <c r="B40" s="100">
        <v>8.1999999999999993</v>
      </c>
      <c r="C40" s="100">
        <v>8.6</v>
      </c>
      <c r="D40" s="100">
        <v>9.9</v>
      </c>
      <c r="E40" s="100">
        <v>10.7</v>
      </c>
      <c r="F40" s="100">
        <v>10.199999999999999</v>
      </c>
      <c r="G40" s="100">
        <v>10</v>
      </c>
      <c r="H40" s="100">
        <v>10.5</v>
      </c>
      <c r="I40" s="100">
        <v>11.5</v>
      </c>
      <c r="J40" s="100">
        <v>12</v>
      </c>
      <c r="K40" s="115">
        <v>12.6</v>
      </c>
      <c r="L40" s="110">
        <v>12.973000000000001</v>
      </c>
      <c r="M40" s="110">
        <v>15.012443130000001</v>
      </c>
      <c r="N40" s="112"/>
      <c r="O40" s="112"/>
      <c r="P40" s="112"/>
      <c r="Q40" s="113"/>
      <c r="R40" s="112"/>
      <c r="S40" s="112"/>
      <c r="T40" s="112"/>
      <c r="U40" s="112"/>
      <c r="X40" s="112"/>
      <c r="Y40" s="112"/>
      <c r="Z40" s="112"/>
      <c r="AA40" s="101">
        <v>28</v>
      </c>
      <c r="AB40" s="112">
        <v>1.8</v>
      </c>
      <c r="AC40" s="112">
        <v>20.5</v>
      </c>
      <c r="AD40" s="112">
        <v>0.4</v>
      </c>
      <c r="AE40" s="101">
        <v>2.4</v>
      </c>
      <c r="AF40" s="101">
        <v>3</v>
      </c>
    </row>
    <row r="41" spans="1:32" x14ac:dyDescent="0.2">
      <c r="A41" s="108" t="s">
        <v>145</v>
      </c>
      <c r="B41" s="100">
        <v>0.4</v>
      </c>
      <c r="C41" s="100">
        <v>0.5</v>
      </c>
      <c r="D41" s="100">
        <v>0.9</v>
      </c>
      <c r="E41" s="100">
        <v>0.7</v>
      </c>
      <c r="F41" s="100">
        <v>0.9</v>
      </c>
      <c r="G41" s="100">
        <v>0.3</v>
      </c>
      <c r="H41" s="100">
        <v>0.9</v>
      </c>
      <c r="I41" s="100">
        <v>1.2</v>
      </c>
      <c r="J41" s="100">
        <v>1.5</v>
      </c>
      <c r="K41" s="115">
        <v>2.2999999999999998</v>
      </c>
      <c r="L41" s="110">
        <v>1.8129999999999999</v>
      </c>
      <c r="M41" s="110">
        <v>1.8180323500000002</v>
      </c>
      <c r="N41" s="112"/>
      <c r="O41" s="112"/>
      <c r="P41" s="112"/>
      <c r="Q41" s="113"/>
      <c r="R41" s="112"/>
      <c r="S41" s="112"/>
      <c r="T41" s="112"/>
      <c r="U41" s="112"/>
      <c r="X41" s="112"/>
      <c r="Y41" s="112"/>
      <c r="Z41" s="112"/>
      <c r="AA41" s="101">
        <v>29.3</v>
      </c>
      <c r="AB41" s="112">
        <v>2.2999999999999998</v>
      </c>
      <c r="AC41" s="112">
        <v>20.7</v>
      </c>
      <c r="AD41" s="112">
        <v>1.1000000000000001</v>
      </c>
      <c r="AE41" s="101">
        <v>1.7</v>
      </c>
      <c r="AF41" s="101">
        <v>3.5</v>
      </c>
    </row>
    <row r="42" spans="1:32" x14ac:dyDescent="0.2">
      <c r="A42" s="114" t="s">
        <v>146</v>
      </c>
      <c r="B42" s="100">
        <v>1.7</v>
      </c>
      <c r="C42" s="100">
        <v>1.6</v>
      </c>
      <c r="D42" s="100">
        <v>1.7</v>
      </c>
      <c r="E42" s="100">
        <v>1.5</v>
      </c>
      <c r="F42" s="100">
        <v>1.7</v>
      </c>
      <c r="G42" s="100">
        <v>2.2999999999999998</v>
      </c>
      <c r="H42" s="100">
        <v>2</v>
      </c>
      <c r="I42" s="100">
        <v>1.7</v>
      </c>
      <c r="J42" s="100">
        <v>1.6</v>
      </c>
      <c r="K42" s="115">
        <v>0.8</v>
      </c>
      <c r="L42" s="110">
        <v>1.593</v>
      </c>
      <c r="M42" s="110">
        <v>1.7664162400000001</v>
      </c>
      <c r="N42" s="112"/>
      <c r="O42" s="112"/>
      <c r="P42" s="112"/>
      <c r="Q42" s="113"/>
      <c r="R42" s="112"/>
      <c r="S42" s="112"/>
      <c r="T42" s="112"/>
      <c r="U42" s="112"/>
      <c r="X42" s="112"/>
      <c r="Y42" s="112"/>
      <c r="Z42" s="112"/>
      <c r="AA42" s="101">
        <v>30.9</v>
      </c>
      <c r="AB42" s="112">
        <v>2.2000000000000002</v>
      </c>
      <c r="AC42" s="112">
        <v>20.8</v>
      </c>
      <c r="AD42" s="112">
        <v>1.5</v>
      </c>
      <c r="AE42" s="101">
        <v>2.2000000000000002</v>
      </c>
      <c r="AF42" s="101">
        <v>4.2</v>
      </c>
    </row>
    <row r="43" spans="1:32" x14ac:dyDescent="0.2">
      <c r="A43" s="114" t="s">
        <v>147</v>
      </c>
      <c r="B43" s="100">
        <v>3</v>
      </c>
      <c r="C43" s="100">
        <v>3</v>
      </c>
      <c r="D43" s="100">
        <v>2.2999999999999998</v>
      </c>
      <c r="E43" s="100">
        <v>2.5</v>
      </c>
      <c r="F43" s="100">
        <v>2.7</v>
      </c>
      <c r="G43" s="100">
        <v>3.4</v>
      </c>
      <c r="H43" s="100">
        <v>3.8</v>
      </c>
      <c r="I43" s="100">
        <v>3.8</v>
      </c>
      <c r="J43" s="100">
        <v>4.3</v>
      </c>
      <c r="K43" s="115">
        <v>4.4000000000000004</v>
      </c>
      <c r="L43" s="110">
        <v>5.2519999999999998</v>
      </c>
      <c r="M43" s="110">
        <v>3.6414143299999999</v>
      </c>
      <c r="N43" s="112"/>
      <c r="O43" s="112"/>
      <c r="P43" s="112"/>
      <c r="Q43" s="113"/>
      <c r="R43" s="112"/>
      <c r="S43" s="112"/>
      <c r="T43" s="112"/>
      <c r="U43" s="112"/>
      <c r="X43" s="112"/>
      <c r="Y43" s="112"/>
      <c r="Z43" s="112"/>
      <c r="AA43" s="101">
        <v>32.299999999999997</v>
      </c>
      <c r="AB43" s="112">
        <v>1.9</v>
      </c>
      <c r="AC43" s="112">
        <v>21.8</v>
      </c>
      <c r="AD43" s="112">
        <v>1.9</v>
      </c>
      <c r="AE43" s="101">
        <v>2.4</v>
      </c>
      <c r="AF43" s="101">
        <v>4.3</v>
      </c>
    </row>
    <row r="44" spans="1:32" x14ac:dyDescent="0.2">
      <c r="B44" s="100"/>
      <c r="D44" s="100"/>
      <c r="E44" s="100"/>
      <c r="F44" s="104"/>
      <c r="G44" s="104"/>
      <c r="H44" s="104"/>
      <c r="I44" s="104"/>
      <c r="J44" s="104"/>
      <c r="K44" s="100"/>
      <c r="Y44" s="112"/>
      <c r="AA44" s="101">
        <v>33.5</v>
      </c>
      <c r="AB44" s="101">
        <v>2.6</v>
      </c>
      <c r="AC44" s="101">
        <v>22.3</v>
      </c>
      <c r="AD44" s="101">
        <v>2.5</v>
      </c>
      <c r="AE44" s="101">
        <v>1.7</v>
      </c>
      <c r="AF44" s="101">
        <v>4.4000000000000004</v>
      </c>
    </row>
    <row r="45" spans="1:32" x14ac:dyDescent="0.2">
      <c r="A45" s="108" t="s">
        <v>159</v>
      </c>
      <c r="B45" s="100"/>
      <c r="D45" s="100"/>
      <c r="E45" s="100"/>
      <c r="F45" s="104"/>
      <c r="G45" s="104"/>
      <c r="H45" s="104"/>
      <c r="I45" s="104"/>
      <c r="J45" s="104"/>
      <c r="K45" s="100"/>
      <c r="Y45" s="112"/>
      <c r="AA45" s="101">
        <v>35.9</v>
      </c>
      <c r="AB45" s="101">
        <v>3</v>
      </c>
      <c r="AC45" s="101">
        <v>23.9</v>
      </c>
      <c r="AD45" s="101">
        <v>2.7</v>
      </c>
      <c r="AE45" s="101">
        <v>1.4</v>
      </c>
      <c r="AF45" s="101">
        <v>4.8</v>
      </c>
    </row>
    <row r="46" spans="1:32" x14ac:dyDescent="0.2">
      <c r="B46" s="100"/>
      <c r="D46" s="100"/>
      <c r="E46" s="100"/>
      <c r="F46" s="104"/>
      <c r="G46" s="104"/>
      <c r="H46" s="104"/>
      <c r="I46" s="104"/>
      <c r="J46" s="104"/>
      <c r="K46" s="104"/>
      <c r="Y46" s="112"/>
      <c r="AA46" s="101">
        <v>38.933999999999997</v>
      </c>
      <c r="AB46" s="101">
        <v>3.254</v>
      </c>
      <c r="AC46" s="101">
        <v>25.498000000000001</v>
      </c>
      <c r="AD46" s="101">
        <v>3.1139999999999999</v>
      </c>
      <c r="AE46" s="101">
        <v>2.5870000000000002</v>
      </c>
      <c r="AF46" s="101">
        <v>4.4800000000000004</v>
      </c>
    </row>
    <row r="47" spans="1:32" x14ac:dyDescent="0.2">
      <c r="B47" s="100"/>
      <c r="D47" s="100"/>
      <c r="E47" s="100"/>
      <c r="F47" s="104"/>
      <c r="G47" s="104"/>
      <c r="H47" s="104"/>
      <c r="I47" s="104"/>
      <c r="J47" s="104"/>
      <c r="K47" s="104"/>
      <c r="Y47" s="112"/>
      <c r="AA47" s="101">
        <v>40.712299999999999</v>
      </c>
      <c r="AB47" s="101">
        <v>3.79696751</v>
      </c>
      <c r="AC47" s="101">
        <v>27.17950901</v>
      </c>
      <c r="AD47" s="101">
        <v>1.9749653</v>
      </c>
      <c r="AE47" s="101">
        <v>1.93199926</v>
      </c>
      <c r="AF47" s="101">
        <v>5.8288589200000001</v>
      </c>
    </row>
    <row r="48" spans="1:32" x14ac:dyDescent="0.2">
      <c r="B48" s="100"/>
      <c r="D48" s="100"/>
      <c r="E48" s="100"/>
      <c r="F48" s="104"/>
      <c r="G48" s="104"/>
      <c r="H48" s="104"/>
      <c r="I48" s="104"/>
      <c r="J48" s="104"/>
      <c r="K48" s="104"/>
      <c r="Y48" s="112"/>
    </row>
    <row r="49" spans="25:32" x14ac:dyDescent="0.2">
      <c r="Y49" s="112"/>
    </row>
    <row r="51" spans="25:32" x14ac:dyDescent="0.2">
      <c r="AA51" s="101" t="s">
        <v>23</v>
      </c>
    </row>
    <row r="52" spans="25:32" x14ac:dyDescent="0.2">
      <c r="AA52" s="101">
        <f t="array" ref="AA52:AF61">TRANSPOSE(D38:M43)</f>
        <v>15.9</v>
      </c>
      <c r="AB52" s="101">
        <v>1.1000000000000001</v>
      </c>
      <c r="AC52" s="101">
        <v>9.9</v>
      </c>
      <c r="AD52" s="101">
        <v>0.9</v>
      </c>
      <c r="AE52" s="101">
        <v>1.7</v>
      </c>
      <c r="AF52" s="101">
        <v>2.2999999999999998</v>
      </c>
    </row>
    <row r="53" spans="25:32" x14ac:dyDescent="0.2">
      <c r="AA53" s="101">
        <v>16.3</v>
      </c>
      <c r="AB53" s="101">
        <v>0.8</v>
      </c>
      <c r="AC53" s="101">
        <v>10.7</v>
      </c>
      <c r="AD53" s="101">
        <v>0.7</v>
      </c>
      <c r="AE53" s="101">
        <v>1.5</v>
      </c>
      <c r="AF53" s="101">
        <v>2.5</v>
      </c>
    </row>
    <row r="54" spans="25:32" x14ac:dyDescent="0.2">
      <c r="AA54" s="101">
        <v>16.5</v>
      </c>
      <c r="AB54" s="101">
        <v>0.9</v>
      </c>
      <c r="AC54" s="101">
        <v>10.199999999999999</v>
      </c>
      <c r="AD54" s="101">
        <v>0.9</v>
      </c>
      <c r="AE54" s="101">
        <v>1.7</v>
      </c>
      <c r="AF54" s="101">
        <v>2.7</v>
      </c>
    </row>
    <row r="55" spans="25:32" x14ac:dyDescent="0.2">
      <c r="AA55" s="101">
        <v>17.100000000000001</v>
      </c>
      <c r="AB55" s="101">
        <v>1</v>
      </c>
      <c r="AC55" s="101">
        <v>10</v>
      </c>
      <c r="AD55" s="101">
        <v>0.3</v>
      </c>
      <c r="AE55" s="101">
        <v>2.2999999999999998</v>
      </c>
      <c r="AF55" s="101">
        <v>3.4</v>
      </c>
    </row>
    <row r="56" spans="25:32" x14ac:dyDescent="0.2">
      <c r="AA56" s="101">
        <v>18.3</v>
      </c>
      <c r="AB56" s="101">
        <v>1</v>
      </c>
      <c r="AC56" s="101">
        <v>10.5</v>
      </c>
      <c r="AD56" s="101">
        <v>0.9</v>
      </c>
      <c r="AE56" s="101">
        <v>2</v>
      </c>
      <c r="AF56" s="101">
        <v>3.8</v>
      </c>
    </row>
    <row r="57" spans="25:32" x14ac:dyDescent="0.2">
      <c r="AA57" s="101">
        <v>19.399999999999999</v>
      </c>
      <c r="AB57" s="101">
        <v>1.2</v>
      </c>
      <c r="AC57" s="101">
        <v>11.5</v>
      </c>
      <c r="AD57" s="101">
        <v>1.2</v>
      </c>
      <c r="AE57" s="101">
        <v>1.7</v>
      </c>
      <c r="AF57" s="101">
        <v>3.8</v>
      </c>
    </row>
    <row r="58" spans="25:32" x14ac:dyDescent="0.2">
      <c r="AA58" s="101">
        <v>20.399999999999999</v>
      </c>
      <c r="AB58" s="101">
        <v>1</v>
      </c>
      <c r="AC58" s="101">
        <v>12</v>
      </c>
      <c r="AD58" s="101">
        <v>1.5</v>
      </c>
      <c r="AE58" s="101">
        <v>1.6</v>
      </c>
      <c r="AF58" s="101">
        <v>4.3</v>
      </c>
    </row>
    <row r="59" spans="25:32" x14ac:dyDescent="0.2">
      <c r="AA59" s="101">
        <v>21.8</v>
      </c>
      <c r="AB59" s="101">
        <v>1.7</v>
      </c>
      <c r="AC59" s="101">
        <v>12.6</v>
      </c>
      <c r="AD59" s="101">
        <v>2.2999999999999998</v>
      </c>
      <c r="AE59" s="101">
        <v>0.8</v>
      </c>
      <c r="AF59" s="101">
        <v>4.4000000000000004</v>
      </c>
    </row>
    <row r="60" spans="25:32" x14ac:dyDescent="0.2">
      <c r="AA60" s="101">
        <v>23.31</v>
      </c>
      <c r="AB60" s="101">
        <v>1.68</v>
      </c>
      <c r="AC60" s="101">
        <v>12.973000000000001</v>
      </c>
      <c r="AD60" s="101">
        <v>1.8129999999999999</v>
      </c>
      <c r="AE60" s="101">
        <v>1.593</v>
      </c>
      <c r="AF60" s="101">
        <v>5.2519999999999998</v>
      </c>
    </row>
    <row r="61" spans="25:32" x14ac:dyDescent="0.2">
      <c r="AA61" s="101">
        <v>24.191822999999999</v>
      </c>
      <c r="AB61" s="101">
        <v>1.9535169399999999</v>
      </c>
      <c r="AC61" s="101">
        <v>15.012443130000001</v>
      </c>
      <c r="AD61" s="101">
        <v>1.8180323500000002</v>
      </c>
      <c r="AE61" s="101">
        <v>1.7664162400000001</v>
      </c>
      <c r="AF61" s="101">
        <v>3.6414143299999999</v>
      </c>
    </row>
  </sheetData>
  <pageMargins left="0.25" right="0.25" top="0.5" bottom="0.5" header="0.5" footer="0.5"/>
  <pageSetup scale="94"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12</vt:i4>
      </vt:variant>
    </vt:vector>
  </HeadingPairs>
  <TitlesOfParts>
    <vt:vector size="46" baseType="lpstr">
      <vt:lpstr>AHS_tables</vt:lpstr>
      <vt:lpstr>Final Floorspace Estimates</vt:lpstr>
      <vt:lpstr>Overall_graphics</vt:lpstr>
      <vt:lpstr>Regional_stock_by_type</vt:lpstr>
      <vt:lpstr>Wgted_Floorspace</vt:lpstr>
      <vt:lpstr>RECS_intensity_data</vt:lpstr>
      <vt:lpstr>Stock_85to95</vt:lpstr>
      <vt:lpstr>Compare_PWT</vt:lpstr>
      <vt:lpstr>Time_series</vt:lpstr>
      <vt:lpstr>Survival_curve_SF</vt:lpstr>
      <vt:lpstr>Survival_curve_MF</vt:lpstr>
      <vt:lpstr>Survival_curve_MH</vt:lpstr>
      <vt:lpstr>Total_stock</vt:lpstr>
      <vt:lpstr>Total_stock_SF</vt:lpstr>
      <vt:lpstr>Total_stock_MF</vt:lpstr>
      <vt:lpstr>Total_stock_MH</vt:lpstr>
      <vt:lpstr>mhstabplcmnt</vt:lpstr>
      <vt:lpstr>place_nsa_all</vt:lpstr>
      <vt:lpstr>CIDR-1</vt:lpstr>
      <vt:lpstr>CIDR-single</vt:lpstr>
      <vt:lpstr>CIDR-3</vt:lpstr>
      <vt:lpstr>histplac</vt:lpstr>
      <vt:lpstr>Sheet4</vt:lpstr>
      <vt:lpstr>Comps Ann_2015</vt:lpstr>
      <vt:lpstr>Comps Ann</vt:lpstr>
      <vt:lpstr>SFTotalMedAvgSqFt_2012</vt:lpstr>
      <vt:lpstr>SFTotalMedAvgSqFt</vt:lpstr>
      <vt:lpstr>Plot_CNH</vt:lpstr>
      <vt:lpstr>Compare_size</vt:lpstr>
      <vt:lpstr>Compare_FS</vt:lpstr>
      <vt:lpstr>RECS_4_adj</vt:lpstr>
      <vt:lpstr>RECS_ManHome</vt:lpstr>
      <vt:lpstr>Estimate</vt:lpstr>
      <vt:lpstr>RECS_2</vt:lpstr>
      <vt:lpstr>Estimate!Print_Area</vt:lpstr>
      <vt:lpstr>histplac!Print_Area</vt:lpstr>
      <vt:lpstr>mhstabplcmnt!Print_Area</vt:lpstr>
      <vt:lpstr>RECS_2!Print_Area</vt:lpstr>
      <vt:lpstr>RECS_4_adj!Print_Area</vt:lpstr>
      <vt:lpstr>SFTotalMedAvgSqFt!Print_Area</vt:lpstr>
      <vt:lpstr>SFTotalMedAvgSqFt_2012!Print_Area</vt:lpstr>
      <vt:lpstr>'Comps Ann'!Print_Titles</vt:lpstr>
      <vt:lpstr>'Comps Ann_2015'!Print_Titles</vt:lpstr>
      <vt:lpstr>Estimate!Print_Titles</vt:lpstr>
      <vt:lpstr>histplac!Print_Titles</vt:lpstr>
      <vt:lpstr>mhstabplcmnt!Print_Titles</vt:lpstr>
    </vt:vector>
  </TitlesOfParts>
  <Company>PNNL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Belzer, David B</dc:creator>
  <cp:lastModifiedBy>David</cp:lastModifiedBy>
  <cp:lastPrinted>2013-12-31T21:33:38Z</cp:lastPrinted>
  <dcterms:created xsi:type="dcterms:W3CDTF">2011-10-25T17:35:44Z</dcterms:created>
  <dcterms:modified xsi:type="dcterms:W3CDTF">2020-05-17T20:18:09Z</dcterms:modified>
</cp:coreProperties>
</file>