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sands/Desktop/investment_analysis /excel/"/>
    </mc:Choice>
  </mc:AlternateContent>
  <xr:revisionPtr revIDLastSave="0" documentId="13_ncr:1_{94095F8D-A244-454C-A3CC-1F4F4D731E66}" xr6:coauthVersionLast="46" xr6:coauthVersionMax="46" xr10:uidLastSave="{00000000-0000-0000-0000-000000000000}"/>
  <bookViews>
    <workbookView xWindow="0" yWindow="460" windowWidth="28800" windowHeight="15840" xr2:uid="{AD7327F5-25B5-6844-9C15-B6DE013AAF20}"/>
  </bookViews>
  <sheets>
    <sheet name="FCF DCF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5" l="1"/>
  <c r="D32" i="5"/>
  <c r="E32" i="5"/>
  <c r="F32" i="5"/>
  <c r="G32" i="5"/>
  <c r="B32" i="5"/>
  <c r="C12" i="5"/>
  <c r="D12" i="5"/>
  <c r="E12" i="5"/>
  <c r="F12" i="5"/>
  <c r="G12" i="5"/>
  <c r="B12" i="5"/>
  <c r="C53" i="5" l="1"/>
  <c r="D53" i="5"/>
  <c r="E53" i="5"/>
  <c r="F53" i="5"/>
  <c r="G53" i="5"/>
  <c r="C54" i="5"/>
  <c r="C55" i="5" s="1"/>
  <c r="D54" i="5"/>
  <c r="D55" i="5" s="1"/>
  <c r="E54" i="5"/>
  <c r="F54" i="5"/>
  <c r="G54" i="5"/>
  <c r="B54" i="5"/>
  <c r="B53" i="5"/>
  <c r="G55" i="5" l="1"/>
  <c r="F55" i="5"/>
  <c r="B55" i="5"/>
  <c r="E55" i="5"/>
  <c r="C56" i="5"/>
  <c r="D56" i="5"/>
  <c r="D57" i="5" s="1"/>
  <c r="D59" i="5" s="1"/>
  <c r="E56" i="5"/>
  <c r="E57" i="5" s="1"/>
  <c r="E59" i="5" s="1"/>
  <c r="F56" i="5"/>
  <c r="G56" i="5"/>
  <c r="B56" i="5"/>
  <c r="B57" i="5" s="1"/>
  <c r="B59" i="5" s="1"/>
  <c r="C49" i="5"/>
  <c r="C50" i="5" s="1"/>
  <c r="D49" i="5"/>
  <c r="D50" i="5" s="1"/>
  <c r="E49" i="5"/>
  <c r="E50" i="5" s="1"/>
  <c r="F49" i="5"/>
  <c r="F50" i="5" s="1"/>
  <c r="G49" i="5"/>
  <c r="B49" i="5"/>
  <c r="B50" i="5" s="1"/>
  <c r="C40" i="5"/>
  <c r="D40" i="5"/>
  <c r="E40" i="5"/>
  <c r="F40" i="5"/>
  <c r="G40" i="5"/>
  <c r="C41" i="5"/>
  <c r="D41" i="5"/>
  <c r="E41" i="5"/>
  <c r="F41" i="5"/>
  <c r="G41" i="5"/>
  <c r="C43" i="5"/>
  <c r="D43" i="5"/>
  <c r="E43" i="5"/>
  <c r="F43" i="5"/>
  <c r="G43" i="5"/>
  <c r="B43" i="5"/>
  <c r="B41" i="5"/>
  <c r="B40" i="5"/>
  <c r="C26" i="5"/>
  <c r="D26" i="5"/>
  <c r="E26" i="5"/>
  <c r="F26" i="5"/>
  <c r="G26" i="5"/>
  <c r="C27" i="5"/>
  <c r="D27" i="5"/>
  <c r="E27" i="5"/>
  <c r="F27" i="5"/>
  <c r="G27" i="5"/>
  <c r="C28" i="5"/>
  <c r="D28" i="5"/>
  <c r="E28" i="5"/>
  <c r="F28" i="5"/>
  <c r="G28" i="5"/>
  <c r="C29" i="5"/>
  <c r="D29" i="5"/>
  <c r="E29" i="5"/>
  <c r="F29" i="5"/>
  <c r="G29" i="5"/>
  <c r="C31" i="5"/>
  <c r="D31" i="5"/>
  <c r="E31" i="5"/>
  <c r="F31" i="5"/>
  <c r="G31" i="5"/>
  <c r="B31" i="5"/>
  <c r="B29" i="5"/>
  <c r="B28" i="5"/>
  <c r="B26" i="5"/>
  <c r="B27" i="5"/>
  <c r="C22" i="5"/>
  <c r="C30" i="5" s="1"/>
  <c r="D22" i="5"/>
  <c r="D30" i="5" s="1"/>
  <c r="E22" i="5"/>
  <c r="E30" i="5" s="1"/>
  <c r="F22" i="5"/>
  <c r="F30" i="5" s="1"/>
  <c r="G22" i="5"/>
  <c r="G30" i="5" s="1"/>
  <c r="B22" i="5"/>
  <c r="B30" i="5" s="1"/>
  <c r="C16" i="5"/>
  <c r="C17" i="5" s="1"/>
  <c r="C39" i="5" s="1"/>
  <c r="D16" i="5"/>
  <c r="D17" i="5" s="1"/>
  <c r="D39" i="5" s="1"/>
  <c r="E16" i="5"/>
  <c r="E17" i="5" s="1"/>
  <c r="E39" i="5" s="1"/>
  <c r="F16" i="5"/>
  <c r="F17" i="5" s="1"/>
  <c r="F39" i="5" s="1"/>
  <c r="G16" i="5"/>
  <c r="G17" i="5" s="1"/>
  <c r="G39" i="5" s="1"/>
  <c r="B16" i="5"/>
  <c r="G11" i="5"/>
  <c r="C11" i="5"/>
  <c r="D11" i="5"/>
  <c r="E11" i="5"/>
  <c r="F11" i="5"/>
  <c r="B11" i="5"/>
  <c r="C7" i="5"/>
  <c r="D7" i="5"/>
  <c r="E7" i="5"/>
  <c r="F7" i="5"/>
  <c r="G7" i="5"/>
  <c r="B7" i="5"/>
  <c r="C5" i="5"/>
  <c r="E5" i="5"/>
  <c r="F5" i="5"/>
  <c r="G5" i="5"/>
  <c r="D5" i="5"/>
  <c r="G2" i="5"/>
  <c r="H2" i="5" s="1"/>
  <c r="A2" i="5"/>
  <c r="B35" i="5" l="1"/>
  <c r="G35" i="5"/>
  <c r="F35" i="5"/>
  <c r="E35" i="5"/>
  <c r="D35" i="5"/>
  <c r="C35" i="5"/>
  <c r="C33" i="5" s="1"/>
  <c r="E61" i="5"/>
  <c r="B61" i="5"/>
  <c r="D61" i="5"/>
  <c r="B17" i="5"/>
  <c r="B39" i="5" s="1"/>
  <c r="E58" i="5"/>
  <c r="E60" i="5" s="1"/>
  <c r="G57" i="5"/>
  <c r="C57" i="5"/>
  <c r="C59" i="5" s="1"/>
  <c r="C61" i="5" s="1"/>
  <c r="B58" i="5"/>
  <c r="B60" i="5" s="1"/>
  <c r="D58" i="5"/>
  <c r="D60" i="5" s="1"/>
  <c r="F57" i="5"/>
  <c r="F59" i="5" s="1"/>
  <c r="F61" i="5" s="1"/>
  <c r="E42" i="5"/>
  <c r="E45" i="5" s="1"/>
  <c r="C42" i="5"/>
  <c r="C45" i="5" s="1"/>
  <c r="B42" i="5"/>
  <c r="F42" i="5"/>
  <c r="F45" i="5" s="1"/>
  <c r="F44" i="5" s="1"/>
  <c r="D42" i="5"/>
  <c r="D45" i="5" s="1"/>
  <c r="D44" i="5" s="1"/>
  <c r="G42" i="5"/>
  <c r="G45" i="5" s="1"/>
  <c r="B8" i="5"/>
  <c r="B2" i="5"/>
  <c r="I2" i="5"/>
  <c r="E2" i="5"/>
  <c r="D2" i="5"/>
  <c r="C2" i="5"/>
  <c r="F2" i="5"/>
  <c r="J2" i="5"/>
  <c r="G44" i="5" l="1"/>
  <c r="E44" i="5"/>
  <c r="D33" i="5"/>
  <c r="E33" i="5"/>
  <c r="F33" i="5"/>
  <c r="G33" i="5"/>
  <c r="L9" i="5" s="1"/>
  <c r="H35" i="5" s="1"/>
  <c r="E62" i="5"/>
  <c r="H4" i="5"/>
  <c r="I4" i="5" s="1"/>
  <c r="J4" i="5" s="1"/>
  <c r="H6" i="5"/>
  <c r="D62" i="5"/>
  <c r="B62" i="5"/>
  <c r="B45" i="5"/>
  <c r="C44" i="5" s="1"/>
  <c r="L10" i="5" s="1"/>
  <c r="H45" i="5" s="1"/>
  <c r="I45" i="5" s="1"/>
  <c r="J45" i="5" s="1"/>
  <c r="F58" i="5"/>
  <c r="F60" i="5" s="1"/>
  <c r="F62" i="5" s="1"/>
  <c r="C58" i="5"/>
  <c r="C60" i="5" s="1"/>
  <c r="C62" i="5" s="1"/>
  <c r="L12" i="5" l="1"/>
  <c r="I35" i="5"/>
  <c r="J35" i="5" s="1"/>
  <c r="H7" i="5"/>
  <c r="I6" i="5"/>
  <c r="I7" i="5" s="1"/>
  <c r="I34" i="5" l="1"/>
  <c r="I36" i="5" s="1"/>
  <c r="J34" i="5"/>
  <c r="J36" i="5" s="1"/>
  <c r="B66" i="5" s="1"/>
  <c r="H34" i="5"/>
  <c r="H36" i="5" s="1"/>
  <c r="B65" i="5" s="1"/>
  <c r="J6" i="5"/>
  <c r="J7" i="5" s="1"/>
  <c r="B67" i="5" l="1"/>
  <c r="B6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Michael Sands</author>
  </authors>
  <commentList>
    <comment ref="A1" authorId="0" shapeId="0" xr:uid="{18672022-338F-0C4B-9FFC-7AACF5C3357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Likely a better candidate for a dividend discount model given consistency of dividend payments</t>
        </r>
      </text>
    </comment>
    <comment ref="A2" authorId="1" shapeId="0" xr:uid="{667B7985-55FB-4066-A00B-A5A47DC59388}">
      <text>
        <r>
          <rPr>
            <b/>
            <sz val="9"/>
            <color rgb="FF000000"/>
            <rFont val="Tahoma"/>
            <family val="2"/>
          </rPr>
          <t>Michael Sands: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Bold font must be input from financial statements manually, while non-bold and italicisedd formulas should be left alone
</t>
        </r>
      </text>
    </comment>
  </commentList>
</comments>
</file>

<file path=xl/sharedStrings.xml><?xml version="1.0" encoding="utf-8"?>
<sst xmlns="http://schemas.openxmlformats.org/spreadsheetml/2006/main" count="80" uniqueCount="72">
  <si>
    <t>Revenue</t>
  </si>
  <si>
    <t>Operating Income (EBIT)</t>
  </si>
  <si>
    <t>Assumptions</t>
  </si>
  <si>
    <t>Discount Rate</t>
  </si>
  <si>
    <t>Terminal Value</t>
  </si>
  <si>
    <t>PV of Terminal Value</t>
  </si>
  <si>
    <t>Net Income</t>
  </si>
  <si>
    <t>(-) Change in working capital</t>
  </si>
  <si>
    <t>FCFE</t>
  </si>
  <si>
    <t>WACC</t>
  </si>
  <si>
    <t>Interest Expense</t>
  </si>
  <si>
    <t>Total Debt</t>
  </si>
  <si>
    <t>Cost of Debt</t>
  </si>
  <si>
    <t>Market Cap</t>
  </si>
  <si>
    <t>Equity % of Cap Structure</t>
  </si>
  <si>
    <t>Debt % of Cap Structure</t>
  </si>
  <si>
    <t>Tax Rate</t>
  </si>
  <si>
    <t>CAPM</t>
  </si>
  <si>
    <t>Shares Outstanding</t>
  </si>
  <si>
    <t>Perpetual Growth Rate</t>
  </si>
  <si>
    <t>FCFF</t>
  </si>
  <si>
    <t>(-) Interest Expense</t>
  </si>
  <si>
    <t>(- ) Income tax expense</t>
  </si>
  <si>
    <t>(+) Depriciation &amp; Amoritization</t>
  </si>
  <si>
    <t>(-) Capital Expenditure</t>
  </si>
  <si>
    <t>(+) net borrowing</t>
  </si>
  <si>
    <t>(+) Interest Expense</t>
  </si>
  <si>
    <t>EBIT</t>
  </si>
  <si>
    <t>Depreciation &amp; Amoritization</t>
  </si>
  <si>
    <t>Change in Working Capital</t>
  </si>
  <si>
    <t>Capital Expenditure</t>
  </si>
  <si>
    <t>Weighted Avg. Cost of Debt</t>
  </si>
  <si>
    <t>Weighted Avg. Cost of Equity</t>
  </si>
  <si>
    <t>Total Mkt Cap + Debt</t>
  </si>
  <si>
    <t>Income Tax Expense</t>
  </si>
  <si>
    <t>average net income margins (%)</t>
  </si>
  <si>
    <t>net income margin (%)</t>
  </si>
  <si>
    <t>revenue growth rate (%)</t>
  </si>
  <si>
    <t>Forecast Revenue &amp; Earnings Growth</t>
  </si>
  <si>
    <t>Market Multiples</t>
  </si>
  <si>
    <t>opperating EBIT margin (%)</t>
  </si>
  <si>
    <t>NOPAT</t>
  </si>
  <si>
    <t>Net Opperating Profit after Tax (NOPAT)</t>
  </si>
  <si>
    <t>NYSE: AMT</t>
  </si>
  <si>
    <t>-</t>
  </si>
  <si>
    <t>Pre-Tax Income</t>
  </si>
  <si>
    <t>Current Assets</t>
  </si>
  <si>
    <t>Current Liabilities</t>
  </si>
  <si>
    <t>EV / EBITDA Multiple</t>
  </si>
  <si>
    <t>Share Price</t>
  </si>
  <si>
    <t xml:space="preserve"> </t>
  </si>
  <si>
    <t>beta (5Y avg)</t>
  </si>
  <si>
    <t>Beta</t>
  </si>
  <si>
    <t>Risk Free Rate</t>
  </si>
  <si>
    <t>Sector P/E Multiple</t>
  </si>
  <si>
    <t>Historical P/E Multiple</t>
  </si>
  <si>
    <t>EV from Assumed Multiple</t>
  </si>
  <si>
    <t>=</t>
  </si>
  <si>
    <t>EBITDA</t>
  </si>
  <si>
    <t>EBTIDA  margin (%)</t>
  </si>
  <si>
    <t xml:space="preserve">Net Borrowing </t>
  </si>
  <si>
    <t xml:space="preserve">Assumed FCFE Growth </t>
  </si>
  <si>
    <t>FCFE Growth Rate (%)</t>
  </si>
  <si>
    <t>FCFF Growth Rate (%)</t>
  </si>
  <si>
    <t>Assumed FCFF Growth</t>
  </si>
  <si>
    <t>Discount Factor</t>
  </si>
  <si>
    <t>PV of  Future Cash Flows</t>
  </si>
  <si>
    <t>Todays Value</t>
  </si>
  <si>
    <t>Required Rate of Return</t>
  </si>
  <si>
    <t>EV</t>
  </si>
  <si>
    <t>$ per Share Today</t>
  </si>
  <si>
    <t>EBITDA * Assumed Multiple -&gt;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</si>
</sst>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800]dddd\,\ mmmm\ dd\,\ yyyy"/>
    <numFmt numFmtId="165" formatCode="0\ &quot;E&quot;"/>
    <numFmt numFmtId="166" formatCode="0\ &quot;A&quot;"/>
    <numFmt numFmtId="167" formatCode="#.##"/>
    <numFmt numFmtId="168" formatCode="_(&quot;$&quot;* #,##0.0000_);_(&quot;$&quot;* \(#,##0.0000\);_(&quot;$&quot;* &quot;-&quot;??_);_(@_)"/>
    <numFmt numFmtId="169" formatCode="0.0%"/>
    <numFmt numFmtId="170" formatCode="0.000000000000000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i/>
      <sz val="9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ashDot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7" fillId="0" borderId="0" xfId="0" applyFont="1" applyAlignment="1">
      <alignment horizontal="right"/>
    </xf>
    <xf numFmtId="166" fontId="2" fillId="5" borderId="7" xfId="0" applyNumberFormat="1" applyFont="1" applyFill="1" applyBorder="1" applyAlignment="1">
      <alignment horizontal="center"/>
    </xf>
    <xf numFmtId="165" fontId="2" fillId="5" borderId="7" xfId="0" applyNumberFormat="1" applyFont="1" applyFill="1" applyBorder="1" applyAlignment="1">
      <alignment horizontal="center"/>
    </xf>
    <xf numFmtId="1" fontId="0" fillId="4" borderId="0" xfId="2" applyNumberFormat="1" applyFont="1" applyFill="1" applyBorder="1" applyAlignment="1">
      <alignment horizontal="center"/>
    </xf>
    <xf numFmtId="1" fontId="0" fillId="4" borderId="0" xfId="2" applyNumberFormat="1" applyFont="1" applyFill="1" applyAlignment="1">
      <alignment horizontal="center"/>
    </xf>
    <xf numFmtId="1" fontId="0" fillId="5" borderId="0" xfId="2" applyNumberFormat="1" applyFont="1" applyFill="1" applyAlignment="1">
      <alignment horizontal="center"/>
    </xf>
    <xf numFmtId="44" fontId="0" fillId="0" borderId="0" xfId="3" applyFont="1" applyAlignment="1">
      <alignment horizontal="right"/>
    </xf>
    <xf numFmtId="9" fontId="0" fillId="0" borderId="0" xfId="1" applyFont="1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 applyAlignment="1">
      <alignment horizontal="left"/>
    </xf>
    <xf numFmtId="44" fontId="0" fillId="0" borderId="0" xfId="3" applyFont="1" applyAlignment="1">
      <alignment horizontal="center"/>
    </xf>
    <xf numFmtId="4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3" xfId="0" applyBorder="1"/>
    <xf numFmtId="4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8" fontId="0" fillId="0" borderId="0" xfId="3" applyNumberFormat="1" applyFont="1" applyAlignment="1">
      <alignment horizontal="center"/>
    </xf>
    <xf numFmtId="0" fontId="0" fillId="0" borderId="0" xfId="0" applyFont="1" applyAlignment="1">
      <alignment horizontal="left"/>
    </xf>
    <xf numFmtId="169" fontId="0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9" fontId="0" fillId="0" borderId="10" xfId="1" applyNumberFormat="1" applyFont="1" applyBorder="1" applyAlignment="1">
      <alignment horizontal="center"/>
    </xf>
    <xf numFmtId="0" fontId="0" fillId="0" borderId="0" xfId="0" applyAlignment="1">
      <alignment horizontal="right"/>
    </xf>
    <xf numFmtId="1" fontId="0" fillId="5" borderId="0" xfId="2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2" xfId="0" applyFont="1" applyBorder="1" applyAlignment="1">
      <alignment horizontal="right"/>
    </xf>
    <xf numFmtId="169" fontId="5" fillId="0" borderId="6" xfId="1" applyNumberFormat="1" applyFont="1" applyBorder="1" applyAlignment="1">
      <alignment horizontal="right"/>
    </xf>
    <xf numFmtId="169" fontId="5" fillId="0" borderId="6" xfId="0" applyNumberFormat="1" applyFont="1" applyBorder="1" applyAlignment="1">
      <alignment horizontal="right"/>
    </xf>
    <xf numFmtId="0" fontId="2" fillId="0" borderId="12" xfId="0" applyFont="1" applyBorder="1" applyAlignment="1">
      <alignment horizontal="center"/>
    </xf>
    <xf numFmtId="0" fontId="0" fillId="0" borderId="6" xfId="0" applyBorder="1"/>
    <xf numFmtId="0" fontId="0" fillId="0" borderId="13" xfId="0" applyBorder="1"/>
    <xf numFmtId="44" fontId="0" fillId="0" borderId="0" xfId="1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44" fontId="9" fillId="0" borderId="0" xfId="3" applyFont="1" applyFill="1" applyBorder="1" applyAlignment="1">
      <alignment horizontal="right"/>
    </xf>
    <xf numFmtId="0" fontId="10" fillId="0" borderId="4" xfId="0" applyFont="1" applyBorder="1" applyAlignment="1">
      <alignment horizontal="right"/>
    </xf>
    <xf numFmtId="43" fontId="0" fillId="0" borderId="0" xfId="2" applyFont="1" applyAlignment="1">
      <alignment horizontal="center"/>
    </xf>
    <xf numFmtId="169" fontId="0" fillId="0" borderId="9" xfId="0" applyNumberFormat="1" applyBorder="1"/>
    <xf numFmtId="0" fontId="0" fillId="7" borderId="3" xfId="0" applyFont="1" applyFill="1" applyBorder="1" applyAlignment="1">
      <alignment horizontal="center"/>
    </xf>
    <xf numFmtId="10" fontId="0" fillId="0" borderId="0" xfId="0" applyNumberFormat="1"/>
    <xf numFmtId="0" fontId="2" fillId="0" borderId="12" xfId="0" applyFont="1" applyFill="1" applyBorder="1" applyAlignment="1">
      <alignment horizontal="center"/>
    </xf>
    <xf numFmtId="44" fontId="0" fillId="8" borderId="0" xfId="3" applyFont="1" applyFill="1" applyAlignment="1">
      <alignment horizontal="center"/>
    </xf>
    <xf numFmtId="1" fontId="3" fillId="2" borderId="6" xfId="2" applyNumberFormat="1" applyFont="1" applyFill="1" applyBorder="1" applyAlignment="1">
      <alignment horizontal="center"/>
    </xf>
    <xf numFmtId="1" fontId="6" fillId="5" borderId="5" xfId="2" applyNumberFormat="1" applyFont="1" applyFill="1" applyBorder="1" applyAlignment="1">
      <alignment horizontal="center"/>
    </xf>
    <xf numFmtId="44" fontId="0" fillId="0" borderId="6" xfId="3" applyFont="1" applyBorder="1" applyAlignment="1">
      <alignment horizontal="center"/>
    </xf>
    <xf numFmtId="9" fontId="0" fillId="0" borderId="6" xfId="1" applyFont="1" applyBorder="1" applyAlignment="1">
      <alignment horizontal="left"/>
    </xf>
    <xf numFmtId="169" fontId="0" fillId="0" borderId="6" xfId="1" applyNumberFormat="1" applyFon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44" fontId="0" fillId="0" borderId="6" xfId="3" applyFont="1" applyBorder="1" applyAlignment="1">
      <alignment horizontal="right"/>
    </xf>
    <xf numFmtId="9" fontId="0" fillId="0" borderId="6" xfId="1" applyFont="1" applyBorder="1" applyAlignment="1">
      <alignment horizontal="center"/>
    </xf>
    <xf numFmtId="44" fontId="0" fillId="0" borderId="6" xfId="1" applyNumberFormat="1" applyFon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5" xfId="3" applyFont="1" applyBorder="1" applyAlignment="1">
      <alignment horizontal="right"/>
    </xf>
    <xf numFmtId="44" fontId="9" fillId="0" borderId="6" xfId="3" applyFont="1" applyFill="1" applyBorder="1" applyAlignment="1">
      <alignment horizontal="right"/>
    </xf>
    <xf numFmtId="44" fontId="0" fillId="0" borderId="9" xfId="0" applyNumberForma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43" fontId="0" fillId="0" borderId="6" xfId="2" applyFon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70" fontId="0" fillId="0" borderId="6" xfId="0" applyNumberFormat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5">
    <cellStyle name="Comma" xfId="2" builtinId="3"/>
    <cellStyle name="Currency" xfId="3" builtinId="4"/>
    <cellStyle name="Normal" xfId="0" builtinId="0"/>
    <cellStyle name="Normal 2" xfId="4" xr:uid="{2E2A6C32-C082-4E29-91C9-F0443E6FEB33}"/>
    <cellStyle name="Percent" xfId="1" builtinId="5"/>
  </cellStyles>
  <dxfs count="6"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CF9B-AE4D-0C42-B842-70AF22D2E64C}">
  <dimension ref="A1:L76"/>
  <sheetViews>
    <sheetView tabSelected="1" zoomScale="75" zoomScaleNormal="75" workbookViewId="0">
      <pane xSplit="10" ySplit="2" topLeftCell="K3" activePane="bottomRight" state="frozenSplit"/>
      <selection pane="topRight" activeCell="K1" sqref="K1"/>
      <selection pane="bottomLeft" activeCell="A3" sqref="A3"/>
      <selection pane="bottomRight" activeCell="M17" sqref="M17"/>
    </sheetView>
  </sheetViews>
  <sheetFormatPr baseColWidth="10" defaultColWidth="11" defaultRowHeight="16" x14ac:dyDescent="0.2"/>
  <cols>
    <col min="1" max="1" width="35.6640625" customWidth="1"/>
    <col min="2" max="6" width="22.83203125" customWidth="1"/>
    <col min="7" max="7" width="22.83203125" style="44" customWidth="1"/>
    <col min="8" max="10" width="22.83203125" customWidth="1"/>
    <col min="11" max="11" width="25.1640625" customWidth="1"/>
    <col min="12" max="12" width="9" customWidth="1"/>
  </cols>
  <sheetData>
    <row r="1" spans="1:12" x14ac:dyDescent="0.2">
      <c r="A1" s="6" t="s">
        <v>43</v>
      </c>
      <c r="B1" s="13">
        <v>-5</v>
      </c>
      <c r="C1" s="13">
        <v>-4</v>
      </c>
      <c r="D1" s="14">
        <v>-3</v>
      </c>
      <c r="E1" s="14">
        <v>-2</v>
      </c>
      <c r="F1" s="14">
        <v>-1</v>
      </c>
      <c r="G1" s="60">
        <v>0</v>
      </c>
      <c r="H1" s="15">
        <v>1</v>
      </c>
      <c r="I1" s="15">
        <v>2</v>
      </c>
      <c r="J1" s="38">
        <v>3</v>
      </c>
      <c r="K1" s="78" t="s">
        <v>2</v>
      </c>
      <c r="L1" s="79"/>
    </row>
    <row r="2" spans="1:12" x14ac:dyDescent="0.2">
      <c r="A2" s="5">
        <f ca="1">TODAY()</f>
        <v>44264</v>
      </c>
      <c r="B2" s="11">
        <f t="shared" ref="B2:E2" ca="1" si="0">$G$2 + B1</f>
        <v>2016</v>
      </c>
      <c r="C2" s="11">
        <f t="shared" ca="1" si="0"/>
        <v>2017</v>
      </c>
      <c r="D2" s="11">
        <f t="shared" ca="1" si="0"/>
        <v>2018</v>
      </c>
      <c r="E2" s="11">
        <f t="shared" ca="1" si="0"/>
        <v>2019</v>
      </c>
      <c r="F2" s="11">
        <f ca="1">$G$2 + F1</f>
        <v>2020</v>
      </c>
      <c r="G2" s="61">
        <f ca="1">YEAR(TODAY())</f>
        <v>2021</v>
      </c>
      <c r="H2" s="12">
        <f ca="1">$G$2 + H1</f>
        <v>2022</v>
      </c>
      <c r="I2" s="12">
        <f ca="1">$G$2 + I1</f>
        <v>2023</v>
      </c>
      <c r="J2" s="12">
        <f t="shared" ref="J2" ca="1" si="1">$G$2 + J1</f>
        <v>2024</v>
      </c>
      <c r="K2" s="80"/>
      <c r="L2" s="81"/>
    </row>
    <row r="3" spans="1:12" x14ac:dyDescent="0.2">
      <c r="A3" s="4" t="s">
        <v>38</v>
      </c>
      <c r="B3" s="1"/>
      <c r="C3" s="1"/>
      <c r="D3" s="1"/>
      <c r="E3" s="1"/>
      <c r="F3" s="1"/>
      <c r="G3" s="3"/>
      <c r="H3" s="1"/>
      <c r="I3" s="1"/>
      <c r="J3" s="39"/>
      <c r="K3" s="40" t="s">
        <v>3</v>
      </c>
      <c r="L3" s="41">
        <v>0.1</v>
      </c>
    </row>
    <row r="4" spans="1:12" x14ac:dyDescent="0.2">
      <c r="A4" s="29" t="s">
        <v>0</v>
      </c>
      <c r="B4" s="20">
        <v>5785668000</v>
      </c>
      <c r="C4" s="20">
        <v>6663900000</v>
      </c>
      <c r="D4" s="20">
        <v>7440100000</v>
      </c>
      <c r="E4" s="20">
        <v>7580300000</v>
      </c>
      <c r="F4" s="20">
        <v>8041500000</v>
      </c>
      <c r="G4" s="62">
        <v>8041500000</v>
      </c>
      <c r="H4" s="21">
        <f>G4+(G4*$B$8)</f>
        <v>9626610892.2702923</v>
      </c>
      <c r="I4" s="21">
        <f t="shared" ref="I4:J4" si="2">H4+(H4*$B$8)</f>
        <v>11524173011.40049</v>
      </c>
      <c r="J4" s="21">
        <f t="shared" si="2"/>
        <v>13795775593.602598</v>
      </c>
      <c r="K4" s="40" t="s">
        <v>19</v>
      </c>
      <c r="L4" s="41">
        <v>0.03</v>
      </c>
    </row>
    <row r="5" spans="1:12" x14ac:dyDescent="0.2">
      <c r="A5" s="10" t="s">
        <v>37</v>
      </c>
      <c r="B5" s="18" t="s">
        <v>44</v>
      </c>
      <c r="C5" s="19">
        <f>(C4-B4)/B4</f>
        <v>0.15179439954038151</v>
      </c>
      <c r="D5" s="19">
        <f>(D4-C4)/C4</f>
        <v>0.11647833851048185</v>
      </c>
      <c r="E5" s="19">
        <f t="shared" ref="E5:G5" si="3">(E4-D4)/D4</f>
        <v>1.8843832744183546E-2</v>
      </c>
      <c r="F5" s="19">
        <f t="shared" si="3"/>
        <v>6.084191918525652E-2</v>
      </c>
      <c r="G5" s="63">
        <f t="shared" si="3"/>
        <v>0</v>
      </c>
      <c r="H5" s="1"/>
      <c r="I5" s="1"/>
      <c r="J5" s="1"/>
      <c r="K5" s="40" t="s">
        <v>4</v>
      </c>
      <c r="L5" s="42"/>
    </row>
    <row r="6" spans="1:12" x14ac:dyDescent="0.2">
      <c r="A6" s="29" t="s">
        <v>6</v>
      </c>
      <c r="B6" s="20">
        <v>970359000</v>
      </c>
      <c r="C6" s="20">
        <v>1225400000</v>
      </c>
      <c r="D6" s="20">
        <v>1264700000</v>
      </c>
      <c r="E6" s="20">
        <v>1916600000</v>
      </c>
      <c r="F6" s="20">
        <v>1691500000</v>
      </c>
      <c r="G6" s="62">
        <v>1691500000</v>
      </c>
      <c r="H6" s="21">
        <f>G6+(G6*$B$8)</f>
        <v>2024922256.3296895</v>
      </c>
      <c r="I6" s="21">
        <f t="shared" ref="I6:J6" si="4">H6+(H6*$B$8)</f>
        <v>2424067481.0400953</v>
      </c>
      <c r="J6" s="21">
        <f t="shared" si="4"/>
        <v>2901890743.838686</v>
      </c>
      <c r="K6" s="40" t="s">
        <v>5</v>
      </c>
      <c r="L6" s="42"/>
    </row>
    <row r="7" spans="1:12" x14ac:dyDescent="0.2">
      <c r="A7" s="10" t="s">
        <v>36</v>
      </c>
      <c r="B7" s="33">
        <f>B6/B4</f>
        <v>0.16771771211206726</v>
      </c>
      <c r="C7" s="33">
        <f t="shared" ref="C7:F7" si="5">C6/C4</f>
        <v>0.18388631281982024</v>
      </c>
      <c r="D7" s="33">
        <f t="shared" si="5"/>
        <v>0.1699842744049139</v>
      </c>
      <c r="E7" s="33">
        <f t="shared" si="5"/>
        <v>0.25283959737741252</v>
      </c>
      <c r="F7" s="33">
        <f t="shared" si="5"/>
        <v>0.21034632842131443</v>
      </c>
      <c r="G7" s="64">
        <f>G6/G4</f>
        <v>0.21034632842131443</v>
      </c>
      <c r="H7" s="36">
        <f t="shared" ref="H7:J7" si="6">H6/H4</f>
        <v>0.21034632842131443</v>
      </c>
      <c r="I7" s="36">
        <f t="shared" si="6"/>
        <v>0.2103463284213144</v>
      </c>
      <c r="J7" s="36">
        <f t="shared" si="6"/>
        <v>0.21034632842131443</v>
      </c>
      <c r="K7" s="40" t="s">
        <v>48</v>
      </c>
      <c r="L7" s="42"/>
    </row>
    <row r="8" spans="1:12" x14ac:dyDescent="0.2">
      <c r="A8" s="10" t="s">
        <v>35</v>
      </c>
      <c r="B8" s="34">
        <f>MEDIAN(B7:G7)</f>
        <v>0.19711632062056733</v>
      </c>
      <c r="C8" s="1"/>
      <c r="D8" s="1"/>
      <c r="E8" s="1"/>
      <c r="F8" s="1"/>
      <c r="G8" s="3"/>
      <c r="H8" s="1"/>
      <c r="I8" s="1"/>
      <c r="J8" s="39"/>
      <c r="K8" s="43" t="s">
        <v>53</v>
      </c>
      <c r="L8" s="41">
        <v>1.4999999999999999E-2</v>
      </c>
    </row>
    <row r="9" spans="1:12" x14ac:dyDescent="0.2">
      <c r="A9" s="47"/>
      <c r="B9" s="34"/>
      <c r="C9" s="34"/>
      <c r="D9" s="34"/>
      <c r="E9" s="34"/>
      <c r="F9" s="34"/>
      <c r="G9" s="65"/>
      <c r="H9" s="1"/>
      <c r="I9" s="1"/>
      <c r="J9" s="39"/>
      <c r="K9" s="43" t="s">
        <v>61</v>
      </c>
      <c r="L9" s="41">
        <f>MEDIAN(C33:G33)</f>
        <v>0.14453820291383743</v>
      </c>
    </row>
    <row r="10" spans="1:12" x14ac:dyDescent="0.2">
      <c r="A10" s="29" t="s">
        <v>1</v>
      </c>
      <c r="B10" s="16">
        <v>1853029000</v>
      </c>
      <c r="C10" s="16">
        <v>1998400000</v>
      </c>
      <c r="D10" s="16">
        <v>1905000000</v>
      </c>
      <c r="E10" s="16">
        <v>2688400000</v>
      </c>
      <c r="F10" s="16">
        <v>3127600000</v>
      </c>
      <c r="G10" s="66">
        <v>3127600000</v>
      </c>
      <c r="H10" s="1"/>
      <c r="I10" s="1"/>
      <c r="J10" s="39"/>
      <c r="K10" s="43" t="s">
        <v>64</v>
      </c>
      <c r="L10" s="41">
        <f>MEDIAN(B44:G44)</f>
        <v>0.9748656842549529</v>
      </c>
    </row>
    <row r="11" spans="1:12" x14ac:dyDescent="0.2">
      <c r="A11" s="10" t="s">
        <v>40</v>
      </c>
      <c r="B11" s="17">
        <f t="shared" ref="B11:G11" si="7">B10/B4</f>
        <v>0.32027917951738677</v>
      </c>
      <c r="C11" s="17">
        <f t="shared" si="7"/>
        <v>0.29988445204759978</v>
      </c>
      <c r="D11" s="17">
        <f t="shared" si="7"/>
        <v>0.25604494563245117</v>
      </c>
      <c r="E11" s="17">
        <f t="shared" si="7"/>
        <v>0.35465614817355512</v>
      </c>
      <c r="F11" s="17">
        <f t="shared" si="7"/>
        <v>0.38893241310700738</v>
      </c>
      <c r="G11" s="67">
        <f t="shared" si="7"/>
        <v>0.38893241310700738</v>
      </c>
      <c r="H11" s="1"/>
      <c r="I11" s="1"/>
      <c r="J11" s="39"/>
      <c r="K11" s="40" t="s">
        <v>51</v>
      </c>
      <c r="L11" s="44">
        <v>0.22</v>
      </c>
    </row>
    <row r="12" spans="1:12" x14ac:dyDescent="0.2">
      <c r="A12" s="47" t="s">
        <v>58</v>
      </c>
      <c r="B12" s="46">
        <f>B10+ABS(B19)</f>
        <v>3378664000</v>
      </c>
      <c r="C12" s="46">
        <f t="shared" ref="C12:G12" si="8">C10+ABS(C19)</f>
        <v>3714300000</v>
      </c>
      <c r="D12" s="46">
        <f t="shared" si="8"/>
        <v>4015800000</v>
      </c>
      <c r="E12" s="46">
        <f t="shared" si="8"/>
        <v>4466800000</v>
      </c>
      <c r="F12" s="46">
        <f t="shared" si="8"/>
        <v>5009900000</v>
      </c>
      <c r="G12" s="68">
        <f t="shared" si="8"/>
        <v>5009900000</v>
      </c>
      <c r="H12" s="1"/>
      <c r="I12" s="1"/>
      <c r="J12" s="39"/>
      <c r="K12" s="45" t="s">
        <v>9</v>
      </c>
      <c r="L12" s="55">
        <f>MEDIAN(B62:F62)</f>
        <v>3.0528655980516427E-2</v>
      </c>
    </row>
    <row r="13" spans="1:12" x14ac:dyDescent="0.2">
      <c r="A13" s="10" t="s">
        <v>59</v>
      </c>
      <c r="B13" s="17"/>
      <c r="C13" s="17"/>
      <c r="D13" s="17"/>
      <c r="E13" s="17"/>
      <c r="F13" s="17"/>
      <c r="G13" s="67"/>
      <c r="H13" s="1"/>
      <c r="I13" s="1"/>
      <c r="J13" s="39"/>
      <c r="K13" s="58" t="s">
        <v>68</v>
      </c>
      <c r="L13" s="57">
        <v>0.11</v>
      </c>
    </row>
    <row r="14" spans="1:12" x14ac:dyDescent="0.2">
      <c r="A14" s="29" t="s">
        <v>45</v>
      </c>
      <c r="B14" s="16">
        <v>1125860000</v>
      </c>
      <c r="C14" s="16">
        <v>1256100000</v>
      </c>
      <c r="D14" s="16">
        <v>1154600000</v>
      </c>
      <c r="E14" s="16">
        <v>1916400000</v>
      </c>
      <c r="F14" s="16">
        <v>1821100000</v>
      </c>
      <c r="G14" s="66">
        <v>1821100000</v>
      </c>
      <c r="H14" s="1"/>
      <c r="I14" s="1"/>
      <c r="J14" s="3"/>
    </row>
    <row r="15" spans="1:12" x14ac:dyDescent="0.2">
      <c r="A15" s="29" t="s">
        <v>34</v>
      </c>
      <c r="B15" s="16">
        <v>-155501000</v>
      </c>
      <c r="C15" s="16">
        <v>-30700000</v>
      </c>
      <c r="D15" s="16">
        <v>110100000</v>
      </c>
      <c r="E15" s="16">
        <v>200000</v>
      </c>
      <c r="F15" s="16">
        <v>-129600000</v>
      </c>
      <c r="G15" s="66">
        <v>-129600000</v>
      </c>
      <c r="H15" s="1"/>
      <c r="I15" s="1"/>
      <c r="J15" s="3"/>
    </row>
    <row r="16" spans="1:12" ht="15" customHeight="1" x14ac:dyDescent="0.2">
      <c r="A16" s="27" t="s">
        <v>16</v>
      </c>
      <c r="B16" s="17">
        <f>ABS(B15)/B14</f>
        <v>0.1381175279342014</v>
      </c>
      <c r="C16" s="17">
        <f t="shared" ref="C16:G16" si="9">ABS(C15)/C14</f>
        <v>2.4440729241302445E-2</v>
      </c>
      <c r="D16" s="17">
        <f t="shared" si="9"/>
        <v>9.5357699636237664E-2</v>
      </c>
      <c r="E16" s="17">
        <f t="shared" si="9"/>
        <v>1.0436234606553955E-4</v>
      </c>
      <c r="F16" s="17">
        <f t="shared" si="9"/>
        <v>7.1165778924825659E-2</v>
      </c>
      <c r="G16" s="67">
        <f t="shared" si="9"/>
        <v>7.1165778924825659E-2</v>
      </c>
      <c r="H16" s="1"/>
      <c r="I16" s="1"/>
      <c r="J16" s="3"/>
    </row>
    <row r="17" spans="1:10" x14ac:dyDescent="0.2">
      <c r="A17" s="28" t="s">
        <v>42</v>
      </c>
      <c r="B17" s="24">
        <f t="shared" ref="B17:G17" si="10">B10*(1-B16)</f>
        <v>1597093215.3296146</v>
      </c>
      <c r="C17" s="24">
        <f t="shared" si="10"/>
        <v>1949557646.6841812</v>
      </c>
      <c r="D17" s="24">
        <f t="shared" si="10"/>
        <v>1723343582.1929674</v>
      </c>
      <c r="E17" s="24">
        <f t="shared" si="10"/>
        <v>2688119432.2688375</v>
      </c>
      <c r="F17" s="24">
        <f t="shared" si="10"/>
        <v>2905021909.8347154</v>
      </c>
      <c r="G17" s="69">
        <f t="shared" si="10"/>
        <v>2905021909.8347154</v>
      </c>
      <c r="H17" s="25"/>
      <c r="I17" s="25"/>
      <c r="J17" s="26"/>
    </row>
    <row r="18" spans="1:10" x14ac:dyDescent="0.2">
      <c r="A18" s="29" t="s">
        <v>10</v>
      </c>
      <c r="B18" s="16">
        <v>-680547000</v>
      </c>
      <c r="C18" s="16">
        <v>-703400000</v>
      </c>
      <c r="D18" s="16">
        <v>-770900000</v>
      </c>
      <c r="E18" s="16">
        <v>-767400000</v>
      </c>
      <c r="F18" s="16">
        <v>-753800000</v>
      </c>
      <c r="G18" s="70">
        <v>-753800000</v>
      </c>
      <c r="H18" s="1"/>
      <c r="I18" s="1"/>
      <c r="J18" s="3"/>
    </row>
    <row r="19" spans="1:10" x14ac:dyDescent="0.2">
      <c r="A19" s="29" t="s">
        <v>28</v>
      </c>
      <c r="B19" s="16">
        <v>-1525635000</v>
      </c>
      <c r="C19" s="16">
        <v>-1715900000</v>
      </c>
      <c r="D19" s="16">
        <v>-2110800000</v>
      </c>
      <c r="E19" s="16">
        <v>-1778400000</v>
      </c>
      <c r="F19" s="16">
        <v>-1882300000</v>
      </c>
      <c r="G19" s="66">
        <v>-1882300000</v>
      </c>
      <c r="H19" s="1"/>
      <c r="I19" s="1"/>
      <c r="J19" s="3"/>
    </row>
    <row r="20" spans="1:10" x14ac:dyDescent="0.2">
      <c r="A20" s="29" t="s">
        <v>46</v>
      </c>
      <c r="B20" s="16">
        <v>1689870000</v>
      </c>
      <c r="C20" s="16">
        <v>2038100000</v>
      </c>
      <c r="D20" s="16">
        <v>2385100000</v>
      </c>
      <c r="E20" s="16">
        <v>2553800000</v>
      </c>
      <c r="F20" s="16">
        <v>2905600000</v>
      </c>
      <c r="G20" s="66"/>
      <c r="H20" s="1"/>
      <c r="I20" s="1"/>
      <c r="J20" s="3"/>
    </row>
    <row r="21" spans="1:10" x14ac:dyDescent="0.2">
      <c r="A21" s="29" t="s">
        <v>47</v>
      </c>
      <c r="B21" s="16">
        <v>1631269000</v>
      </c>
      <c r="C21" s="16">
        <v>2512100000</v>
      </c>
      <c r="D21" s="16">
        <v>4689900000</v>
      </c>
      <c r="E21" s="16">
        <v>5487700000</v>
      </c>
      <c r="F21" s="16">
        <v>3655500000</v>
      </c>
      <c r="G21" s="66"/>
      <c r="H21" s="1"/>
      <c r="I21" s="1"/>
      <c r="J21" s="3"/>
    </row>
    <row r="22" spans="1:10" x14ac:dyDescent="0.2">
      <c r="A22" s="29" t="s">
        <v>29</v>
      </c>
      <c r="B22" s="20">
        <f>B20-B21</f>
        <v>58601000</v>
      </c>
      <c r="C22" s="20">
        <f t="shared" ref="C22:G22" si="11">C20-C21</f>
        <v>-474000000</v>
      </c>
      <c r="D22" s="20">
        <f t="shared" si="11"/>
        <v>-2304800000</v>
      </c>
      <c r="E22" s="20">
        <f t="shared" si="11"/>
        <v>-2933900000</v>
      </c>
      <c r="F22" s="20">
        <f t="shared" si="11"/>
        <v>-749900000</v>
      </c>
      <c r="G22" s="62">
        <f t="shared" si="11"/>
        <v>0</v>
      </c>
      <c r="H22" s="1"/>
      <c r="I22" s="1"/>
      <c r="J22" s="3"/>
    </row>
    <row r="23" spans="1:10" x14ac:dyDescent="0.2">
      <c r="A23" s="29" t="s">
        <v>30</v>
      </c>
      <c r="B23" s="16">
        <v>-682505000</v>
      </c>
      <c r="C23" s="16">
        <v>-803600000</v>
      </c>
      <c r="D23" s="16">
        <v>-913200000</v>
      </c>
      <c r="E23" s="16">
        <v>-991300000</v>
      </c>
      <c r="F23" s="16">
        <v>-1031700000</v>
      </c>
      <c r="G23" s="66">
        <v>-1031700000</v>
      </c>
      <c r="H23" s="1"/>
      <c r="I23" s="1"/>
      <c r="J23" s="3"/>
    </row>
    <row r="24" spans="1:10" x14ac:dyDescent="0.2">
      <c r="A24" s="28" t="s">
        <v>60</v>
      </c>
      <c r="B24" s="52">
        <v>589395000</v>
      </c>
      <c r="C24" s="52">
        <v>1473700000</v>
      </c>
      <c r="D24" s="52">
        <v>460100000</v>
      </c>
      <c r="E24" s="52">
        <v>2680400000</v>
      </c>
      <c r="F24" s="52">
        <v>4151900000</v>
      </c>
      <c r="G24" s="71">
        <v>4151900000</v>
      </c>
      <c r="H24" s="25"/>
      <c r="I24" s="25"/>
      <c r="J24" s="26"/>
    </row>
    <row r="25" spans="1:10" x14ac:dyDescent="0.2">
      <c r="A25" s="48"/>
      <c r="B25" s="52"/>
      <c r="C25" s="52"/>
      <c r="D25" s="52"/>
      <c r="E25" s="52"/>
      <c r="F25" s="52"/>
      <c r="G25" s="71"/>
      <c r="H25" s="39"/>
      <c r="I25" s="39"/>
      <c r="J25" s="3"/>
    </row>
    <row r="26" spans="1:10" x14ac:dyDescent="0.2">
      <c r="A26" s="23" t="s">
        <v>27</v>
      </c>
      <c r="B26" s="21">
        <f t="shared" ref="B26:G26" si="12">B10</f>
        <v>1853029000</v>
      </c>
      <c r="C26" s="21">
        <f t="shared" si="12"/>
        <v>1998400000</v>
      </c>
      <c r="D26" s="21">
        <f t="shared" si="12"/>
        <v>1905000000</v>
      </c>
      <c r="E26" s="21">
        <f t="shared" si="12"/>
        <v>2688400000</v>
      </c>
      <c r="F26" s="21">
        <f t="shared" si="12"/>
        <v>3127600000</v>
      </c>
      <c r="G26" s="69">
        <f t="shared" si="12"/>
        <v>3127600000</v>
      </c>
      <c r="H26" s="1"/>
      <c r="I26" s="1"/>
      <c r="J26" s="3"/>
    </row>
    <row r="27" spans="1:10" x14ac:dyDescent="0.2">
      <c r="A27" s="8" t="s">
        <v>21</v>
      </c>
      <c r="B27" s="20">
        <f t="shared" ref="B27:G27" si="13">B18</f>
        <v>-680547000</v>
      </c>
      <c r="C27" s="20">
        <f t="shared" si="13"/>
        <v>-703400000</v>
      </c>
      <c r="D27" s="20">
        <f t="shared" si="13"/>
        <v>-770900000</v>
      </c>
      <c r="E27" s="20">
        <f t="shared" si="13"/>
        <v>-767400000</v>
      </c>
      <c r="F27" s="20">
        <f t="shared" si="13"/>
        <v>-753800000</v>
      </c>
      <c r="G27" s="62">
        <f t="shared" si="13"/>
        <v>-753800000</v>
      </c>
      <c r="H27" s="1"/>
      <c r="I27" s="1"/>
      <c r="J27" s="3"/>
    </row>
    <row r="28" spans="1:10" x14ac:dyDescent="0.2">
      <c r="A28" s="8" t="s">
        <v>22</v>
      </c>
      <c r="B28" s="21">
        <f t="shared" ref="B28:G28" si="14">B15</f>
        <v>-155501000</v>
      </c>
      <c r="C28" s="21">
        <f t="shared" si="14"/>
        <v>-30700000</v>
      </c>
      <c r="D28" s="21">
        <f t="shared" si="14"/>
        <v>110100000</v>
      </c>
      <c r="E28" s="21">
        <f t="shared" si="14"/>
        <v>200000</v>
      </c>
      <c r="F28" s="21">
        <f t="shared" si="14"/>
        <v>-129600000</v>
      </c>
      <c r="G28" s="69">
        <f t="shared" si="14"/>
        <v>-129600000</v>
      </c>
      <c r="H28" s="1"/>
      <c r="I28" s="1"/>
      <c r="J28" s="3"/>
    </row>
    <row r="29" spans="1:10" x14ac:dyDescent="0.2">
      <c r="A29" s="8" t="s">
        <v>23</v>
      </c>
      <c r="B29" s="21">
        <f t="shared" ref="B29:G29" si="15">B19</f>
        <v>-1525635000</v>
      </c>
      <c r="C29" s="21">
        <f t="shared" si="15"/>
        <v>-1715900000</v>
      </c>
      <c r="D29" s="21">
        <f t="shared" si="15"/>
        <v>-2110800000</v>
      </c>
      <c r="E29" s="21">
        <f t="shared" si="15"/>
        <v>-1778400000</v>
      </c>
      <c r="F29" s="21">
        <f t="shared" si="15"/>
        <v>-1882300000</v>
      </c>
      <c r="G29" s="69">
        <f t="shared" si="15"/>
        <v>-1882300000</v>
      </c>
      <c r="H29" s="1"/>
      <c r="I29" s="1"/>
      <c r="J29" s="3"/>
    </row>
    <row r="30" spans="1:10" x14ac:dyDescent="0.2">
      <c r="A30" s="8" t="s">
        <v>7</v>
      </c>
      <c r="B30" s="21">
        <f t="shared" ref="B30:G31" si="16">B22</f>
        <v>58601000</v>
      </c>
      <c r="C30" s="21">
        <f t="shared" si="16"/>
        <v>-474000000</v>
      </c>
      <c r="D30" s="21">
        <f t="shared" si="16"/>
        <v>-2304800000</v>
      </c>
      <c r="E30" s="21">
        <f t="shared" si="16"/>
        <v>-2933900000</v>
      </c>
      <c r="F30" s="21">
        <f t="shared" si="16"/>
        <v>-749900000</v>
      </c>
      <c r="G30" s="69">
        <f t="shared" si="16"/>
        <v>0</v>
      </c>
      <c r="H30" s="1"/>
      <c r="I30" s="1"/>
      <c r="J30" s="3"/>
    </row>
    <row r="31" spans="1:10" x14ac:dyDescent="0.2">
      <c r="A31" s="8" t="s">
        <v>24</v>
      </c>
      <c r="B31" s="21">
        <f t="shared" si="16"/>
        <v>-682505000</v>
      </c>
      <c r="C31" s="21">
        <f t="shared" si="16"/>
        <v>-803600000</v>
      </c>
      <c r="D31" s="21">
        <f t="shared" si="16"/>
        <v>-913200000</v>
      </c>
      <c r="E31" s="21">
        <f t="shared" si="16"/>
        <v>-991300000</v>
      </c>
      <c r="F31" s="21">
        <f t="shared" si="16"/>
        <v>-1031700000</v>
      </c>
      <c r="G31" s="69">
        <f t="shared" si="16"/>
        <v>-1031700000</v>
      </c>
      <c r="H31" s="1"/>
      <c r="I31" s="1"/>
      <c r="J31" s="3"/>
    </row>
    <row r="32" spans="1:10" ht="18" customHeight="1" x14ac:dyDescent="0.2">
      <c r="A32" s="9" t="s">
        <v>25</v>
      </c>
      <c r="B32" s="21">
        <f>B24</f>
        <v>589395000</v>
      </c>
      <c r="C32" s="21">
        <f t="shared" ref="C32:G32" si="17">C24</f>
        <v>1473700000</v>
      </c>
      <c r="D32" s="21">
        <f t="shared" si="17"/>
        <v>460100000</v>
      </c>
      <c r="E32" s="21">
        <f t="shared" si="17"/>
        <v>2680400000</v>
      </c>
      <c r="F32" s="21">
        <f t="shared" si="17"/>
        <v>4151900000</v>
      </c>
      <c r="G32" s="69">
        <f t="shared" si="17"/>
        <v>4151900000</v>
      </c>
      <c r="H32" s="21"/>
      <c r="I32" s="1"/>
      <c r="J32" s="3"/>
    </row>
    <row r="33" spans="1:10" ht="18" customHeight="1" x14ac:dyDescent="0.2">
      <c r="A33" s="53" t="s">
        <v>62</v>
      </c>
      <c r="B33" s="21"/>
      <c r="C33" s="17">
        <f>(C35-B35)/B35</f>
        <v>0.96911389874556453</v>
      </c>
      <c r="D33" s="17">
        <f t="shared" ref="D33:G33" si="18">(D35-C35)/C35</f>
        <v>0.14453820291383743</v>
      </c>
      <c r="E33" s="17">
        <f t="shared" si="18"/>
        <v>1.1644443164473115</v>
      </c>
      <c r="F33" s="17">
        <f t="shared" si="18"/>
        <v>-4.4813454680930329E-2</v>
      </c>
      <c r="G33" s="67">
        <f t="shared" si="18"/>
        <v>-0.10446035549116844</v>
      </c>
      <c r="H33" s="21"/>
      <c r="I33" s="1"/>
      <c r="J33" s="39"/>
    </row>
    <row r="34" spans="1:10" ht="18" customHeight="1" x14ac:dyDescent="0.2">
      <c r="A34" t="s">
        <v>65</v>
      </c>
      <c r="B34" s="54"/>
      <c r="C34" s="17"/>
      <c r="D34" s="17"/>
      <c r="E34" s="17"/>
      <c r="F34" s="17"/>
      <c r="G34" s="67"/>
      <c r="H34" s="54">
        <f>(1+$L$12)^H1</f>
        <v>1.0305286559805165</v>
      </c>
      <c r="I34" s="54">
        <f t="shared" ref="I34:J34" si="19">(1+$L$12)^I1</f>
        <v>1.0619893107970098</v>
      </c>
      <c r="J34" s="54">
        <f t="shared" si="19"/>
        <v>1.0944104171213174</v>
      </c>
    </row>
    <row r="35" spans="1:10" x14ac:dyDescent="0.2">
      <c r="A35" s="30" t="s">
        <v>8</v>
      </c>
      <c r="B35" s="24">
        <f t="shared" ref="B35:G35" si="20">B26-(B31-B29)-B30+B32</f>
        <v>1540693000</v>
      </c>
      <c r="C35" s="24">
        <f t="shared" si="20"/>
        <v>3033800000</v>
      </c>
      <c r="D35" s="24">
        <f t="shared" si="20"/>
        <v>3472300000</v>
      </c>
      <c r="E35" s="24">
        <f t="shared" si="20"/>
        <v>7515600000</v>
      </c>
      <c r="F35" s="24">
        <f t="shared" si="20"/>
        <v>7178800000</v>
      </c>
      <c r="G35" s="72">
        <f t="shared" si="20"/>
        <v>6428900000</v>
      </c>
      <c r="H35" s="24">
        <f>G35+(G35*$L$9)</f>
        <v>7358121652.7127695</v>
      </c>
      <c r="I35" s="24">
        <f t="shared" ref="I35:J35" si="21">H35+(H35*$L$9)</f>
        <v>8421651333.2172689</v>
      </c>
      <c r="J35" s="24">
        <f t="shared" si="21"/>
        <v>9638901682.4874153</v>
      </c>
    </row>
    <row r="36" spans="1:10" x14ac:dyDescent="0.2">
      <c r="A36" s="56" t="s">
        <v>66</v>
      </c>
      <c r="B36" s="50"/>
      <c r="C36" s="50"/>
      <c r="D36" s="50"/>
      <c r="E36" s="50"/>
      <c r="F36" s="50"/>
      <c r="G36" s="69"/>
      <c r="H36" s="50">
        <f>H35/H34</f>
        <v>7140142692.7927027</v>
      </c>
      <c r="I36" s="50">
        <f t="shared" ref="I36:J36" si="22">I35/I34</f>
        <v>7930071656.6505966</v>
      </c>
      <c r="J36" s="50">
        <f t="shared" si="22"/>
        <v>8807392118.8004608</v>
      </c>
    </row>
    <row r="37" spans="1:10" x14ac:dyDescent="0.2">
      <c r="A37" s="51"/>
      <c r="B37" s="50"/>
      <c r="C37" s="50"/>
      <c r="D37" s="50"/>
      <c r="E37" s="50"/>
      <c r="F37" s="50"/>
      <c r="G37" s="69"/>
      <c r="H37" s="50"/>
      <c r="I37" s="50"/>
      <c r="J37" s="50"/>
    </row>
    <row r="38" spans="1:10" x14ac:dyDescent="0.2">
      <c r="A38" s="49"/>
      <c r="B38" s="50"/>
      <c r="C38" s="50"/>
      <c r="D38" s="50"/>
      <c r="E38" s="50"/>
      <c r="F38" s="50"/>
      <c r="G38" s="69"/>
      <c r="H38" s="50"/>
      <c r="I38" s="50"/>
      <c r="J38" s="50"/>
    </row>
    <row r="39" spans="1:10" x14ac:dyDescent="0.2">
      <c r="A39" s="23" t="s">
        <v>41</v>
      </c>
      <c r="B39" s="21">
        <f t="shared" ref="B39:G39" si="23">B17</f>
        <v>1597093215.3296146</v>
      </c>
      <c r="C39" s="21">
        <f t="shared" si="23"/>
        <v>1949557646.6841812</v>
      </c>
      <c r="D39" s="21">
        <f t="shared" si="23"/>
        <v>1723343582.1929674</v>
      </c>
      <c r="E39" s="21">
        <f t="shared" si="23"/>
        <v>2688119432.2688375</v>
      </c>
      <c r="F39" s="21">
        <f t="shared" si="23"/>
        <v>2905021909.8347154</v>
      </c>
      <c r="G39" s="73">
        <f t="shared" si="23"/>
        <v>2905021909.8347154</v>
      </c>
      <c r="H39" s="1"/>
      <c r="I39" s="1"/>
      <c r="J39" s="3"/>
    </row>
    <row r="40" spans="1:10" x14ac:dyDescent="0.2">
      <c r="A40" s="8" t="s">
        <v>23</v>
      </c>
      <c r="B40" s="21">
        <f t="shared" ref="B40:G40" si="24">B19</f>
        <v>-1525635000</v>
      </c>
      <c r="C40" s="21">
        <f t="shared" si="24"/>
        <v>-1715900000</v>
      </c>
      <c r="D40" s="21">
        <f t="shared" si="24"/>
        <v>-2110800000</v>
      </c>
      <c r="E40" s="21">
        <f t="shared" si="24"/>
        <v>-1778400000</v>
      </c>
      <c r="F40" s="21">
        <f t="shared" si="24"/>
        <v>-1882300000</v>
      </c>
      <c r="G40" s="69">
        <f t="shared" si="24"/>
        <v>-1882300000</v>
      </c>
      <c r="H40" s="1"/>
      <c r="I40" s="1"/>
      <c r="J40" s="3"/>
    </row>
    <row r="41" spans="1:10" x14ac:dyDescent="0.2">
      <c r="A41" s="8" t="s">
        <v>24</v>
      </c>
      <c r="B41" s="21">
        <f t="shared" ref="B41:G41" si="25">B23</f>
        <v>-682505000</v>
      </c>
      <c r="C41" s="21">
        <f t="shared" si="25"/>
        <v>-803600000</v>
      </c>
      <c r="D41" s="21">
        <f t="shared" si="25"/>
        <v>-913200000</v>
      </c>
      <c r="E41" s="21">
        <f t="shared" si="25"/>
        <v>-991300000</v>
      </c>
      <c r="F41" s="21">
        <f t="shared" si="25"/>
        <v>-1031700000</v>
      </c>
      <c r="G41" s="69">
        <f t="shared" si="25"/>
        <v>-1031700000</v>
      </c>
      <c r="H41" s="1"/>
      <c r="I41" s="1"/>
      <c r="J41" s="3"/>
    </row>
    <row r="42" spans="1:10" x14ac:dyDescent="0.2">
      <c r="A42" s="8" t="s">
        <v>7</v>
      </c>
      <c r="B42" s="21">
        <f t="shared" ref="B42:G42" si="26">B22</f>
        <v>58601000</v>
      </c>
      <c r="C42" s="21">
        <f t="shared" si="26"/>
        <v>-474000000</v>
      </c>
      <c r="D42" s="21">
        <f t="shared" si="26"/>
        <v>-2304800000</v>
      </c>
      <c r="E42" s="21">
        <f t="shared" si="26"/>
        <v>-2933900000</v>
      </c>
      <c r="F42" s="21">
        <f t="shared" si="26"/>
        <v>-749900000</v>
      </c>
      <c r="G42" s="69">
        <f t="shared" si="26"/>
        <v>0</v>
      </c>
      <c r="H42" s="1"/>
      <c r="I42" s="1"/>
      <c r="J42" s="3"/>
    </row>
    <row r="43" spans="1:10" x14ac:dyDescent="0.2">
      <c r="A43" s="9" t="s">
        <v>26</v>
      </c>
      <c r="B43" s="21">
        <f t="shared" ref="B43:G43" si="27">B18</f>
        <v>-680547000</v>
      </c>
      <c r="C43" s="21">
        <f t="shared" si="27"/>
        <v>-703400000</v>
      </c>
      <c r="D43" s="21">
        <f t="shared" si="27"/>
        <v>-770900000</v>
      </c>
      <c r="E43" s="21">
        <f t="shared" si="27"/>
        <v>-767400000</v>
      </c>
      <c r="F43" s="21">
        <f t="shared" si="27"/>
        <v>-753800000</v>
      </c>
      <c r="G43" s="69">
        <f t="shared" si="27"/>
        <v>-753800000</v>
      </c>
      <c r="H43" s="1"/>
      <c r="I43" s="1"/>
      <c r="J43" s="3"/>
    </row>
    <row r="44" spans="1:10" x14ac:dyDescent="0.2">
      <c r="A44" s="53" t="s">
        <v>63</v>
      </c>
      <c r="B44" s="21"/>
      <c r="C44" s="17">
        <f>(C45-B45)/B45</f>
        <v>53.528916975599202</v>
      </c>
      <c r="D44" s="17">
        <f t="shared" ref="D44:G44" si="28">(D45-C45)/C45</f>
        <v>1.5495130121583802</v>
      </c>
      <c r="E44" s="17">
        <f t="shared" si="28"/>
        <v>0.9748656842549529</v>
      </c>
      <c r="F44" s="17">
        <f t="shared" si="28"/>
        <v>-0.49587901324642303</v>
      </c>
      <c r="G44" s="67">
        <f t="shared" si="28"/>
        <v>-0.36571177142918043</v>
      </c>
      <c r="H44" s="1"/>
      <c r="I44" s="1"/>
      <c r="J44" s="3"/>
    </row>
    <row r="45" spans="1:10" x14ac:dyDescent="0.2">
      <c r="A45" s="30" t="s">
        <v>20</v>
      </c>
      <c r="B45" s="21">
        <f>B39+B40-B41-B42+B43</f>
        <v>14815215.329614639</v>
      </c>
      <c r="C45" s="21">
        <f t="shared" ref="C45:G45" si="29">C39+C40-C41-C42+C43</f>
        <v>807857646.68418121</v>
      </c>
      <c r="D45" s="21">
        <f t="shared" si="29"/>
        <v>2059643582.1929674</v>
      </c>
      <c r="E45" s="21">
        <f t="shared" si="29"/>
        <v>4067519432.268837</v>
      </c>
      <c r="F45" s="21">
        <f t="shared" si="29"/>
        <v>2050521909.8347154</v>
      </c>
      <c r="G45" s="69">
        <f t="shared" si="29"/>
        <v>1300621909.8347154</v>
      </c>
      <c r="H45" s="24">
        <f>G45+(G45*$L$10)</f>
        <v>2568553577.922719</v>
      </c>
      <c r="I45" s="24">
        <f t="shared" ref="I45:J45" si="30">H45+(H45*$L$10)</f>
        <v>5072548319.2098579</v>
      </c>
      <c r="J45" s="24">
        <f t="shared" si="30"/>
        <v>10017601607.332687</v>
      </c>
    </row>
    <row r="46" spans="1:10" x14ac:dyDescent="0.2">
      <c r="A46" s="2"/>
      <c r="B46" s="1"/>
      <c r="C46" s="1"/>
      <c r="D46" s="1"/>
      <c r="E46" s="1"/>
      <c r="F46" s="1"/>
      <c r="G46" s="3"/>
      <c r="H46" s="1"/>
      <c r="I46" s="1"/>
      <c r="J46" s="3"/>
    </row>
    <row r="47" spans="1:10" x14ac:dyDescent="0.2">
      <c r="A47" s="4" t="s">
        <v>9</v>
      </c>
      <c r="B47" s="1"/>
      <c r="C47" s="1"/>
      <c r="D47" s="1"/>
      <c r="E47" s="1"/>
      <c r="F47" s="1"/>
      <c r="G47" s="3"/>
      <c r="H47" s="1"/>
      <c r="I47" s="1"/>
      <c r="J47" s="3"/>
    </row>
    <row r="48" spans="1:10" x14ac:dyDescent="0.2">
      <c r="A48" s="29" t="s">
        <v>11</v>
      </c>
      <c r="B48" s="20">
        <v>23902950000</v>
      </c>
      <c r="C48" s="20">
        <v>26386200000</v>
      </c>
      <c r="D48" s="20">
        <v>27110800000</v>
      </c>
      <c r="E48" s="20">
        <v>37311200000</v>
      </c>
      <c r="F48" s="20">
        <v>42665100000</v>
      </c>
      <c r="G48" s="3"/>
      <c r="H48" s="1"/>
      <c r="I48" s="1"/>
      <c r="J48" s="3"/>
    </row>
    <row r="49" spans="1:10" x14ac:dyDescent="0.2">
      <c r="A49" s="37" t="s">
        <v>10</v>
      </c>
      <c r="B49" s="21">
        <f t="shared" ref="B49:G49" si="31">B18</f>
        <v>-680547000</v>
      </c>
      <c r="C49" s="21">
        <f t="shared" si="31"/>
        <v>-703400000</v>
      </c>
      <c r="D49" s="21">
        <f t="shared" si="31"/>
        <v>-770900000</v>
      </c>
      <c r="E49" s="21">
        <f t="shared" si="31"/>
        <v>-767400000</v>
      </c>
      <c r="F49" s="21">
        <f t="shared" si="31"/>
        <v>-753800000</v>
      </c>
      <c r="G49" s="69">
        <f t="shared" si="31"/>
        <v>-753800000</v>
      </c>
      <c r="H49" s="1"/>
      <c r="I49" s="1"/>
      <c r="J49" s="3"/>
    </row>
    <row r="50" spans="1:10" x14ac:dyDescent="0.2">
      <c r="A50" s="29" t="s">
        <v>12</v>
      </c>
      <c r="B50" s="33">
        <f>ABS(B49/B48)</f>
        <v>2.8471255639994225E-2</v>
      </c>
      <c r="C50" s="33">
        <f t="shared" ref="C50:F50" si="32">ABS(C49/C48)</f>
        <v>2.6657874191812387E-2</v>
      </c>
      <c r="D50" s="33">
        <f t="shared" si="32"/>
        <v>2.8435162370715729E-2</v>
      </c>
      <c r="E50" s="33">
        <f t="shared" si="32"/>
        <v>2.0567550762237614E-2</v>
      </c>
      <c r="F50" s="33">
        <f t="shared" si="32"/>
        <v>1.7667836240861969E-2</v>
      </c>
      <c r="G50" s="64"/>
      <c r="H50" s="1"/>
      <c r="I50" s="1"/>
      <c r="J50" s="3"/>
    </row>
    <row r="51" spans="1:10" x14ac:dyDescent="0.2">
      <c r="A51" s="29" t="s">
        <v>49</v>
      </c>
      <c r="B51" s="31">
        <v>105.68</v>
      </c>
      <c r="C51" s="31">
        <v>142.66999999999999</v>
      </c>
      <c r="D51" s="31">
        <v>158.19</v>
      </c>
      <c r="E51" s="31">
        <v>229.82</v>
      </c>
      <c r="F51" s="31">
        <v>224.46</v>
      </c>
      <c r="G51" s="67"/>
      <c r="H51" s="1"/>
      <c r="I51" s="1"/>
      <c r="J51" s="3"/>
    </row>
    <row r="52" spans="1:10" x14ac:dyDescent="0.2">
      <c r="A52" s="29" t="s">
        <v>18</v>
      </c>
      <c r="B52" s="54">
        <v>427195037</v>
      </c>
      <c r="C52" s="54">
        <v>428820000</v>
      </c>
      <c r="D52" s="54">
        <v>441060130</v>
      </c>
      <c r="E52" s="54">
        <v>442890000</v>
      </c>
      <c r="F52" s="54">
        <v>444330000</v>
      </c>
      <c r="G52" s="74"/>
      <c r="H52" s="1"/>
      <c r="I52" s="1"/>
      <c r="J52" s="3"/>
    </row>
    <row r="53" spans="1:10" x14ac:dyDescent="0.2">
      <c r="A53" s="29" t="s">
        <v>52</v>
      </c>
      <c r="B53" s="22">
        <f>$L$11</f>
        <v>0.22</v>
      </c>
      <c r="C53" s="22">
        <f t="shared" ref="C53:G53" si="33">$L$11</f>
        <v>0.22</v>
      </c>
      <c r="D53" s="22">
        <f t="shared" si="33"/>
        <v>0.22</v>
      </c>
      <c r="E53" s="22">
        <f t="shared" si="33"/>
        <v>0.22</v>
      </c>
      <c r="F53" s="22">
        <f t="shared" si="33"/>
        <v>0.22</v>
      </c>
      <c r="G53" s="75">
        <f t="shared" si="33"/>
        <v>0.22</v>
      </c>
      <c r="H53" s="1"/>
      <c r="I53" s="1"/>
      <c r="J53" s="3"/>
    </row>
    <row r="54" spans="1:10" x14ac:dyDescent="0.2">
      <c r="A54" s="29" t="s">
        <v>53</v>
      </c>
      <c r="B54" s="35">
        <f>$L$8</f>
        <v>1.4999999999999999E-2</v>
      </c>
      <c r="C54" s="35">
        <f t="shared" ref="C54:G54" si="34">$L$8</f>
        <v>1.4999999999999999E-2</v>
      </c>
      <c r="D54" s="35">
        <f t="shared" si="34"/>
        <v>1.4999999999999999E-2</v>
      </c>
      <c r="E54" s="35">
        <f t="shared" si="34"/>
        <v>1.4999999999999999E-2</v>
      </c>
      <c r="F54" s="35">
        <f t="shared" si="34"/>
        <v>1.4999999999999999E-2</v>
      </c>
      <c r="G54" s="76">
        <f t="shared" si="34"/>
        <v>1.4999999999999999E-2</v>
      </c>
      <c r="H54" s="1"/>
      <c r="I54" s="1"/>
      <c r="J54" s="3"/>
    </row>
    <row r="55" spans="1:10" x14ac:dyDescent="0.2">
      <c r="A55" s="30" t="s">
        <v>17</v>
      </c>
      <c r="B55" s="35">
        <f>B54+(B53*($L$3-$L$8))</f>
        <v>3.3700000000000001E-2</v>
      </c>
      <c r="C55" s="35">
        <f t="shared" ref="C55:G55" si="35">C54+(C53*($L$3-$L$8))</f>
        <v>3.3700000000000001E-2</v>
      </c>
      <c r="D55" s="35">
        <f t="shared" si="35"/>
        <v>3.3700000000000001E-2</v>
      </c>
      <c r="E55" s="35">
        <f t="shared" si="35"/>
        <v>3.3700000000000001E-2</v>
      </c>
      <c r="F55" s="35">
        <f t="shared" si="35"/>
        <v>3.3700000000000001E-2</v>
      </c>
      <c r="G55" s="76">
        <f t="shared" si="35"/>
        <v>3.3700000000000001E-2</v>
      </c>
      <c r="H55" s="1"/>
      <c r="I55" s="1"/>
      <c r="J55" s="3"/>
    </row>
    <row r="56" spans="1:10" x14ac:dyDescent="0.2">
      <c r="A56" s="32" t="s">
        <v>13</v>
      </c>
      <c r="B56" s="21">
        <f t="shared" ref="B56:G56" si="36">B52*B51</f>
        <v>45145971510.160004</v>
      </c>
      <c r="C56" s="21">
        <f t="shared" si="36"/>
        <v>61179749399.999992</v>
      </c>
      <c r="D56" s="21">
        <f t="shared" si="36"/>
        <v>69771301964.699997</v>
      </c>
      <c r="E56" s="21">
        <f t="shared" si="36"/>
        <v>101784979800</v>
      </c>
      <c r="F56" s="21">
        <f t="shared" si="36"/>
        <v>99734311800</v>
      </c>
      <c r="G56" s="69">
        <f t="shared" si="36"/>
        <v>0</v>
      </c>
      <c r="H56" s="1"/>
      <c r="I56" s="1"/>
      <c r="J56" s="3"/>
    </row>
    <row r="57" spans="1:10" x14ac:dyDescent="0.2">
      <c r="A57" t="s">
        <v>33</v>
      </c>
      <c r="B57" s="21">
        <f t="shared" ref="B57:G57" si="37">B56+B48</f>
        <v>69048921510.160004</v>
      </c>
      <c r="C57" s="21">
        <f t="shared" si="37"/>
        <v>87565949400</v>
      </c>
      <c r="D57" s="21">
        <f t="shared" si="37"/>
        <v>96882101964.699997</v>
      </c>
      <c r="E57" s="21">
        <f t="shared" si="37"/>
        <v>139096179800</v>
      </c>
      <c r="F57" s="21">
        <f t="shared" si="37"/>
        <v>142399411800</v>
      </c>
      <c r="G57" s="69">
        <f t="shared" si="37"/>
        <v>0</v>
      </c>
      <c r="H57" s="1"/>
      <c r="I57" s="1"/>
      <c r="J57" s="3"/>
    </row>
    <row r="58" spans="1:10" x14ac:dyDescent="0.2">
      <c r="A58" t="s">
        <v>14</v>
      </c>
      <c r="B58" s="17">
        <f>B56/B57</f>
        <v>0.65382587479685883</v>
      </c>
      <c r="C58" s="17">
        <f t="shared" ref="C58:F58" si="38">C56/C57</f>
        <v>0.69867054282175112</v>
      </c>
      <c r="D58" s="17">
        <f t="shared" si="38"/>
        <v>0.72016709536423862</v>
      </c>
      <c r="E58" s="17">
        <f t="shared" si="38"/>
        <v>0.73175970717780991</v>
      </c>
      <c r="F58" s="17">
        <f t="shared" si="38"/>
        <v>0.70038429610985231</v>
      </c>
      <c r="G58" s="67"/>
      <c r="H58" s="1"/>
      <c r="I58" s="1"/>
      <c r="J58" s="3"/>
    </row>
    <row r="59" spans="1:10" x14ac:dyDescent="0.2">
      <c r="A59" t="s">
        <v>15</v>
      </c>
      <c r="B59" s="17">
        <f>B48/B57</f>
        <v>0.34617412520314123</v>
      </c>
      <c r="C59" s="17">
        <f>C48/C57</f>
        <v>0.30132945717824877</v>
      </c>
      <c r="D59" s="17">
        <f>D48/D57</f>
        <v>0.27983290463576133</v>
      </c>
      <c r="E59" s="17">
        <f>E48/E57</f>
        <v>0.26824029282219009</v>
      </c>
      <c r="F59" s="17">
        <f>F48/F57</f>
        <v>0.29961570389014769</v>
      </c>
      <c r="G59" s="67"/>
      <c r="H59" s="1"/>
      <c r="I59" s="1"/>
      <c r="J59" s="3"/>
    </row>
    <row r="60" spans="1:10" x14ac:dyDescent="0.2">
      <c r="A60" t="s">
        <v>32</v>
      </c>
      <c r="B60" s="34">
        <f>B58*B55</f>
        <v>2.2033931980654144E-2</v>
      </c>
      <c r="C60" s="34">
        <f t="shared" ref="C60:F60" si="39">C58*C55</f>
        <v>2.3545197293093012E-2</v>
      </c>
      <c r="D60" s="34">
        <f t="shared" si="39"/>
        <v>2.4269631113774844E-2</v>
      </c>
      <c r="E60" s="34">
        <f t="shared" si="39"/>
        <v>2.4660302131892194E-2</v>
      </c>
      <c r="F60" s="34">
        <f t="shared" si="39"/>
        <v>2.3602950778902024E-2</v>
      </c>
      <c r="G60" s="77"/>
      <c r="H60" s="1"/>
      <c r="I60" s="1"/>
      <c r="J60" s="3"/>
    </row>
    <row r="61" spans="1:10" x14ac:dyDescent="0.2">
      <c r="A61" t="s">
        <v>31</v>
      </c>
      <c r="B61" s="33">
        <f>B59*B50</f>
        <v>9.8560120146100015E-3</v>
      </c>
      <c r="C61" s="33">
        <f t="shared" ref="C61:F61" si="40">C59*C50</f>
        <v>8.0328027597448733E-3</v>
      </c>
      <c r="D61" s="33">
        <f t="shared" si="40"/>
        <v>7.9570940799868831E-3</v>
      </c>
      <c r="E61" s="33">
        <f t="shared" si="40"/>
        <v>5.5170458390978762E-3</v>
      </c>
      <c r="F61" s="33">
        <f t="shared" si="40"/>
        <v>5.2935611915217199E-3</v>
      </c>
      <c r="G61" s="64"/>
      <c r="H61" s="1"/>
      <c r="I61" s="1"/>
      <c r="J61" s="3"/>
    </row>
    <row r="62" spans="1:10" x14ac:dyDescent="0.2">
      <c r="A62" s="30" t="s">
        <v>9</v>
      </c>
      <c r="B62" s="34">
        <f>B61*(1-B16)+B60</f>
        <v>3.0528655980516427E-2</v>
      </c>
      <c r="C62" s="34">
        <f>C61*(1-C16)+C60</f>
        <v>3.1381672495538172E-2</v>
      </c>
      <c r="D62" s="34">
        <f>D61*(1-D16)+D60</f>
        <v>3.1467955006505052E-2</v>
      </c>
      <c r="E62" s="34">
        <f>E61*(1-E16)+E60</f>
        <v>3.017677219914295E-2</v>
      </c>
      <c r="F62" s="34">
        <f>F61*(1-F16)+F60</f>
        <v>2.8519791564942873E-2</v>
      </c>
      <c r="G62" s="65"/>
      <c r="H62" s="1"/>
      <c r="I62" s="1"/>
      <c r="J62" s="3"/>
    </row>
    <row r="63" spans="1:10" x14ac:dyDescent="0.2">
      <c r="B63" s="1"/>
      <c r="C63" s="1"/>
      <c r="D63" s="1"/>
      <c r="E63" s="1"/>
      <c r="F63" s="1"/>
      <c r="G63" s="3"/>
      <c r="H63" s="1"/>
      <c r="I63" s="1"/>
      <c r="J63" s="3"/>
    </row>
    <row r="64" spans="1:10" x14ac:dyDescent="0.2">
      <c r="B64" s="1"/>
      <c r="C64" s="1"/>
      <c r="D64" s="1"/>
      <c r="E64" s="1"/>
      <c r="F64" s="1"/>
      <c r="G64" s="3"/>
      <c r="H64" s="1"/>
      <c r="I64" s="1"/>
      <c r="J64" s="3"/>
    </row>
    <row r="65" spans="1:10" x14ac:dyDescent="0.2">
      <c r="A65" t="s">
        <v>67</v>
      </c>
      <c r="B65" s="54">
        <f>SUM(H36:J36)</f>
        <v>23877606468.243759</v>
      </c>
      <c r="C65" s="1"/>
      <c r="D65" s="1"/>
      <c r="E65" s="1"/>
      <c r="F65" s="1"/>
      <c r="G65" s="3"/>
      <c r="H65" s="1"/>
      <c r="I65" s="1"/>
      <c r="J65" s="3"/>
    </row>
    <row r="66" spans="1:10" x14ac:dyDescent="0.2">
      <c r="A66" t="s">
        <v>4</v>
      </c>
      <c r="B66" s="21">
        <f>(J36*(1+L4))/(L13-L4)</f>
        <v>113395173529.55594</v>
      </c>
      <c r="C66" s="1"/>
      <c r="D66" s="1"/>
      <c r="E66" s="1"/>
      <c r="F66" s="1"/>
      <c r="G66" s="3"/>
      <c r="H66" s="1"/>
      <c r="I66" s="1"/>
      <c r="J66" s="3"/>
    </row>
    <row r="67" spans="1:10" x14ac:dyDescent="0.2">
      <c r="A67" t="s">
        <v>69</v>
      </c>
      <c r="B67" s="21">
        <f>B66+B65</f>
        <v>137272779997.7997</v>
      </c>
      <c r="C67" s="1"/>
      <c r="D67" s="1"/>
      <c r="E67" s="1"/>
      <c r="F67" s="1"/>
      <c r="G67" s="3"/>
      <c r="H67" s="1"/>
      <c r="I67" s="1"/>
      <c r="J67" s="3"/>
    </row>
    <row r="68" spans="1:10" x14ac:dyDescent="0.2">
      <c r="A68" t="s">
        <v>70</v>
      </c>
      <c r="B68" s="59">
        <f>B67/F52</f>
        <v>308.94330789683278</v>
      </c>
      <c r="C68" s="1"/>
      <c r="D68" s="1"/>
      <c r="E68" s="1"/>
      <c r="F68" s="1"/>
      <c r="G68" s="3"/>
      <c r="H68" s="1"/>
      <c r="I68" s="1"/>
      <c r="J68" s="3"/>
    </row>
    <row r="69" spans="1:10" x14ac:dyDescent="0.2">
      <c r="B69" s="1"/>
      <c r="C69" s="1"/>
      <c r="D69" s="1"/>
      <c r="E69" s="1"/>
      <c r="F69" s="1"/>
      <c r="G69" s="3"/>
      <c r="H69" s="1"/>
      <c r="I69" s="1"/>
      <c r="J69" s="3"/>
    </row>
    <row r="70" spans="1:10" x14ac:dyDescent="0.2">
      <c r="B70" s="1"/>
      <c r="C70" s="1"/>
      <c r="D70" s="1"/>
      <c r="E70" s="1"/>
      <c r="F70" s="1"/>
      <c r="G70" s="3"/>
      <c r="H70" s="1"/>
      <c r="I70" s="1"/>
      <c r="J70" s="3"/>
    </row>
    <row r="71" spans="1:10" x14ac:dyDescent="0.2">
      <c r="B71" s="1"/>
      <c r="C71" s="1"/>
      <c r="D71" s="1"/>
      <c r="E71" s="1"/>
      <c r="F71" s="1"/>
      <c r="G71" s="3"/>
      <c r="H71" s="1"/>
      <c r="I71" s="1"/>
      <c r="J71" s="3"/>
    </row>
    <row r="72" spans="1:10" x14ac:dyDescent="0.2">
      <c r="A72" s="7" t="s">
        <v>39</v>
      </c>
      <c r="B72" s="1"/>
      <c r="C72" s="1"/>
      <c r="D72" s="1"/>
      <c r="E72" s="1"/>
      <c r="F72" s="1"/>
      <c r="G72" s="3"/>
      <c r="H72" s="1"/>
      <c r="I72" s="1"/>
      <c r="J72" s="3"/>
    </row>
    <row r="73" spans="1:10" x14ac:dyDescent="0.2">
      <c r="A73" t="s">
        <v>54</v>
      </c>
      <c r="C73" t="s">
        <v>50</v>
      </c>
    </row>
    <row r="74" spans="1:10" x14ac:dyDescent="0.2">
      <c r="A74" t="s">
        <v>55</v>
      </c>
    </row>
    <row r="75" spans="1:10" x14ac:dyDescent="0.2">
      <c r="A75" t="s">
        <v>56</v>
      </c>
      <c r="G75" s="44" t="s">
        <v>57</v>
      </c>
    </row>
    <row r="76" spans="1:10" x14ac:dyDescent="0.2">
      <c r="A76" t="s">
        <v>71</v>
      </c>
    </row>
  </sheetData>
  <mergeCells count="1">
    <mergeCell ref="K1:L2"/>
  </mergeCells>
  <conditionalFormatting sqref="A35:A38 A45 C4:J6 B4:B23 C8:J23 B24:J33 C34:J34 B35:J45">
    <cfRule type="expression" dxfId="5" priority="9">
      <formula>MOD(ROW(),2)=0</formula>
    </cfRule>
  </conditionalFormatting>
  <conditionalFormatting sqref="C48:J48 H49:J49 B48:B50 C50:J50 B51:J62">
    <cfRule type="expression" dxfId="4" priority="8">
      <formula>MOD(ROW(), 2)=0</formula>
    </cfRule>
  </conditionalFormatting>
  <conditionalFormatting sqref="K3:L4 K6:K7 K11 L5:L10">
    <cfRule type="expression" dxfId="3" priority="7">
      <formula>MOD(ROW(),2)=0</formula>
    </cfRule>
  </conditionalFormatting>
  <conditionalFormatting sqref="C7:J7">
    <cfRule type="expression" dxfId="2" priority="6">
      <formula>MOD(ROW(),2)=0</formula>
    </cfRule>
  </conditionalFormatting>
  <conditionalFormatting sqref="C49:G49">
    <cfRule type="expression" dxfId="1" priority="5">
      <formula>MOD(ROW(), 2)=0</formula>
    </cfRule>
  </conditionalFormatting>
  <conditionalFormatting sqref="K3:L7 K11:K12 L8:L10">
    <cfRule type="expression" dxfId="0" priority="4">
      <formula>MOD(ROW(),2)=0</formula>
    </cfRule>
  </conditionalFormatting>
  <pageMargins left="0.7" right="0.7" top="0.75" bottom="0.75" header="0.3" footer="0.3"/>
  <pageSetup orientation="portrait" r:id="rId1"/>
  <ignoredErrors>
    <ignoredError sqref="G2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 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2021-03-08T20:14:13Z</dcterms:created>
  <dcterms:modified xsi:type="dcterms:W3CDTF">2021-03-10T04:27:30Z</dcterms:modified>
</cp:coreProperties>
</file>