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nds/Documents/Finance/sector methodologies (moodys)/"/>
    </mc:Choice>
  </mc:AlternateContent>
  <xr:revisionPtr revIDLastSave="0" documentId="13_ncr:1_{0BF0B604-9E4E-5F42-8E8B-662F3BBB64BC}" xr6:coauthVersionLast="46" xr6:coauthVersionMax="46" xr10:uidLastSave="{00000000-0000-0000-0000-000000000000}"/>
  <bookViews>
    <workbookView xWindow="60" yWindow="560" windowWidth="28740" windowHeight="17440" activeTab="1" xr2:uid="{D3256B55-AEBD-4094-A4B2-1BB12F7BE981}"/>
  </bookViews>
  <sheets>
    <sheet name="Scorecard" sheetId="2" r:id="rId1"/>
    <sheet name="Ratings" sheetId="1" r:id="rId2"/>
    <sheet name="Financials" sheetId="4" r:id="rId3"/>
    <sheet name="Qualitative Facto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/>
  <c r="B11" i="1"/>
  <c r="B12" i="1"/>
  <c r="B13" i="1"/>
  <c r="B14" i="1"/>
  <c r="B15" i="1"/>
  <c r="B16" i="1"/>
  <c r="B17" i="1"/>
  <c r="B8" i="1"/>
  <c r="E14" i="4"/>
  <c r="E13" i="4"/>
  <c r="E16" i="4"/>
  <c r="E15" i="4"/>
  <c r="E7" i="4"/>
  <c r="E12" i="4"/>
  <c r="E10" i="4"/>
  <c r="E9" i="4"/>
  <c r="E8" i="4"/>
  <c r="E11" i="4"/>
  <c r="Q6" i="2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F13" i="2"/>
  <c r="L17" i="1" l="1"/>
  <c r="M17" i="1" s="1" a="1"/>
  <c r="M17" i="1" s="1"/>
  <c r="L13" i="1"/>
  <c r="M13" i="1" s="1" a="1"/>
  <c r="M13" i="1" s="1"/>
  <c r="P15" i="1"/>
  <c r="P8" i="1"/>
  <c r="J14" i="1"/>
  <c r="K14" i="1" s="1" a="1"/>
  <c r="K14" i="1" s="1"/>
  <c r="J10" i="1"/>
  <c r="K10" i="1" s="1" a="1"/>
  <c r="K10" i="1" s="1"/>
  <c r="L9" i="1"/>
  <c r="M9" i="1" s="1" a="1"/>
  <c r="M9" i="1" s="1"/>
  <c r="P11" i="1"/>
  <c r="N16" i="1"/>
  <c r="O16" i="1" s="1" a="1"/>
  <c r="O16" i="1" s="1"/>
  <c r="N12" i="1"/>
  <c r="O12" i="1" s="1" a="1"/>
  <c r="O12" i="1" s="1"/>
  <c r="H14" i="1"/>
  <c r="I14" i="1" s="1" a="1"/>
  <c r="I14" i="1" s="1"/>
  <c r="L8" i="1"/>
  <c r="M8" i="1" s="1" a="1"/>
  <c r="M8" i="1" s="1"/>
  <c r="N11" i="1"/>
  <c r="O11" i="1" s="1" a="1"/>
  <c r="O11" i="1" s="1"/>
  <c r="P17" i="1"/>
  <c r="J17" i="1"/>
  <c r="K17" i="1" s="1" a="1"/>
  <c r="K17" i="1" s="1"/>
  <c r="N17" i="1"/>
  <c r="O17" i="1" s="1" a="1"/>
  <c r="O17" i="1" s="1"/>
  <c r="N10" i="1"/>
  <c r="O10" i="1" s="1" a="1"/>
  <c r="O10" i="1" s="1"/>
  <c r="P14" i="1"/>
  <c r="H8" i="1"/>
  <c r="I8" i="1" s="1" a="1"/>
  <c r="I8" i="1" s="1"/>
  <c r="J13" i="1"/>
  <c r="K13" i="1" s="1" a="1"/>
  <c r="K13" i="1" s="1"/>
  <c r="N15" i="1"/>
  <c r="O15" i="1" s="1" a="1"/>
  <c r="O15" i="1" s="1"/>
  <c r="N9" i="1"/>
  <c r="O9" i="1" s="1" a="1"/>
  <c r="O9" i="1" s="1"/>
  <c r="P13" i="1"/>
  <c r="H10" i="1"/>
  <c r="I10" i="1" s="1" a="1"/>
  <c r="I10" i="1" s="1"/>
  <c r="J9" i="1"/>
  <c r="K9" i="1" s="1" a="1"/>
  <c r="K9" i="1" s="1"/>
  <c r="N13" i="1"/>
  <c r="O13" i="1" s="1" a="1"/>
  <c r="O13" i="1" s="1"/>
  <c r="N8" i="1"/>
  <c r="O8" i="1" s="1" a="1"/>
  <c r="O8" i="1" s="1"/>
  <c r="P10" i="1"/>
  <c r="L16" i="1"/>
  <c r="M16" i="1" s="1" a="1"/>
  <c r="M16" i="1" s="1"/>
  <c r="J12" i="1"/>
  <c r="K12" i="1" s="1" a="1"/>
  <c r="K12" i="1" s="1"/>
  <c r="L11" i="1"/>
  <c r="M11" i="1" s="1" a="1"/>
  <c r="M11" i="1" s="1"/>
  <c r="N14" i="1"/>
  <c r="O14" i="1" s="1" a="1"/>
  <c r="O14" i="1" s="1"/>
  <c r="P9" i="1"/>
  <c r="L12" i="1"/>
  <c r="M12" i="1" s="1" a="1"/>
  <c r="M12" i="1" s="1"/>
  <c r="H11" i="1"/>
  <c r="I11" i="1" s="1" a="1"/>
  <c r="I11" i="1" s="1"/>
  <c r="J16" i="1"/>
  <c r="K16" i="1" s="1" a="1"/>
  <c r="K16" i="1" s="1"/>
  <c r="L15" i="1"/>
  <c r="M15" i="1" s="1" a="1"/>
  <c r="M15" i="1" s="1"/>
  <c r="J15" i="1"/>
  <c r="K15" i="1" s="1" a="1"/>
  <c r="K15" i="1" s="1"/>
  <c r="H15" i="1"/>
  <c r="I15" i="1" s="1" a="1"/>
  <c r="I15" i="1" s="1"/>
  <c r="H12" i="1"/>
  <c r="I12" i="1" s="1" a="1"/>
  <c r="I12" i="1" s="1"/>
  <c r="H16" i="1"/>
  <c r="I16" i="1" s="1" a="1"/>
  <c r="I16" i="1" s="1"/>
  <c r="J11" i="1"/>
  <c r="K11" i="1" s="1" a="1"/>
  <c r="K11" i="1" s="1"/>
  <c r="J8" i="1"/>
  <c r="K8" i="1" s="1" a="1"/>
  <c r="K8" i="1" s="1"/>
  <c r="L14" i="1"/>
  <c r="M14" i="1" s="1" a="1"/>
  <c r="M14" i="1" s="1"/>
  <c r="L10" i="1"/>
  <c r="M10" i="1" s="1" a="1"/>
  <c r="M10" i="1" s="1"/>
  <c r="P16" i="1"/>
  <c r="P12" i="1"/>
  <c r="H9" i="1"/>
  <c r="I9" i="1" s="1" a="1"/>
  <c r="I9" i="1" s="1"/>
  <c r="H13" i="1"/>
  <c r="I13" i="1" s="1" a="1"/>
  <c r="I13" i="1" s="1"/>
  <c r="H17" i="1"/>
  <c r="I17" i="1" s="1" a="1"/>
  <c r="I17" i="1" s="1"/>
  <c r="D8" i="1"/>
  <c r="E8" i="1" s="1" a="1"/>
  <c r="E8" i="1" s="1"/>
  <c r="D13" i="1"/>
  <c r="E13" i="1" s="1" a="1"/>
  <c r="E13" i="1" s="1"/>
  <c r="D14" i="1"/>
  <c r="E14" i="1" s="1" a="1"/>
  <c r="E14" i="1" s="1"/>
  <c r="D12" i="1"/>
  <c r="E12" i="1" s="1" a="1"/>
  <c r="E12" i="1" s="1"/>
  <c r="D10" i="1"/>
  <c r="E10" i="1" s="1" a="1"/>
  <c r="E10" i="1" s="1"/>
  <c r="D17" i="1"/>
  <c r="E17" i="1" s="1" a="1"/>
  <c r="E17" i="1" s="1"/>
  <c r="D9" i="1"/>
  <c r="E9" i="1" s="1" a="1"/>
  <c r="E9" i="1" s="1"/>
  <c r="D11" i="1"/>
  <c r="E11" i="1" s="1" a="1"/>
  <c r="E11" i="1" s="1"/>
  <c r="D16" i="1"/>
  <c r="E16" i="1" s="1" a="1"/>
  <c r="E16" i="1" s="1"/>
  <c r="D15" i="1"/>
  <c r="E15" i="1" s="1" a="1"/>
  <c r="E15" i="1" s="1"/>
  <c r="Q16" i="1" l="1" a="1"/>
  <c r="Q16" i="1" s="1"/>
  <c r="Q17" i="1" a="1"/>
  <c r="Q17" i="1" s="1"/>
  <c r="Q12" i="1" a="1"/>
  <c r="Q12" i="1" s="1"/>
  <c r="Q9" i="1" a="1"/>
  <c r="Q9" i="1" s="1"/>
  <c r="Q13" i="1" a="1"/>
  <c r="Q13" i="1" s="1"/>
  <c r="Q11" i="1" a="1"/>
  <c r="Q11" i="1" s="1"/>
  <c r="Q8" i="1" a="1"/>
  <c r="Q8" i="1" s="1"/>
  <c r="Q14" i="1" a="1"/>
  <c r="Q14" i="1" s="1"/>
  <c r="Q15" i="1" a="1"/>
  <c r="Q15" i="1" s="1"/>
  <c r="Q10" i="1" a="1"/>
  <c r="Q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<sst xmlns="http://schemas.openxmlformats.org/spreadsheetml/2006/main" count="148" uniqueCount="87">
  <si>
    <t>Revenue</t>
  </si>
  <si>
    <t>Scale</t>
  </si>
  <si>
    <t>Buisness Profile</t>
  </si>
  <si>
    <t>Profitability</t>
  </si>
  <si>
    <t>(EBITDA-Capex) / Revenue</t>
  </si>
  <si>
    <t>Debt / EBITDA</t>
  </si>
  <si>
    <t>FCF / Debt</t>
  </si>
  <si>
    <t>EBIT / Interest Expense</t>
  </si>
  <si>
    <t>Leverage &amp; Coverage</t>
  </si>
  <si>
    <t>Financial Policy</t>
  </si>
  <si>
    <t>NVDA</t>
  </si>
  <si>
    <t>AMD</t>
  </si>
  <si>
    <t>LRCX</t>
  </si>
  <si>
    <t>KLAC</t>
  </si>
  <si>
    <t>Aaa</t>
  </si>
  <si>
    <t>Aa</t>
  </si>
  <si>
    <t>A</t>
  </si>
  <si>
    <t>Baa</t>
  </si>
  <si>
    <t>Ba</t>
  </si>
  <si>
    <t>B</t>
  </si>
  <si>
    <t>Caa</t>
  </si>
  <si>
    <t>Ca</t>
  </si>
  <si>
    <t>&gt;</t>
  </si>
  <si>
    <t>Revenue ($, B)</t>
  </si>
  <si>
    <t>&lt;</t>
  </si>
  <si>
    <t>Business Profile</t>
  </si>
  <si>
    <t>EBITDA Margin</t>
  </si>
  <si>
    <t>Sub-factor weighting</t>
  </si>
  <si>
    <t>-</t>
  </si>
  <si>
    <t>Column1</t>
  </si>
  <si>
    <t>Symbols</t>
  </si>
  <si>
    <t>QCOM</t>
  </si>
  <si>
    <t>NXPI</t>
  </si>
  <si>
    <t>TXN</t>
  </si>
  <si>
    <t>AMAT</t>
  </si>
  <si>
    <t>MU</t>
  </si>
  <si>
    <t>AVGO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</si>
  <si>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</si>
  <si>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</si>
  <si>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</si>
  <si>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</si>
  <si>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</si>
  <si>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</si>
  <si>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</si>
  <si>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</si>
  <si>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</si>
  <si>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</si>
  <si>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</si>
  <si>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</si>
  <si>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</si>
  <si>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</si>
  <si>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</si>
  <si>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</si>
  <si>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</si>
  <si>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</si>
  <si>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</t>
  </si>
  <si>
    <t>Rating</t>
  </si>
  <si>
    <t>Moodys Rating Methodology Scorecard</t>
  </si>
  <si>
    <t>Aggregate Score Rating</t>
  </si>
  <si>
    <t>Semiconductors</t>
  </si>
  <si>
    <t>EBITDA</t>
  </si>
  <si>
    <t>TTM ($, B)</t>
  </si>
  <si>
    <t>Capex</t>
  </si>
  <si>
    <t>Debt</t>
  </si>
  <si>
    <t>FCF</t>
  </si>
  <si>
    <t>EBIT</t>
  </si>
  <si>
    <t>Interest Expense</t>
  </si>
  <si>
    <t>Universe</t>
  </si>
  <si>
    <t>R0</t>
  </si>
  <si>
    <t>R1</t>
  </si>
  <si>
    <t>R2</t>
  </si>
  <si>
    <t>R3</t>
  </si>
  <si>
    <t>R4</t>
  </si>
  <si>
    <t>R5</t>
  </si>
  <si>
    <t>R6</t>
  </si>
  <si>
    <t>(EBITDA - Capex) / Revenue</t>
  </si>
  <si>
    <t>R7</t>
  </si>
  <si>
    <t>Value</t>
  </si>
  <si>
    <t>Overall Score</t>
  </si>
  <si>
    <t xml:space="preserve">Aa </t>
  </si>
  <si>
    <t xml:space="preserve">A </t>
  </si>
  <si>
    <t xml:space="preserve">Baa </t>
  </si>
  <si>
    <t xml:space="preserve">Ba </t>
  </si>
  <si>
    <t xml:space="preserve">Caa </t>
  </si>
  <si>
    <t xml:space="preserve">Ca </t>
  </si>
  <si>
    <t>Overall</t>
  </si>
  <si>
    <t>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</si>
</sst>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\x"/>
    <numFmt numFmtId="166" formatCode="_(&quot;$&quot;* #,##0.000_);_(&quot;$&quot;* \(#,##0.000\);_(&quot;$&quot;* &quot;-&quot;??_);_(@_)"/>
    <numFmt numFmtId="167" formatCode="0.00\x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5">
    <xf numFmtId="0" fontId="0" fillId="0" borderId="0" xfId="0"/>
    <xf numFmtId="44" fontId="0" fillId="0" borderId="0" xfId="3" applyFont="1"/>
    <xf numFmtId="0" fontId="0" fillId="0" borderId="0" xfId="0" applyAlignment="1">
      <alignment horizontal="center" wrapText="1"/>
    </xf>
    <xf numFmtId="9" fontId="0" fillId="0" borderId="2" xfId="1" applyFont="1" applyBorder="1" applyAlignment="1">
      <alignment horizontal="center" wrapText="1"/>
    </xf>
    <xf numFmtId="44" fontId="0" fillId="0" borderId="3" xfId="3" applyFont="1" applyBorder="1" applyAlignment="1">
      <alignment horizontal="center" wrapText="1"/>
    </xf>
    <xf numFmtId="44" fontId="0" fillId="0" borderId="4" xfId="3" applyFont="1" applyBorder="1" applyAlignment="1">
      <alignment horizontal="center" wrapText="1"/>
    </xf>
    <xf numFmtId="9" fontId="0" fillId="0" borderId="5" xfId="1" applyFont="1" applyBorder="1" applyAlignment="1">
      <alignment horizontal="center" wrapText="1"/>
    </xf>
    <xf numFmtId="9" fontId="0" fillId="0" borderId="0" xfId="1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9" fontId="0" fillId="0" borderId="6" xfId="1" applyFont="1" applyBorder="1" applyAlignment="1">
      <alignment horizontal="center" wrapText="1"/>
    </xf>
    <xf numFmtId="165" fontId="0" fillId="0" borderId="0" xfId="0" applyNumberFormat="1" applyBorder="1" applyAlignment="1">
      <alignment horizontal="center" wrapText="1"/>
    </xf>
    <xf numFmtId="165" fontId="0" fillId="0" borderId="6" xfId="0" applyNumberFormat="1" applyBorder="1" applyAlignment="1">
      <alignment horizontal="center" wrapText="1"/>
    </xf>
    <xf numFmtId="164" fontId="0" fillId="0" borderId="0" xfId="1" applyNumberFormat="1" applyFont="1" applyBorder="1" applyAlignment="1">
      <alignment horizontal="center" wrapText="1"/>
    </xf>
    <xf numFmtId="9" fontId="0" fillId="0" borderId="1" xfId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9" fontId="2" fillId="0" borderId="2" xfId="1" applyFont="1" applyBorder="1" applyAlignment="1">
      <alignment horizontal="center" wrapText="1"/>
    </xf>
    <xf numFmtId="0" fontId="0" fillId="5" borderId="0" xfId="0" applyFill="1"/>
    <xf numFmtId="9" fontId="0" fillId="0" borderId="0" xfId="1" applyFont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9" fontId="2" fillId="0" borderId="3" xfId="1" applyFont="1" applyBorder="1" applyAlignment="1">
      <alignment horizontal="center" vertical="center" wrapText="1"/>
    </xf>
    <xf numFmtId="43" fontId="0" fillId="0" borderId="0" xfId="2" applyFo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9" fontId="2" fillId="0" borderId="13" xfId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9" fontId="0" fillId="0" borderId="19" xfId="1" applyFont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0" xfId="0" applyAlignment="1">
      <alignment horizontal="center" vertical="center"/>
    </xf>
    <xf numFmtId="9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167" fontId="0" fillId="0" borderId="0" xfId="1" applyNumberFormat="1" applyFont="1" applyBorder="1" applyAlignment="1">
      <alignment horizontal="center" wrapText="1"/>
    </xf>
    <xf numFmtId="9" fontId="0" fillId="0" borderId="3" xfId="1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4" borderId="22" xfId="0" applyFill="1" applyBorder="1" applyAlignment="1">
      <alignment horizontal="center" vertical="center"/>
    </xf>
    <xf numFmtId="43" fontId="0" fillId="4" borderId="22" xfId="2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16" xfId="0" applyBorder="1"/>
    <xf numFmtId="0" fontId="0" fillId="0" borderId="0" xfId="0" applyBorder="1"/>
    <xf numFmtId="164" fontId="0" fillId="0" borderId="0" xfId="1" applyNumberFormat="1" applyFont="1" applyBorder="1"/>
    <xf numFmtId="165" fontId="0" fillId="0" borderId="0" xfId="1" applyNumberFormat="1" applyFont="1" applyBorder="1"/>
    <xf numFmtId="9" fontId="0" fillId="0" borderId="0" xfId="1" applyFont="1" applyBorder="1"/>
    <xf numFmtId="0" fontId="0" fillId="0" borderId="16" xfId="0" applyBorder="1" applyAlignment="1">
      <alignment horizontal="center"/>
    </xf>
    <xf numFmtId="44" fontId="0" fillId="0" borderId="0" xfId="3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19" xfId="3" applyFont="1" applyBorder="1" applyAlignment="1">
      <alignment horizontal="center"/>
    </xf>
    <xf numFmtId="0" fontId="0" fillId="0" borderId="19" xfId="0" applyBorder="1" applyAlignment="1">
      <alignment horizontal="center"/>
    </xf>
    <xf numFmtId="164" fontId="0" fillId="0" borderId="19" xfId="1" applyNumberFormat="1" applyFont="1" applyBorder="1" applyAlignment="1">
      <alignment horizontal="center"/>
    </xf>
    <xf numFmtId="165" fontId="0" fillId="0" borderId="19" xfId="1" applyNumberFormat="1" applyFont="1" applyBorder="1" applyAlignment="1">
      <alignment horizontal="center"/>
    </xf>
    <xf numFmtId="9" fontId="0" fillId="0" borderId="19" xfId="1" applyFont="1" applyBorder="1" applyAlignment="1">
      <alignment horizontal="center"/>
    </xf>
    <xf numFmtId="44" fontId="0" fillId="0" borderId="10" xfId="3" applyFont="1" applyBorder="1" applyAlignment="1"/>
    <xf numFmtId="44" fontId="0" fillId="0" borderId="22" xfId="3" applyFont="1" applyBorder="1" applyAlignment="1"/>
    <xf numFmtId="44" fontId="0" fillId="0" borderId="22" xfId="3" applyFont="1" applyBorder="1"/>
    <xf numFmtId="44" fontId="0" fillId="0" borderId="23" xfId="3" applyFont="1" applyBorder="1"/>
    <xf numFmtId="44" fontId="0" fillId="0" borderId="0" xfId="3" applyFont="1" applyBorder="1"/>
    <xf numFmtId="44" fontId="0" fillId="0" borderId="15" xfId="3" applyFont="1" applyBorder="1"/>
    <xf numFmtId="166" fontId="0" fillId="0" borderId="0" xfId="3" applyNumberFormat="1" applyFont="1" applyBorder="1" applyAlignment="1">
      <alignment horizontal="center"/>
    </xf>
    <xf numFmtId="166" fontId="0" fillId="0" borderId="15" xfId="3" applyNumberFormat="1" applyFont="1" applyBorder="1" applyAlignment="1">
      <alignment horizontal="center"/>
    </xf>
    <xf numFmtId="166" fontId="0" fillId="0" borderId="19" xfId="3" applyNumberFormat="1" applyFont="1" applyBorder="1" applyAlignment="1">
      <alignment horizontal="center"/>
    </xf>
    <xf numFmtId="166" fontId="0" fillId="0" borderId="21" xfId="3" applyNumberFormat="1" applyFont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0" xfId="0" applyFill="1" applyBorder="1"/>
    <xf numFmtId="43" fontId="0" fillId="6" borderId="0" xfId="2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43" fontId="0" fillId="6" borderId="19" xfId="2" applyFont="1" applyFill="1" applyBorder="1" applyAlignment="1">
      <alignment horizontal="center"/>
    </xf>
    <xf numFmtId="43" fontId="0" fillId="6" borderId="0" xfId="2" quotePrefix="1" applyFont="1" applyFill="1" applyBorder="1"/>
    <xf numFmtId="9" fontId="0" fillId="6" borderId="22" xfId="1" applyFont="1" applyFill="1" applyBorder="1" applyAlignment="1">
      <alignment horizontal="center" vertical="center"/>
    </xf>
    <xf numFmtId="0" fontId="0" fillId="6" borderId="15" xfId="0" applyFill="1" applyBorder="1"/>
    <xf numFmtId="43" fontId="0" fillId="6" borderId="15" xfId="2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5" xfId="0" applyFill="1" applyBorder="1" applyAlignment="1">
      <alignment horizontal="center" vertical="center"/>
    </xf>
    <xf numFmtId="9" fontId="0" fillId="6" borderId="26" xfId="1" applyFont="1" applyFill="1" applyBorder="1" applyAlignment="1">
      <alignment horizontal="center" vertical="center"/>
    </xf>
    <xf numFmtId="43" fontId="0" fillId="6" borderId="26" xfId="2" applyFont="1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9" fontId="0" fillId="6" borderId="13" xfId="1" applyFont="1" applyFill="1" applyBorder="1" applyAlignment="1">
      <alignment horizontal="center" vertical="center"/>
    </xf>
    <xf numFmtId="9" fontId="2" fillId="0" borderId="26" xfId="1" applyFont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/>
    </xf>
    <xf numFmtId="9" fontId="0" fillId="6" borderId="26" xfId="0" applyNumberFormat="1" applyFill="1" applyBorder="1" applyAlignment="1">
      <alignment horizontal="center" vertical="center"/>
    </xf>
    <xf numFmtId="9" fontId="0" fillId="4" borderId="11" xfId="1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9" fontId="0" fillId="6" borderId="26" xfId="1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4" borderId="29" xfId="0" applyFill="1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 wrapText="1"/>
    </xf>
    <xf numFmtId="9" fontId="0" fillId="7" borderId="8" xfId="1" applyFont="1" applyFill="1" applyBorder="1" applyAlignment="1">
      <alignment horizontal="center" wrapText="1"/>
    </xf>
    <xf numFmtId="9" fontId="0" fillId="7" borderId="2" xfId="1" applyFont="1" applyFill="1" applyBorder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0" fillId="7" borderId="16" xfId="0" applyFill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32">
    <dxf>
      <numFmt numFmtId="166" formatCode="_(&quot;$&quot;* #,##0.000_);_(&quot;$&quot;* \(#,##0.000\);_(&quot;$&quot;* &quot;-&quot;??_);_(@_)"/>
      <alignment horizontal="center" vertical="bottom" textRotation="0" wrapText="0" indent="0" justifyLastLine="0" shrinkToFit="0" readingOrder="0"/>
    </dxf>
    <dxf>
      <numFmt numFmtId="166" formatCode="_(&quot;$&quot;* #,##0.000_);_(&quot;$&quot;* \(#,##0.000\);_(&quot;$&quot;* &quot;-&quot;??_);_(@_)"/>
      <alignment horizontal="center" vertical="bottom" textRotation="0" wrapText="0" indent="0" justifyLastLine="0" shrinkToFit="0" readingOrder="0"/>
    </dxf>
    <dxf>
      <numFmt numFmtId="166" formatCode="_(&quot;$&quot;* #,##0.000_);_(&quot;$&quot;* \(#,##0.000\);_(&quot;$&quot;* &quot;-&quot;??_);_(@_)"/>
      <alignment horizontal="center" vertical="bottom" textRotation="0" wrapText="0" indent="0" justifyLastLine="0" shrinkToFit="0" readingOrder="0"/>
    </dxf>
    <dxf>
      <numFmt numFmtId="166" formatCode="_(&quot;$&quot;* #,##0.000_);_(&quot;$&quot;* \(#,##0.000\);_(&quot;$&quot;* &quot;-&quot;??_);_(@_)"/>
      <alignment horizontal="center" vertical="bottom" textRotation="0" wrapText="0" indent="0" justifyLastLine="0" shrinkToFit="0" readingOrder="0"/>
    </dxf>
    <dxf>
      <numFmt numFmtId="166" formatCode="_(&quot;$&quot;* #,##0.000_);_(&quot;$&quot;* \(#,##0.000\);_(&quot;$&quot;* &quot;-&quot;??_);_(@_)"/>
      <alignment horizontal="center" vertical="bottom" textRotation="0" wrapText="0" indent="0" justifyLastLine="0" shrinkToFit="0" readingOrder="0"/>
    </dxf>
    <dxf>
      <numFmt numFmtId="166" formatCode="_(&quot;$&quot;* #,##0.000_);_(&quot;$&quot;* \(#,##0.000\);_(&quot;$&quot;* &quot;-&quot;??_);_(@_)"/>
      <alignment horizontal="center" vertical="bottom" textRotation="0" wrapText="0" indent="0" justifyLastLine="0" shrinkToFit="0" readingOrder="0"/>
    </dxf>
    <dxf>
      <numFmt numFmtId="166" formatCode="_(&quot;$&quot;* #,##0.000_);_(&quot;$&quot;* \(#,##0.000\);_(&quot;$&quot;* &quot;-&quot;??_);_(@_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numFmt numFmtId="165" formatCode="0.0\x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numFmt numFmtId="165" formatCode="0.0\x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numFmt numFmtId="164" formatCode="0.0%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152400</xdr:rowOff>
    </xdr:from>
    <xdr:to>
      <xdr:col>13</xdr:col>
      <xdr:colOff>659355</xdr:colOff>
      <xdr:row>27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DA3ACC-5DBF-438E-870E-C8EDBB589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95400"/>
          <a:ext cx="9409655" cy="386080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457200</xdr:colOff>
      <xdr:row>5</xdr:row>
      <xdr:rowOff>179340</xdr:rowOff>
    </xdr:from>
    <xdr:to>
      <xdr:col>26</xdr:col>
      <xdr:colOff>104013</xdr:colOff>
      <xdr:row>27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D1BC90-3C98-4C9D-BB9A-648C6D61A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7500" y="1131840"/>
          <a:ext cx="8397113" cy="41386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46EB4A-0AB9-4817-AA68-AAA677DFF284}" name="Table2" displayName="Table2" ref="B7:S17" totalsRowShown="0" dataDxfId="27">
  <autoFilter ref="B7:S17" xr:uid="{89736086-B931-4A9D-BE92-11C133D2BA0C}"/>
  <sortState xmlns:xlrd2="http://schemas.microsoft.com/office/spreadsheetml/2017/richdata2" ref="B8:S17">
    <sortCondition ref="D7:D17"/>
  </sortState>
  <tableColumns count="18">
    <tableColumn id="1" xr3:uid="{4272E14D-9CBF-4F77-BFD6-891AAC6DD285}" name="Symbols" dataDxfId="26">
      <calculatedColumnFormula>IF(Scorecard!E15=0,"",Scorecard!E15)</calculatedColumnFormula>
    </tableColumn>
    <tableColumn id="18" xr3:uid="{045F6CB2-1213-BC40-A6DC-67129273119F}" name="Column1" dataDxfId="25"/>
    <tableColumn id="2" xr3:uid="{E40B61E6-5407-46C9-B172-A8EFE36DFB5A}" name="Revenue" dataDxfId="24" dataCellStyle="Currency">
      <calculatedColumnFormula>VLOOKUP(Table2[[#This Row],[Symbols]],FinancialsTable[#All],2,FALSE)</calculatedColumnFormula>
    </tableColumn>
    <tableColumn id="11" xr3:uid="{2BCB41B7-CB2A-4EE9-913C-093BBBC8A69D}" name="R0" dataDxfId="23" dataCellStyle="Comma">
      <calculatedColumnFormula array="1">INDEX(TRANSPOSE(Scorecard!$H$4:$O$4), MATCH(Table2[[#This Row],[Revenue]],Scorecard!$H$5:$N$5,-1),0)</calculatedColumnFormula>
    </tableColumn>
    <tableColumn id="3" xr3:uid="{3727E637-A9C6-4C1B-8661-6891F7246A0F}" name="Buisness Profile" dataDxfId="22"/>
    <tableColumn id="12" xr3:uid="{621CE2AD-8721-8549-A520-ACA8153252EE}" name="R1" dataDxfId="21"/>
    <tableColumn id="4" xr3:uid="{D898AB45-3AF8-4DB6-B7E5-C221513406A7}" name="EBITDA Margin" dataDxfId="20" dataCellStyle="Percent">
      <calculatedColumnFormula>IFERROR(VLOOKUP(Table2[[#This Row],[Symbols]],FinancialsTable[#All],3,0) / VLOOKUP(Table2[[#This Row],[Symbols]],FinancialsTable[#All],2,0), "")</calculatedColumnFormula>
    </tableColumn>
    <tableColumn id="13" xr3:uid="{B8B64396-41C7-4061-B450-D1A1B4961D70}" name="R2" dataDxfId="19">
      <calculatedColumnFormula array="1">INDEX(TRANSPOSE(Scorecard!$H$4:$O$4), MATCH(Table2[[#This Row],[EBITDA Margin]],Scorecard!$H$7:$O$7,-1),0)</calculatedColumnFormula>
    </tableColumn>
    <tableColumn id="5" xr3:uid="{D09322BC-7EFE-418C-A8DA-A3AA52F32125}" name="(EBITDA-Capex) / Revenue" dataDxfId="18" dataCellStyle="Percent">
      <calculatedColumnFormula>IFERROR((VLOOKUP(Table2[[#This Row],[Symbols]],FinancialsTable[#All],3,0)  - VLOOKUP(Table2[[#This Row],[Symbols]],FinancialsTable[#All],4,0) )/ VLOOKUP(Table2[[#This Row],[Symbols]],FinancialsTable[#All],2,0),"")</calculatedColumnFormula>
    </tableColumn>
    <tableColumn id="15" xr3:uid="{D51F96A5-2BDE-45DF-8919-B058B4D8AB66}" name="R3" dataDxfId="17">
      <calculatedColumnFormula array="1">INDEX(TRANSPOSE(Scorecard!$H$4:$O$4), MATCH(Table2[[#This Row],[(EBITDA-Capex) / Revenue]],Scorecard!$H$8:$O$8,-1),0)</calculatedColumnFormula>
    </tableColumn>
    <tableColumn id="6" xr3:uid="{946B8ADE-F5AB-4F2D-8EF6-1156827BA354}" name="Debt / EBITDA" dataDxfId="16" dataCellStyle="Percent">
      <calculatedColumnFormula>IFERROR(VLOOKUP(Table2[[#This Row],[Symbols]],FinancialsTable[#All],5,0) / VLOOKUP(Table2[[#This Row],[Symbols]],FinancialsTable[#All],3,0), "")</calculatedColumnFormula>
    </tableColumn>
    <tableColumn id="16" xr3:uid="{2C134149-D539-4F01-9949-CEB27F97A9B1}" name="R4" dataDxfId="15">
      <calculatedColumnFormula array="1">_xlfn.IFNA(INDEX(TRANSPOSE(Scorecard!$H$4:$O$4), MATCH(Table2[[#This Row],[Debt / EBITDA]],Scorecard!$H$9:$N$9,1),0), Scorecard!$H$4)</calculatedColumnFormula>
    </tableColumn>
    <tableColumn id="7" xr3:uid="{CFA16065-857F-4F46-B351-D5195B107E2D}" name="FCF / Debt" dataDxfId="14" dataCellStyle="Percent">
      <calculatedColumnFormula>IFERROR(VLOOKUP(Table2[[#This Row],[Symbols]],FinancialsTable[#All],6,0) / VLOOKUP(Table2[[#This Row],[Symbols]],FinancialsTable[#All],5,0),"")</calculatedColumnFormula>
    </tableColumn>
    <tableColumn id="17" xr3:uid="{86E3C9BB-F1D5-4AAD-A5D8-C7ED6012CA05}" name="R5" dataDxfId="13">
      <calculatedColumnFormula array="1">_xlfn.IFNA(INDEX(TRANSPOSE(Scorecard!$H$4:$O$4), MATCH(Table2[[#This Row],[FCF / Debt]],Scorecard!$H$10:$O$10,-1),0), Scorecard!$H$4)</calculatedColumnFormula>
    </tableColumn>
    <tableColumn id="8" xr3:uid="{5CDF5D23-0BC3-4440-B5DC-AB8E3F8D230D}" name="EBIT / Interest Expense" dataDxfId="12" dataCellStyle="Percent">
      <calculatedColumnFormula>IFERROR(VLOOKUP(Table2[[#This Row],[Symbols]],FinancialsTable[#All],7,0) / VLOOKUP(Table2[[#This Row],[Symbols]],FinancialsTable[#All],8,0),"")</calculatedColumnFormula>
    </tableColumn>
    <tableColumn id="10" xr3:uid="{C6520A77-2887-D142-ACAB-6AA09FBBA96B}" name="R6" dataDxfId="11">
      <calculatedColumnFormula array="1">INDEX(TRANSPOSE(Scorecard!$H$4:$O$4), MATCH(Table2[[#This Row],[EBIT / Interest Expense]],Scorecard!$H$11:$O$11,-1),0)</calculatedColumnFormula>
    </tableColumn>
    <tableColumn id="14" xr3:uid="{2E23B5EF-7A7B-1D4E-8EC3-19F60980696C}" name="Financial Policy" dataDxfId="10"/>
    <tableColumn id="9" xr3:uid="{1829E6F6-1FA6-47F5-8297-C931F9D516F6}" name="R7" dataDxfId="9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BFDFC8-414E-4997-AF8F-E07DE23AF705}" name="FinancialsTable" displayName="FinancialsTable" ref="E6:L16" totalsRowShown="0" dataDxfId="8">
  <autoFilter ref="E6:L16" xr:uid="{680BE946-1FC8-4383-B9AE-8D72C65C45AC}"/>
  <sortState xmlns:xlrd2="http://schemas.microsoft.com/office/spreadsheetml/2017/richdata2" ref="E7:L16">
    <sortCondition descending="1" ref="F6:F16"/>
  </sortState>
  <tableColumns count="8">
    <tableColumn id="1" xr3:uid="{BC277B79-D2F4-4182-9907-EEC8B0FE44D1}" name="Symbols" dataDxfId="7">
      <calculatedColumnFormula>IF(Scorecard!E15=0,"",Scorecard!E15)</calculatedColumnFormula>
    </tableColumn>
    <tableColumn id="2" xr3:uid="{17660EF6-A900-480A-AED0-E7B9EF017A32}" name="Revenue" dataDxfId="6" dataCellStyle="Currency"/>
    <tableColumn id="3" xr3:uid="{8ABC2D3D-84BE-4A70-AF8C-A21E4A468ADC}" name="EBITDA" dataDxfId="5" dataCellStyle="Currency"/>
    <tableColumn id="4" xr3:uid="{CEB6D7FE-BE97-47DB-A9C7-612FF581B539}" name="Capex" dataDxfId="4" dataCellStyle="Currency"/>
    <tableColumn id="5" xr3:uid="{7C335544-2CCD-4137-B17C-EA3D9429ABA8}" name="Debt" dataDxfId="3" dataCellStyle="Currency"/>
    <tableColumn id="6" xr3:uid="{C4742DBC-035E-44B0-AAD2-DB8D9706742A}" name="FCF" dataDxfId="2" dataCellStyle="Currency"/>
    <tableColumn id="7" xr3:uid="{A10A7E02-CB87-402C-A2AE-58A575008FA8}" name="EBIT" dataDxfId="1" dataCellStyle="Currency"/>
    <tableColumn id="8" xr3:uid="{3BEE5FE4-E4F5-4738-9695-0A4EDC1F2E92}" name="Interest Expense" dataDxfId="0" dataCellStyle="Currenc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9B3E-07AC-4B87-BF7F-D0ED5A389AF9}">
  <dimension ref="E2:S25"/>
  <sheetViews>
    <sheetView showGridLines="0" zoomScale="89" zoomScaleNormal="89" workbookViewId="0">
      <selection activeCell="E32" sqref="E32"/>
    </sheetView>
  </sheetViews>
  <sheetFormatPr baseColWidth="10" defaultColWidth="9.1640625" defaultRowHeight="15" x14ac:dyDescent="0.2"/>
  <cols>
    <col min="1" max="4" width="9.1640625" style="2"/>
    <col min="5" max="5" width="33.5" style="2" customWidth="1"/>
    <col min="6" max="6" width="17.5" style="19" customWidth="1"/>
    <col min="7" max="7" width="8" style="19" customWidth="1"/>
    <col min="8" max="15" width="8" style="2" customWidth="1"/>
    <col min="16" max="16" width="9.1640625" style="2"/>
    <col min="17" max="17" width="10.83203125" style="2" customWidth="1"/>
    <col min="18" max="16384" width="9.1640625" style="2"/>
  </cols>
  <sheetData>
    <row r="2" spans="5:19" ht="16" thickBot="1" x14ac:dyDescent="0.25"/>
    <row r="3" spans="5:19" ht="34.5" customHeight="1" x14ac:dyDescent="0.2">
      <c r="E3" s="27" t="s">
        <v>59</v>
      </c>
      <c r="F3" s="94" t="s">
        <v>57</v>
      </c>
      <c r="G3" s="94"/>
      <c r="H3" s="94"/>
      <c r="I3" s="94"/>
      <c r="J3" s="94"/>
      <c r="K3" s="94"/>
      <c r="L3" s="94"/>
      <c r="M3" s="94"/>
      <c r="N3" s="94"/>
      <c r="O3" s="94"/>
      <c r="P3" s="95" t="s">
        <v>58</v>
      </c>
      <c r="Q3" s="95"/>
      <c r="R3" s="96" t="s">
        <v>85</v>
      </c>
      <c r="S3" s="97"/>
    </row>
    <row r="4" spans="5:19" ht="32" x14ac:dyDescent="0.2">
      <c r="E4" s="28"/>
      <c r="F4" s="17" t="s">
        <v>27</v>
      </c>
      <c r="G4" s="23"/>
      <c r="H4" s="20" t="s">
        <v>14</v>
      </c>
      <c r="I4" s="20" t="s">
        <v>15</v>
      </c>
      <c r="J4" s="20" t="s">
        <v>16</v>
      </c>
      <c r="K4" s="20" t="s">
        <v>17</v>
      </c>
      <c r="L4" s="20" t="s">
        <v>18</v>
      </c>
      <c r="M4" s="20" t="s">
        <v>19</v>
      </c>
      <c r="N4" s="20" t="s">
        <v>20</v>
      </c>
      <c r="O4" s="21" t="s">
        <v>21</v>
      </c>
      <c r="P4" s="22" t="s">
        <v>56</v>
      </c>
      <c r="Q4" s="91" t="s">
        <v>78</v>
      </c>
      <c r="R4" s="22" t="s">
        <v>56</v>
      </c>
      <c r="S4" s="29" t="s">
        <v>77</v>
      </c>
    </row>
    <row r="5" spans="5:19" ht="16" x14ac:dyDescent="0.2">
      <c r="E5" s="30" t="s">
        <v>23</v>
      </c>
      <c r="F5" s="3">
        <v>0.2</v>
      </c>
      <c r="G5" s="26" t="s">
        <v>22</v>
      </c>
      <c r="H5" s="4">
        <v>50</v>
      </c>
      <c r="I5" s="4">
        <v>30</v>
      </c>
      <c r="J5" s="4">
        <v>15</v>
      </c>
      <c r="K5" s="4">
        <v>5</v>
      </c>
      <c r="L5" s="4">
        <v>2</v>
      </c>
      <c r="M5" s="4">
        <v>0.75</v>
      </c>
      <c r="N5" s="4">
        <v>0.25</v>
      </c>
      <c r="O5" s="5" t="s">
        <v>24</v>
      </c>
      <c r="P5" s="25" t="s">
        <v>14</v>
      </c>
      <c r="Q5" s="111">
        <v>1.5</v>
      </c>
      <c r="R5" s="25" t="s">
        <v>14</v>
      </c>
      <c r="S5" s="109">
        <v>1</v>
      </c>
    </row>
    <row r="6" spans="5:19" ht="16" x14ac:dyDescent="0.2">
      <c r="E6" s="31" t="s">
        <v>25</v>
      </c>
      <c r="F6" s="6">
        <v>0.25</v>
      </c>
      <c r="G6" s="25" t="s">
        <v>28</v>
      </c>
      <c r="H6" s="8" t="s">
        <v>28</v>
      </c>
      <c r="I6" s="8" t="s">
        <v>28</v>
      </c>
      <c r="J6" s="8" t="s">
        <v>28</v>
      </c>
      <c r="K6" s="8" t="s">
        <v>28</v>
      </c>
      <c r="L6" s="8" t="s">
        <v>28</v>
      </c>
      <c r="M6" s="8" t="s">
        <v>28</v>
      </c>
      <c r="N6" s="8" t="s">
        <v>28</v>
      </c>
      <c r="O6" s="9" t="s">
        <v>28</v>
      </c>
      <c r="P6" s="25" t="s">
        <v>37</v>
      </c>
      <c r="Q6" s="101">
        <f>Q5+1</f>
        <v>2.5</v>
      </c>
      <c r="R6" s="25" t="s">
        <v>79</v>
      </c>
      <c r="S6" s="109">
        <v>3</v>
      </c>
    </row>
    <row r="7" spans="5:19" ht="16" x14ac:dyDescent="0.2">
      <c r="E7" s="31" t="s">
        <v>26</v>
      </c>
      <c r="F7" s="6">
        <v>0.05</v>
      </c>
      <c r="G7" s="25" t="s">
        <v>22</v>
      </c>
      <c r="H7" s="7">
        <v>0.5</v>
      </c>
      <c r="I7" s="7">
        <v>0.35</v>
      </c>
      <c r="J7" s="7">
        <v>0.3</v>
      </c>
      <c r="K7" s="7">
        <v>0.25</v>
      </c>
      <c r="L7" s="7">
        <v>0.2</v>
      </c>
      <c r="M7" s="7">
        <v>0.15</v>
      </c>
      <c r="N7" s="7">
        <v>0.1</v>
      </c>
      <c r="O7" s="10" t="s">
        <v>24</v>
      </c>
      <c r="P7" s="25" t="s">
        <v>38</v>
      </c>
      <c r="Q7" s="101">
        <f t="shared" ref="Q7:Q25" si="0">Q6+1</f>
        <v>3.5</v>
      </c>
      <c r="R7" s="25" t="s">
        <v>80</v>
      </c>
      <c r="S7" s="109">
        <v>6</v>
      </c>
    </row>
    <row r="8" spans="5:19" ht="16" x14ac:dyDescent="0.2">
      <c r="E8" s="31" t="s">
        <v>75</v>
      </c>
      <c r="F8" s="6">
        <v>0.05</v>
      </c>
      <c r="G8" s="25" t="s">
        <v>22</v>
      </c>
      <c r="H8" s="7">
        <v>0.35</v>
      </c>
      <c r="I8" s="7">
        <v>0.3</v>
      </c>
      <c r="J8" s="7">
        <v>0.25</v>
      </c>
      <c r="K8" s="7">
        <v>0.2</v>
      </c>
      <c r="L8" s="7">
        <v>0.15</v>
      </c>
      <c r="M8" s="7">
        <v>0.1</v>
      </c>
      <c r="N8" s="7">
        <v>0.05</v>
      </c>
      <c r="O8" s="10" t="s">
        <v>24</v>
      </c>
      <c r="P8" s="25" t="s">
        <v>39</v>
      </c>
      <c r="Q8" s="101">
        <f t="shared" si="0"/>
        <v>4.5</v>
      </c>
      <c r="R8" s="25" t="s">
        <v>81</v>
      </c>
      <c r="S8" s="109">
        <v>9</v>
      </c>
    </row>
    <row r="9" spans="5:19" ht="16" x14ac:dyDescent="0.2">
      <c r="E9" s="31" t="s">
        <v>5</v>
      </c>
      <c r="F9" s="6">
        <v>0.1</v>
      </c>
      <c r="G9" s="25" t="s">
        <v>24</v>
      </c>
      <c r="H9" s="11">
        <v>0.5</v>
      </c>
      <c r="I9" s="11">
        <v>1</v>
      </c>
      <c r="J9" s="11">
        <v>1.5</v>
      </c>
      <c r="K9" s="11">
        <v>2.5</v>
      </c>
      <c r="L9" s="11">
        <v>3.5</v>
      </c>
      <c r="M9" s="11">
        <v>5</v>
      </c>
      <c r="N9" s="11">
        <v>7</v>
      </c>
      <c r="O9" s="12" t="s">
        <v>22</v>
      </c>
      <c r="P9" s="25" t="s">
        <v>40</v>
      </c>
      <c r="Q9" s="101">
        <f t="shared" si="0"/>
        <v>5.5</v>
      </c>
      <c r="R9" s="25" t="s">
        <v>82</v>
      </c>
      <c r="S9" s="109">
        <v>12</v>
      </c>
    </row>
    <row r="10" spans="5:19" ht="16" x14ac:dyDescent="0.2">
      <c r="E10" s="31" t="s">
        <v>6</v>
      </c>
      <c r="F10" s="6">
        <v>0.1</v>
      </c>
      <c r="G10" s="25" t="s">
        <v>22</v>
      </c>
      <c r="H10" s="13">
        <v>0.5</v>
      </c>
      <c r="I10" s="13">
        <v>0.4</v>
      </c>
      <c r="J10" s="13">
        <v>0.3</v>
      </c>
      <c r="K10" s="13">
        <v>0.2</v>
      </c>
      <c r="L10" s="13">
        <v>0.1</v>
      </c>
      <c r="M10" s="13">
        <v>0.05</v>
      </c>
      <c r="N10" s="13">
        <v>0</v>
      </c>
      <c r="O10" s="10" t="s">
        <v>24</v>
      </c>
      <c r="P10" s="25" t="s">
        <v>41</v>
      </c>
      <c r="Q10" s="101">
        <f t="shared" si="0"/>
        <v>6.5</v>
      </c>
      <c r="R10" s="25" t="s">
        <v>19</v>
      </c>
      <c r="S10" s="109">
        <v>15</v>
      </c>
    </row>
    <row r="11" spans="5:19" ht="16" x14ac:dyDescent="0.2">
      <c r="E11" s="32" t="s">
        <v>7</v>
      </c>
      <c r="F11" s="7">
        <v>0.05</v>
      </c>
      <c r="G11" s="25" t="s">
        <v>22</v>
      </c>
      <c r="H11" s="40">
        <v>30</v>
      </c>
      <c r="I11" s="40">
        <v>20</v>
      </c>
      <c r="J11" s="40">
        <v>10</v>
      </c>
      <c r="K11" s="40">
        <v>5</v>
      </c>
      <c r="L11" s="40">
        <v>3</v>
      </c>
      <c r="M11" s="40">
        <v>1.5</v>
      </c>
      <c r="N11" s="40">
        <v>0</v>
      </c>
      <c r="O11" s="10" t="s">
        <v>24</v>
      </c>
      <c r="P11" s="25" t="s">
        <v>42</v>
      </c>
      <c r="Q11" s="101">
        <f t="shared" si="0"/>
        <v>7.5</v>
      </c>
      <c r="R11" s="25" t="s">
        <v>83</v>
      </c>
      <c r="S11" s="109">
        <v>18</v>
      </c>
    </row>
    <row r="12" spans="5:19" ht="16" x14ac:dyDescent="0.2">
      <c r="E12" s="33" t="s">
        <v>9</v>
      </c>
      <c r="F12" s="14">
        <v>0.2</v>
      </c>
      <c r="G12" s="25" t="s">
        <v>28</v>
      </c>
      <c r="H12" s="15" t="s">
        <v>28</v>
      </c>
      <c r="I12" s="15" t="s">
        <v>28</v>
      </c>
      <c r="J12" s="15" t="s">
        <v>28</v>
      </c>
      <c r="K12" s="15" t="s">
        <v>28</v>
      </c>
      <c r="L12" s="15" t="s">
        <v>28</v>
      </c>
      <c r="M12" s="15" t="s">
        <v>28</v>
      </c>
      <c r="N12" s="15" t="s">
        <v>28</v>
      </c>
      <c r="O12" s="16" t="s">
        <v>28</v>
      </c>
      <c r="P12" s="25" t="s">
        <v>43</v>
      </c>
      <c r="Q12" s="101">
        <f t="shared" si="0"/>
        <v>8.5</v>
      </c>
      <c r="R12" s="25" t="s">
        <v>84</v>
      </c>
      <c r="S12" s="109">
        <v>20</v>
      </c>
    </row>
    <row r="13" spans="5:19" ht="16" thickBot="1" x14ac:dyDescent="0.25">
      <c r="E13" s="108"/>
      <c r="F13" s="105">
        <f>SUM(F5:F12)</f>
        <v>1</v>
      </c>
      <c r="G13" s="106"/>
      <c r="H13" s="107"/>
      <c r="I13" s="107"/>
      <c r="J13" s="107"/>
      <c r="K13" s="107"/>
      <c r="L13" s="107"/>
      <c r="M13" s="107"/>
      <c r="N13" s="107"/>
      <c r="O13" s="107"/>
      <c r="P13" s="25" t="s">
        <v>44</v>
      </c>
      <c r="Q13" s="101">
        <f t="shared" si="0"/>
        <v>9.5</v>
      </c>
      <c r="R13" s="25"/>
      <c r="S13" s="109"/>
    </row>
    <row r="14" spans="5:19" ht="16" x14ac:dyDescent="0.2">
      <c r="E14" s="102" t="s">
        <v>67</v>
      </c>
      <c r="F14" s="41"/>
      <c r="G14" s="41"/>
      <c r="H14" s="42"/>
      <c r="I14" s="42"/>
      <c r="J14" s="42"/>
      <c r="K14" s="42"/>
      <c r="L14" s="42"/>
      <c r="M14" s="42"/>
      <c r="N14" s="42"/>
      <c r="O14" s="42"/>
      <c r="P14" s="113" t="s">
        <v>45</v>
      </c>
      <c r="Q14" s="101">
        <f t="shared" si="0"/>
        <v>10.5</v>
      </c>
      <c r="R14" s="25"/>
      <c r="S14" s="109"/>
    </row>
    <row r="15" spans="5:19" x14ac:dyDescent="0.2">
      <c r="E15" s="103" t="s">
        <v>10</v>
      </c>
      <c r="F15" s="7"/>
      <c r="G15" s="7"/>
      <c r="H15" s="8"/>
      <c r="I15" s="8"/>
      <c r="J15" s="8"/>
      <c r="K15" s="8"/>
      <c r="L15" s="8"/>
      <c r="M15" s="8"/>
      <c r="N15" s="8"/>
      <c r="O15" s="8"/>
      <c r="P15" s="113" t="s">
        <v>46</v>
      </c>
      <c r="Q15" s="101">
        <f t="shared" si="0"/>
        <v>11.5</v>
      </c>
      <c r="R15" s="25"/>
      <c r="S15" s="109"/>
    </row>
    <row r="16" spans="5:19" x14ac:dyDescent="0.2">
      <c r="E16" s="103" t="s">
        <v>11</v>
      </c>
      <c r="F16" s="8"/>
      <c r="G16" s="7"/>
      <c r="H16" s="8"/>
      <c r="I16" s="8"/>
      <c r="J16" s="8"/>
      <c r="K16" s="8"/>
      <c r="L16" s="8"/>
      <c r="M16" s="8"/>
      <c r="N16" s="8"/>
      <c r="O16" s="8"/>
      <c r="P16" s="113" t="s">
        <v>47</v>
      </c>
      <c r="Q16" s="101">
        <f t="shared" si="0"/>
        <v>12.5</v>
      </c>
      <c r="R16" s="25"/>
      <c r="S16" s="109"/>
    </row>
    <row r="17" spans="5:19" x14ac:dyDescent="0.2">
      <c r="E17" s="103" t="s">
        <v>12</v>
      </c>
      <c r="F17" s="7"/>
      <c r="G17" s="7"/>
      <c r="H17" s="8"/>
      <c r="I17" s="8"/>
      <c r="J17" s="8"/>
      <c r="K17" s="8"/>
      <c r="L17" s="8"/>
      <c r="M17" s="8"/>
      <c r="N17" s="8"/>
      <c r="O17" s="8"/>
      <c r="P17" s="113" t="s">
        <v>48</v>
      </c>
      <c r="Q17" s="101">
        <f t="shared" si="0"/>
        <v>13.5</v>
      </c>
      <c r="R17" s="25"/>
      <c r="S17" s="109"/>
    </row>
    <row r="18" spans="5:19" x14ac:dyDescent="0.2">
      <c r="E18" s="103" t="s">
        <v>13</v>
      </c>
      <c r="F18" s="7"/>
      <c r="G18" s="7"/>
      <c r="H18" s="8"/>
      <c r="I18" s="8"/>
      <c r="J18" s="8"/>
      <c r="K18" s="8"/>
      <c r="L18" s="8"/>
      <c r="M18" s="8"/>
      <c r="N18" s="8"/>
      <c r="O18" s="8"/>
      <c r="P18" s="113" t="s">
        <v>49</v>
      </c>
      <c r="Q18" s="101">
        <f t="shared" si="0"/>
        <v>14.5</v>
      </c>
      <c r="R18" s="25"/>
      <c r="S18" s="109"/>
    </row>
    <row r="19" spans="5:19" x14ac:dyDescent="0.2">
      <c r="E19" s="103" t="s">
        <v>32</v>
      </c>
      <c r="F19" s="7"/>
      <c r="G19" s="7"/>
      <c r="H19" s="8"/>
      <c r="I19" s="8"/>
      <c r="J19" s="8"/>
      <c r="K19" s="8"/>
      <c r="L19" s="8"/>
      <c r="M19" s="8"/>
      <c r="N19" s="8"/>
      <c r="O19" s="8"/>
      <c r="P19" s="113" t="s">
        <v>50</v>
      </c>
      <c r="Q19" s="101">
        <f t="shared" si="0"/>
        <v>15.5</v>
      </c>
      <c r="R19" s="25"/>
      <c r="S19" s="109"/>
    </row>
    <row r="20" spans="5:19" x14ac:dyDescent="0.2">
      <c r="E20" s="103" t="s">
        <v>31</v>
      </c>
      <c r="F20" s="7"/>
      <c r="G20" s="7"/>
      <c r="H20" s="8"/>
      <c r="I20" s="8"/>
      <c r="J20" s="8"/>
      <c r="K20" s="8"/>
      <c r="L20" s="8"/>
      <c r="M20" s="8"/>
      <c r="N20" s="8"/>
      <c r="O20" s="8"/>
      <c r="P20" s="113" t="s">
        <v>51</v>
      </c>
      <c r="Q20" s="101">
        <f t="shared" si="0"/>
        <v>16.5</v>
      </c>
      <c r="R20" s="25"/>
      <c r="S20" s="109"/>
    </row>
    <row r="21" spans="5:19" x14ac:dyDescent="0.2">
      <c r="E21" s="103" t="s">
        <v>33</v>
      </c>
      <c r="F21" s="7"/>
      <c r="G21" s="7"/>
      <c r="H21" s="8"/>
      <c r="I21" s="8"/>
      <c r="J21" s="8"/>
      <c r="K21" s="8"/>
      <c r="L21" s="8"/>
      <c r="M21" s="8"/>
      <c r="N21" s="8"/>
      <c r="O21" s="8"/>
      <c r="P21" s="113" t="s">
        <v>52</v>
      </c>
      <c r="Q21" s="101">
        <f t="shared" si="0"/>
        <v>17.5</v>
      </c>
      <c r="R21" s="25"/>
      <c r="S21" s="109"/>
    </row>
    <row r="22" spans="5:19" x14ac:dyDescent="0.2">
      <c r="E22" s="103" t="s">
        <v>34</v>
      </c>
      <c r="F22" s="7"/>
      <c r="G22" s="7"/>
      <c r="H22" s="8"/>
      <c r="I22" s="8"/>
      <c r="J22" s="8"/>
      <c r="K22" s="8"/>
      <c r="L22" s="8"/>
      <c r="M22" s="8"/>
      <c r="N22" s="8"/>
      <c r="O22" s="8"/>
      <c r="P22" s="113" t="s">
        <v>53</v>
      </c>
      <c r="Q22" s="101">
        <f t="shared" si="0"/>
        <v>18.5</v>
      </c>
      <c r="R22" s="25"/>
      <c r="S22" s="109"/>
    </row>
    <row r="23" spans="5:19" x14ac:dyDescent="0.2">
      <c r="E23" s="103" t="s">
        <v>35</v>
      </c>
      <c r="F23" s="7"/>
      <c r="G23" s="7"/>
      <c r="H23" s="8"/>
      <c r="I23" s="8"/>
      <c r="J23" s="8"/>
      <c r="K23" s="8"/>
      <c r="L23" s="8"/>
      <c r="M23" s="8"/>
      <c r="N23" s="8"/>
      <c r="O23" s="8"/>
      <c r="P23" s="113" t="s">
        <v>54</v>
      </c>
      <c r="Q23" s="101">
        <f t="shared" si="0"/>
        <v>19.5</v>
      </c>
      <c r="R23" s="25"/>
      <c r="S23" s="109"/>
    </row>
    <row r="24" spans="5:19" x14ac:dyDescent="0.2">
      <c r="E24" s="103" t="s">
        <v>36</v>
      </c>
      <c r="F24" s="7"/>
      <c r="G24" s="7"/>
      <c r="H24" s="8"/>
      <c r="I24" s="8"/>
      <c r="J24" s="8"/>
      <c r="K24" s="8"/>
      <c r="L24" s="8"/>
      <c r="M24" s="8"/>
      <c r="N24" s="8"/>
      <c r="O24" s="8"/>
      <c r="P24" s="113" t="s">
        <v>21</v>
      </c>
      <c r="Q24" s="101">
        <f t="shared" si="0"/>
        <v>20.5</v>
      </c>
      <c r="R24" s="25"/>
      <c r="S24" s="109"/>
    </row>
    <row r="25" spans="5:19" ht="17" thickBot="1" x14ac:dyDescent="0.25">
      <c r="E25" s="104" t="s">
        <v>86</v>
      </c>
      <c r="F25" s="34"/>
      <c r="G25" s="34"/>
      <c r="H25" s="35"/>
      <c r="I25" s="35"/>
      <c r="J25" s="35"/>
      <c r="K25" s="35"/>
      <c r="L25" s="35"/>
      <c r="M25" s="35"/>
      <c r="N25" s="35"/>
      <c r="O25" s="35"/>
      <c r="P25" s="114" t="s">
        <v>55</v>
      </c>
      <c r="Q25" s="112">
        <f t="shared" si="0"/>
        <v>21.5</v>
      </c>
      <c r="R25" s="59"/>
      <c r="S25" s="110"/>
    </row>
  </sheetData>
  <mergeCells count="3">
    <mergeCell ref="F3:O3"/>
    <mergeCell ref="P3:Q3"/>
    <mergeCell ref="R3:S3"/>
  </mergeCells>
  <conditionalFormatting sqref="G4 G13:G1048576">
    <cfRule type="cellIs" dxfId="31" priority="5" operator="equal">
      <formula>"&gt;"</formula>
    </cfRule>
    <cfRule type="cellIs" dxfId="30" priority="6" operator="equal">
      <formula>"&lt;"</formula>
    </cfRule>
  </conditionalFormatting>
  <conditionalFormatting sqref="E4:O12 P4:Q4">
    <cfRule type="expression" dxfId="29" priority="4">
      <formula>MOD(ROW(),2)=0</formula>
    </cfRule>
  </conditionalFormatting>
  <conditionalFormatting sqref="R4:S4">
    <cfRule type="expression" dxfId="28" priority="1">
      <formula>MOD(ROW(),2)=0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891E-D9DE-422C-9E3B-A1A443A96D7E}">
  <dimension ref="B4:S17"/>
  <sheetViews>
    <sheetView showGridLines="0" tabSelected="1" zoomScaleNormal="100" workbookViewId="0">
      <selection activeCell="F24" sqref="F24"/>
    </sheetView>
  </sheetViews>
  <sheetFormatPr baseColWidth="10" defaultColWidth="8.83203125" defaultRowHeight="15" x14ac:dyDescent="0.2"/>
  <cols>
    <col min="1" max="1" width="5.1640625" customWidth="1"/>
    <col min="2" max="3" width="10.5" customWidth="1"/>
    <col min="4" max="4" width="10.5" bestFit="1" customWidth="1"/>
    <col min="5" max="5" width="6.6640625" style="24" bestFit="1" customWidth="1"/>
    <col min="6" max="6" width="15.6640625" bestFit="1" customWidth="1"/>
    <col min="7" max="7" width="5.6640625" bestFit="1" customWidth="1"/>
    <col min="8" max="8" width="15" style="38" bestFit="1" customWidth="1"/>
    <col min="9" max="9" width="5.6640625" bestFit="1" customWidth="1"/>
    <col min="10" max="10" width="24" style="38" bestFit="1" customWidth="1"/>
    <col min="11" max="11" width="5.6640625" bestFit="1" customWidth="1"/>
    <col min="12" max="12" width="14.5" style="39" bestFit="1" customWidth="1"/>
    <col min="13" max="13" width="5.6640625" bestFit="1" customWidth="1"/>
    <col min="14" max="14" width="11.6640625" style="37" bestFit="1" customWidth="1"/>
    <col min="15" max="15" width="5.6640625" bestFit="1" customWidth="1"/>
    <col min="16" max="16" width="21.33203125" style="37" bestFit="1" customWidth="1"/>
    <col min="17" max="17" width="5.6640625" bestFit="1" customWidth="1"/>
    <col min="18" max="18" width="14.33203125" customWidth="1"/>
    <col min="19" max="19" width="5.6640625" bestFit="1" customWidth="1"/>
  </cols>
  <sheetData>
    <row r="4" spans="2:19" ht="16" thickBot="1" x14ac:dyDescent="0.25"/>
    <row r="5" spans="2:19" s="36" customFormat="1" x14ac:dyDescent="0.2">
      <c r="B5" s="73"/>
      <c r="C5" s="74"/>
      <c r="D5" s="43" t="s">
        <v>1</v>
      </c>
      <c r="E5" s="44"/>
      <c r="F5" s="74" t="s">
        <v>2</v>
      </c>
      <c r="G5" s="74"/>
      <c r="H5" s="98" t="s">
        <v>3</v>
      </c>
      <c r="I5" s="98"/>
      <c r="J5" s="98"/>
      <c r="K5" s="45"/>
      <c r="L5" s="99" t="s">
        <v>8</v>
      </c>
      <c r="M5" s="99"/>
      <c r="N5" s="99"/>
      <c r="O5" s="99"/>
      <c r="P5" s="99"/>
      <c r="Q5" s="46"/>
      <c r="R5" s="81" t="s">
        <v>9</v>
      </c>
      <c r="S5" s="92"/>
    </row>
    <row r="6" spans="2:19" s="36" customFormat="1" x14ac:dyDescent="0.2">
      <c r="B6" s="86"/>
      <c r="C6" s="89"/>
      <c r="D6" s="87">
        <v>0.2</v>
      </c>
      <c r="E6" s="88"/>
      <c r="F6" s="87">
        <v>0.25</v>
      </c>
      <c r="G6" s="87"/>
      <c r="H6" s="100">
        <v>0.1</v>
      </c>
      <c r="I6" s="100"/>
      <c r="J6" s="100"/>
      <c r="K6" s="87"/>
      <c r="L6" s="100">
        <v>0.25</v>
      </c>
      <c r="M6" s="100"/>
      <c r="N6" s="100"/>
      <c r="O6" s="100"/>
      <c r="P6" s="100"/>
      <c r="Q6" s="87"/>
      <c r="R6" s="93">
        <v>0.2</v>
      </c>
      <c r="S6" s="90"/>
    </row>
    <row r="7" spans="2:19" s="18" customFormat="1" x14ac:dyDescent="0.2">
      <c r="B7" s="47" t="s">
        <v>30</v>
      </c>
      <c r="C7" s="48" t="s">
        <v>29</v>
      </c>
      <c r="D7" s="48" t="s">
        <v>0</v>
      </c>
      <c r="E7" s="80" t="s">
        <v>68</v>
      </c>
      <c r="F7" s="48" t="s">
        <v>2</v>
      </c>
      <c r="G7" s="75" t="s">
        <v>69</v>
      </c>
      <c r="H7" s="49" t="s">
        <v>26</v>
      </c>
      <c r="I7" s="75" t="s">
        <v>70</v>
      </c>
      <c r="J7" s="49" t="s">
        <v>4</v>
      </c>
      <c r="K7" s="75" t="s">
        <v>71</v>
      </c>
      <c r="L7" s="50" t="s">
        <v>5</v>
      </c>
      <c r="M7" s="75" t="s">
        <v>72</v>
      </c>
      <c r="N7" s="51" t="s">
        <v>6</v>
      </c>
      <c r="O7" s="75" t="s">
        <v>73</v>
      </c>
      <c r="P7" s="51" t="s">
        <v>7</v>
      </c>
      <c r="Q7" s="75" t="s">
        <v>74</v>
      </c>
      <c r="R7" s="48" t="s">
        <v>9</v>
      </c>
      <c r="S7" s="82" t="s">
        <v>76</v>
      </c>
    </row>
    <row r="8" spans="2:19" x14ac:dyDescent="0.2">
      <c r="B8" s="52" t="str">
        <f>IF(Scorecard!E15=0,"",Scorecard!E15)</f>
        <v>NVDA</v>
      </c>
      <c r="C8" s="25"/>
      <c r="D8" s="53">
        <f>VLOOKUP(Table2[[#This Row],[Symbols]],FinancialsTable[#All],2,FALSE)</f>
        <v>16.68</v>
      </c>
      <c r="E8" s="76" t="str" cm="1">
        <f t="array" ref="E8">INDEX(TRANSPOSE(Scorecard!$H$4:$O$4), MATCH(Table2[[#This Row],[Revenue]],Scorecard!$H$5:$N$5,-1),0)</f>
        <v>Aa</v>
      </c>
      <c r="F8" s="25" t="s">
        <v>28</v>
      </c>
      <c r="G8" s="76"/>
      <c r="H8" s="54">
        <f>IFERROR(VLOOKUP(Table2[[#This Row],[Symbols]],FinancialsTable[#All],3,0) / VLOOKUP(Table2[[#This Row],[Symbols]],FinancialsTable[#All],2,0), "")</f>
        <v>0.10779376498800959</v>
      </c>
      <c r="I8" s="76" t="str" cm="1">
        <f t="array" ref="I8">INDEX(TRANSPOSE(Scorecard!$H$4:$O$4), MATCH(Table2[[#This Row],[EBITDA Margin]],Scorecard!$H$7:$O$7,-1),0)</f>
        <v>B</v>
      </c>
      <c r="J8" s="54">
        <f>IFERROR((VLOOKUP(Table2[[#This Row],[Symbols]],FinancialsTable[#All],3,0)  - VLOOKUP(Table2[[#This Row],[Symbols]],FinancialsTable[#All],4,0) )/ VLOOKUP(Table2[[#This Row],[Symbols]],FinancialsTable[#All],2,0),"")</f>
        <v>0.10101918465227819</v>
      </c>
      <c r="K8" s="76" t="str" cm="1">
        <f t="array" ref="K8">INDEX(TRANSPOSE(Scorecard!$H$4:$O$4), MATCH(Table2[[#This Row],[(EBITDA-Capex) / Revenue]],Scorecard!$H$8:$O$8,-1),0)</f>
        <v>Ba</v>
      </c>
      <c r="L8" s="55">
        <f>IFERROR(VLOOKUP(Table2[[#This Row],[Symbols]],FinancialsTable[#All],5,0) / VLOOKUP(Table2[[#This Row],[Symbols]],FinancialsTable[#All],3,0), "")</f>
        <v>3.3170189098998888</v>
      </c>
      <c r="M8" s="76" t="str" cm="1">
        <f t="array" ref="M8">_xlfn.IFNA(INDEX(TRANSPOSE(Scorecard!$H$4:$O$4), MATCH(Table2[[#This Row],[Debt / EBITDA]],Scorecard!$H$9:$N$9,1),0), Scorecard!$H$4)</f>
        <v>Baa</v>
      </c>
      <c r="N8" s="56">
        <f>IFERROR(VLOOKUP(Table2[[#This Row],[Symbols]],FinancialsTable[#All],6,0) / VLOOKUP(Table2[[#This Row],[Symbols]],FinancialsTable[#All],5,0),"")</f>
        <v>0.78705566733735743</v>
      </c>
      <c r="O8" s="76" t="str" cm="1">
        <f t="array" ref="O8">_xlfn.IFNA(INDEX(TRANSPOSE(Scorecard!$H$4:$O$4), MATCH(Table2[[#This Row],[FCF / Debt]],Scorecard!$H$10:$O$10,-1),0), Scorecard!$H$4)</f>
        <v>Aaa</v>
      </c>
      <c r="P8" s="55">
        <f>IFERROR(VLOOKUP(Table2[[#This Row],[Symbols]],FinancialsTable[#All],7,0) / VLOOKUP(Table2[[#This Row],[Symbols]],FinancialsTable[#All],8,0),"")</f>
        <v>-8.1459459459459449</v>
      </c>
      <c r="Q8" s="76" t="str" cm="1">
        <f t="array" ref="Q8">INDEX(TRANSPOSE(Scorecard!$H$4:$O$4), MATCH(Table2[[#This Row],[EBIT / Interest Expense]],Scorecard!$H$11:$O$11,-1),0)</f>
        <v>Caa</v>
      </c>
      <c r="R8" s="25" t="s">
        <v>28</v>
      </c>
      <c r="S8" s="83"/>
    </row>
    <row r="9" spans="2:19" x14ac:dyDescent="0.2">
      <c r="B9" s="52" t="str">
        <f>IF(Scorecard!E16=0,"",Scorecard!E16)</f>
        <v>AMD</v>
      </c>
      <c r="C9" s="25"/>
      <c r="D9" s="53">
        <f>VLOOKUP(Table2[[#This Row],[Symbols]],FinancialsTable[#All],2,FALSE)</f>
        <v>9.76</v>
      </c>
      <c r="E9" s="76" t="str" cm="1">
        <f t="array" ref="E9">INDEX(TRANSPOSE(Scorecard!$H$4:$O$4), MATCH(Table2[[#This Row],[Revenue]],Scorecard!$H$5:$N$5,-1),0)</f>
        <v>A</v>
      </c>
      <c r="F9" s="25" t="s">
        <v>28</v>
      </c>
      <c r="G9" s="77"/>
      <c r="H9" s="54">
        <f>IFERROR(VLOOKUP(Table2[[#This Row],[Symbols]],FinancialsTable[#All],3,0) / VLOOKUP(Table2[[#This Row],[Symbols]],FinancialsTable[#All],2,0), "")</f>
        <v>6.8954918032786888E-2</v>
      </c>
      <c r="I9" s="77" t="str" cm="1">
        <f t="array" ref="I9">INDEX(TRANSPOSE(Scorecard!$H$4:$O$4), MATCH(Table2[[#This Row],[EBITDA Margin]],Scorecard!$H$7:$O$7,-1),0)</f>
        <v>Caa</v>
      </c>
      <c r="J9" s="54">
        <f>IFERROR((VLOOKUP(Table2[[#This Row],[Symbols]],FinancialsTable[#All],3,0)  - VLOOKUP(Table2[[#This Row],[Symbols]],FinancialsTable[#All],4,0) )/ VLOOKUP(Table2[[#This Row],[Symbols]],FinancialsTable[#All],2,0),"")</f>
        <v>3.8831967213114764E-2</v>
      </c>
      <c r="K9" s="77" t="str" cm="1">
        <f t="array" ref="K9">INDEX(TRANSPOSE(Scorecard!$H$4:$O$4), MATCH(Table2[[#This Row],[(EBITDA-Capex) / Revenue]],Scorecard!$H$8:$O$8,-1),0)</f>
        <v>Caa</v>
      </c>
      <c r="L9" s="55">
        <f>IFERROR(VLOOKUP(Table2[[#This Row],[Symbols]],FinancialsTable[#All],5,0) / VLOOKUP(Table2[[#This Row],[Symbols]],FinancialsTable[#All],3,0), "")</f>
        <v>0.49034175334323921</v>
      </c>
      <c r="M9" s="76" t="str" cm="1">
        <f t="array" ref="M9">_xlfn.IFNA(INDEX(TRANSPOSE(Scorecard!$H$4:$O$4), MATCH(Table2[[#This Row],[Debt / EBITDA]],Scorecard!$H$9:$N$9,1),0), Scorecard!$H$4)</f>
        <v>Aaa</v>
      </c>
      <c r="N9" s="56">
        <f>IFERROR(VLOOKUP(Table2[[#This Row],[Symbols]],FinancialsTable[#All],6,0) / VLOOKUP(Table2[[#This Row],[Symbols]],FinancialsTable[#All],5,0),"")</f>
        <v>2.3545454545454545</v>
      </c>
      <c r="O9" s="76" t="str" cm="1">
        <f t="array" ref="O9">_xlfn.IFNA(INDEX(TRANSPOSE(Scorecard!$H$4:$O$4), MATCH(Table2[[#This Row],[FCF / Debt]],Scorecard!$H$10:$O$10,-1),0), Scorecard!$H$4)</f>
        <v>Aaa</v>
      </c>
      <c r="P9" s="55">
        <f>IFERROR(VLOOKUP(Table2[[#This Row],[Symbols]],FinancialsTable[#All],7,0) / VLOOKUP(Table2[[#This Row],[Symbols]],FinancialsTable[#All],8,0),"")</f>
        <v>29.127659574468083</v>
      </c>
      <c r="Q9" s="77" t="str" cm="1">
        <f t="array" ref="Q9">INDEX(TRANSPOSE(Scorecard!$H$4:$O$4), MATCH(Table2[[#This Row],[EBIT / Interest Expense]],Scorecard!$H$11:$O$11,-1),0)</f>
        <v>Aaa</v>
      </c>
      <c r="R9" s="25" t="s">
        <v>28</v>
      </c>
      <c r="S9" s="84"/>
    </row>
    <row r="10" spans="2:19" x14ac:dyDescent="0.2">
      <c r="B10" s="52" t="str">
        <f>IF(Scorecard!E17=0,"",Scorecard!E17)</f>
        <v>LRCX</v>
      </c>
      <c r="C10" s="25"/>
      <c r="D10" s="53">
        <f>VLOOKUP(Table2[[#This Row],[Symbols]],FinancialsTable[#All],2,FALSE)</f>
        <v>11.93</v>
      </c>
      <c r="E10" s="76" t="str" cm="1">
        <f t="array" ref="E10">INDEX(TRANSPOSE(Scorecard!$H$4:$O$4), MATCH(Table2[[#This Row],[Revenue]],Scorecard!$H$5:$N$5,-1),0)</f>
        <v>A</v>
      </c>
      <c r="F10" s="25" t="s">
        <v>28</v>
      </c>
      <c r="G10" s="77"/>
      <c r="H10" s="54">
        <f>IFERROR(VLOOKUP(Table2[[#This Row],[Symbols]],FinancialsTable[#All],3,0) / VLOOKUP(Table2[[#This Row],[Symbols]],FinancialsTable[#All],2,0), "")</f>
        <v>9.1198658843252317E-2</v>
      </c>
      <c r="I10" s="77" t="str" cm="1">
        <f t="array" ref="I10">INDEX(TRANSPOSE(Scorecard!$H$4:$O$4), MATCH(Table2[[#This Row],[EBITDA Margin]],Scorecard!$H$7:$O$7,-1),0)</f>
        <v>Caa</v>
      </c>
      <c r="J10" s="54">
        <f>IFERROR((VLOOKUP(Table2[[#This Row],[Symbols]],FinancialsTable[#All],3,0)  - VLOOKUP(Table2[[#This Row],[Symbols]],FinancialsTable[#All],4,0) )/ VLOOKUP(Table2[[#This Row],[Symbols]],FinancialsTable[#All],2,0),"")</f>
        <v>7.8290025146689021E-2</v>
      </c>
      <c r="K10" s="77" t="str" cm="1">
        <f t="array" ref="K10">INDEX(TRANSPOSE(Scorecard!$H$4:$O$4), MATCH(Table2[[#This Row],[(EBITDA-Capex) / Revenue]],Scorecard!$H$8:$O$8,-1),0)</f>
        <v>B</v>
      </c>
      <c r="L10" s="55">
        <f>IFERROR(VLOOKUP(Table2[[#This Row],[Symbols]],FinancialsTable[#All],5,0) / VLOOKUP(Table2[[#This Row],[Symbols]],FinancialsTable[#All],3,0), "")</f>
        <v>4.5882352941176467</v>
      </c>
      <c r="M10" s="76" t="str" cm="1">
        <f t="array" ref="M10">_xlfn.IFNA(INDEX(TRANSPOSE(Scorecard!$H$4:$O$4), MATCH(Table2[[#This Row],[Debt / EBITDA]],Scorecard!$H$9:$N$9,1),0), Scorecard!$H$4)</f>
        <v>Ba</v>
      </c>
      <c r="N10" s="56">
        <f>IFERROR(VLOOKUP(Table2[[#This Row],[Symbols]],FinancialsTable[#All],6,0) / VLOOKUP(Table2[[#This Row],[Symbols]],FinancialsTable[#All],5,0),"")</f>
        <v>0.16680689102564103</v>
      </c>
      <c r="O10" s="76" t="str" cm="1">
        <f t="array" ref="O10">_xlfn.IFNA(INDEX(TRANSPOSE(Scorecard!$H$4:$O$4), MATCH(Table2[[#This Row],[FCF / Debt]],Scorecard!$H$10:$O$10,-1),0), Scorecard!$H$4)</f>
        <v>Baa</v>
      </c>
      <c r="P10" s="55" t="str">
        <f>IFERROR(VLOOKUP(Table2[[#This Row],[Symbols]],FinancialsTable[#All],7,0) / VLOOKUP(Table2[[#This Row],[Symbols]],FinancialsTable[#All],8,0),"")</f>
        <v/>
      </c>
      <c r="Q10" s="77" t="str" cm="1">
        <f t="array" ref="Q10">INDEX(TRANSPOSE(Scorecard!$H$4:$O$4), MATCH(Table2[[#This Row],[EBIT / Interest Expense]],Scorecard!$H$11:$O$11,-1),0)</f>
        <v>Ca</v>
      </c>
      <c r="R10" s="25" t="s">
        <v>28</v>
      </c>
      <c r="S10" s="84"/>
    </row>
    <row r="11" spans="2:19" x14ac:dyDescent="0.2">
      <c r="B11" s="52" t="str">
        <f>IF(Scorecard!E18=0,"",Scorecard!E18)</f>
        <v>KLAC</v>
      </c>
      <c r="C11" s="25"/>
      <c r="D11" s="53">
        <f>VLOOKUP(Table2[[#This Row],[Symbols]],FinancialsTable[#All],2,FALSE)</f>
        <v>6.07</v>
      </c>
      <c r="E11" s="76" t="str" cm="1">
        <f t="array" ref="E11">INDEX(TRANSPOSE(Scorecard!$H$4:$O$4), MATCH(Table2[[#This Row],[Revenue]],Scorecard!$H$5:$N$5,-1),0)</f>
        <v>A</v>
      </c>
      <c r="F11" s="25" t="s">
        <v>28</v>
      </c>
      <c r="G11" s="77"/>
      <c r="H11" s="54">
        <f>IFERROR(VLOOKUP(Table2[[#This Row],[Symbols]],FinancialsTable[#All],3,0) / VLOOKUP(Table2[[#This Row],[Symbols]],FinancialsTable[#All],2,0), "")</f>
        <v>0.10774299835255353</v>
      </c>
      <c r="I11" s="77" t="str" cm="1">
        <f t="array" ref="I11">INDEX(TRANSPOSE(Scorecard!$H$4:$O$4), MATCH(Table2[[#This Row],[EBITDA Margin]],Scorecard!$H$7:$O$7,-1),0)</f>
        <v>B</v>
      </c>
      <c r="J11" s="54">
        <f>IFERROR((VLOOKUP(Table2[[#This Row],[Symbols]],FinancialsTable[#All],3,0)  - VLOOKUP(Table2[[#This Row],[Symbols]],FinancialsTable[#All],4,0) )/ VLOOKUP(Table2[[#This Row],[Symbols]],FinancialsTable[#All],2,0),"")</f>
        <v>8.2602965403624384E-2</v>
      </c>
      <c r="K11" s="77" t="str" cm="1">
        <f t="array" ref="K11">INDEX(TRANSPOSE(Scorecard!$H$4:$O$4), MATCH(Table2[[#This Row],[(EBITDA-Capex) / Revenue]],Scorecard!$H$8:$O$8,-1),0)</f>
        <v>B</v>
      </c>
      <c r="L11" s="55">
        <f>IFERROR(VLOOKUP(Table2[[#This Row],[Symbols]],FinancialsTable[#All],5,0) / VLOOKUP(Table2[[#This Row],[Symbols]],FinancialsTable[#All],3,0), "")</f>
        <v>5.2599388379204894</v>
      </c>
      <c r="M11" s="76" t="str" cm="1">
        <f t="array" ref="M11">_xlfn.IFNA(INDEX(TRANSPOSE(Scorecard!$H$4:$O$4), MATCH(Table2[[#This Row],[Debt / EBITDA]],Scorecard!$H$9:$N$9,1),0), Scorecard!$H$4)</f>
        <v>B</v>
      </c>
      <c r="N11" s="56">
        <f>IFERROR(VLOOKUP(Table2[[#This Row],[Symbols]],FinancialsTable[#All],6,0) / VLOOKUP(Table2[[#This Row],[Symbols]],FinancialsTable[#All],5,0),"")</f>
        <v>0.47267441860465115</v>
      </c>
      <c r="O11" s="76" t="str" cm="1">
        <f t="array" ref="O11">_xlfn.IFNA(INDEX(TRANSPOSE(Scorecard!$H$4:$O$4), MATCH(Table2[[#This Row],[FCF / Debt]],Scorecard!$H$10:$O$10,-1),0), Scorecard!$H$4)</f>
        <v>Aaa</v>
      </c>
      <c r="P11" s="55">
        <f>IFERROR(VLOOKUP(Table2[[#This Row],[Symbols]],FinancialsTable[#All],7,0) / VLOOKUP(Table2[[#This Row],[Symbols]],FinancialsTable[#All],8,0),"")</f>
        <v>4.6721311475409832</v>
      </c>
      <c r="Q11" s="77" t="str" cm="1">
        <f t="array" ref="Q11">INDEX(TRANSPOSE(Scorecard!$H$4:$O$4), MATCH(Table2[[#This Row],[EBIT / Interest Expense]],Scorecard!$H$11:$O$11,-1),0)</f>
        <v>Baa</v>
      </c>
      <c r="R11" s="25" t="s">
        <v>28</v>
      </c>
      <c r="S11" s="84"/>
    </row>
    <row r="12" spans="2:19" x14ac:dyDescent="0.2">
      <c r="B12" s="52" t="str">
        <f>IF(Scorecard!E19=0,"",Scorecard!E19)</f>
        <v>NXPI</v>
      </c>
      <c r="C12" s="25"/>
      <c r="D12" s="53">
        <f>VLOOKUP(Table2[[#This Row],[Symbols]],FinancialsTable[#All],2,FALSE)</f>
        <v>8.61</v>
      </c>
      <c r="E12" s="76" t="str" cm="1">
        <f t="array" ref="E12">INDEX(TRANSPOSE(Scorecard!$H$4:$O$4), MATCH(Table2[[#This Row],[Revenue]],Scorecard!$H$5:$N$5,-1),0)</f>
        <v>A</v>
      </c>
      <c r="F12" s="25" t="s">
        <v>28</v>
      </c>
      <c r="G12" s="77"/>
      <c r="H12" s="54">
        <f>IFERROR(VLOOKUP(Table2[[#This Row],[Symbols]],FinancialsTable[#All],3,0) / VLOOKUP(Table2[[#This Row],[Symbols]],FinancialsTable[#All],2,0), "")</f>
        <v>9.0476190476190488E-2</v>
      </c>
      <c r="I12" s="77" t="str" cm="1">
        <f t="array" ref="I12">INDEX(TRANSPOSE(Scorecard!$H$4:$O$4), MATCH(Table2[[#This Row],[EBITDA Margin]],Scorecard!$H$7:$O$7,-1),0)</f>
        <v>Caa</v>
      </c>
      <c r="J12" s="54">
        <f>IFERROR((VLOOKUP(Table2[[#This Row],[Symbols]],FinancialsTable[#All],3,0)  - VLOOKUP(Table2[[#This Row],[Symbols]],FinancialsTable[#All],4,0) )/ VLOOKUP(Table2[[#This Row],[Symbols]],FinancialsTable[#All],2,0),"")</f>
        <v>2.9849012775842048E-2</v>
      </c>
      <c r="K12" s="77" t="str" cm="1">
        <f t="array" ref="K12">INDEX(TRANSPOSE(Scorecard!$H$4:$O$4), MATCH(Table2[[#This Row],[(EBITDA-Capex) / Revenue]],Scorecard!$H$8:$O$8,-1),0)</f>
        <v>Caa</v>
      </c>
      <c r="L12" s="55">
        <f>IFERROR(VLOOKUP(Table2[[#This Row],[Symbols]],FinancialsTable[#All],5,0) / VLOOKUP(Table2[[#This Row],[Symbols]],FinancialsTable[#All],3,0), "")</f>
        <v>9.7560975609756095</v>
      </c>
      <c r="M12" s="76" t="str" cm="1">
        <f t="array" ref="M12">_xlfn.IFNA(INDEX(TRANSPOSE(Scorecard!$H$4:$O$4), MATCH(Table2[[#This Row],[Debt / EBITDA]],Scorecard!$H$9:$N$9,1),0), Scorecard!$H$4)</f>
        <v>Caa</v>
      </c>
      <c r="N12" s="56">
        <f>IFERROR(VLOOKUP(Table2[[#This Row],[Symbols]],FinancialsTable[#All],6,0) / VLOOKUP(Table2[[#This Row],[Symbols]],FinancialsTable[#All],5,0),"")</f>
        <v>0.27552631578947367</v>
      </c>
      <c r="O12" s="76" t="str" cm="1">
        <f t="array" ref="O12">_xlfn.IFNA(INDEX(TRANSPOSE(Scorecard!$H$4:$O$4), MATCH(Table2[[#This Row],[FCF / Debt]],Scorecard!$H$10:$O$10,-1),0), Scorecard!$H$4)</f>
        <v>A</v>
      </c>
      <c r="P12" s="55" t="str">
        <f>IFERROR(VLOOKUP(Table2[[#This Row],[Symbols]],FinancialsTable[#All],7,0) / VLOOKUP(Table2[[#This Row],[Symbols]],FinancialsTable[#All],8,0),"")</f>
        <v/>
      </c>
      <c r="Q12" s="77" t="str" cm="1">
        <f t="array" ref="Q12">INDEX(TRANSPOSE(Scorecard!$H$4:$O$4), MATCH(Table2[[#This Row],[EBIT / Interest Expense]],Scorecard!$H$11:$O$11,-1),0)</f>
        <v>Ca</v>
      </c>
      <c r="R12" s="25" t="s">
        <v>28</v>
      </c>
      <c r="S12" s="84"/>
    </row>
    <row r="13" spans="2:19" x14ac:dyDescent="0.2">
      <c r="B13" s="52" t="str">
        <f>IF(Scorecard!E20=0,"",Scorecard!E20)</f>
        <v>QCOM</v>
      </c>
      <c r="C13" s="25"/>
      <c r="D13" s="53">
        <f>VLOOKUP(Table2[[#This Row],[Symbols]],FinancialsTable[#All],2,FALSE)</f>
        <v>26.69</v>
      </c>
      <c r="E13" s="76" t="str" cm="1">
        <f t="array" ref="E13">INDEX(TRANSPOSE(Scorecard!$H$4:$O$4), MATCH(Table2[[#This Row],[Revenue]],Scorecard!$H$5:$N$5,-1),0)</f>
        <v>Aa</v>
      </c>
      <c r="F13" s="25" t="s">
        <v>28</v>
      </c>
      <c r="G13" s="77"/>
      <c r="H13" s="54">
        <f>IFERROR(VLOOKUP(Table2[[#This Row],[Symbols]],FinancialsTable[#All],3,0) / VLOOKUP(Table2[[#This Row],[Symbols]],FinancialsTable[#All],2,0), "")</f>
        <v>0.34308729861371301</v>
      </c>
      <c r="I13" s="77" t="str" cm="1">
        <f t="array" ref="I13">INDEX(TRANSPOSE(Scorecard!$H$4:$O$4), MATCH(Table2[[#This Row],[EBITDA Margin]],Scorecard!$H$7:$O$7,-1),0)</f>
        <v>Aa</v>
      </c>
      <c r="J13" s="54">
        <f>IFERROR((VLOOKUP(Table2[[#This Row],[Symbols]],FinancialsTable[#All],3,0)  - VLOOKUP(Table2[[#This Row],[Symbols]],FinancialsTable[#All],4,0) )/ VLOOKUP(Table2[[#This Row],[Symbols]],FinancialsTable[#All],2,0),"")</f>
        <v>0.29037092544023979</v>
      </c>
      <c r="K13" s="77" t="str" cm="1">
        <f t="array" ref="K13">INDEX(TRANSPOSE(Scorecard!$H$4:$O$4), MATCH(Table2[[#This Row],[(EBITDA-Capex) / Revenue]],Scorecard!$H$8:$O$8,-1),0)</f>
        <v>Aa</v>
      </c>
      <c r="L13" s="55">
        <f>IFERROR(VLOOKUP(Table2[[#This Row],[Symbols]],FinancialsTable[#All],5,0) / VLOOKUP(Table2[[#This Row],[Symbols]],FinancialsTable[#All],3,0), "")</f>
        <v>1.7145353281642459</v>
      </c>
      <c r="M13" s="76" t="str" cm="1">
        <f t="array" ref="M13">_xlfn.IFNA(INDEX(TRANSPOSE(Scorecard!$H$4:$O$4), MATCH(Table2[[#This Row],[Debt / EBITDA]],Scorecard!$H$9:$N$9,1),0), Scorecard!$H$4)</f>
        <v>A</v>
      </c>
      <c r="N13" s="56">
        <f>IFERROR(VLOOKUP(Table2[[#This Row],[Symbols]],FinancialsTable[#All],6,0) / VLOOKUP(Table2[[#This Row],[Symbols]],FinancialsTable[#All],5,0),"")</f>
        <v>0.17235668789808917</v>
      </c>
      <c r="O13" s="76" t="str" cm="1">
        <f t="array" ref="O13">_xlfn.IFNA(INDEX(TRANSPOSE(Scorecard!$H$4:$O$4), MATCH(Table2[[#This Row],[FCF / Debt]],Scorecard!$H$10:$O$10,-1),0), Scorecard!$H$4)</f>
        <v>Baa</v>
      </c>
      <c r="P13" s="55">
        <f>IFERROR(VLOOKUP(Table2[[#This Row],[Symbols]],FinancialsTable[#All],7,0) / VLOOKUP(Table2[[#This Row],[Symbols]],FinancialsTable[#All],8,0),"")</f>
        <v>-4.2382550335570466</v>
      </c>
      <c r="Q13" s="77" t="str" cm="1">
        <f t="array" ref="Q13">INDEX(TRANSPOSE(Scorecard!$H$4:$O$4), MATCH(Table2[[#This Row],[EBIT / Interest Expense]],Scorecard!$H$11:$O$11,-1),0)</f>
        <v>Caa</v>
      </c>
      <c r="R13" s="25" t="s">
        <v>28</v>
      </c>
      <c r="S13" s="84"/>
    </row>
    <row r="14" spans="2:19" x14ac:dyDescent="0.2">
      <c r="B14" s="52" t="str">
        <f>IF(Scorecard!E21=0,"",Scorecard!E21)</f>
        <v>TXN</v>
      </c>
      <c r="C14" s="25"/>
      <c r="D14" s="53">
        <f>VLOOKUP(Table2[[#This Row],[Symbols]],FinancialsTable[#All],2,FALSE)</f>
        <v>14.46</v>
      </c>
      <c r="E14" s="76" t="str" cm="1">
        <f t="array" ref="E14">INDEX(TRANSPOSE(Scorecard!$H$4:$O$4), MATCH(Table2[[#This Row],[Revenue]],Scorecard!$H$5:$N$5,-1),0)</f>
        <v>A</v>
      </c>
      <c r="F14" s="25" t="s">
        <v>28</v>
      </c>
      <c r="G14" s="77"/>
      <c r="H14" s="54">
        <f>IFERROR(VLOOKUP(Table2[[#This Row],[Symbols]],FinancialsTable[#All],3,0) / VLOOKUP(Table2[[#This Row],[Symbols]],FinancialsTable[#All],2,0), "")</f>
        <v>0.14218533886583679</v>
      </c>
      <c r="I14" s="77" t="str" cm="1">
        <f t="array" ref="I14">INDEX(TRANSPOSE(Scorecard!$H$4:$O$4), MATCH(Table2[[#This Row],[EBITDA Margin]],Scorecard!$H$7:$O$7,-1),0)</f>
        <v>B</v>
      </c>
      <c r="J14" s="54">
        <f>IFERROR((VLOOKUP(Table2[[#This Row],[Symbols]],FinancialsTable[#All],3,0)  - VLOOKUP(Table2[[#This Row],[Symbols]],FinancialsTable[#All],4,0) )/ VLOOKUP(Table2[[#This Row],[Symbols]],FinancialsTable[#All],2,0),"")</f>
        <v>9.7302904564315354E-2</v>
      </c>
      <c r="K14" s="77" t="str" cm="1">
        <f t="array" ref="K14">INDEX(TRANSPOSE(Scorecard!$H$4:$O$4), MATCH(Table2[[#This Row],[(EBITDA-Capex) / Revenue]],Scorecard!$H$8:$O$8,-1),0)</f>
        <v>B</v>
      </c>
      <c r="L14" s="55">
        <f>IFERROR(VLOOKUP(Table2[[#This Row],[Symbols]],FinancialsTable[#All],5,0) / VLOOKUP(Table2[[#This Row],[Symbols]],FinancialsTable[#All],3,0), "")</f>
        <v>3.0350194552529182</v>
      </c>
      <c r="M14" s="76" t="str" cm="1">
        <f t="array" ref="M14">_xlfn.IFNA(INDEX(TRANSPOSE(Scorecard!$H$4:$O$4), MATCH(Table2[[#This Row],[Debt / EBITDA]],Scorecard!$H$9:$N$9,1),0), Scorecard!$H$4)</f>
        <v>Baa</v>
      </c>
      <c r="N14" s="56">
        <f>IFERROR(VLOOKUP(Table2[[#This Row],[Symbols]],FinancialsTable[#All],6,0) / VLOOKUP(Table2[[#This Row],[Symbols]],FinancialsTable[#All],5,0),"")</f>
        <v>0.88044871794871793</v>
      </c>
      <c r="O14" s="76" t="str" cm="1">
        <f t="array" ref="O14">_xlfn.IFNA(INDEX(TRANSPOSE(Scorecard!$H$4:$O$4), MATCH(Table2[[#This Row],[FCF / Debt]],Scorecard!$H$10:$O$10,-1),0), Scorecard!$H$4)</f>
        <v>Aaa</v>
      </c>
      <c r="P14" s="55">
        <f>IFERROR(VLOOKUP(Table2[[#This Row],[Symbols]],FinancialsTable[#All],7,0) / VLOOKUP(Table2[[#This Row],[Symbols]],FinancialsTable[#All],8,0),"")</f>
        <v>-9.5421052631578949</v>
      </c>
      <c r="Q14" s="77" t="str" cm="1">
        <f t="array" ref="Q14">INDEX(TRANSPOSE(Scorecard!$H$4:$O$4), MATCH(Table2[[#This Row],[EBIT / Interest Expense]],Scorecard!$H$11:$O$11,-1),0)</f>
        <v>Caa</v>
      </c>
      <c r="R14" s="25" t="s">
        <v>28</v>
      </c>
      <c r="S14" s="84"/>
    </row>
    <row r="15" spans="2:19" x14ac:dyDescent="0.2">
      <c r="B15" s="52" t="str">
        <f>IF(Scorecard!E22=0,"",Scorecard!E22)</f>
        <v>AMAT</v>
      </c>
      <c r="C15" s="25"/>
      <c r="D15" s="53">
        <f>VLOOKUP(Table2[[#This Row],[Symbols]],FinancialsTable[#All],2,FALSE)</f>
        <v>18.2</v>
      </c>
      <c r="E15" s="76" t="str" cm="1">
        <f t="array" ref="E15">INDEX(TRANSPOSE(Scorecard!$H$4:$O$4), MATCH(Table2[[#This Row],[Revenue]],Scorecard!$H$5:$N$5,-1),0)</f>
        <v>Aa</v>
      </c>
      <c r="F15" s="25" t="s">
        <v>28</v>
      </c>
      <c r="G15" s="77"/>
      <c r="H15" s="54">
        <f>IFERROR(VLOOKUP(Table2[[#This Row],[Symbols]],FinancialsTable[#All],3,0) / VLOOKUP(Table2[[#This Row],[Symbols]],FinancialsTable[#All],2,0), "")</f>
        <v>7.5274725274725285E-2</v>
      </c>
      <c r="I15" s="77" t="str" cm="1">
        <f t="array" ref="I15">INDEX(TRANSPOSE(Scorecard!$H$4:$O$4), MATCH(Table2[[#This Row],[EBITDA Margin]],Scorecard!$H$7:$O$7,-1),0)</f>
        <v>Caa</v>
      </c>
      <c r="J15" s="54">
        <f>IFERROR((VLOOKUP(Table2[[#This Row],[Symbols]],FinancialsTable[#All],3,0)  - VLOOKUP(Table2[[#This Row],[Symbols]],FinancialsTable[#All],4,0) )/ VLOOKUP(Table2[[#This Row],[Symbols]],FinancialsTable[#All],2,0),"")</f>
        <v>5.2087912087912101E-2</v>
      </c>
      <c r="K15" s="77" t="str" cm="1">
        <f t="array" ref="K15">INDEX(TRANSPOSE(Scorecard!$H$4:$O$4), MATCH(Table2[[#This Row],[(EBITDA-Capex) / Revenue]],Scorecard!$H$8:$O$8,-1),0)</f>
        <v>B</v>
      </c>
      <c r="L15" s="55">
        <f>IFERROR(VLOOKUP(Table2[[#This Row],[Symbols]],FinancialsTable[#All],5,0) / VLOOKUP(Table2[[#This Row],[Symbols]],FinancialsTable[#All],3,0), "")</f>
        <v>3.9773722627737222</v>
      </c>
      <c r="M15" s="76" t="str" cm="1">
        <f t="array" ref="M15">_xlfn.IFNA(INDEX(TRANSPOSE(Scorecard!$H$4:$O$4), MATCH(Table2[[#This Row],[Debt / EBITDA]],Scorecard!$H$9:$N$9,1),0), Scorecard!$H$4)</f>
        <v>Ba</v>
      </c>
      <c r="N15" s="56">
        <f>IFERROR(VLOOKUP(Table2[[#This Row],[Symbols]],FinancialsTable[#All],6,0) / VLOOKUP(Table2[[#This Row],[Symbols]],FinancialsTable[#All],5,0),"")</f>
        <v>0.23857588548357497</v>
      </c>
      <c r="O15" s="76" t="str" cm="1">
        <f t="array" ref="O15">_xlfn.IFNA(INDEX(TRANSPOSE(Scorecard!$H$4:$O$4), MATCH(Table2[[#This Row],[FCF / Debt]],Scorecard!$H$10:$O$10,-1),0), Scorecard!$H$4)</f>
        <v>A</v>
      </c>
      <c r="P15" s="55">
        <f>IFERROR(VLOOKUP(Table2[[#This Row],[Symbols]],FinancialsTable[#All],7,0) / VLOOKUP(Table2[[#This Row],[Symbols]],FinancialsTable[#All],8,0),"")</f>
        <v>-2.1032786885245902</v>
      </c>
      <c r="Q15" s="77" t="str" cm="1">
        <f t="array" ref="Q15">INDEX(TRANSPOSE(Scorecard!$H$4:$O$4), MATCH(Table2[[#This Row],[EBIT / Interest Expense]],Scorecard!$H$11:$O$11,-1),0)</f>
        <v>Caa</v>
      </c>
      <c r="R15" s="25" t="s">
        <v>28</v>
      </c>
      <c r="S15" s="84"/>
    </row>
    <row r="16" spans="2:19" x14ac:dyDescent="0.2">
      <c r="B16" s="52" t="str">
        <f>IF(Scorecard!E23=0,"",Scorecard!E23)</f>
        <v>MU</v>
      </c>
      <c r="C16" s="25"/>
      <c r="D16" s="53">
        <f>VLOOKUP(Table2[[#This Row],[Symbols]],FinancialsTable[#All],2,FALSE)</f>
        <v>22.06</v>
      </c>
      <c r="E16" s="76" t="str" cm="1">
        <f t="array" ref="E16">INDEX(TRANSPOSE(Scorecard!$H$4:$O$4), MATCH(Table2[[#This Row],[Revenue]],Scorecard!$H$5:$N$5,-1),0)</f>
        <v>Aa</v>
      </c>
      <c r="F16" s="25" t="s">
        <v>28</v>
      </c>
      <c r="G16" s="77"/>
      <c r="H16" s="54">
        <f>IFERROR(VLOOKUP(Table2[[#This Row],[Symbols]],FinancialsTable[#All],3,0) / VLOOKUP(Table2[[#This Row],[Symbols]],FinancialsTable[#All],2,0), "")</f>
        <v>0.10698096101541252</v>
      </c>
      <c r="I16" s="77" t="str" cm="1">
        <f t="array" ref="I16">INDEX(TRANSPOSE(Scorecard!$H$4:$O$4), MATCH(Table2[[#This Row],[EBITDA Margin]],Scorecard!$H$7:$O$7,-1),0)</f>
        <v>B</v>
      </c>
      <c r="J16" s="54">
        <f>IFERROR((VLOOKUP(Table2[[#This Row],[Symbols]],FinancialsTable[#All],3,0)  - VLOOKUP(Table2[[#This Row],[Symbols]],FinancialsTable[#All],4,0) )/ VLOOKUP(Table2[[#This Row],[Symbols]],FinancialsTable[#All],2,0),"")</f>
        <v>6.9705349048050771E-2</v>
      </c>
      <c r="K16" s="77" t="str" cm="1">
        <f t="array" ref="K16">INDEX(TRANSPOSE(Scorecard!$H$4:$O$4), MATCH(Table2[[#This Row],[(EBITDA-Capex) / Revenue]],Scorecard!$H$8:$O$8,-1),0)</f>
        <v>B</v>
      </c>
      <c r="L16" s="55">
        <f>IFERROR(VLOOKUP(Table2[[#This Row],[Symbols]],FinancialsTable[#All],5,0) / VLOOKUP(Table2[[#This Row],[Symbols]],FinancialsTable[#All],3,0), "")</f>
        <v>2.6932203389830511</v>
      </c>
      <c r="M16" s="76" t="str" cm="1">
        <f t="array" ref="M16">_xlfn.IFNA(INDEX(TRANSPOSE(Scorecard!$H$4:$O$4), MATCH(Table2[[#This Row],[Debt / EBITDA]],Scorecard!$H$9:$N$9,1),0), Scorecard!$H$4)</f>
        <v>Baa</v>
      </c>
      <c r="N16" s="56">
        <f>IFERROR(VLOOKUP(Table2[[#This Row],[Symbols]],FinancialsTable[#All],6,0) / VLOOKUP(Table2[[#This Row],[Symbols]],FinancialsTable[#All],5,0),"")</f>
        <v>-0.12130270610446822</v>
      </c>
      <c r="O16" s="76" t="str" cm="1">
        <f t="array" ref="O16">_xlfn.IFNA(INDEX(TRANSPOSE(Scorecard!$H$4:$O$4), MATCH(Table2[[#This Row],[FCF / Debt]],Scorecard!$H$10:$O$10,-1),0), Scorecard!$H$4)</f>
        <v>Caa</v>
      </c>
      <c r="P16" s="55">
        <f>IFERROR(VLOOKUP(Table2[[#This Row],[Symbols]],FinancialsTable[#All],7,0) / VLOOKUP(Table2[[#This Row],[Symbols]],FinancialsTable[#All],8,0),"")</f>
        <v>-4.4102564102564097</v>
      </c>
      <c r="Q16" s="77" t="str" cm="1">
        <f t="array" ref="Q16">INDEX(TRANSPOSE(Scorecard!$H$4:$O$4), MATCH(Table2[[#This Row],[EBIT / Interest Expense]],Scorecard!$H$11:$O$11,-1),0)</f>
        <v>Caa</v>
      </c>
      <c r="R16" s="25" t="s">
        <v>28</v>
      </c>
      <c r="S16" s="84"/>
    </row>
    <row r="17" spans="2:19" ht="16" thickBot="1" x14ac:dyDescent="0.25">
      <c r="B17" s="57" t="str">
        <f>IF(Scorecard!E24=0,"",Scorecard!E24)</f>
        <v>AVGO</v>
      </c>
      <c r="C17" s="59"/>
      <c r="D17" s="58">
        <f>_xlfn.IFNA(VLOOKUP(Table2[[#This Row],[Symbols]],FinancialsTable[#All],2,FALSE), "")</f>
        <v>23.89</v>
      </c>
      <c r="E17" s="79" t="str" cm="1">
        <f t="array" ref="E17">INDEX(TRANSPOSE(Scorecard!$H$4:$O$4), MATCH(Table2[[#This Row],[Revenue]],Scorecard!$H$5:$N$5,-1),0)</f>
        <v>Aa</v>
      </c>
      <c r="F17" s="59" t="s">
        <v>28</v>
      </c>
      <c r="G17" s="78"/>
      <c r="H17" s="60">
        <f>IFERROR(VLOOKUP(Table2[[#This Row],[Symbols]],FinancialsTable[#All],3,0) / VLOOKUP(Table2[[#This Row],[Symbols]],FinancialsTable[#All],2,0), "")</f>
        <v>0.13620761825031394</v>
      </c>
      <c r="I17" s="78" t="str" cm="1">
        <f t="array" ref="I17">INDEX(TRANSPOSE(Scorecard!$H$4:$O$4), MATCH(Table2[[#This Row],[EBITDA Margin]],Scorecard!$H$7:$O$7,-1),0)</f>
        <v>B</v>
      </c>
      <c r="J17" s="60">
        <f>IFERROR((VLOOKUP(Table2[[#This Row],[Symbols]],FinancialsTable[#All],3,0)  - VLOOKUP(Table2[[#This Row],[Symbols]],FinancialsTable[#All],4,0) )/ VLOOKUP(Table2[[#This Row],[Symbols]],FinancialsTable[#All],2,0),"")</f>
        <v>0.11682712431979907</v>
      </c>
      <c r="K17" s="78" t="str" cm="1">
        <f t="array" ref="K17">INDEX(TRANSPOSE(Scorecard!$H$4:$O$4), MATCH(Table2[[#This Row],[(EBITDA-Capex) / Revenue]],Scorecard!$H$8:$O$8,-1),0)</f>
        <v>Ba</v>
      </c>
      <c r="L17" s="61">
        <f>IFERROR(VLOOKUP(Table2[[#This Row],[Symbols]],FinancialsTable[#All],5,0) / VLOOKUP(Table2[[#This Row],[Symbols]],FinancialsTable[#All],3,0), "")</f>
        <v>12.876459741856177</v>
      </c>
      <c r="M17" s="79" t="str" cm="1">
        <f t="array" ref="M17">_xlfn.IFNA(INDEX(TRANSPOSE(Scorecard!$H$4:$O$4), MATCH(Table2[[#This Row],[Debt / EBITDA]],Scorecard!$H$9:$N$9,1),0), Scorecard!$H$4)</f>
        <v>Caa</v>
      </c>
      <c r="N17" s="62">
        <f>IFERROR(VLOOKUP(Table2[[#This Row],[Symbols]],FinancialsTable[#All],6,0) / VLOOKUP(Table2[[#This Row],[Symbols]],FinancialsTable[#All],5,0),"")</f>
        <v>0.27684964200477324</v>
      </c>
      <c r="O17" s="79" t="str" cm="1">
        <f t="array" ref="O17">_xlfn.IFNA(INDEX(TRANSPOSE(Scorecard!$H$4:$O$4), MATCH(Table2[[#This Row],[FCF / Debt]],Scorecard!$H$10:$O$10,-1),0), Scorecard!$H$4)</f>
        <v>A</v>
      </c>
      <c r="P17" s="61">
        <f>IFERROR(VLOOKUP(Table2[[#This Row],[Symbols]],FinancialsTable[#All],7,0) / VLOOKUP(Table2[[#This Row],[Symbols]],FinancialsTable[#All],8,0),"")</f>
        <v>-0.94641937145801125</v>
      </c>
      <c r="Q17" s="78" t="str" cm="1">
        <f t="array" ref="Q17">INDEX(TRANSPOSE(Scorecard!$H$4:$O$4), MATCH(Table2[[#This Row],[EBIT / Interest Expense]],Scorecard!$H$11:$O$11,-1),0)</f>
        <v>Caa</v>
      </c>
      <c r="R17" s="59" t="s">
        <v>28</v>
      </c>
      <c r="S17" s="85"/>
    </row>
  </sheetData>
  <mergeCells count="4">
    <mergeCell ref="H5:J5"/>
    <mergeCell ref="L5:P5"/>
    <mergeCell ref="H6:J6"/>
    <mergeCell ref="L6:P6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EF23-706D-4360-BD87-E34E5917378D}">
  <dimension ref="E4:L16"/>
  <sheetViews>
    <sheetView showGridLines="0" zoomScale="140" zoomScaleNormal="140" workbookViewId="0">
      <selection activeCell="C19" sqref="C19"/>
    </sheetView>
  </sheetViews>
  <sheetFormatPr baseColWidth="10" defaultColWidth="8.83203125" defaultRowHeight="15" x14ac:dyDescent="0.2"/>
  <cols>
    <col min="5" max="5" width="20.83203125" customWidth="1"/>
    <col min="6" max="6" width="11.5" style="1" bestFit="1" customWidth="1"/>
    <col min="7" max="7" width="10.1640625" style="1" bestFit="1" customWidth="1"/>
    <col min="8" max="8" width="9.33203125" style="1" bestFit="1" customWidth="1"/>
    <col min="9" max="10" width="8.6640625" style="1" bestFit="1" customWidth="1"/>
    <col min="11" max="11" width="7.83203125" style="1" bestFit="1" customWidth="1"/>
    <col min="12" max="12" width="17.5" style="1" bestFit="1" customWidth="1"/>
  </cols>
  <sheetData>
    <row r="4" spans="5:12" ht="16" thickBot="1" x14ac:dyDescent="0.25"/>
    <row r="5" spans="5:12" x14ac:dyDescent="0.2">
      <c r="E5" s="63" t="s">
        <v>61</v>
      </c>
      <c r="F5" s="64"/>
      <c r="G5" s="65"/>
      <c r="H5" s="65"/>
      <c r="I5" s="65"/>
      <c r="J5" s="65"/>
      <c r="K5" s="65"/>
      <c r="L5" s="66"/>
    </row>
    <row r="6" spans="5:12" x14ac:dyDescent="0.2">
      <c r="E6" s="47" t="s">
        <v>30</v>
      </c>
      <c r="F6" s="67" t="s">
        <v>0</v>
      </c>
      <c r="G6" s="67" t="s">
        <v>60</v>
      </c>
      <c r="H6" s="67" t="s">
        <v>62</v>
      </c>
      <c r="I6" s="67" t="s">
        <v>63</v>
      </c>
      <c r="J6" s="67" t="s">
        <v>64</v>
      </c>
      <c r="K6" s="67" t="s">
        <v>65</v>
      </c>
      <c r="L6" s="68" t="s">
        <v>66</v>
      </c>
    </row>
    <row r="7" spans="5:12" x14ac:dyDescent="0.2">
      <c r="E7" s="52" t="str">
        <f>IF(Scorecard!E20=0,"",Scorecard!E20)</f>
        <v>QCOM</v>
      </c>
      <c r="F7" s="69">
        <v>26.69</v>
      </c>
      <c r="G7" s="69">
        <v>9.157</v>
      </c>
      <c r="H7" s="69">
        <v>1.407</v>
      </c>
      <c r="I7" s="69">
        <v>15.7</v>
      </c>
      <c r="J7" s="69">
        <v>2.706</v>
      </c>
      <c r="K7" s="69">
        <v>2.5259999999999998</v>
      </c>
      <c r="L7" s="70">
        <v>-0.59599999999999997</v>
      </c>
    </row>
    <row r="8" spans="5:12" x14ac:dyDescent="0.2">
      <c r="E8" s="52" t="str">
        <f>IF(Scorecard!E24=0,"",Scorecard!E24)</f>
        <v>AVGO</v>
      </c>
      <c r="F8" s="69">
        <v>23.89</v>
      </c>
      <c r="G8" s="69">
        <v>3.254</v>
      </c>
      <c r="H8" s="69">
        <v>0.46300000000000002</v>
      </c>
      <c r="I8" s="69">
        <v>41.9</v>
      </c>
      <c r="J8" s="69">
        <v>11.6</v>
      </c>
      <c r="K8" s="69">
        <v>1.837</v>
      </c>
      <c r="L8" s="70">
        <v>-1.9410000000000001</v>
      </c>
    </row>
    <row r="9" spans="5:12" x14ac:dyDescent="0.2">
      <c r="E9" s="52" t="str">
        <f>IF(Scorecard!E23=0,"",Scorecard!E23)</f>
        <v>MU</v>
      </c>
      <c r="F9" s="69">
        <v>22.06</v>
      </c>
      <c r="G9" s="69">
        <v>2.36</v>
      </c>
      <c r="H9" s="69">
        <v>0.82230000000000003</v>
      </c>
      <c r="I9" s="69">
        <v>6.3559999999999999</v>
      </c>
      <c r="J9" s="69">
        <v>-0.77100000000000002</v>
      </c>
      <c r="K9" s="69">
        <v>0.86</v>
      </c>
      <c r="L9" s="70">
        <v>-0.19500000000000001</v>
      </c>
    </row>
    <row r="10" spans="5:12" x14ac:dyDescent="0.2">
      <c r="E10" s="52" t="str">
        <f>IF(Scorecard!E22=0,"",Scorecard!E22)</f>
        <v>AMAT</v>
      </c>
      <c r="F10" s="69">
        <v>18.2</v>
      </c>
      <c r="G10" s="69">
        <v>1.37</v>
      </c>
      <c r="H10" s="69">
        <v>0.42199999999999999</v>
      </c>
      <c r="I10" s="69">
        <v>5.4489999999999998</v>
      </c>
      <c r="J10" s="69">
        <v>1.3</v>
      </c>
      <c r="K10" s="69">
        <v>1.2829999999999999</v>
      </c>
      <c r="L10" s="70">
        <v>-0.61</v>
      </c>
    </row>
    <row r="11" spans="5:12" x14ac:dyDescent="0.2">
      <c r="E11" s="52" t="str">
        <f>IF(Scorecard!E15=0,"",Scorecard!E15)</f>
        <v>NVDA</v>
      </c>
      <c r="F11" s="69">
        <v>16.68</v>
      </c>
      <c r="G11" s="69">
        <v>1.798</v>
      </c>
      <c r="H11" s="69">
        <v>0.113</v>
      </c>
      <c r="I11" s="69">
        <v>5.9640000000000004</v>
      </c>
      <c r="J11" s="69">
        <v>4.694</v>
      </c>
      <c r="K11" s="69">
        <v>1.5069999999999999</v>
      </c>
      <c r="L11" s="70">
        <v>-0.185</v>
      </c>
    </row>
    <row r="12" spans="5:12" x14ac:dyDescent="0.2">
      <c r="E12" s="52" t="str">
        <f>IF(Scorecard!E21=0,"",Scorecard!E21)</f>
        <v>TXN</v>
      </c>
      <c r="F12" s="69">
        <v>14.46</v>
      </c>
      <c r="G12" s="69">
        <v>2.056</v>
      </c>
      <c r="H12" s="69">
        <v>0.64900000000000002</v>
      </c>
      <c r="I12" s="69">
        <v>6.24</v>
      </c>
      <c r="J12" s="69">
        <v>5.4939999999999998</v>
      </c>
      <c r="K12" s="69">
        <v>1.8129999999999999</v>
      </c>
      <c r="L12" s="70">
        <v>-0.19</v>
      </c>
    </row>
    <row r="13" spans="5:12" x14ac:dyDescent="0.2">
      <c r="E13" s="52" t="str">
        <f>IF(Scorecard!E17=0,"",Scorecard!E17)</f>
        <v>LRCX</v>
      </c>
      <c r="F13" s="69">
        <v>11.93</v>
      </c>
      <c r="G13" s="69">
        <v>1.0880000000000001</v>
      </c>
      <c r="H13" s="69">
        <v>0.154</v>
      </c>
      <c r="I13" s="69">
        <v>4.992</v>
      </c>
      <c r="J13" s="69">
        <v>0.8327</v>
      </c>
      <c r="K13" s="69">
        <v>1.01</v>
      </c>
      <c r="L13" s="70">
        <v>0</v>
      </c>
    </row>
    <row r="14" spans="5:12" x14ac:dyDescent="0.2">
      <c r="E14" s="52" t="str">
        <f>IF(Scorecard!E16=0,"",Scorecard!E16)</f>
        <v>AMD</v>
      </c>
      <c r="F14" s="69">
        <v>9.76</v>
      </c>
      <c r="G14" s="69">
        <v>0.67300000000000004</v>
      </c>
      <c r="H14" s="69">
        <v>0.29399999999999998</v>
      </c>
      <c r="I14" s="69">
        <v>0.33</v>
      </c>
      <c r="J14" s="69">
        <v>0.77700000000000002</v>
      </c>
      <c r="K14" s="69">
        <v>1.369</v>
      </c>
      <c r="L14" s="70">
        <v>4.7E-2</v>
      </c>
    </row>
    <row r="15" spans="5:12" x14ac:dyDescent="0.2">
      <c r="E15" s="52" t="str">
        <f>IF(Scorecard!E19=0,"",Scorecard!E19)</f>
        <v>NXPI</v>
      </c>
      <c r="F15" s="69">
        <v>8.61</v>
      </c>
      <c r="G15" s="69">
        <v>0.77900000000000003</v>
      </c>
      <c r="H15" s="69">
        <v>0.52200000000000002</v>
      </c>
      <c r="I15" s="69">
        <v>7.6</v>
      </c>
      <c r="J15" s="69">
        <v>2.0939999999999999</v>
      </c>
      <c r="K15" s="69">
        <v>0.46300000000000002</v>
      </c>
      <c r="L15" s="70">
        <v>0</v>
      </c>
    </row>
    <row r="16" spans="5:12" ht="16" thickBot="1" x14ac:dyDescent="0.25">
      <c r="E16" s="57" t="str">
        <f>IF(Scorecard!E18=0,"",Scorecard!E18)</f>
        <v>KLAC</v>
      </c>
      <c r="F16" s="71">
        <v>6.07</v>
      </c>
      <c r="G16" s="71">
        <v>0.65400000000000003</v>
      </c>
      <c r="H16" s="71">
        <v>0.15260000000000001</v>
      </c>
      <c r="I16" s="71">
        <v>3.44</v>
      </c>
      <c r="J16" s="71">
        <v>1.6259999999999999</v>
      </c>
      <c r="K16" s="71">
        <v>0.56999999999999995</v>
      </c>
      <c r="L16" s="72">
        <v>0.122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2133-CBF1-4335-862D-2FA6053C9604}">
  <dimension ref="A1"/>
  <sheetViews>
    <sheetView showGridLines="0" workbookViewId="0">
      <selection activeCell="K32" sqref="K32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Scorecard</vt:lpstr>
      <vt:lpstr>Ratings</vt:lpstr>
      <vt:lpstr>Financials</vt:lpstr>
      <vt:lpstr>Qualitative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Sands</dc:creator>
  <cp:lastModifiedBy>Microsoft Office User</cp:lastModifiedBy>
  <dcterms:created xsi:type="dcterms:W3CDTF">2021-03-09T07:07:15Z</dcterms:created>
  <dcterms:modified xsi:type="dcterms:W3CDTF">2021-03-29T07:39:26Z</dcterms:modified>
</cp:coreProperties>
</file>