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sands/Documents/Finance/sector methodologies (moodys)/"/>
    </mc:Choice>
  </mc:AlternateContent>
  <xr:revisionPtr revIDLastSave="0" documentId="13_ncr:1_{AE914934-5BA2-C247-9D34-5DE79F6CCA3D}" xr6:coauthVersionLast="46" xr6:coauthVersionMax="46" xr10:uidLastSave="{00000000-0000-0000-0000-000000000000}"/>
  <bookViews>
    <workbookView xWindow="400" yWindow="660" windowWidth="28260" windowHeight="17000" activeTab="1" xr2:uid="{5F94B62B-14CE-4716-B1E7-1B46B5B49AF8}"/>
  </bookViews>
  <sheets>
    <sheet name="Scorecard" sheetId="1" r:id="rId1"/>
    <sheet name="Ratings" sheetId="2" r:id="rId2"/>
    <sheet name="Financials" sheetId="3" r:id="rId3"/>
    <sheet name="Qualitativ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6" i="3" l="1"/>
  <c r="M6" i="3"/>
  <c r="J6" i="3"/>
  <c r="Q13" i="3"/>
  <c r="M13" i="3"/>
  <c r="J13" i="3"/>
  <c r="Q12" i="3"/>
  <c r="M12" i="3"/>
  <c r="J12" i="3"/>
  <c r="Q11" i="3"/>
  <c r="M11" i="3"/>
  <c r="J11" i="3"/>
  <c r="Q10" i="3"/>
  <c r="M10" i="3"/>
  <c r="J10" i="3"/>
  <c r="Q9" i="3"/>
  <c r="M9" i="3"/>
  <c r="J9" i="3"/>
  <c r="Q8" i="3"/>
  <c r="M8" i="3"/>
  <c r="J8" i="3"/>
  <c r="Q7" i="3"/>
  <c r="M7" i="3"/>
  <c r="J7" i="3"/>
  <c r="Q5" i="3"/>
  <c r="M5" i="3"/>
  <c r="J5" i="3"/>
  <c r="C11" i="2"/>
  <c r="C12" i="2"/>
  <c r="C13" i="2"/>
  <c r="C14" i="2"/>
  <c r="C15" i="2"/>
  <c r="C16" i="2"/>
  <c r="C17" i="2"/>
  <c r="C18" i="2"/>
  <c r="C19" i="2"/>
  <c r="C10" i="2"/>
  <c r="Q4" i="3" l="1"/>
  <c r="M4" i="3"/>
  <c r="J4" i="3"/>
  <c r="A2" i="3"/>
  <c r="A13" i="3"/>
  <c r="A5" i="3"/>
  <c r="A4" i="3"/>
  <c r="Q10" i="2" s="1"/>
  <c r="R10" i="2" s="1" a="1"/>
  <c r="R10" i="2" s="1"/>
  <c r="A6" i="3"/>
  <c r="A7" i="3"/>
  <c r="A8" i="3"/>
  <c r="A9" i="3"/>
  <c r="A10" i="3"/>
  <c r="A11" i="3"/>
  <c r="A12" i="3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G7" i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M10" i="2" l="1"/>
  <c r="N10" i="2" s="1" a="1"/>
  <c r="N10" i="2" s="1"/>
  <c r="I11" i="2"/>
  <c r="J11" i="2" s="1" a="1"/>
  <c r="J11" i="2" s="1"/>
  <c r="Q18" i="2"/>
  <c r="R18" i="2" s="1" a="1"/>
  <c r="R18" i="2" s="1"/>
  <c r="Q17" i="2"/>
  <c r="R17" i="2" s="1" a="1"/>
  <c r="R17" i="2" s="1"/>
  <c r="O11" i="2"/>
  <c r="P11" i="2" s="1" a="1"/>
  <c r="P11" i="2" s="1"/>
  <c r="Q14" i="2"/>
  <c r="R14" i="2" s="1" a="1"/>
  <c r="R14" i="2" s="1"/>
  <c r="D10" i="2"/>
  <c r="E10" i="2" s="1" a="1"/>
  <c r="E10" i="2" s="1"/>
  <c r="O12" i="2"/>
  <c r="P12" i="2" s="1" a="1"/>
  <c r="P12" i="2" s="1"/>
  <c r="O10" i="2"/>
  <c r="P10" i="2" s="1" a="1"/>
  <c r="P10" i="2" s="1"/>
  <c r="O15" i="2"/>
  <c r="P15" i="2" s="1" a="1"/>
  <c r="P15" i="2" s="1"/>
  <c r="O16" i="2"/>
  <c r="P16" i="2" s="1" a="1"/>
  <c r="P16" i="2" s="1"/>
  <c r="O19" i="2"/>
  <c r="P19" i="2" s="1" a="1"/>
  <c r="P19" i="2" s="1"/>
  <c r="O18" i="2"/>
  <c r="P18" i="2" s="1" a="1"/>
  <c r="P18" i="2" s="1"/>
  <c r="Q11" i="2"/>
  <c r="R11" i="2" s="1" a="1"/>
  <c r="R11" i="2" s="1"/>
  <c r="O14" i="2"/>
  <c r="P14" i="2" s="1" a="1"/>
  <c r="P14" i="2" s="1"/>
  <c r="Q19" i="2"/>
  <c r="R19" i="2" s="1" a="1"/>
  <c r="R19" i="2" s="1"/>
  <c r="O13" i="2"/>
  <c r="P13" i="2" s="1" a="1"/>
  <c r="P13" i="2" s="1"/>
  <c r="Q15" i="2"/>
  <c r="R15" i="2" s="1" a="1"/>
  <c r="R15" i="2" s="1"/>
  <c r="Q12" i="2"/>
  <c r="R12" i="2" s="1" a="1"/>
  <c r="R12" i="2" s="1"/>
  <c r="Q13" i="2"/>
  <c r="R13" i="2" s="1" a="1"/>
  <c r="R13" i="2" s="1"/>
  <c r="O17" i="2"/>
  <c r="P17" i="2" s="1" a="1"/>
  <c r="P17" i="2" s="1"/>
  <c r="Q16" i="2"/>
  <c r="R16" i="2" s="1" a="1"/>
  <c r="R16" i="2" s="1"/>
  <c r="M12" i="2"/>
  <c r="N12" i="2" s="1" a="1"/>
  <c r="N12" i="2" s="1"/>
  <c r="K11" i="2"/>
  <c r="L11" i="2" s="1" a="1"/>
  <c r="L11" i="2" s="1"/>
  <c r="M19" i="2"/>
  <c r="N19" i="2" s="1" a="1"/>
  <c r="N19" i="2" s="1"/>
  <c r="K18" i="2"/>
  <c r="L18" i="2" s="1" a="1"/>
  <c r="L18" i="2" s="1"/>
  <c r="M16" i="2"/>
  <c r="N16" i="2" s="1" a="1"/>
  <c r="N16" i="2" s="1"/>
  <c r="M18" i="2"/>
  <c r="N18" i="2" s="1" a="1"/>
  <c r="N18" i="2" s="1"/>
  <c r="K13" i="2"/>
  <c r="L13" i="2" s="1" a="1"/>
  <c r="L13" i="2" s="1"/>
  <c r="M11" i="2"/>
  <c r="N11" i="2" s="1" a="1"/>
  <c r="N11" i="2" s="1"/>
  <c r="I17" i="2"/>
  <c r="J17" i="2" s="1" a="1"/>
  <c r="J17" i="2" s="1"/>
  <c r="K15" i="2"/>
  <c r="L15" i="2" s="1" a="1"/>
  <c r="L15" i="2" s="1"/>
  <c r="I14" i="2"/>
  <c r="J14" i="2" s="1" a="1"/>
  <c r="J14" i="2" s="1"/>
  <c r="K16" i="2"/>
  <c r="L16" i="2" s="1" a="1"/>
  <c r="L16" i="2" s="1"/>
  <c r="M13" i="2"/>
  <c r="N13" i="2" s="1" a="1"/>
  <c r="N13" i="2" s="1"/>
  <c r="K14" i="2"/>
  <c r="L14" i="2" s="1" a="1"/>
  <c r="L14" i="2" s="1"/>
  <c r="M14" i="2"/>
  <c r="N14" i="2" s="1" a="1"/>
  <c r="N14" i="2" s="1"/>
  <c r="K19" i="2"/>
  <c r="L19" i="2" s="1" a="1"/>
  <c r="L19" i="2" s="1"/>
  <c r="I13" i="2"/>
  <c r="J13" i="2" s="1" a="1"/>
  <c r="J13" i="2" s="1"/>
  <c r="K12" i="2"/>
  <c r="L12" i="2" s="1" a="1"/>
  <c r="L12" i="2" s="1"/>
  <c r="K17" i="2"/>
  <c r="L17" i="2" s="1" a="1"/>
  <c r="L17" i="2" s="1"/>
  <c r="I12" i="2"/>
  <c r="J12" i="2" s="1" a="1"/>
  <c r="J12" i="2" s="1"/>
  <c r="M15" i="2"/>
  <c r="N15" i="2" s="1" a="1"/>
  <c r="N15" i="2" s="1"/>
  <c r="K10" i="2"/>
  <c r="I18" i="2"/>
  <c r="J18" i="2" s="1" a="1"/>
  <c r="J18" i="2" s="1"/>
  <c r="M17" i="2"/>
  <c r="N17" i="2" s="1" a="1"/>
  <c r="N17" i="2" s="1"/>
  <c r="I16" i="2"/>
  <c r="J16" i="2" s="1" a="1"/>
  <c r="J16" i="2" s="1"/>
  <c r="I19" i="2"/>
  <c r="J19" i="2" s="1" a="1"/>
  <c r="J19" i="2" s="1"/>
  <c r="I15" i="2"/>
  <c r="J15" i="2" s="1" a="1"/>
  <c r="J15" i="2" s="1"/>
  <c r="D18" i="2"/>
  <c r="E18" i="2" s="1" a="1"/>
  <c r="E18" i="2" s="1"/>
  <c r="D14" i="2"/>
  <c r="E14" i="2" s="1" a="1"/>
  <c r="E14" i="2" s="1"/>
  <c r="D19" i="2"/>
  <c r="E19" i="2" s="1" a="1"/>
  <c r="E19" i="2" s="1"/>
  <c r="D17" i="2"/>
  <c r="E17" i="2" s="1" a="1"/>
  <c r="E17" i="2" s="1"/>
  <c r="D13" i="2"/>
  <c r="E13" i="2" s="1" a="1"/>
  <c r="E13" i="2" s="1"/>
  <c r="D16" i="2"/>
  <c r="E16" i="2" s="1" a="1"/>
  <c r="E16" i="2" s="1"/>
  <c r="D12" i="2"/>
  <c r="E12" i="2" s="1" a="1"/>
  <c r="E12" i="2" s="1"/>
  <c r="D15" i="2"/>
  <c r="E15" i="2" s="1" a="1"/>
  <c r="E15" i="2" s="1"/>
  <c r="D11" i="2"/>
  <c r="E11" i="2" s="1" a="1"/>
  <c r="E11" i="2" s="1"/>
  <c r="B2" i="3"/>
  <c r="C2" i="3" s="1"/>
  <c r="D2" i="3" s="1"/>
  <c r="E2" i="3" s="1"/>
  <c r="F2" i="3" s="1"/>
  <c r="G2" i="3" s="1"/>
  <c r="H2" i="3" s="1"/>
  <c r="I2" i="3" s="1"/>
  <c r="J2" i="3" s="1"/>
  <c r="K2" i="3" s="1"/>
  <c r="L2" i="3" s="1"/>
  <c r="M2" i="3" s="1"/>
  <c r="N2" i="3" s="1"/>
  <c r="O2" i="3" s="1"/>
  <c r="P2" i="3" s="1"/>
  <c r="I15" i="1"/>
  <c r="S2" i="3" l="1"/>
  <c r="Q2" i="3"/>
  <c r="R2" i="3" s="1"/>
  <c r="I10" i="2"/>
  <c r="J10" i="2" s="1" a="1"/>
  <c r="J10" i="2" s="1"/>
  <c r="L10" i="2" a="1"/>
  <c r="L1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Q9" authorId="0" shapeId="0" xr:uid="{A75A61F9-8A3D-4840-BCFF-3CD621DC5171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The numerator is EBITDA, and the denominator is fixed charges, including interest expense, capitalized interest, preferred dividends, trust preferred distributions and preferred unit distributions. 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J3" authorId="0" shapeId="0" xr:uid="{2F4BDCD9-FE40-8F45-B95D-BC3B528EB1CC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Unencumbered assets typically include land, unrestricted cash, accounts receivable and other assets (excluding intangible assets). 
</t>
        </r>
      </text>
    </comment>
    <comment ref="P3" authorId="0" shapeId="0" xr:uid="{251A1935-2F69-7343-B004-C7053CC053C1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Total Debt - C&amp;CE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<sst xmlns="http://schemas.openxmlformats.org/spreadsheetml/2006/main" count="161" uniqueCount="96">
  <si>
    <t>Moodys Rating Methodology Scorecard</t>
  </si>
  <si>
    <t>Aggregate Score Rating</t>
  </si>
  <si>
    <t>Sub-factor weighting</t>
  </si>
  <si>
    <t>&lt;/&gt;</t>
  </si>
  <si>
    <t>Aaa</t>
  </si>
  <si>
    <t>Aa</t>
  </si>
  <si>
    <t>A</t>
  </si>
  <si>
    <t>Baa</t>
  </si>
  <si>
    <t>Ba</t>
  </si>
  <si>
    <t>B</t>
  </si>
  <si>
    <t>Caa</t>
  </si>
  <si>
    <t>Ca</t>
  </si>
  <si>
    <t>Rating</t>
  </si>
  <si>
    <t>Score</t>
  </si>
  <si>
    <t>&gt;</t>
  </si>
  <si>
    <t>&lt;</t>
  </si>
  <si>
    <t>-</t>
  </si>
  <si>
    <t>Aa1</t>
  </si>
  <si>
    <t>Aa2</t>
  </si>
  <si>
    <t>Aa3</t>
  </si>
  <si>
    <t>A1</t>
  </si>
  <si>
    <t>A2</t>
  </si>
  <si>
    <t>A3</t>
  </si>
  <si>
    <t>Baa1</t>
  </si>
  <si>
    <t>Baa2</t>
  </si>
  <si>
    <t>Universe</t>
  </si>
  <si>
    <t>Baa3</t>
  </si>
  <si>
    <t>Ba1</t>
  </si>
  <si>
    <t>Ba2</t>
  </si>
  <si>
    <t>Ba3</t>
  </si>
  <si>
    <t>B1</t>
  </si>
  <si>
    <t>B2</t>
  </si>
  <si>
    <t>B3</t>
  </si>
  <si>
    <t>Caa1</t>
  </si>
  <si>
    <t>Caa2</t>
  </si>
  <si>
    <t>Caa3</t>
  </si>
  <si>
    <t>C</t>
  </si>
  <si>
    <t>Gross Assets</t>
  </si>
  <si>
    <t>Market Positioning &amp; Asset Quality</t>
  </si>
  <si>
    <t>Operating Environment</t>
  </si>
  <si>
    <t>Liquidity &amp; Access to Capital</t>
  </si>
  <si>
    <t>Unencumbered / Gross Assets</t>
  </si>
  <si>
    <t>(Total debt + preferred Stock) / gross Assets</t>
  </si>
  <si>
    <t>net debt / ebitda</t>
  </si>
  <si>
    <t>secured debt / gross assets</t>
  </si>
  <si>
    <t>fixed charge coverage</t>
  </si>
  <si>
    <t>AMT</t>
  </si>
  <si>
    <t>EQIX</t>
  </si>
  <si>
    <t>DLR</t>
  </si>
  <si>
    <t>SPG</t>
  </si>
  <si>
    <t>INVH</t>
  </si>
  <si>
    <t>PSA</t>
  </si>
  <si>
    <t>PLD</t>
  </si>
  <si>
    <t>VTR</t>
  </si>
  <si>
    <t>VER</t>
  </si>
  <si>
    <t>WELL</t>
  </si>
  <si>
    <t>Symbols</t>
  </si>
  <si>
    <t>Market Position &amp; Asset Quality</t>
  </si>
  <si>
    <t>Opperating Environment</t>
  </si>
  <si>
    <t>Real Estate Investment Trusts</t>
  </si>
  <si>
    <t>AFFO</t>
  </si>
  <si>
    <t>FFO</t>
  </si>
  <si>
    <t>Buisness Profile</t>
  </si>
  <si>
    <t>Liquidity &amp; Acces to Capital</t>
  </si>
  <si>
    <t>Leverage &amp; Coverage</t>
  </si>
  <si>
    <t>Scale</t>
  </si>
  <si>
    <t>Revenue</t>
  </si>
  <si>
    <t>EBITDA</t>
  </si>
  <si>
    <t>Capex</t>
  </si>
  <si>
    <t>Interest Expense</t>
  </si>
  <si>
    <t>Dividends</t>
  </si>
  <si>
    <t>D&amp;A</t>
  </si>
  <si>
    <t>FFO Payout Ratio</t>
  </si>
  <si>
    <t>AFFO Payout Ratio</t>
  </si>
  <si>
    <t>Net Income</t>
  </si>
  <si>
    <t>Change in Working Capital</t>
  </si>
  <si>
    <t>Preferred Stock</t>
  </si>
  <si>
    <t>Total Debt</t>
  </si>
  <si>
    <t>Net Debt</t>
  </si>
  <si>
    <t>Unencumbered Assets</t>
  </si>
  <si>
    <t>TTM ($, B)</t>
  </si>
  <si>
    <t>MRQ</t>
  </si>
  <si>
    <t>Ticker Symbols</t>
  </si>
  <si>
    <t>R1</t>
  </si>
  <si>
    <t>R2</t>
  </si>
  <si>
    <t>R3</t>
  </si>
  <si>
    <t>R4</t>
  </si>
  <si>
    <t>R5</t>
  </si>
  <si>
    <t>Net Debt / EBITDA</t>
  </si>
  <si>
    <t>Total Debt + Preferred Stock / Gross Assets</t>
  </si>
  <si>
    <t>Secured Debt / Gross Assets</t>
  </si>
  <si>
    <t>Secured Debt</t>
  </si>
  <si>
    <t>Fixed Charge Coverage</t>
  </si>
  <si>
    <t>Category</t>
  </si>
  <si>
    <t>Weight (%)</t>
  </si>
  <si>
    <t>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</si>
</sst>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\x"/>
    <numFmt numFmtId="165" formatCode="0.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1">
    <xf numFmtId="0" fontId="0" fillId="0" borderId="0" xfId="0"/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wrapText="1"/>
    </xf>
    <xf numFmtId="9" fontId="2" fillId="0" borderId="3" xfId="3" applyFont="1" applyBorder="1" applyAlignment="1">
      <alignment horizontal="center" wrapText="1"/>
    </xf>
    <xf numFmtId="9" fontId="2" fillId="0" borderId="4" xfId="3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9" fontId="0" fillId="0" borderId="5" xfId="3" applyFont="1" applyBorder="1" applyAlignment="1">
      <alignment horizontal="center" wrapText="1"/>
    </xf>
    <xf numFmtId="44" fontId="0" fillId="0" borderId="4" xfId="2" applyFont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9" fontId="0" fillId="0" borderId="0" xfId="3" applyFont="1" applyBorder="1" applyAlignment="1">
      <alignment horizontal="center" wrapText="1"/>
    </xf>
    <xf numFmtId="9" fontId="0" fillId="0" borderId="7" xfId="3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9" fontId="0" fillId="0" borderId="0" xfId="3" applyFont="1" applyAlignment="1">
      <alignment horizontal="center" wrapText="1"/>
    </xf>
    <xf numFmtId="9" fontId="0" fillId="0" borderId="12" xfId="3" applyFont="1" applyBorder="1" applyAlignment="1">
      <alignment horizontal="center" wrapText="1"/>
    </xf>
    <xf numFmtId="9" fontId="0" fillId="0" borderId="8" xfId="3" applyFont="1" applyBorder="1" applyAlignment="1">
      <alignment horizontal="center" wrapText="1"/>
    </xf>
    <xf numFmtId="0" fontId="0" fillId="0" borderId="0" xfId="0" applyAlignment="1">
      <alignment wrapText="1"/>
    </xf>
    <xf numFmtId="44" fontId="0" fillId="0" borderId="0" xfId="2" applyFont="1"/>
    <xf numFmtId="44" fontId="0" fillId="0" borderId="0" xfId="2" applyFont="1" applyAlignment="1">
      <alignment horizontal="center" wrapText="1"/>
    </xf>
    <xf numFmtId="44" fontId="0" fillId="0" borderId="0" xfId="2" applyFont="1" applyAlignment="1">
      <alignment wrapText="1"/>
    </xf>
    <xf numFmtId="43" fontId="0" fillId="0" borderId="0" xfId="1" applyFont="1"/>
    <xf numFmtId="164" fontId="0" fillId="0" borderId="0" xfId="3" applyNumberFormat="1" applyFont="1" applyBorder="1" applyAlignment="1">
      <alignment horizontal="center" wrapText="1"/>
    </xf>
    <xf numFmtId="164" fontId="0" fillId="0" borderId="1" xfId="3" applyNumberFormat="1" applyFont="1" applyBorder="1" applyAlignment="1">
      <alignment horizontal="center" wrapText="1"/>
    </xf>
    <xf numFmtId="9" fontId="0" fillId="0" borderId="0" xfId="3" quotePrefix="1" applyFont="1" applyBorder="1" applyAlignment="1">
      <alignment horizontal="center" wrapText="1"/>
    </xf>
    <xf numFmtId="9" fontId="0" fillId="0" borderId="0" xfId="3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9" fontId="0" fillId="0" borderId="0" xfId="3" applyFont="1" applyAlignment="1">
      <alignment horizontal="center" vertical="center" wrapText="1"/>
    </xf>
    <xf numFmtId="165" fontId="0" fillId="0" borderId="0" xfId="3" applyNumberFormat="1" applyFont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9" fontId="0" fillId="0" borderId="7" xfId="3" quotePrefix="1" applyFont="1" applyBorder="1" applyAlignment="1">
      <alignment horizontal="center" wrapText="1"/>
    </xf>
    <xf numFmtId="9" fontId="0" fillId="0" borderId="9" xfId="3" applyFont="1" applyBorder="1" applyAlignment="1">
      <alignment horizontal="center" wrapText="1"/>
    </xf>
    <xf numFmtId="9" fontId="0" fillId="0" borderId="10" xfId="3" applyFont="1" applyBorder="1" applyAlignment="1">
      <alignment horizontal="center" wrapText="1"/>
    </xf>
    <xf numFmtId="164" fontId="0" fillId="0" borderId="0" xfId="3" applyNumberFormat="1" applyFon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9" fontId="0" fillId="0" borderId="0" xfId="3" applyFont="1"/>
    <xf numFmtId="9" fontId="0" fillId="0" borderId="11" xfId="3" applyFont="1" applyFill="1" applyBorder="1" applyAlignment="1">
      <alignment horizontal="center" vertical="center" wrapText="1"/>
    </xf>
    <xf numFmtId="9" fontId="0" fillId="0" borderId="1" xfId="3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9" fontId="2" fillId="0" borderId="5" xfId="3" applyFont="1" applyBorder="1" applyAlignment="1">
      <alignment horizontal="center" vertical="center" wrapText="1"/>
    </xf>
    <xf numFmtId="0" fontId="0" fillId="2" borderId="13" xfId="0" applyFill="1" applyBorder="1" applyAlignment="1">
      <alignment horizont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6" borderId="17" xfId="0" applyFill="1" applyBorder="1" applyAlignment="1">
      <alignment horizontal="center" wrapText="1"/>
    </xf>
    <xf numFmtId="0" fontId="2" fillId="0" borderId="18" xfId="0" applyFont="1" applyBorder="1" applyAlignment="1">
      <alignment horizontal="center" vertical="center" wrapText="1"/>
    </xf>
    <xf numFmtId="0" fontId="0" fillId="0" borderId="19" xfId="0" applyBorder="1" applyAlignment="1">
      <alignment horizontal="center"/>
    </xf>
    <xf numFmtId="44" fontId="0" fillId="0" borderId="18" xfId="2" applyFont="1" applyBorder="1" applyAlignment="1">
      <alignment horizontal="center" wrapText="1"/>
    </xf>
    <xf numFmtId="0" fontId="0" fillId="0" borderId="20" xfId="0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9" fontId="0" fillId="0" borderId="21" xfId="3" quotePrefix="1" applyFont="1" applyBorder="1" applyAlignment="1">
      <alignment horizontal="center" wrapText="1"/>
    </xf>
    <xf numFmtId="9" fontId="0" fillId="0" borderId="21" xfId="3" applyFont="1" applyBorder="1" applyAlignment="1">
      <alignment horizontal="center" wrapText="1"/>
    </xf>
    <xf numFmtId="164" fontId="0" fillId="0" borderId="21" xfId="3" applyNumberFormat="1" applyFont="1" applyBorder="1" applyAlignment="1">
      <alignment horizontal="center" wrapText="1"/>
    </xf>
    <xf numFmtId="164" fontId="0" fillId="0" borderId="22" xfId="3" applyNumberFormat="1" applyFont="1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 wrapText="1"/>
    </xf>
    <xf numFmtId="9" fontId="0" fillId="0" borderId="26" xfId="3" applyFont="1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9" fontId="0" fillId="2" borderId="14" xfId="3" applyFont="1" applyFill="1" applyBorder="1" applyAlignment="1">
      <alignment horizontal="center" vertical="center" wrapText="1"/>
    </xf>
    <xf numFmtId="9" fontId="0" fillId="2" borderId="16" xfId="3" applyFont="1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2" borderId="29" xfId="0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5" borderId="16" xfId="0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9" fontId="0" fillId="0" borderId="22" xfId="3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165" fontId="0" fillId="0" borderId="0" xfId="3" applyNumberFormat="1" applyFont="1" applyBorder="1" applyAlignment="1">
      <alignment horizontal="center" vertical="center" wrapText="1"/>
    </xf>
    <xf numFmtId="164" fontId="0" fillId="0" borderId="0" xfId="0" applyNumberFormat="1" applyBorder="1" applyAlignment="1">
      <alignment horizontal="center" vertical="center" wrapText="1"/>
    </xf>
    <xf numFmtId="164" fontId="0" fillId="0" borderId="0" xfId="3" applyNumberFormat="1" applyFont="1" applyBorder="1" applyAlignment="1">
      <alignment horizontal="center" vertical="center" wrapText="1"/>
    </xf>
    <xf numFmtId="9" fontId="0" fillId="0" borderId="0" xfId="3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165" fontId="0" fillId="0" borderId="26" xfId="3" applyNumberFormat="1" applyFont="1" applyBorder="1" applyAlignment="1">
      <alignment horizontal="center" vertical="center" wrapText="1"/>
    </xf>
    <xf numFmtId="164" fontId="0" fillId="0" borderId="26" xfId="0" applyNumberFormat="1" applyBorder="1" applyAlignment="1">
      <alignment horizontal="center" vertical="center" wrapText="1"/>
    </xf>
    <xf numFmtId="164" fontId="0" fillId="0" borderId="26" xfId="3" applyNumberFormat="1" applyFont="1" applyBorder="1" applyAlignment="1">
      <alignment horizontal="center" vertical="center" wrapText="1"/>
    </xf>
    <xf numFmtId="9" fontId="0" fillId="0" borderId="26" xfId="3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61">
    <dxf>
      <fill>
        <patternFill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164" formatCode="0.0\x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164" formatCode="0.0\x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164" formatCode="0.0\x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165" formatCode="0.0%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306119</xdr:colOff>
      <xdr:row>26</xdr:row>
      <xdr:rowOff>38797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41C4E61-67AB-46D4-859B-8456359734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450119" cy="499179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15</xdr:col>
      <xdr:colOff>277540</xdr:colOff>
      <xdr:row>54</xdr:row>
      <xdr:rowOff>134087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69AED0D-7C12-46F0-A48A-040AB3393E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143500"/>
          <a:ext cx="9421540" cy="527758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00746E-59F8-4993-9DBE-56AEA5ED3097}" name="Table3" displayName="Table3" ref="C9:T19" totalsRowShown="0" headerRowDxfId="60" dataDxfId="59">
  <autoFilter ref="C9:T19" xr:uid="{BF0479EB-CDB2-4B3E-ADFB-F5216EE152CE}"/>
  <tableColumns count="18">
    <tableColumn id="1" xr3:uid="{D5F9892E-5DF1-4D4D-B0C8-10755E6E0560}" name="Symbols" dataDxfId="18">
      <calculatedColumnFormula>Scorecard!E6</calculatedColumnFormula>
    </tableColumn>
    <tableColumn id="3" xr3:uid="{43EBAA6E-B846-48C8-80F2-2744EDFA9C06}" name="Gross Assets" dataDxfId="17">
      <calculatedColumnFormula>INDEX(FinancialsTable[#All],   MATCH(Table3[[#This Row],[Symbols]],FinancialsTable[[#All],[Symbols]],0),   MATCH("Gross Assets",FinancialsTable[#Headers],0))</calculatedColumnFormula>
    </tableColumn>
    <tableColumn id="20" xr3:uid="{3E9E7EBF-7B62-4497-9947-3D33C47476B4}" name="R1" dataDxfId="16">
      <calculatedColumnFormula array="1">INDEX(TRANSPOSE(Scorecard!$K$5:$R$5), MATCH(Table3[[#This Row],[Gross Assets]],Scorecard!$K$6:$R$6,-1), 0)</calculatedColumnFormula>
    </tableColumn>
    <tableColumn id="4" xr3:uid="{6AE3812B-9D51-439F-B119-E7C89D4AC470}" name="Market Position &amp; Asset Quality" dataDxfId="15"/>
    <tableColumn id="5" xr3:uid="{7D7EFB87-640B-4DF6-AB67-75F0D2E44CBC}" name="Opperating Environment" dataDxfId="14"/>
    <tableColumn id="6" xr3:uid="{1D3BFC86-B670-4E4A-B90E-35D7A9565AA2}" name="Liquidity &amp; Access to Capital" dataDxfId="13"/>
    <tableColumn id="7" xr3:uid="{9CA5271D-AA6D-40CC-99F0-E1A09AD86832}" name="Unencumbered / Gross Assets" dataDxfId="12" dataCellStyle="Percent">
      <calculatedColumnFormula>INDEX(FinancialsTable[#All],   MATCH(Table3[[#This Row],[Symbols]],FinancialsTable[[#All],[Symbols]],0),   MATCH("Unencumbered Assets",FinancialsTable[#Headers],0)) / INDEX(FinancialsTable[#All],   MATCH(Table3[[#This Row],[Symbols]],FinancialsTable[[#All],[Symbols]],0),   MATCH("Gross Assets",FinancialsTable[#Headers],0))</calculatedColumnFormula>
    </tableColumn>
    <tableColumn id="11" xr3:uid="{9D0853C4-1A69-4D50-8DC9-AA8E38CDFBDF}" name="R2" dataDxfId="11">
      <calculatedColumnFormula array="1">INDEX(TRANSPOSE(Scorecard!$K$5:$R$5), MATCH(Table3[[#This Row],[Unencumbered / Gross Assets]],Scorecard!$K$6:$R$6,-1), 0)</calculatedColumnFormula>
    </tableColumn>
    <tableColumn id="8" xr3:uid="{A1BE0A91-1998-4E8B-8D97-7CF1D6B9F7FB}" name="Total Debt + Preferred Stock / Gross Assets" dataDxfId="10">
      <calculatedColumnFormula>INDEX(FinancialsTable[#All],   MATCH(Table3[[#This Row],[Symbols]],FinancialsTable[[#All],[Symbols]],0),   MATCH("Total Debt",FinancialsTable[#Headers],0)) + INDEX(FinancialsTable[#All],   MATCH(Table3[[#This Row],[Symbols]],FinancialsTable[[#All],[Symbols]],0),   MATCH("Preferred Stock",FinancialsTable[#Headers],0)) / INDEX(FinancialsTable[#All],   MATCH(Table3[[#This Row],[Symbols]],FinancialsTable[[#All],[Symbols]],0),   MATCH("Gross Assets",FinancialsTable[#Headers],0))</calculatedColumnFormula>
    </tableColumn>
    <tableColumn id="12" xr3:uid="{2E5E4211-B7A0-4E3E-9C8E-6D912188A401}" name="R3" dataDxfId="9">
      <calculatedColumnFormula array="1">INDEX(TRANSPOSE(Scorecard!$K$5:$R$5), MATCH(Table3[[#This Row],[Total Debt + Preferred Stock / Gross Assets]],Scorecard!$K$6:$R$6,-1), 0)</calculatedColumnFormula>
    </tableColumn>
    <tableColumn id="14" xr3:uid="{52BE0E32-BD65-4B99-83DE-79C59BEA0D27}" name="Net Debt / EBITDA" dataDxfId="8" dataCellStyle="Percent">
      <calculatedColumnFormula>INDEX(FinancialsTable[#All],   MATCH(Table3[[#This Row],[Symbols]],FinancialsTable[[#All],[Symbols]],0),   MATCH("Net Debt",FinancialsTable[#Headers],0)) / INDEX(FinancialsTable[#All],   MATCH(Table3[[#This Row],[Symbols]],FinancialsTable[[#All],[Symbols]],0),   MATCH("EBITDA",FinancialsTable[#Headers],0))</calculatedColumnFormula>
    </tableColumn>
    <tableColumn id="15" xr3:uid="{5ABE44DB-DC1C-4067-BD05-9DBE6A21C4B4}" name="R4" dataDxfId="7">
      <calculatedColumnFormula array="1">INDEX(TRANSPOSE(Scorecard!$K$5:$R$5), MATCH(Table3[[#This Row],[Net Debt / EBITDA]],Scorecard!$K$6:$R$6,-1), 0)</calculatedColumnFormula>
    </tableColumn>
    <tableColumn id="16" xr3:uid="{0AED1F96-A3E7-46C0-829A-9F42467E08FA}" name="Secured Debt / Gross Assets" dataDxfId="6" dataCellStyle="Percent">
      <calculatedColumnFormula>INDEX(FinancialsTable[#All],   MATCH(Table3[[#This Row],[Symbols]],FinancialsTable[[#All],[Symbols]],0),   MATCH("Secured Debt",FinancialsTable[#Headers],0))  / INDEX(FinancialsTable[#All],   MATCH(Table3[[#This Row],[Symbols]],FinancialsTable[[#All],[Symbols]],0),   MATCH("Gross Assets",FinancialsTable[#Headers],0))</calculatedColumnFormula>
    </tableColumn>
    <tableColumn id="9" xr3:uid="{CB4C4978-A947-4937-87D6-9E8248821AC3}" name="R5" dataDxfId="5">
      <calculatedColumnFormula array="1">INDEX(TRANSPOSE(Scorecard!$K$5:$R$5), MATCH(Table3[[#This Row],[Secured Debt / Gross Assets]],Scorecard!$K$6:$R$6,-1), 0)</calculatedColumnFormula>
    </tableColumn>
    <tableColumn id="17" xr3:uid="{0CAF1975-3CA9-4176-93B3-0B144F03353B}" name="Fixed Charge Coverage" dataDxfId="4">
      <calculatedColumnFormula>INDEX(FinancialsTable[#All],   MATCH(Table3[[#This Row],[Symbols]],FinancialsTable[[#All],[Symbols]],0),   MATCH("EBITDA",FinancialsTable[#Headers],0)) /(  INDEX(FinancialsTable[#All],   MATCH(Table3[[#This Row],[Symbols]],FinancialsTable[[#All],[Symbols]],0),   MATCH("Interest Expense",FinancialsTable[#Headers],0)) + INDEX(FinancialsTable[#All],   MATCH(Table3[[#This Row],[Symbols]],FinancialsTable[[#All],[Symbols]],0),   MATCH("Preferred Stock",FinancialsTable[#Headers],0)) )</calculatedColumnFormula>
    </tableColumn>
    <tableColumn id="18" xr3:uid="{EC58FCE7-6760-4B15-B3CB-B98AF968FBE1}" name="R6" dataDxfId="3">
      <calculatedColumnFormula array="1">INDEX(TRANSPOSE(Scorecard!$K$5:$R$5), MATCH(Table3[[#This Row],[Fixed Charge Coverage]],Scorecard!$K$6:$R$6,-1), 0)</calculatedColumnFormula>
    </tableColumn>
    <tableColumn id="10" xr3:uid="{FE12A43E-2EFA-5144-B4B0-6264496136D1}" name="FFO" dataDxfId="2"/>
    <tableColumn id="13" xr3:uid="{5164F47D-A89A-4A6C-B76E-487801A9C69C}" name="AFFO" dataDxfId="1"/>
  </tableColumns>
  <tableStyleInfo name="TableStyleLight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577733-3E47-4C5F-8B78-4AFBC0BB9D63}" name="FinancialsTable" displayName="FinancialsTable" ref="A3:S13" headerRowDxfId="58" dataDxfId="19">
  <autoFilter ref="A3:S13" xr:uid="{D1A0CEE2-2599-4451-85C5-71B9C9AE6942}"/>
  <sortState xmlns:xlrd2="http://schemas.microsoft.com/office/spreadsheetml/2017/richdata2" ref="A4:S13">
    <sortCondition ref="B3:B13"/>
  </sortState>
  <tableColumns count="19">
    <tableColumn id="1" xr3:uid="{C520D836-EFDC-4E05-9003-E673693EE2D6}" name="Symbols" totalsRowLabel="Total" dataDxfId="38" totalsRowDxfId="57">
      <calculatedColumnFormula>Scorecard!E6</calculatedColumnFormula>
    </tableColumn>
    <tableColumn id="9" xr3:uid="{0AEC2A94-8FA4-48B5-B73F-C0DD7E37CF3F}" name="Revenue" dataDxfId="37" totalsRowDxfId="56" dataCellStyle="Currency"/>
    <tableColumn id="2" xr3:uid="{D5D90E24-79E0-4014-954F-9D8CE4CC230E}" name="FFO" dataDxfId="36" totalsRowDxfId="55" dataCellStyle="Currency"/>
    <tableColumn id="3" xr3:uid="{2F1637F3-1323-459B-B344-6D8ABE316823}" name="AFFO" dataDxfId="35" totalsRowDxfId="54"/>
    <tableColumn id="25" xr3:uid="{DF525CB7-CDD4-45BA-A157-89BAAB4AF6B4}" name="FFO Payout Ratio" dataDxfId="34" totalsRowDxfId="53"/>
    <tableColumn id="26" xr3:uid="{9F9AD53F-3ABB-442D-A7D5-348C4CD1ADC2}" name="AFFO Payout Ratio" dataDxfId="33" totalsRowDxfId="52"/>
    <tableColumn id="4" xr3:uid="{C3267D92-91C7-469F-BA95-E3C44FDDE68E}" name="Capex" dataDxfId="32" totalsRowDxfId="51"/>
    <tableColumn id="14" xr3:uid="{5D6F8B1D-49E5-4BB8-8688-36D7B9C1041D}" name="Dividends" dataDxfId="31" totalsRowDxfId="50"/>
    <tableColumn id="18" xr3:uid="{70BC3FE5-1DFD-44E3-97B3-1DEFD736F7E4}" name="Gross Assets" dataDxfId="30" totalsRowDxfId="49" dataCellStyle="Currency"/>
    <tableColumn id="27" xr3:uid="{5A8D9028-33EE-43DA-9993-1ED1A9CB5046}" name="Unencumbered Assets" dataDxfId="29" totalsRowDxfId="48">
      <calculatedColumnFormula>1.621+15.978+0.914+0.275</calculatedColumnFormula>
    </tableColumn>
    <tableColumn id="21" xr3:uid="{A4F176FA-0F1D-458C-B26E-DDC91F6FA006}" name="D&amp;A" dataDxfId="28" totalsRowDxfId="47"/>
    <tableColumn id="15" xr3:uid="{83D28250-6066-4E7A-96E1-07135545C3BE}" name="Net Income" dataDxfId="27" totalsRowDxfId="46"/>
    <tableColumn id="28" xr3:uid="{14ECD46C-A329-477B-B80C-EE243C0265C0}" name="EBITDA" dataDxfId="26" totalsRowDxfId="45">
      <calculatedColumnFormula>0.987+0.406+1.509</calculatedColumnFormula>
    </tableColumn>
    <tableColumn id="16" xr3:uid="{682777E8-C22A-4BE3-9A38-69D966E442FD}" name="Change in Working Capital" dataDxfId="25" totalsRowDxfId="44"/>
    <tableColumn id="17" xr3:uid="{E6446EFA-FB67-4066-9256-CFA771D9C3E4}" name="Preferred Stock" dataDxfId="24" totalsRowDxfId="43"/>
    <tableColumn id="5" xr3:uid="{52DAC346-7FFA-4E88-B2CD-9CBEEB6897FC}" name="Total Debt" dataDxfId="23" totalsRowDxfId="42"/>
    <tableColumn id="7" xr3:uid="{507D29C2-7508-F648-9A56-3461CEF5F3BD}" name="Net Debt" dataDxfId="22" totalsRowDxfId="41"/>
    <tableColumn id="6" xr3:uid="{B3497D94-0ABA-4B14-8786-4C7D6D564F58}" name="Secured Debt" dataDxfId="21" totalsRowDxfId="40"/>
    <tableColumn id="8" xr3:uid="{079F86E1-E95E-4B4D-AC09-F01090C5C720}" name="Interest Expense" totalsRowFunction="sum" dataDxfId="20" totalsRowDxfId="39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6116B-39A8-45AD-A5CD-8B39F64A78AD}">
  <dimension ref="E3:U25"/>
  <sheetViews>
    <sheetView showGridLines="0" zoomScale="86" zoomScaleNormal="86" workbookViewId="0">
      <selection activeCell="G38" sqref="G38"/>
    </sheetView>
  </sheetViews>
  <sheetFormatPr baseColWidth="10" defaultColWidth="9.1640625" defaultRowHeight="15" x14ac:dyDescent="0.2"/>
  <cols>
    <col min="1" max="4" width="9.1640625" style="1"/>
    <col min="5" max="5" width="17.5" style="1" customWidth="1"/>
    <col min="6" max="6" width="9.1640625" style="1"/>
    <col min="7" max="7" width="10.83203125" style="1" customWidth="1"/>
    <col min="8" max="8" width="33.5" style="1" customWidth="1"/>
    <col min="9" max="9" width="17.5" style="14" customWidth="1"/>
    <col min="10" max="10" width="8" style="14" customWidth="1"/>
    <col min="11" max="18" width="9" style="1" customWidth="1"/>
    <col min="22" max="16384" width="9.1640625" style="1"/>
  </cols>
  <sheetData>
    <row r="3" spans="5:18" ht="16" thickBot="1" x14ac:dyDescent="0.25"/>
    <row r="4" spans="5:18" ht="16" x14ac:dyDescent="0.2">
      <c r="E4" s="44" t="s">
        <v>25</v>
      </c>
      <c r="F4" s="67" t="s">
        <v>1</v>
      </c>
      <c r="G4" s="68"/>
      <c r="H4" s="46" t="s">
        <v>59</v>
      </c>
      <c r="I4" s="65" t="s">
        <v>0</v>
      </c>
      <c r="J4" s="65"/>
      <c r="K4" s="65"/>
      <c r="L4" s="65"/>
      <c r="M4" s="65"/>
      <c r="N4" s="65"/>
      <c r="O4" s="65"/>
      <c r="P4" s="65"/>
      <c r="Q4" s="65"/>
      <c r="R4" s="66"/>
    </row>
    <row r="5" spans="5:18" ht="16" x14ac:dyDescent="0.2">
      <c r="E5" s="47" t="s">
        <v>82</v>
      </c>
      <c r="F5" s="42" t="s">
        <v>12</v>
      </c>
      <c r="G5" s="43" t="s">
        <v>13</v>
      </c>
      <c r="H5" s="2"/>
      <c r="I5" s="3" t="s">
        <v>2</v>
      </c>
      <c r="J5" s="4" t="s">
        <v>3</v>
      </c>
      <c r="K5" s="5" t="s">
        <v>4</v>
      </c>
      <c r="L5" s="5" t="s">
        <v>5</v>
      </c>
      <c r="M5" s="5" t="s">
        <v>6</v>
      </c>
      <c r="N5" s="5" t="s">
        <v>7</v>
      </c>
      <c r="O5" s="5" t="s">
        <v>8</v>
      </c>
      <c r="P5" s="5" t="s">
        <v>9</v>
      </c>
      <c r="Q5" s="5" t="s">
        <v>10</v>
      </c>
      <c r="R5" s="48" t="s">
        <v>11</v>
      </c>
    </row>
    <row r="6" spans="5:18" ht="16" x14ac:dyDescent="0.2">
      <c r="E6" s="49" t="s">
        <v>46</v>
      </c>
      <c r="F6" s="38" t="s">
        <v>4</v>
      </c>
      <c r="G6" s="39">
        <v>1.5</v>
      </c>
      <c r="H6" s="6" t="s">
        <v>37</v>
      </c>
      <c r="I6" s="31">
        <v>0.05</v>
      </c>
      <c r="J6" s="7" t="s">
        <v>14</v>
      </c>
      <c r="K6" s="8">
        <v>60</v>
      </c>
      <c r="L6" s="8">
        <v>20</v>
      </c>
      <c r="M6" s="8">
        <v>10</v>
      </c>
      <c r="N6" s="8">
        <v>2</v>
      </c>
      <c r="O6" s="8">
        <v>1</v>
      </c>
      <c r="P6" s="8">
        <v>0.25</v>
      </c>
      <c r="Q6" s="8">
        <v>0.1</v>
      </c>
      <c r="R6" s="50" t="s">
        <v>15</v>
      </c>
    </row>
    <row r="7" spans="5:18" ht="16" x14ac:dyDescent="0.2">
      <c r="E7" s="51" t="s">
        <v>47</v>
      </c>
      <c r="F7" s="40" t="s">
        <v>17</v>
      </c>
      <c r="G7" s="41">
        <f>G6+1</f>
        <v>2.5</v>
      </c>
      <c r="H7" s="52" t="s">
        <v>38</v>
      </c>
      <c r="I7" s="32">
        <v>0.15</v>
      </c>
      <c r="J7" s="9"/>
      <c r="K7" s="29"/>
      <c r="L7" s="29"/>
      <c r="M7" s="29"/>
      <c r="N7" s="29"/>
      <c r="O7" s="29"/>
      <c r="P7" s="29"/>
      <c r="Q7" s="29"/>
      <c r="R7" s="53"/>
    </row>
    <row r="8" spans="5:18" ht="16" x14ac:dyDescent="0.2">
      <c r="E8" s="51" t="s">
        <v>48</v>
      </c>
      <c r="F8" s="40" t="s">
        <v>18</v>
      </c>
      <c r="G8" s="41">
        <f t="shared" ref="G8:G12" si="0">G7+1</f>
        <v>3.5</v>
      </c>
      <c r="H8" s="52" t="s">
        <v>39</v>
      </c>
      <c r="I8" s="32">
        <v>0.1</v>
      </c>
      <c r="J8" s="30" t="s">
        <v>16</v>
      </c>
      <c r="K8" s="24" t="s">
        <v>16</v>
      </c>
      <c r="L8" s="24" t="s">
        <v>16</v>
      </c>
      <c r="M8" s="24" t="s">
        <v>16</v>
      </c>
      <c r="N8" s="24" t="s">
        <v>16</v>
      </c>
      <c r="O8" s="24" t="s">
        <v>16</v>
      </c>
      <c r="P8" s="24" t="s">
        <v>16</v>
      </c>
      <c r="Q8" s="24" t="s">
        <v>16</v>
      </c>
      <c r="R8" s="54" t="s">
        <v>16</v>
      </c>
    </row>
    <row r="9" spans="5:18" ht="16" x14ac:dyDescent="0.2">
      <c r="E9" s="51" t="s">
        <v>49</v>
      </c>
      <c r="F9" s="40" t="s">
        <v>19</v>
      </c>
      <c r="G9" s="41">
        <f t="shared" si="0"/>
        <v>4.5</v>
      </c>
      <c r="H9" s="52" t="s">
        <v>40</v>
      </c>
      <c r="I9" s="32">
        <v>0.15</v>
      </c>
      <c r="J9" s="30" t="s">
        <v>16</v>
      </c>
      <c r="K9" s="24" t="s">
        <v>16</v>
      </c>
      <c r="L9" s="24" t="s">
        <v>16</v>
      </c>
      <c r="M9" s="24" t="s">
        <v>16</v>
      </c>
      <c r="N9" s="24" t="s">
        <v>16</v>
      </c>
      <c r="O9" s="24" t="s">
        <v>16</v>
      </c>
      <c r="P9" s="24" t="s">
        <v>16</v>
      </c>
      <c r="Q9" s="24" t="s">
        <v>16</v>
      </c>
      <c r="R9" s="54" t="s">
        <v>16</v>
      </c>
    </row>
    <row r="10" spans="5:18" ht="16" x14ac:dyDescent="0.2">
      <c r="E10" s="51" t="s">
        <v>50</v>
      </c>
      <c r="F10" s="40" t="s">
        <v>20</v>
      </c>
      <c r="G10" s="41">
        <f t="shared" si="0"/>
        <v>5.5</v>
      </c>
      <c r="H10" s="52" t="s">
        <v>41</v>
      </c>
      <c r="I10" s="32">
        <v>0.1</v>
      </c>
      <c r="J10" s="11" t="s">
        <v>14</v>
      </c>
      <c r="K10" s="10">
        <v>0.99</v>
      </c>
      <c r="L10" s="10">
        <v>0.97</v>
      </c>
      <c r="M10" s="10">
        <v>0.8</v>
      </c>
      <c r="N10" s="10">
        <v>0.6</v>
      </c>
      <c r="O10" s="10">
        <v>0.4</v>
      </c>
      <c r="P10" s="10">
        <v>0.2</v>
      </c>
      <c r="Q10" s="10">
        <v>0.03</v>
      </c>
      <c r="R10" s="55" t="s">
        <v>15</v>
      </c>
    </row>
    <row r="11" spans="5:18" ht="19" customHeight="1" x14ac:dyDescent="0.2">
      <c r="E11" s="51" t="s">
        <v>51</v>
      </c>
      <c r="F11" s="40" t="s">
        <v>21</v>
      </c>
      <c r="G11" s="41">
        <f t="shared" si="0"/>
        <v>6.5</v>
      </c>
      <c r="H11" s="52" t="s">
        <v>42</v>
      </c>
      <c r="I11" s="32">
        <v>0.15</v>
      </c>
      <c r="J11" s="11" t="s">
        <v>15</v>
      </c>
      <c r="K11" s="10">
        <v>0.05</v>
      </c>
      <c r="L11" s="10">
        <v>0.15</v>
      </c>
      <c r="M11" s="10">
        <v>0.3</v>
      </c>
      <c r="N11" s="10">
        <v>0.5</v>
      </c>
      <c r="O11" s="10">
        <v>0.6</v>
      </c>
      <c r="P11" s="10">
        <v>0.8</v>
      </c>
      <c r="Q11" s="10">
        <v>0.9</v>
      </c>
      <c r="R11" s="55" t="s">
        <v>14</v>
      </c>
    </row>
    <row r="12" spans="5:18" ht="16" x14ac:dyDescent="0.2">
      <c r="E12" s="51" t="s">
        <v>52</v>
      </c>
      <c r="F12" s="40" t="s">
        <v>22</v>
      </c>
      <c r="G12" s="41">
        <f t="shared" si="0"/>
        <v>7.5</v>
      </c>
      <c r="H12" s="12" t="s">
        <v>43</v>
      </c>
      <c r="I12" s="32">
        <v>0.1</v>
      </c>
      <c r="J12" s="11" t="s">
        <v>15</v>
      </c>
      <c r="K12" s="22">
        <v>2</v>
      </c>
      <c r="L12" s="22">
        <v>3.5</v>
      </c>
      <c r="M12" s="22">
        <v>4</v>
      </c>
      <c r="N12" s="22">
        <v>6</v>
      </c>
      <c r="O12" s="22">
        <v>8</v>
      </c>
      <c r="P12" s="22">
        <v>10</v>
      </c>
      <c r="Q12" s="22">
        <v>13</v>
      </c>
      <c r="R12" s="56" t="s">
        <v>14</v>
      </c>
    </row>
    <row r="13" spans="5:18" ht="16" x14ac:dyDescent="0.2">
      <c r="E13" s="51" t="s">
        <v>53</v>
      </c>
      <c r="F13" s="40" t="s">
        <v>23</v>
      </c>
      <c r="G13" s="41">
        <f t="shared" ref="G13:G25" si="1">G12+1</f>
        <v>8.5</v>
      </c>
      <c r="H13" s="12" t="s">
        <v>44</v>
      </c>
      <c r="I13" s="32">
        <v>0.1</v>
      </c>
      <c r="J13" s="11" t="s">
        <v>15</v>
      </c>
      <c r="K13" s="10">
        <v>5.0000000000000001E-3</v>
      </c>
      <c r="L13" s="10">
        <v>0.03</v>
      </c>
      <c r="M13" s="10">
        <v>0.1</v>
      </c>
      <c r="N13" s="10">
        <v>0.2</v>
      </c>
      <c r="O13" s="10">
        <v>0.3</v>
      </c>
      <c r="P13" s="10">
        <v>0.6</v>
      </c>
      <c r="Q13" s="10">
        <v>0.8</v>
      </c>
      <c r="R13" s="55" t="s">
        <v>14</v>
      </c>
    </row>
    <row r="14" spans="5:18" ht="16" x14ac:dyDescent="0.2">
      <c r="E14" s="51" t="s">
        <v>54</v>
      </c>
      <c r="F14" s="40" t="s">
        <v>24</v>
      </c>
      <c r="G14" s="41">
        <f t="shared" si="1"/>
        <v>9.5</v>
      </c>
      <c r="H14" s="13" t="s">
        <v>45</v>
      </c>
      <c r="I14" s="15">
        <v>0.1</v>
      </c>
      <c r="J14" s="16" t="s">
        <v>14</v>
      </c>
      <c r="K14" s="23">
        <v>10</v>
      </c>
      <c r="L14" s="23">
        <v>7</v>
      </c>
      <c r="M14" s="23">
        <v>4.5</v>
      </c>
      <c r="N14" s="23">
        <v>2.5</v>
      </c>
      <c r="O14" s="23">
        <v>1.7</v>
      </c>
      <c r="P14" s="23">
        <v>1.4</v>
      </c>
      <c r="Q14" s="23">
        <v>1</v>
      </c>
      <c r="R14" s="57" t="s">
        <v>15</v>
      </c>
    </row>
    <row r="15" spans="5:18" x14ac:dyDescent="0.2">
      <c r="E15" s="51" t="s">
        <v>55</v>
      </c>
      <c r="F15" s="40" t="s">
        <v>26</v>
      </c>
      <c r="G15" s="41">
        <f t="shared" si="1"/>
        <v>10.5</v>
      </c>
      <c r="H15" s="29"/>
      <c r="I15" s="15">
        <f>SUM(I6:I14)</f>
        <v>1</v>
      </c>
      <c r="J15" s="10"/>
      <c r="K15" s="29"/>
      <c r="L15" s="29"/>
      <c r="M15" s="29"/>
      <c r="N15" s="29"/>
      <c r="O15" s="29"/>
      <c r="P15" s="29"/>
      <c r="Q15" s="29"/>
      <c r="R15" s="53"/>
    </row>
    <row r="16" spans="5:18" x14ac:dyDescent="0.2">
      <c r="E16" s="58"/>
      <c r="F16" s="40" t="s">
        <v>27</v>
      </c>
      <c r="G16" s="41">
        <f t="shared" si="1"/>
        <v>11.5</v>
      </c>
      <c r="H16" s="29"/>
      <c r="I16" s="10"/>
      <c r="J16" s="10"/>
      <c r="K16" s="29"/>
      <c r="L16" s="29"/>
      <c r="M16" s="29"/>
      <c r="N16" s="29"/>
      <c r="O16" s="29"/>
      <c r="P16" s="29"/>
      <c r="Q16" s="29"/>
      <c r="R16" s="53"/>
    </row>
    <row r="17" spans="5:18" x14ac:dyDescent="0.2">
      <c r="E17" s="58"/>
      <c r="F17" s="40" t="s">
        <v>28</v>
      </c>
      <c r="G17" s="41">
        <f t="shared" si="1"/>
        <v>12.5</v>
      </c>
      <c r="H17" s="29"/>
      <c r="I17" s="10"/>
      <c r="J17" s="10"/>
      <c r="K17" s="29"/>
      <c r="L17" s="29"/>
      <c r="M17" s="29"/>
      <c r="N17" s="29"/>
      <c r="O17" s="29"/>
      <c r="P17" s="29"/>
      <c r="Q17" s="29"/>
      <c r="R17" s="53"/>
    </row>
    <row r="18" spans="5:18" x14ac:dyDescent="0.2">
      <c r="E18" s="58"/>
      <c r="F18" s="40" t="s">
        <v>29</v>
      </c>
      <c r="G18" s="41">
        <f t="shared" si="1"/>
        <v>13.5</v>
      </c>
      <c r="H18" s="29"/>
      <c r="I18" s="29"/>
      <c r="J18" s="10"/>
      <c r="K18" s="29"/>
      <c r="L18" s="29"/>
      <c r="M18" s="29"/>
      <c r="N18" s="29"/>
      <c r="O18" s="29"/>
      <c r="P18" s="29"/>
      <c r="Q18" s="29"/>
      <c r="R18" s="53"/>
    </row>
    <row r="19" spans="5:18" ht="16" thickBot="1" x14ac:dyDescent="0.25">
      <c r="E19" s="59"/>
      <c r="F19" s="40" t="s">
        <v>30</v>
      </c>
      <c r="G19" s="41">
        <f t="shared" si="1"/>
        <v>14.5</v>
      </c>
      <c r="H19" s="29"/>
      <c r="I19" s="10"/>
      <c r="J19" s="10"/>
      <c r="K19" s="29"/>
      <c r="L19" s="29"/>
      <c r="M19" s="29"/>
      <c r="N19" s="29"/>
      <c r="O19" s="29"/>
      <c r="P19" s="29"/>
      <c r="Q19" s="29"/>
      <c r="R19" s="53"/>
    </row>
    <row r="20" spans="5:18" x14ac:dyDescent="0.2">
      <c r="F20" s="40" t="s">
        <v>31</v>
      </c>
      <c r="G20" s="41">
        <f t="shared" si="1"/>
        <v>15.5</v>
      </c>
      <c r="H20" s="29"/>
      <c r="I20" s="10"/>
      <c r="J20" s="10"/>
      <c r="K20" s="29"/>
      <c r="L20" s="29"/>
      <c r="M20" s="29"/>
      <c r="N20" s="29"/>
      <c r="O20" s="29"/>
      <c r="P20" s="29"/>
      <c r="Q20" s="29"/>
      <c r="R20" s="53"/>
    </row>
    <row r="21" spans="5:18" x14ac:dyDescent="0.2">
      <c r="F21" s="40" t="s">
        <v>32</v>
      </c>
      <c r="G21" s="41">
        <f t="shared" si="1"/>
        <v>16.5</v>
      </c>
      <c r="H21" s="29"/>
      <c r="I21" s="10"/>
      <c r="J21" s="10"/>
      <c r="K21" s="29"/>
      <c r="L21" s="29"/>
      <c r="M21" s="29"/>
      <c r="N21" s="29"/>
      <c r="O21" s="29"/>
      <c r="P21" s="29"/>
      <c r="Q21" s="29"/>
      <c r="R21" s="53"/>
    </row>
    <row r="22" spans="5:18" x14ac:dyDescent="0.2">
      <c r="F22" s="40" t="s">
        <v>33</v>
      </c>
      <c r="G22" s="41">
        <f t="shared" si="1"/>
        <v>17.5</v>
      </c>
      <c r="H22" s="29"/>
      <c r="I22" s="10"/>
      <c r="J22" s="10"/>
      <c r="K22" s="29"/>
      <c r="L22" s="29"/>
      <c r="M22" s="29"/>
      <c r="N22" s="29"/>
      <c r="O22" s="29"/>
      <c r="P22" s="29"/>
      <c r="Q22" s="29"/>
      <c r="R22" s="53"/>
    </row>
    <row r="23" spans="5:18" x14ac:dyDescent="0.2">
      <c r="F23" s="40" t="s">
        <v>34</v>
      </c>
      <c r="G23" s="41">
        <f t="shared" si="1"/>
        <v>18.5</v>
      </c>
      <c r="H23" s="29"/>
      <c r="I23" s="10"/>
      <c r="J23" s="10"/>
      <c r="K23" s="29"/>
      <c r="L23" s="29"/>
      <c r="M23" s="29"/>
      <c r="N23" s="29"/>
      <c r="O23" s="29"/>
      <c r="P23" s="29"/>
      <c r="Q23" s="29"/>
      <c r="R23" s="53"/>
    </row>
    <row r="24" spans="5:18" x14ac:dyDescent="0.2">
      <c r="F24" s="40" t="s">
        <v>35</v>
      </c>
      <c r="G24" s="41">
        <f t="shared" si="1"/>
        <v>19.5</v>
      </c>
      <c r="H24" s="29"/>
      <c r="I24" s="10"/>
      <c r="J24" s="10"/>
      <c r="K24" s="29"/>
      <c r="L24" s="29"/>
      <c r="M24" s="29"/>
      <c r="N24" s="29"/>
      <c r="O24" s="29"/>
      <c r="P24" s="29"/>
      <c r="Q24" s="29"/>
      <c r="R24" s="53"/>
    </row>
    <row r="25" spans="5:18" ht="16" thickBot="1" x14ac:dyDescent="0.25">
      <c r="F25" s="60" t="s">
        <v>36</v>
      </c>
      <c r="G25" s="61">
        <f t="shared" si="1"/>
        <v>20.5</v>
      </c>
      <c r="H25" s="62"/>
      <c r="I25" s="63"/>
      <c r="J25" s="63"/>
      <c r="K25" s="62"/>
      <c r="L25" s="62"/>
      <c r="M25" s="62"/>
      <c r="N25" s="62"/>
      <c r="O25" s="62"/>
      <c r="P25" s="62"/>
      <c r="Q25" s="62"/>
      <c r="R25" s="64"/>
    </row>
  </sheetData>
  <mergeCells count="2">
    <mergeCell ref="I4:R4"/>
    <mergeCell ref="F4:G4"/>
  </mergeCells>
  <conditionalFormatting sqref="H5:R14 F5:G5">
    <cfRule type="expression" dxfId="0" priority="3">
      <formula>MOD(ROW(),2)=0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439D5-0A49-4975-AD87-4882E6170BDD}">
  <dimension ref="C6:V41"/>
  <sheetViews>
    <sheetView showGridLines="0" tabSelected="1" zoomScale="90" zoomScaleNormal="90" workbookViewId="0">
      <selection activeCell="E13" sqref="E13"/>
    </sheetView>
  </sheetViews>
  <sheetFormatPr baseColWidth="10" defaultColWidth="9.1640625" defaultRowHeight="15" x14ac:dyDescent="0.2"/>
  <cols>
    <col min="1" max="2" width="9.1640625" style="26"/>
    <col min="3" max="3" width="11.83203125" style="26" customWidth="1"/>
    <col min="4" max="4" width="17.6640625" style="26" customWidth="1"/>
    <col min="5" max="5" width="9.33203125" style="26" customWidth="1"/>
    <col min="6" max="8" width="12" style="26" customWidth="1"/>
    <col min="9" max="9" width="16.1640625" style="28" customWidth="1"/>
    <col min="10" max="10" width="9.33203125" style="26" customWidth="1"/>
    <col min="11" max="11" width="16.1640625" style="34" customWidth="1"/>
    <col min="12" max="12" width="9.33203125" style="26" customWidth="1"/>
    <col min="13" max="13" width="16.1640625" style="33" customWidth="1"/>
    <col min="14" max="14" width="9.33203125" style="26" customWidth="1"/>
    <col min="15" max="15" width="16.1640625" style="27" customWidth="1"/>
    <col min="16" max="16" width="9.33203125" style="26" customWidth="1"/>
    <col min="17" max="17" width="16.1640625" style="34" customWidth="1"/>
    <col min="18" max="18" width="9.83203125" style="26" customWidth="1"/>
    <col min="19" max="20" width="16.1640625" style="26" customWidth="1"/>
    <col min="21" max="21" width="9.1640625" style="26"/>
    <col min="23" max="16384" width="9.1640625" style="26"/>
  </cols>
  <sheetData>
    <row r="6" spans="3:22" ht="16" thickBot="1" x14ac:dyDescent="0.25"/>
    <row r="7" spans="3:22" ht="30" customHeight="1" x14ac:dyDescent="0.2">
      <c r="C7" s="70" t="s">
        <v>93</v>
      </c>
      <c r="D7" s="71" t="s">
        <v>65</v>
      </c>
      <c r="E7" s="45"/>
      <c r="F7" s="72" t="s">
        <v>62</v>
      </c>
      <c r="G7" s="72"/>
      <c r="H7" s="73" t="s">
        <v>63</v>
      </c>
      <c r="I7" s="73"/>
      <c r="J7" s="73"/>
      <c r="K7" s="74" t="s">
        <v>64</v>
      </c>
      <c r="L7" s="74"/>
      <c r="M7" s="74"/>
      <c r="N7" s="74"/>
      <c r="O7" s="74"/>
      <c r="P7" s="74"/>
      <c r="Q7" s="74"/>
      <c r="R7" s="74"/>
      <c r="S7" s="72"/>
      <c r="T7" s="75"/>
    </row>
    <row r="8" spans="3:22" s="25" customFormat="1" ht="21" customHeight="1" x14ac:dyDescent="0.2">
      <c r="C8" s="76" t="s">
        <v>94</v>
      </c>
      <c r="D8" s="36">
        <v>0.05</v>
      </c>
      <c r="E8" s="37"/>
      <c r="F8" s="37">
        <v>0.15</v>
      </c>
      <c r="G8" s="37">
        <v>0.1</v>
      </c>
      <c r="H8" s="37">
        <v>0.15</v>
      </c>
      <c r="I8" s="37">
        <v>0.1</v>
      </c>
      <c r="J8" s="37"/>
      <c r="K8" s="37">
        <v>0.15</v>
      </c>
      <c r="L8" s="37"/>
      <c r="M8" s="37">
        <v>0.1</v>
      </c>
      <c r="N8" s="37"/>
      <c r="O8" s="37">
        <v>0.1</v>
      </c>
      <c r="P8" s="37"/>
      <c r="Q8" s="37">
        <v>0.1</v>
      </c>
      <c r="R8" s="37"/>
      <c r="S8" s="37"/>
      <c r="T8" s="77"/>
      <c r="V8" s="35"/>
    </row>
    <row r="9" spans="3:22" ht="60" customHeight="1" x14ac:dyDescent="0.2">
      <c r="C9" s="76" t="s">
        <v>56</v>
      </c>
      <c r="D9" s="78" t="s">
        <v>37</v>
      </c>
      <c r="E9" s="78" t="s">
        <v>83</v>
      </c>
      <c r="F9" s="78" t="s">
        <v>57</v>
      </c>
      <c r="G9" s="78" t="s">
        <v>58</v>
      </c>
      <c r="H9" s="78" t="s">
        <v>40</v>
      </c>
      <c r="I9" s="79" t="s">
        <v>41</v>
      </c>
      <c r="J9" s="78" t="s">
        <v>84</v>
      </c>
      <c r="K9" s="80" t="s">
        <v>89</v>
      </c>
      <c r="L9" s="78" t="s">
        <v>85</v>
      </c>
      <c r="M9" s="81" t="s">
        <v>88</v>
      </c>
      <c r="N9" s="78" t="s">
        <v>86</v>
      </c>
      <c r="O9" s="82" t="s">
        <v>90</v>
      </c>
      <c r="P9" s="78" t="s">
        <v>87</v>
      </c>
      <c r="Q9" s="80" t="s">
        <v>92</v>
      </c>
      <c r="R9" s="78" t="s">
        <v>95</v>
      </c>
      <c r="S9" s="78" t="s">
        <v>61</v>
      </c>
      <c r="T9" s="83" t="s">
        <v>60</v>
      </c>
    </row>
    <row r="10" spans="3:22" ht="16" x14ac:dyDescent="0.2">
      <c r="C10" s="76" t="str">
        <f>Scorecard!E6</f>
        <v>AMT</v>
      </c>
      <c r="D10" s="78">
        <f>INDEX(FinancialsTable[#All],   MATCH(Table3[[#This Row],[Symbols]],FinancialsTable[[#All],[Symbols]],0),   MATCH("Gross Assets",FinancialsTable[#Headers],0))</f>
        <v>47.23</v>
      </c>
      <c r="E10" s="78" t="str" cm="1">
        <f t="array" ref="E10">INDEX(TRANSPOSE(Scorecard!$K$5:$R$5), MATCH(Table3[[#This Row],[Gross Assets]],Scorecard!$K$6:$R$6,-1), 0)</f>
        <v>Aaa</v>
      </c>
      <c r="F10" s="78" t="s">
        <v>16</v>
      </c>
      <c r="G10" s="78" t="s">
        <v>16</v>
      </c>
      <c r="H10" s="78" t="s">
        <v>16</v>
      </c>
      <c r="I10" s="79">
        <f>Table3[[#This Row],[Total Debt + Preferred Stock / Gross Assets]] / INDEX(FinancialsTable[#All],   MATCH(Table3[[#This Row],[Symbols]],FinancialsTable[[#All],[Symbols]],0),   MATCH("Gross Assets",FinancialsTable[#Headers],0))</f>
        <v>0.77730256193097624</v>
      </c>
      <c r="J10" s="78" t="str" cm="1">
        <f t="array" ref="J10">INDEX(TRANSPOSE(Scorecard!$K$5:$R$5), MATCH(Table3[[#This Row],[Unencumbered / Gross Assets]],Scorecard!$K$6:$R$6,-1), 0)</f>
        <v>Ba</v>
      </c>
      <c r="K10" s="80">
        <f>INDEX(FinancialsTable[#All],   MATCH(Table3[[#This Row],[Symbols]],FinancialsTable[[#All],[Symbols]],0),   MATCH("Total Debt",FinancialsTable[#Headers],0)) + INDEX(FinancialsTable[#All],   MATCH(Table3[[#This Row],[Symbols]],FinancialsTable[[#All],[Symbols]],0),   MATCH("Preferred Stock",FinancialsTable[#Headers],0)) / INDEX(FinancialsTable[#All],   MATCH(Table3[[#This Row],[Symbols]],FinancialsTable[[#All],[Symbols]],0),   MATCH("Gross Assets",FinancialsTable[#Headers],0))</f>
        <v>36.712000000000003</v>
      </c>
      <c r="L10" s="78" t="str" cm="1">
        <f t="array" ref="L10">INDEX(TRANSPOSE(Scorecard!$K$5:$R$5), MATCH(Table3[[#This Row],[Total Debt + Preferred Stock / Gross Assets]],Scorecard!$K$6:$R$6,-1), 0)</f>
        <v>Aaa</v>
      </c>
      <c r="M10" s="81">
        <f>INDEX(FinancialsTable[#All],   MATCH(Table3[[#This Row],[Symbols]],FinancialsTable[[#All],[Symbols]],0),   MATCH("Net Debt",FinancialsTable[#Headers],0)) / INDEX(FinancialsTable[#All],   MATCH(Table3[[#This Row],[Symbols]],FinancialsTable[[#All],[Symbols]],0),   MATCH("EBITDA",FinancialsTable[#Headers],0))</f>
        <v>6.0505208333333345</v>
      </c>
      <c r="N10" s="78" t="str" cm="1">
        <f t="array" ref="N10">INDEX(TRANSPOSE(Scorecard!$K$5:$R$5), MATCH(Table3[[#This Row],[Net Debt / EBITDA]],Scorecard!$K$6:$R$6,-1), 0)</f>
        <v>A</v>
      </c>
      <c r="O10" s="82">
        <f>INDEX(FinancialsTable[#All],   MATCH(Table3[[#This Row],[Symbols]],FinancialsTable[[#All],[Symbols]],0),   MATCH("Secured Debt",FinancialsTable[#Headers],0))  / INDEX(FinancialsTable[#All],   MATCH(Table3[[#This Row],[Symbols]],FinancialsTable[[#All],[Symbols]],0),   MATCH("Gross Assets",FinancialsTable[#Headers],0))</f>
        <v>0.14821088291340251</v>
      </c>
      <c r="P10" s="78" t="str" cm="1">
        <f t="array" ref="P10">INDEX(TRANSPOSE(Scorecard!$K$5:$R$5), MATCH(Table3[[#This Row],[Secured Debt / Gross Assets]],Scorecard!$K$6:$R$6,-1), 0)</f>
        <v>B</v>
      </c>
      <c r="Q10" s="80">
        <f>INDEX(FinancialsTable[#All],   MATCH(Table3[[#This Row],[Symbols]],FinancialsTable[[#All],[Symbols]],0),   MATCH("EBITDA",FinancialsTable[#Headers],0)) /(  INDEX(FinancialsTable[#All],   MATCH(Table3[[#This Row],[Symbols]],FinancialsTable[[#All],[Symbols]],0),   MATCH("Interest Expense",FinancialsTable[#Headers],0)) + INDEX(FinancialsTable[#All],   MATCH(Table3[[#This Row],[Symbols]],FinancialsTable[[#All],[Symbols]],0),   MATCH("Preferred Stock",FinancialsTable[#Headers],0)) )</f>
        <v>7.2544080604534003</v>
      </c>
      <c r="R10" s="78" t="str" cm="1">
        <f t="array" ref="R10">INDEX(TRANSPOSE(Scorecard!$K$5:$R$5), MATCH(Table3[[#This Row],[Fixed Charge Coverage]],Scorecard!$K$6:$R$6,-1), 0)</f>
        <v>A</v>
      </c>
      <c r="S10" s="78"/>
      <c r="T10" s="83"/>
    </row>
    <row r="11" spans="3:22" ht="16" x14ac:dyDescent="0.2">
      <c r="C11" s="76" t="str">
        <f>Scorecard!E7</f>
        <v>EQIX</v>
      </c>
      <c r="D11" s="78">
        <f>INDEX(FinancialsTable[#All],   MATCH(Table3[[#This Row],[Symbols]],FinancialsTable[[#All],[Symbols]],0),   MATCH("Gross Assets",FinancialsTable[#Headers],0))</f>
        <v>27.01</v>
      </c>
      <c r="E11" s="78" t="str" cm="1">
        <f t="array" ref="E11">INDEX(TRANSPOSE(Scorecard!$K$5:$R$5), MATCH(Table3[[#This Row],[Gross Assets]],Scorecard!$K$6:$R$6,-1), 0)</f>
        <v>Aaa</v>
      </c>
      <c r="F11" s="78" t="s">
        <v>16</v>
      </c>
      <c r="G11" s="78" t="s">
        <v>16</v>
      </c>
      <c r="H11" s="78" t="s">
        <v>16</v>
      </c>
      <c r="I11" s="79">
        <f>INDEX(FinancialsTable[#All],   MATCH(Table3[[#This Row],[Symbols]],FinancialsTable[[#All],[Symbols]],0),   MATCH("Unencumbered Assets",FinancialsTable[#Headers],0)) / INDEX(FinancialsTable[#All],   MATCH(Table3[[#This Row],[Symbols]],FinancialsTable[[#All],[Symbols]],0),   MATCH("Gross Assets",FinancialsTable[#Headers],0))</f>
        <v>0.69559422436134766</v>
      </c>
      <c r="J11" s="78" t="str" cm="1">
        <f t="array" ref="J11">INDEX(TRANSPOSE(Scorecard!$K$5:$R$5), MATCH(Table3[[#This Row],[Unencumbered / Gross Assets]],Scorecard!$K$6:$R$6,-1), 0)</f>
        <v>Ba</v>
      </c>
      <c r="K11" s="80">
        <f>INDEX(FinancialsTable[#All],   MATCH(Table3[[#This Row],[Symbols]],FinancialsTable[[#All],[Symbols]],0),   MATCH("Total Debt",FinancialsTable[#Headers],0)) + INDEX(FinancialsTable[#All],   MATCH(Table3[[#This Row],[Symbols]],FinancialsTable[[#All],[Symbols]],0),   MATCH("Preferred Stock",FinancialsTable[#Headers],0)) / INDEX(FinancialsTable[#All],   MATCH(Table3[[#This Row],[Symbols]],FinancialsTable[[#All],[Symbols]],0),   MATCH("Gross Assets",FinancialsTable[#Headers],0))</f>
        <v>13.9</v>
      </c>
      <c r="L11" s="78" t="str" cm="1">
        <f t="array" ref="L11">INDEX(TRANSPOSE(Scorecard!$K$5:$R$5), MATCH(Table3[[#This Row],[Total Debt + Preferred Stock / Gross Assets]],Scorecard!$K$6:$R$6,-1), 0)</f>
        <v>Aa</v>
      </c>
      <c r="M11" s="81">
        <f>INDEX(FinancialsTable[#All],   MATCH(Table3[[#This Row],[Symbols]],FinancialsTable[[#All],[Symbols]],0),   MATCH("Net Debt",FinancialsTable[#Headers],0)) / INDEX(FinancialsTable[#All],   MATCH(Table3[[#This Row],[Symbols]],FinancialsTable[[#All],[Symbols]],0),   MATCH("EBITDA",FinancialsTable[#Headers],0))</f>
        <v>4.2312198483804266</v>
      </c>
      <c r="N11" s="78" t="str" cm="1">
        <f t="array" ref="N11">INDEX(TRANSPOSE(Scorecard!$K$5:$R$5), MATCH(Table3[[#This Row],[Net Debt / EBITDA]],Scorecard!$K$6:$R$6,-1), 0)</f>
        <v>A</v>
      </c>
      <c r="O11" s="82">
        <f>INDEX(FinancialsTable[#All],   MATCH(Table3[[#This Row],[Symbols]],FinancialsTable[[#All],[Symbols]],0),   MATCH("Secured Debt",FinancialsTable[#Headers],0))  / INDEX(FinancialsTable[#All],   MATCH(Table3[[#This Row],[Symbols]],FinancialsTable[[#All],[Symbols]],0),   MATCH("Gross Assets",FinancialsTable[#Headers],0))</f>
        <v>7.4046649389115135E-2</v>
      </c>
      <c r="P11" s="78" t="str" cm="1">
        <f t="array" ref="P11">INDEX(TRANSPOSE(Scorecard!$K$5:$R$5), MATCH(Table3[[#This Row],[Secured Debt / Gross Assets]],Scorecard!$K$6:$R$6,-1), 0)</f>
        <v>Caa</v>
      </c>
      <c r="Q11" s="80">
        <f>INDEX(FinancialsTable[#All],   MATCH(Table3[[#This Row],[Symbols]],FinancialsTable[[#All],[Symbols]],0),   MATCH("EBITDA",FinancialsTable[#Headers],0)) /(  INDEX(FinancialsTable[#All],   MATCH(Table3[[#This Row],[Symbols]],FinancialsTable[[#All],[Symbols]],0),   MATCH("Interest Expense",FinancialsTable[#Headers],0)) + INDEX(FinancialsTable[#All],   MATCH(Table3[[#This Row],[Symbols]],FinancialsTable[[#All],[Symbols]],0),   MATCH("Preferred Stock",FinancialsTable[#Headers],0)) )</f>
        <v>7.1477832512315267</v>
      </c>
      <c r="R11" s="78" t="str" cm="1">
        <f t="array" ref="R11">INDEX(TRANSPOSE(Scorecard!$K$5:$R$5), MATCH(Table3[[#This Row],[Fixed Charge Coverage]],Scorecard!$K$6:$R$6,-1), 0)</f>
        <v>A</v>
      </c>
      <c r="S11" s="78"/>
      <c r="T11" s="83"/>
    </row>
    <row r="12" spans="3:22" ht="16" x14ac:dyDescent="0.2">
      <c r="C12" s="76" t="str">
        <f>Scorecard!E8</f>
        <v>DLR</v>
      </c>
      <c r="D12" s="78">
        <f>INDEX(FinancialsTable[#All],   MATCH(Table3[[#This Row],[Symbols]],FinancialsTable[[#All],[Symbols]],0),   MATCH("Gross Assets",FinancialsTable[#Headers],0))</f>
        <v>36.08</v>
      </c>
      <c r="E12" s="78" t="str" cm="1">
        <f t="array" ref="E12">INDEX(TRANSPOSE(Scorecard!$K$5:$R$5), MATCH(Table3[[#This Row],[Gross Assets]],Scorecard!$K$6:$R$6,-1), 0)</f>
        <v>Aaa</v>
      </c>
      <c r="F12" s="78" t="s">
        <v>16</v>
      </c>
      <c r="G12" s="78" t="s">
        <v>16</v>
      </c>
      <c r="H12" s="78" t="s">
        <v>16</v>
      </c>
      <c r="I12" s="79">
        <f>INDEX(FinancialsTable[#All],   MATCH(Table3[[#This Row],[Symbols]],FinancialsTable[[#All],[Symbols]],0),   MATCH("Unencumbered Assets",FinancialsTable[#Headers],0)) / INDEX(FinancialsTable[#All],   MATCH(Table3[[#This Row],[Symbols]],FinancialsTable[[#All],[Symbols]],0),   MATCH("Gross Assets",FinancialsTable[#Headers],0))</f>
        <v>7.8935698447893568E-2</v>
      </c>
      <c r="J12" s="78" t="str" cm="1">
        <f t="array" ref="J12">INDEX(TRANSPOSE(Scorecard!$K$5:$R$5), MATCH(Table3[[#This Row],[Unencumbered / Gross Assets]],Scorecard!$K$6:$R$6,-1), 0)</f>
        <v>Caa</v>
      </c>
      <c r="K12" s="80">
        <f>INDEX(FinancialsTable[#All],   MATCH(Table3[[#This Row],[Symbols]],FinancialsTable[[#All],[Symbols]],0),   MATCH("Total Debt",FinancialsTable[#Headers],0)) + INDEX(FinancialsTable[#All],   MATCH(Table3[[#This Row],[Symbols]],FinancialsTable[[#All],[Symbols]],0),   MATCH("Preferred Stock",FinancialsTable[#Headers],0)) / INDEX(FinancialsTable[#All],   MATCH(Table3[[#This Row],[Symbols]],FinancialsTable[[#All],[Symbols]],0),   MATCH("Gross Assets",FinancialsTable[#Headers],0))</f>
        <v>15.007</v>
      </c>
      <c r="L12" s="78" t="str" cm="1">
        <f t="array" ref="L12">INDEX(TRANSPOSE(Scorecard!$K$5:$R$5), MATCH(Table3[[#This Row],[Total Debt + Preferred Stock / Gross Assets]],Scorecard!$K$6:$R$6,-1), 0)</f>
        <v>Aa</v>
      </c>
      <c r="M12" s="81">
        <f>INDEX(FinancialsTable[#All],   MATCH(Table3[[#This Row],[Symbols]],FinancialsTable[[#All],[Symbols]],0),   MATCH("Net Debt",FinancialsTable[#Headers],0)) / INDEX(FinancialsTable[#All],   MATCH(Table3[[#This Row],[Symbols]],FinancialsTable[[#All],[Symbols]],0),   MATCH("EBITDA",FinancialsTable[#Headers],0))</f>
        <v>6.5708609271523182</v>
      </c>
      <c r="N12" s="78" t="str" cm="1">
        <f t="array" ref="N12">INDEX(TRANSPOSE(Scorecard!$K$5:$R$5), MATCH(Table3[[#This Row],[Net Debt / EBITDA]],Scorecard!$K$6:$R$6,-1), 0)</f>
        <v>A</v>
      </c>
      <c r="O12" s="82">
        <f>INDEX(FinancialsTable[#All],   MATCH(Table3[[#This Row],[Symbols]],FinancialsTable[[#All],[Symbols]],0),   MATCH("Secured Debt",FinancialsTable[#Headers],0))  / INDEX(FinancialsTable[#All],   MATCH(Table3[[#This Row],[Symbols]],FinancialsTable[[#All],[Symbols]],0),   MATCH("Gross Assets",FinancialsTable[#Headers],0))</f>
        <v>0</v>
      </c>
      <c r="P12" s="78" t="str" cm="1">
        <f t="array" ref="P12">INDEX(TRANSPOSE(Scorecard!$K$5:$R$5), MATCH(Table3[[#This Row],[Secured Debt / Gross Assets]],Scorecard!$K$6:$R$6,-1), 0)</f>
        <v>Caa</v>
      </c>
      <c r="Q12" s="80">
        <f>INDEX(FinancialsTable[#All],   MATCH(Table3[[#This Row],[Symbols]],FinancialsTable[[#All],[Symbols]],0),   MATCH("EBITDA",FinancialsTable[#Headers],0)) /(  INDEX(FinancialsTable[#All],   MATCH(Table3[[#This Row],[Symbols]],FinancialsTable[[#All],[Symbols]],0),   MATCH("Interest Expense",FinancialsTable[#Headers],0)) + INDEX(FinancialsTable[#All],   MATCH(Table3[[#This Row],[Symbols]],FinancialsTable[[#All],[Symbols]],0),   MATCH("Preferred Stock",FinancialsTable[#Headers],0)) )</f>
        <v>6.9692307692307685</v>
      </c>
      <c r="R12" s="78" t="str" cm="1">
        <f t="array" ref="R12">INDEX(TRANSPOSE(Scorecard!$K$5:$R$5), MATCH(Table3[[#This Row],[Fixed Charge Coverage]],Scorecard!$K$6:$R$6,-1), 0)</f>
        <v>A</v>
      </c>
      <c r="S12" s="78"/>
      <c r="T12" s="83"/>
    </row>
    <row r="13" spans="3:22" ht="16" x14ac:dyDescent="0.2">
      <c r="C13" s="76" t="str">
        <f>Scorecard!E9</f>
        <v>SPG</v>
      </c>
      <c r="D13" s="78">
        <f>INDEX(FinancialsTable[#All],   MATCH(Table3[[#This Row],[Symbols]],FinancialsTable[[#All],[Symbols]],0),   MATCH("Gross Assets",FinancialsTable[#Headers],0))</f>
        <v>34.79</v>
      </c>
      <c r="E13" s="78" t="str" cm="1">
        <f t="array" ref="E13">INDEX(TRANSPOSE(Scorecard!$K$5:$R$5), MATCH(Table3[[#This Row],[Gross Assets]],Scorecard!$K$6:$R$6,-1), 0)</f>
        <v>Aaa</v>
      </c>
      <c r="F13" s="78" t="s">
        <v>16</v>
      </c>
      <c r="G13" s="78" t="s">
        <v>16</v>
      </c>
      <c r="H13" s="78" t="s">
        <v>16</v>
      </c>
      <c r="I13" s="79">
        <f>INDEX(FinancialsTable[#All],   MATCH(Table3[[#This Row],[Symbols]],FinancialsTable[[#All],[Symbols]],0),   MATCH("Unencumbered Assets",FinancialsTable[#Headers],0)) / INDEX(FinancialsTable[#All],   MATCH(Table3[[#This Row],[Symbols]],FinancialsTable[[#All],[Symbols]],0),   MATCH("Gross Assets",FinancialsTable[#Headers],0))</f>
        <v>9.0255820638114395E-2</v>
      </c>
      <c r="J13" s="78" t="str" cm="1">
        <f t="array" ref="J13">INDEX(TRANSPOSE(Scorecard!$K$5:$R$5), MATCH(Table3[[#This Row],[Unencumbered / Gross Assets]],Scorecard!$K$6:$R$6,-1), 0)</f>
        <v>Caa</v>
      </c>
      <c r="K13" s="80">
        <f>INDEX(FinancialsTable[#All],   MATCH(Table3[[#This Row],[Symbols]],FinancialsTable[[#All],[Symbols]],0),   MATCH("Total Debt",FinancialsTable[#Headers],0)) + INDEX(FinancialsTable[#All],   MATCH(Table3[[#This Row],[Symbols]],FinancialsTable[[#All],[Symbols]],0),   MATCH("Preferred Stock",FinancialsTable[#Headers],0)) / INDEX(FinancialsTable[#All],   MATCH(Table3[[#This Row],[Symbols]],FinancialsTable[[#All],[Symbols]],0),   MATCH("Gross Assets",FinancialsTable[#Headers],0))</f>
        <v>27.239057487783846</v>
      </c>
      <c r="L13" s="78" t="str" cm="1">
        <f t="array" ref="L13">INDEX(TRANSPOSE(Scorecard!$K$5:$R$5), MATCH(Table3[[#This Row],[Total Debt + Preferred Stock / Gross Assets]],Scorecard!$K$6:$R$6,-1), 0)</f>
        <v>Aaa</v>
      </c>
      <c r="M13" s="81">
        <f>INDEX(FinancialsTable[#All],   MATCH(Table3[[#This Row],[Symbols]],FinancialsTable[[#All],[Symbols]],0),   MATCH("Net Debt",FinancialsTable[#Headers],0)) / INDEX(FinancialsTable[#All],   MATCH(Table3[[#This Row],[Symbols]],FinancialsTable[[#All],[Symbols]],0),   MATCH("EBITDA",FinancialsTable[#Headers],0))</f>
        <v>6.4376534118802162</v>
      </c>
      <c r="N13" s="78" t="str" cm="1">
        <f t="array" ref="N13">INDEX(TRANSPOSE(Scorecard!$K$5:$R$5), MATCH(Table3[[#This Row],[Net Debt / EBITDA]],Scorecard!$K$6:$R$6,-1), 0)</f>
        <v>A</v>
      </c>
      <c r="O13" s="82">
        <f>INDEX(FinancialsTable[#All],   MATCH(Table3[[#This Row],[Symbols]],FinancialsTable[[#All],[Symbols]],0),   MATCH("Secured Debt",FinancialsTable[#Headers],0))  / INDEX(FinancialsTable[#All],   MATCH(Table3[[#This Row],[Symbols]],FinancialsTable[[#All],[Symbols]],0),   MATCH("Gross Assets",FinancialsTable[#Headers],0))</f>
        <v>0</v>
      </c>
      <c r="P13" s="78" t="str" cm="1">
        <f t="array" ref="P13">INDEX(TRANSPOSE(Scorecard!$K$5:$R$5), MATCH(Table3[[#This Row],[Secured Debt / Gross Assets]],Scorecard!$K$6:$R$6,-1), 0)</f>
        <v>Caa</v>
      </c>
      <c r="Q13" s="80">
        <f>INDEX(FinancialsTable[#All],   MATCH(Table3[[#This Row],[Symbols]],FinancialsTable[[#All],[Symbols]],0),   MATCH("EBITDA",FinancialsTable[#Headers],0)) /(  INDEX(FinancialsTable[#All],   MATCH(Table3[[#This Row],[Symbols]],FinancialsTable[[#All],[Symbols]],0),   MATCH("Interest Expense",FinancialsTable[#Headers],0)) + INDEX(FinancialsTable[#All],   MATCH(Table3[[#This Row],[Symbols]],FinancialsTable[[#All],[Symbols]],0),   MATCH("Preferred Stock",FinancialsTable[#Headers],0)) )</f>
        <v>5.1832061068702284</v>
      </c>
      <c r="R13" s="78" t="str" cm="1">
        <f t="array" ref="R13">INDEX(TRANSPOSE(Scorecard!$K$5:$R$5), MATCH(Table3[[#This Row],[Fixed Charge Coverage]],Scorecard!$K$6:$R$6,-1), 0)</f>
        <v>A</v>
      </c>
      <c r="S13" s="78"/>
      <c r="T13" s="83"/>
    </row>
    <row r="14" spans="3:22" ht="16" x14ac:dyDescent="0.2">
      <c r="C14" s="76" t="str">
        <f>Scorecard!E10</f>
        <v>INVH</v>
      </c>
      <c r="D14" s="78">
        <f>INDEX(FinancialsTable[#All],   MATCH(Table3[[#This Row],[Symbols]],FinancialsTable[[#All],[Symbols]],0),   MATCH("Gross Assets",FinancialsTable[#Headers],0))</f>
        <v>17.510000000000002</v>
      </c>
      <c r="E14" s="78" t="str" cm="1">
        <f t="array" ref="E14">INDEX(TRANSPOSE(Scorecard!$K$5:$R$5), MATCH(Table3[[#This Row],[Gross Assets]],Scorecard!$K$6:$R$6,-1), 0)</f>
        <v>Aa</v>
      </c>
      <c r="F14" s="78" t="s">
        <v>16</v>
      </c>
      <c r="G14" s="78" t="s">
        <v>16</v>
      </c>
      <c r="H14" s="78" t="s">
        <v>16</v>
      </c>
      <c r="I14" s="79">
        <f>INDEX(FinancialsTable[#All],   MATCH(Table3[[#This Row],[Symbols]],FinancialsTable[[#All],[Symbols]],0),   MATCH("Unencumbered Assets",FinancialsTable[#Headers],0)) / INDEX(FinancialsTable[#All],   MATCH(Table3[[#This Row],[Symbols]],FinancialsTable[[#All],[Symbols]],0),   MATCH("Gross Assets",FinancialsTable[#Headers],0))</f>
        <v>2.2964020559680182E-2</v>
      </c>
      <c r="J14" s="78" t="str" cm="1">
        <f t="array" ref="J14">INDEX(TRANSPOSE(Scorecard!$K$5:$R$5), MATCH(Table3[[#This Row],[Unencumbered / Gross Assets]],Scorecard!$K$6:$R$6,-1), 0)</f>
        <v>Caa</v>
      </c>
      <c r="K14" s="80">
        <f>INDEX(FinancialsTable[#All],   MATCH(Table3[[#This Row],[Symbols]],FinancialsTable[[#All],[Symbols]],0),   MATCH("Total Debt",FinancialsTable[#Headers],0)) + INDEX(FinancialsTable[#All],   MATCH(Table3[[#This Row],[Symbols]],FinancialsTable[[#All],[Symbols]],0),   MATCH("Preferred Stock",FinancialsTable[#Headers],0)) / INDEX(FinancialsTable[#All],   MATCH(Table3[[#This Row],[Symbols]],FinancialsTable[[#All],[Symbols]],0),   MATCH("Gross Assets",FinancialsTable[#Headers],0))</f>
        <v>8.0500000000000007</v>
      </c>
      <c r="L14" s="78" t="str" cm="1">
        <f t="array" ref="L14">INDEX(TRANSPOSE(Scorecard!$K$5:$R$5), MATCH(Table3[[#This Row],[Total Debt + Preferred Stock / Gross Assets]],Scorecard!$K$6:$R$6,-1), 0)</f>
        <v>A</v>
      </c>
      <c r="M14" s="81">
        <f>INDEX(FinancialsTable[#All],   MATCH(Table3[[#This Row],[Symbols]],FinancialsTable[[#All],[Symbols]],0),   MATCH("Net Debt",FinancialsTable[#Headers],0)) / INDEX(FinancialsTable[#All],   MATCH(Table3[[#This Row],[Symbols]],FinancialsTable[[#All],[Symbols]],0),   MATCH("EBITDA",FinancialsTable[#Headers],0))</f>
        <v>6.6011854360711268</v>
      </c>
      <c r="N14" s="78" t="str" cm="1">
        <f t="array" ref="N14">INDEX(TRANSPOSE(Scorecard!$K$5:$R$5), MATCH(Table3[[#This Row],[Net Debt / EBITDA]],Scorecard!$K$6:$R$6,-1), 0)</f>
        <v>A</v>
      </c>
      <c r="O14" s="82">
        <f>INDEX(FinancialsTable[#All],   MATCH(Table3[[#This Row],[Symbols]],FinancialsTable[[#All],[Symbols]],0),   MATCH("Secured Debt",FinancialsTable[#Headers],0))  / INDEX(FinancialsTable[#All],   MATCH(Table3[[#This Row],[Symbols]],FinancialsTable[[#All],[Symbols]],0),   MATCH("Gross Assets",FinancialsTable[#Headers],0))</f>
        <v>2.2844089091947458E-2</v>
      </c>
      <c r="P14" s="78" t="str" cm="1">
        <f t="array" ref="P14">INDEX(TRANSPOSE(Scorecard!$K$5:$R$5), MATCH(Table3[[#This Row],[Secured Debt / Gross Assets]],Scorecard!$K$6:$R$6,-1), 0)</f>
        <v>Caa</v>
      </c>
      <c r="Q14" s="80">
        <f>INDEX(FinancialsTable[#All],   MATCH(Table3[[#This Row],[Symbols]],FinancialsTable[[#All],[Symbols]],0),   MATCH("EBITDA",FinancialsTable[#Headers],0)) /(  INDEX(FinancialsTable[#All],   MATCH(Table3[[#This Row],[Symbols]],FinancialsTable[[#All],[Symbols]],0),   MATCH("Interest Expense",FinancialsTable[#Headers],0)) + INDEX(FinancialsTable[#All],   MATCH(Table3[[#This Row],[Symbols]],FinancialsTable[[#All],[Symbols]],0),   MATCH("Preferred Stock",FinancialsTable[#Headers],0)) )</f>
        <v>4.9004149377593365</v>
      </c>
      <c r="R14" s="78" t="str" cm="1">
        <f t="array" ref="R14">INDEX(TRANSPOSE(Scorecard!$K$5:$R$5), MATCH(Table3[[#This Row],[Fixed Charge Coverage]],Scorecard!$K$6:$R$6,-1), 0)</f>
        <v>A</v>
      </c>
      <c r="S14" s="78"/>
      <c r="T14" s="83"/>
    </row>
    <row r="15" spans="3:22" ht="16" x14ac:dyDescent="0.2">
      <c r="C15" s="76" t="str">
        <f>Scorecard!E11</f>
        <v>PSA</v>
      </c>
      <c r="D15" s="78">
        <f>INDEX(FinancialsTable[#All],   MATCH(Table3[[#This Row],[Symbols]],FinancialsTable[[#All],[Symbols]],0),   MATCH("Gross Assets",FinancialsTable[#Headers],0))</f>
        <v>11.82</v>
      </c>
      <c r="E15" s="78" t="str" cm="1">
        <f t="array" ref="E15">INDEX(TRANSPOSE(Scorecard!$K$5:$R$5), MATCH(Table3[[#This Row],[Gross Assets]],Scorecard!$K$6:$R$6,-1), 0)</f>
        <v>Aa</v>
      </c>
      <c r="F15" s="78" t="s">
        <v>16</v>
      </c>
      <c r="G15" s="78" t="s">
        <v>16</v>
      </c>
      <c r="H15" s="78" t="s">
        <v>16</v>
      </c>
      <c r="I15" s="79">
        <f>INDEX(FinancialsTable[#All],   MATCH(Table3[[#This Row],[Symbols]],FinancialsTable[[#All],[Symbols]],0),   MATCH("Unencumbered Assets",FinancialsTable[#Headers],0)) / INDEX(FinancialsTable[#All],   MATCH(Table3[[#This Row],[Symbols]],FinancialsTable[[#All],[Symbols]],0),   MATCH("Gross Assets",FinancialsTable[#Headers],0))</f>
        <v>0.91421319796954326</v>
      </c>
      <c r="J15" s="78" t="str" cm="1">
        <f t="array" ref="J15">INDEX(TRANSPOSE(Scorecard!$K$5:$R$5), MATCH(Table3[[#This Row],[Unencumbered / Gross Assets]],Scorecard!$K$6:$R$6,-1), 0)</f>
        <v>Ba</v>
      </c>
      <c r="K15" s="80">
        <f>INDEX(FinancialsTable[#All],   MATCH(Table3[[#This Row],[Symbols]],FinancialsTable[[#All],[Symbols]],0),   MATCH("Total Debt",FinancialsTable[#Headers],0)) + INDEX(FinancialsTable[#All],   MATCH(Table3[[#This Row],[Symbols]],FinancialsTable[[#All],[Symbols]],0),   MATCH("Preferred Stock",FinancialsTable[#Headers],0)) / INDEX(FinancialsTable[#All],   MATCH(Table3[[#This Row],[Symbols]],FinancialsTable[[#All],[Symbols]],0),   MATCH("Gross Assets",FinancialsTable[#Headers],0))</f>
        <v>2.5449999999999999</v>
      </c>
      <c r="L15" s="78" t="str" cm="1">
        <f t="array" ref="L15">INDEX(TRANSPOSE(Scorecard!$K$5:$R$5), MATCH(Table3[[#This Row],[Total Debt + Preferred Stock / Gross Assets]],Scorecard!$K$6:$R$6,-1), 0)</f>
        <v>A</v>
      </c>
      <c r="M15" s="81">
        <f>INDEX(FinancialsTable[#All],   MATCH(Table3[[#This Row],[Symbols]],FinancialsTable[[#All],[Symbols]],0),   MATCH("Net Debt",FinancialsTable[#Headers],0)) / INDEX(FinancialsTable[#All],   MATCH(Table3[[#This Row],[Symbols]],FinancialsTable[[#All],[Symbols]],0),   MATCH("EBITDA",FinancialsTable[#Headers],0))</f>
        <v>1.1321782178217821</v>
      </c>
      <c r="N15" s="78" t="str" cm="1">
        <f t="array" ref="N15">INDEX(TRANSPOSE(Scorecard!$K$5:$R$5), MATCH(Table3[[#This Row],[Net Debt / EBITDA]],Scorecard!$K$6:$R$6,-1), 0)</f>
        <v>Baa</v>
      </c>
      <c r="O15" s="82">
        <f>INDEX(FinancialsTable[#All],   MATCH(Table3[[#This Row],[Symbols]],FinancialsTable[[#All],[Symbols]],0),   MATCH("Secured Debt",FinancialsTable[#Headers],0))  / INDEX(FinancialsTable[#All],   MATCH(Table3[[#This Row],[Symbols]],FinancialsTable[[#All],[Symbols]],0),   MATCH("Gross Assets",FinancialsTable[#Headers],0))</f>
        <v>0</v>
      </c>
      <c r="P15" s="78" t="str" cm="1">
        <f t="array" ref="P15">INDEX(TRANSPOSE(Scorecard!$K$5:$R$5), MATCH(Table3[[#This Row],[Secured Debt / Gross Assets]],Scorecard!$K$6:$R$6,-1), 0)</f>
        <v>Caa</v>
      </c>
      <c r="Q15" s="80">
        <f>INDEX(FinancialsTable[#All],   MATCH(Table3[[#This Row],[Symbols]],FinancialsTable[[#All],[Symbols]],0),   MATCH("EBITDA",FinancialsTable[#Headers],0)) /(  INDEX(FinancialsTable[#All],   MATCH(Table3[[#This Row],[Symbols]],FinancialsTable[[#All],[Symbols]],0),   MATCH("Interest Expense",FinancialsTable[#Headers],0)) + INDEX(FinancialsTable[#All],   MATCH(Table3[[#This Row],[Symbols]],FinancialsTable[[#All],[Symbols]],0),   MATCH("Preferred Stock",FinancialsTable[#Headers],0)) )</f>
        <v>36.071428571428569</v>
      </c>
      <c r="R15" s="78" t="str" cm="1">
        <f t="array" ref="R15">INDEX(TRANSPOSE(Scorecard!$K$5:$R$5), MATCH(Table3[[#This Row],[Fixed Charge Coverage]],Scorecard!$K$6:$R$6,-1), 0)</f>
        <v>Aaa</v>
      </c>
      <c r="S15" s="78"/>
      <c r="T15" s="83"/>
    </row>
    <row r="16" spans="3:22" ht="16" x14ac:dyDescent="0.2">
      <c r="C16" s="76" t="str">
        <f>Scorecard!E12</f>
        <v>PLD</v>
      </c>
      <c r="D16" s="78">
        <f>INDEX(FinancialsTable[#All],   MATCH(Table3[[#This Row],[Symbols]],FinancialsTable[[#All],[Symbols]],0),   MATCH("Gross Assets",FinancialsTable[#Headers],0))</f>
        <v>56.07</v>
      </c>
      <c r="E16" s="78" t="str" cm="1">
        <f t="array" ref="E16">INDEX(TRANSPOSE(Scorecard!$K$5:$R$5), MATCH(Table3[[#This Row],[Gross Assets]],Scorecard!$K$6:$R$6,-1), 0)</f>
        <v>Aaa</v>
      </c>
      <c r="F16" s="78" t="s">
        <v>16</v>
      </c>
      <c r="G16" s="78" t="s">
        <v>16</v>
      </c>
      <c r="H16" s="78" t="s">
        <v>16</v>
      </c>
      <c r="I16" s="79">
        <f>INDEX(FinancialsTable[#All],   MATCH(Table3[[#This Row],[Symbols]],FinancialsTable[[#All],[Symbols]],0),   MATCH("Unencumbered Assets",FinancialsTable[#Headers],0)) / INDEX(FinancialsTable[#All],   MATCH(Table3[[#This Row],[Symbols]],FinancialsTable[[#All],[Symbols]],0),   MATCH("Gross Assets",FinancialsTable[#Headers],0))</f>
        <v>5.0240770465489568E-2</v>
      </c>
      <c r="J16" s="78" t="str" cm="1">
        <f t="array" ref="J16">INDEX(TRANSPOSE(Scorecard!$K$5:$R$5), MATCH(Table3[[#This Row],[Unencumbered / Gross Assets]],Scorecard!$K$6:$R$6,-1), 0)</f>
        <v>Caa</v>
      </c>
      <c r="K16" s="80">
        <f>INDEX(FinancialsTable[#All],   MATCH(Table3[[#This Row],[Symbols]],FinancialsTable[[#All],[Symbols]],0),   MATCH("Total Debt",FinancialsTable[#Headers],0)) + INDEX(FinancialsTable[#All],   MATCH(Table3[[#This Row],[Symbols]],FinancialsTable[[#All],[Symbols]],0),   MATCH("Preferred Stock",FinancialsTable[#Headers],0)) / INDEX(FinancialsTable[#All],   MATCH(Table3[[#This Row],[Symbols]],FinancialsTable[[#All],[Symbols]],0),   MATCH("Gross Assets",FinancialsTable[#Headers],0))</f>
        <v>17.335999999999999</v>
      </c>
      <c r="L16" s="78" t="str" cm="1">
        <f t="array" ref="L16">INDEX(TRANSPOSE(Scorecard!$K$5:$R$5), MATCH(Table3[[#This Row],[Total Debt + Preferred Stock / Gross Assets]],Scorecard!$K$6:$R$6,-1), 0)</f>
        <v>Aa</v>
      </c>
      <c r="M16" s="81">
        <f>INDEX(FinancialsTable[#All],   MATCH(Table3[[#This Row],[Symbols]],FinancialsTable[[#All],[Symbols]],0),   MATCH("Net Debt",FinancialsTable[#Headers],0)) / INDEX(FinancialsTable[#All],   MATCH(Table3[[#This Row],[Symbols]],FinancialsTable[[#All],[Symbols]],0),   MATCH("EBITDA",FinancialsTable[#Headers],0))</f>
        <v>5.1046050625190604</v>
      </c>
      <c r="N16" s="78" t="str" cm="1">
        <f t="array" ref="N16">INDEX(TRANSPOSE(Scorecard!$K$5:$R$5), MATCH(Table3[[#This Row],[Net Debt / EBITDA]],Scorecard!$K$6:$R$6,-1), 0)</f>
        <v>A</v>
      </c>
      <c r="O16" s="82">
        <f>INDEX(FinancialsTable[#All],   MATCH(Table3[[#This Row],[Symbols]],FinancialsTable[[#All],[Symbols]],0),   MATCH("Secured Debt",FinancialsTable[#Headers],0))  / INDEX(FinancialsTable[#All],   MATCH(Table3[[#This Row],[Symbols]],FinancialsTable[[#All],[Symbols]],0),   MATCH("Gross Assets",FinancialsTable[#Headers],0))</f>
        <v>0</v>
      </c>
      <c r="P16" s="78" t="str" cm="1">
        <f t="array" ref="P16">INDEX(TRANSPOSE(Scorecard!$K$5:$R$5), MATCH(Table3[[#This Row],[Secured Debt / Gross Assets]],Scorecard!$K$6:$R$6,-1), 0)</f>
        <v>Caa</v>
      </c>
      <c r="Q16" s="80">
        <f>INDEX(FinancialsTable[#All],   MATCH(Table3[[#This Row],[Symbols]],FinancialsTable[[#All],[Symbols]],0),   MATCH("EBITDA",FinancialsTable[#Headers],0)) /(  INDEX(FinancialsTable[#All],   MATCH(Table3[[#This Row],[Symbols]],FinancialsTable[[#All],[Symbols]],0),   MATCH("Interest Expense",FinancialsTable[#Headers],0)) + INDEX(FinancialsTable[#All],   MATCH(Table3[[#This Row],[Symbols]],FinancialsTable[[#All],[Symbols]],0),   MATCH("Preferred Stock",FinancialsTable[#Headers],0)) )</f>
        <v>10.40952380952381</v>
      </c>
      <c r="R16" s="78" t="str" cm="1">
        <f t="array" ref="R16">INDEX(TRANSPOSE(Scorecard!$K$5:$R$5), MATCH(Table3[[#This Row],[Fixed Charge Coverage]],Scorecard!$K$6:$R$6,-1), 0)</f>
        <v>Aa</v>
      </c>
      <c r="S16" s="78"/>
      <c r="T16" s="83"/>
    </row>
    <row r="17" spans="3:20" ht="16" x14ac:dyDescent="0.2">
      <c r="C17" s="76" t="str">
        <f>Scorecard!E13</f>
        <v>VTR</v>
      </c>
      <c r="D17" s="78">
        <f>INDEX(FinancialsTable[#All],   MATCH(Table3[[#This Row],[Symbols]],FinancialsTable[[#All],[Symbols]],0),   MATCH("Gross Assets",FinancialsTable[#Headers],0))</f>
        <v>23.93</v>
      </c>
      <c r="E17" s="78" t="str" cm="1">
        <f t="array" ref="E17">INDEX(TRANSPOSE(Scorecard!$K$5:$R$5), MATCH(Table3[[#This Row],[Gross Assets]],Scorecard!$K$6:$R$6,-1), 0)</f>
        <v>Aaa</v>
      </c>
      <c r="F17" s="78" t="s">
        <v>16</v>
      </c>
      <c r="G17" s="78" t="s">
        <v>16</v>
      </c>
      <c r="H17" s="78" t="s">
        <v>16</v>
      </c>
      <c r="I17" s="79">
        <f>INDEX(FinancialsTable[#All],   MATCH(Table3[[#This Row],[Symbols]],FinancialsTable[[#All],[Symbols]],0),   MATCH("Unencumbered Assets",FinancialsTable[#Headers],0)) / INDEX(FinancialsTable[#All],   MATCH(Table3[[#This Row],[Symbols]],FinancialsTable[[#All],[Symbols]],0),   MATCH("Gross Assets",FinancialsTable[#Headers],0))</f>
        <v>0.89452569995821174</v>
      </c>
      <c r="J17" s="78" t="str" cm="1">
        <f t="array" ref="J17">INDEX(TRANSPOSE(Scorecard!$K$5:$R$5), MATCH(Table3[[#This Row],[Unencumbered / Gross Assets]],Scorecard!$K$6:$R$6,-1), 0)</f>
        <v>Ba</v>
      </c>
      <c r="K17" s="80">
        <f>INDEX(FinancialsTable[#All],   MATCH(Table3[[#This Row],[Symbols]],FinancialsTable[[#All],[Symbols]],0),   MATCH("Total Debt",FinancialsTable[#Headers],0)) + INDEX(FinancialsTable[#All],   MATCH(Table3[[#This Row],[Symbols]],FinancialsTable[[#All],[Symbols]],0),   MATCH("Preferred Stock",FinancialsTable[#Headers],0)) / INDEX(FinancialsTable[#All],   MATCH(Table3[[#This Row],[Symbols]],FinancialsTable[[#All],[Symbols]],0),   MATCH("Gross Assets",FinancialsTable[#Headers],0))</f>
        <v>12.105</v>
      </c>
      <c r="L17" s="78" t="str" cm="1">
        <f t="array" ref="L17">INDEX(TRANSPOSE(Scorecard!$K$5:$R$5), MATCH(Table3[[#This Row],[Total Debt + Preferred Stock / Gross Assets]],Scorecard!$K$6:$R$6,-1), 0)</f>
        <v>Aa</v>
      </c>
      <c r="M17" s="81">
        <f>INDEX(FinancialsTable[#All],   MATCH(Table3[[#This Row],[Symbols]],FinancialsTable[[#All],[Symbols]],0),   MATCH("Net Debt",FinancialsTable[#Headers],0)) / INDEX(FinancialsTable[#All],   MATCH(Table3[[#This Row],[Symbols]],FinancialsTable[[#All],[Symbols]],0),   MATCH("EBITDA",FinancialsTable[#Headers],0))</f>
        <v>5.3675725472132649</v>
      </c>
      <c r="N17" s="78" t="str" cm="1">
        <f t="array" ref="N17">INDEX(TRANSPOSE(Scorecard!$K$5:$R$5), MATCH(Table3[[#This Row],[Net Debt / EBITDA]],Scorecard!$K$6:$R$6,-1), 0)</f>
        <v>A</v>
      </c>
      <c r="O17" s="82">
        <f>INDEX(FinancialsTable[#All],   MATCH(Table3[[#This Row],[Symbols]],FinancialsTable[[#All],[Symbols]],0),   MATCH("Secured Debt",FinancialsTable[#Headers],0))  / INDEX(FinancialsTable[#All],   MATCH(Table3[[#This Row],[Symbols]],FinancialsTable[[#All],[Symbols]],0),   MATCH("Gross Assets",FinancialsTable[#Headers],0))</f>
        <v>0</v>
      </c>
      <c r="P17" s="78" t="str" cm="1">
        <f t="array" ref="P17">INDEX(TRANSPOSE(Scorecard!$K$5:$R$5), MATCH(Table3[[#This Row],[Secured Debt / Gross Assets]],Scorecard!$K$6:$R$6,-1), 0)</f>
        <v>Caa</v>
      </c>
      <c r="Q17" s="80">
        <f>INDEX(FinancialsTable[#All],   MATCH(Table3[[#This Row],[Symbols]],FinancialsTable[[#All],[Symbols]],0),   MATCH("EBITDA",FinancialsTable[#Headers],0)) /(  INDEX(FinancialsTable[#All],   MATCH(Table3[[#This Row],[Symbols]],FinancialsTable[[#All],[Symbols]],0),   MATCH("Interest Expense",FinancialsTable[#Headers],0)) + INDEX(FinancialsTable[#All],   MATCH(Table3[[#This Row],[Symbols]],FinancialsTable[[#All],[Symbols]],0),   MATCH("Preferred Stock",FinancialsTable[#Headers],0)) )</f>
        <v>4.6191489361702134</v>
      </c>
      <c r="R17" s="78" t="str" cm="1">
        <f t="array" ref="R17">INDEX(TRANSPOSE(Scorecard!$K$5:$R$5), MATCH(Table3[[#This Row],[Fixed Charge Coverage]],Scorecard!$K$6:$R$6,-1), 0)</f>
        <v>A</v>
      </c>
      <c r="S17" s="78"/>
      <c r="T17" s="83"/>
    </row>
    <row r="18" spans="3:20" ht="16" x14ac:dyDescent="0.2">
      <c r="C18" s="76" t="str">
        <f>Scorecard!E14</f>
        <v>VER</v>
      </c>
      <c r="D18" s="78">
        <f>INDEX(FinancialsTable[#All],   MATCH(Table3[[#This Row],[Symbols]],FinancialsTable[[#All],[Symbols]],0),   MATCH("Gross Assets",FinancialsTable[#Headers],0))</f>
        <v>13.32</v>
      </c>
      <c r="E18" s="78" t="str" cm="1">
        <f t="array" ref="E18">INDEX(TRANSPOSE(Scorecard!$K$5:$R$5), MATCH(Table3[[#This Row],[Gross Assets]],Scorecard!$K$6:$R$6,-1), 0)</f>
        <v>Aa</v>
      </c>
      <c r="F18" s="78" t="s">
        <v>16</v>
      </c>
      <c r="G18" s="78" t="s">
        <v>16</v>
      </c>
      <c r="H18" s="78" t="s">
        <v>16</v>
      </c>
      <c r="I18" s="79">
        <f>INDEX(FinancialsTable[#All],   MATCH(Table3[[#This Row],[Symbols]],FinancialsTable[[#All],[Symbols]],0),   MATCH("Unencumbered Assets",FinancialsTable[#Headers],0)) / INDEX(FinancialsTable[#All],   MATCH(Table3[[#This Row],[Symbols]],FinancialsTable[[#All],[Symbols]],0),   MATCH("Gross Assets",FinancialsTable[#Headers],0))</f>
        <v>4.481981981981982E-2</v>
      </c>
      <c r="J18" s="78" t="str" cm="1">
        <f t="array" ref="J18">INDEX(TRANSPOSE(Scorecard!$K$5:$R$5), MATCH(Table3[[#This Row],[Unencumbered / Gross Assets]],Scorecard!$K$6:$R$6,-1), 0)</f>
        <v>Caa</v>
      </c>
      <c r="K18" s="80">
        <f>INDEX(FinancialsTable[#All],   MATCH(Table3[[#This Row],[Symbols]],FinancialsTable[[#All],[Symbols]],0),   MATCH("Total Debt",FinancialsTable[#Headers],0)) + INDEX(FinancialsTable[#All],   MATCH(Table3[[#This Row],[Symbols]],FinancialsTable[[#All],[Symbols]],0),   MATCH("Preferred Stock",FinancialsTable[#Headers],0)) / INDEX(FinancialsTable[#All],   MATCH(Table3[[#This Row],[Symbols]],FinancialsTable[[#All],[Symbols]],0),   MATCH("Gross Assets",FinancialsTable[#Headers],0))</f>
        <v>5.9269999999999996</v>
      </c>
      <c r="L18" s="78" t="str" cm="1">
        <f t="array" ref="L18">INDEX(TRANSPOSE(Scorecard!$K$5:$R$5), MATCH(Table3[[#This Row],[Total Debt + Preferred Stock / Gross Assets]],Scorecard!$K$6:$R$6,-1), 0)</f>
        <v>A</v>
      </c>
      <c r="M18" s="81">
        <f>INDEX(FinancialsTable[#All],   MATCH(Table3[[#This Row],[Symbols]],FinancialsTable[[#All],[Symbols]],0),   MATCH("Net Debt",FinancialsTable[#Headers],0)) / INDEX(FinancialsTable[#All],   MATCH(Table3[[#This Row],[Symbols]],FinancialsTable[[#All],[Symbols]],0),   MATCH("EBITDA",FinancialsTable[#Headers],0))</f>
        <v>3.4241719930273096</v>
      </c>
      <c r="N18" s="78" t="str" cm="1">
        <f t="array" ref="N18">INDEX(TRANSPOSE(Scorecard!$K$5:$R$5), MATCH(Table3[[#This Row],[Net Debt / EBITDA]],Scorecard!$K$6:$R$6,-1), 0)</f>
        <v>A</v>
      </c>
      <c r="O18" s="82">
        <f>INDEX(FinancialsTable[#All],   MATCH(Table3[[#This Row],[Symbols]],FinancialsTable[[#All],[Symbols]],0),   MATCH("Secured Debt",FinancialsTable[#Headers],0))  / INDEX(FinancialsTable[#All],   MATCH(Table3[[#This Row],[Symbols]],FinancialsTable[[#All],[Symbols]],0),   MATCH("Gross Assets",FinancialsTable[#Headers],0))</f>
        <v>0</v>
      </c>
      <c r="P18" s="78" t="str" cm="1">
        <f t="array" ref="P18">INDEX(TRANSPOSE(Scorecard!$K$5:$R$5), MATCH(Table3[[#This Row],[Secured Debt / Gross Assets]],Scorecard!$K$6:$R$6,-1), 0)</f>
        <v>Caa</v>
      </c>
      <c r="Q18" s="80">
        <f>INDEX(FinancialsTable[#All],   MATCH(Table3[[#This Row],[Symbols]],FinancialsTable[[#All],[Symbols]],0),   MATCH("EBITDA",FinancialsTable[#Headers],0)) /(  INDEX(FinancialsTable[#All],   MATCH(Table3[[#This Row],[Symbols]],FinancialsTable[[#All],[Symbols]],0),   MATCH("Interest Expense",FinancialsTable[#Headers],0)) + INDEX(FinancialsTable[#All],   MATCH(Table3[[#This Row],[Symbols]],FinancialsTable[[#All],[Symbols]],0),   MATCH("Preferred Stock",FinancialsTable[#Headers],0)) )</f>
        <v>6.2355072463768115</v>
      </c>
      <c r="R18" s="78" t="str" cm="1">
        <f t="array" ref="R18">INDEX(TRANSPOSE(Scorecard!$K$5:$R$5), MATCH(Table3[[#This Row],[Fixed Charge Coverage]],Scorecard!$K$6:$R$6,-1), 0)</f>
        <v>A</v>
      </c>
      <c r="S18" s="78"/>
      <c r="T18" s="83"/>
    </row>
    <row r="19" spans="3:20" ht="17" thickBot="1" x14ac:dyDescent="0.25">
      <c r="C19" s="84" t="str">
        <f>Scorecard!E15</f>
        <v>WELL</v>
      </c>
      <c r="D19" s="85">
        <f>INDEX(FinancialsTable[#All],   MATCH(Table3[[#This Row],[Symbols]],FinancialsTable[[#All],[Symbols]],0),   MATCH("Gross Assets",FinancialsTable[#Headers],0))</f>
        <v>32.484000000000002</v>
      </c>
      <c r="E19" s="85" t="str" cm="1">
        <f t="array" ref="E19">INDEX(TRANSPOSE(Scorecard!$K$5:$R$5), MATCH(Table3[[#This Row],[Gross Assets]],Scorecard!$K$6:$R$6,-1), 0)</f>
        <v>Aaa</v>
      </c>
      <c r="F19" s="85" t="s">
        <v>16</v>
      </c>
      <c r="G19" s="85" t="s">
        <v>16</v>
      </c>
      <c r="H19" s="85" t="s">
        <v>16</v>
      </c>
      <c r="I19" s="86">
        <f>INDEX(FinancialsTable[#All],   MATCH(Table3[[#This Row],[Symbols]],FinancialsTable[[#All],[Symbols]],0),   MATCH("Unencumbered Assets",FinancialsTable[#Headers],0)) / INDEX(FinancialsTable[#All],   MATCH(Table3[[#This Row],[Symbols]],FinancialsTable[[#All],[Symbols]],0),   MATCH("Gross Assets",FinancialsTable[#Headers],0))</f>
        <v>0.94046299716783643</v>
      </c>
      <c r="J19" s="85" t="str" cm="1">
        <f t="array" ref="J19">INDEX(TRANSPOSE(Scorecard!$K$5:$R$5), MATCH(Table3[[#This Row],[Unencumbered / Gross Assets]],Scorecard!$K$6:$R$6,-1), 0)</f>
        <v>Ba</v>
      </c>
      <c r="K19" s="87">
        <f>INDEX(FinancialsTable[#All],   MATCH(Table3[[#This Row],[Symbols]],FinancialsTable[[#All],[Symbols]],0),   MATCH("Total Debt",FinancialsTable[#Headers],0)) + INDEX(FinancialsTable[#All],   MATCH(Table3[[#This Row],[Symbols]],FinancialsTable[[#All],[Symbols]],0),   MATCH("Preferred Stock",FinancialsTable[#Headers],0)) / INDEX(FinancialsTable[#All],   MATCH(Table3[[#This Row],[Symbols]],FinancialsTable[[#All],[Symbols]],0),   MATCH("Gross Assets",FinancialsTable[#Headers],0))</f>
        <v>14.217000000000001</v>
      </c>
      <c r="L19" s="85" t="str" cm="1">
        <f t="array" ref="L19">INDEX(TRANSPOSE(Scorecard!$K$5:$R$5), MATCH(Table3[[#This Row],[Total Debt + Preferred Stock / Gross Assets]],Scorecard!$K$6:$R$6,-1), 0)</f>
        <v>Aa</v>
      </c>
      <c r="M19" s="88">
        <f>INDEX(FinancialsTable[#All],   MATCH(Table3[[#This Row],[Symbols]],FinancialsTable[[#All],[Symbols]],0),   MATCH("Net Debt",FinancialsTable[#Headers],0)) / INDEX(FinancialsTable[#All],   MATCH(Table3[[#This Row],[Symbols]],FinancialsTable[[#All],[Symbols]],0),   MATCH("EBITDA",FinancialsTable[#Headers],0))</f>
        <v>5.4204444444444455</v>
      </c>
      <c r="N19" s="85" t="str" cm="1">
        <f t="array" ref="N19">INDEX(TRANSPOSE(Scorecard!$K$5:$R$5), MATCH(Table3[[#This Row],[Net Debt / EBITDA]],Scorecard!$K$6:$R$6,-1), 0)</f>
        <v>A</v>
      </c>
      <c r="O19" s="89">
        <f>INDEX(FinancialsTable[#All],   MATCH(Table3[[#This Row],[Symbols]],FinancialsTable[[#All],[Symbols]],0),   MATCH("Secured Debt",FinancialsTable[#Headers],0))  / INDEX(FinancialsTable[#All],   MATCH(Table3[[#This Row],[Symbols]],FinancialsTable[[#All],[Symbols]],0),   MATCH("Gross Assets",FinancialsTable[#Headers],0))</f>
        <v>0</v>
      </c>
      <c r="P19" s="85" t="str" cm="1">
        <f t="array" ref="P19">INDEX(TRANSPOSE(Scorecard!$K$5:$R$5), MATCH(Table3[[#This Row],[Secured Debt / Gross Assets]],Scorecard!$K$6:$R$6,-1), 0)</f>
        <v>Caa</v>
      </c>
      <c r="Q19" s="87">
        <f>INDEX(FinancialsTable[#All],   MATCH(Table3[[#This Row],[Symbols]],FinancialsTable[[#All],[Symbols]],0),   MATCH("EBITDA",FinancialsTable[#Headers],0)) /(  INDEX(FinancialsTable[#All],   MATCH(Table3[[#This Row],[Symbols]],FinancialsTable[[#All],[Symbols]],0),   MATCH("Interest Expense",FinancialsTable[#Headers],0)) + INDEX(FinancialsTable[#All],   MATCH(Table3[[#This Row],[Symbols]],FinancialsTable[[#All],[Symbols]],0),   MATCH("Preferred Stock",FinancialsTable[#Headers],0)) )</f>
        <v>4.2372881355932197</v>
      </c>
      <c r="R19" s="85" t="str" cm="1">
        <f t="array" ref="R19">INDEX(TRANSPOSE(Scorecard!$K$5:$R$5), MATCH(Table3[[#This Row],[Fixed Charge Coverage]],Scorecard!$K$6:$R$6,-1), 0)</f>
        <v>A</v>
      </c>
      <c r="S19" s="85"/>
      <c r="T19" s="90"/>
    </row>
    <row r="20" spans="3:20" ht="16" x14ac:dyDescent="0.2">
      <c r="C20" s="26" t="str">
        <f>IF(Scorecard!H33=0,"",Scorecard!H33)</f>
        <v/>
      </c>
    </row>
    <row r="21" spans="3:20" ht="16" x14ac:dyDescent="0.2">
      <c r="C21" s="26" t="str">
        <f>IF(Scorecard!H34=0,"",Scorecard!H34)</f>
        <v/>
      </c>
    </row>
    <row r="22" spans="3:20" ht="16" x14ac:dyDescent="0.2">
      <c r="C22" s="26" t="str">
        <f>IF(Scorecard!H35=0,"",Scorecard!H35)</f>
        <v/>
      </c>
    </row>
    <row r="23" spans="3:20" ht="16" x14ac:dyDescent="0.2">
      <c r="C23" s="26" t="str">
        <f>IF(Scorecard!H36=0,"",Scorecard!H36)</f>
        <v/>
      </c>
    </row>
    <row r="24" spans="3:20" ht="16" x14ac:dyDescent="0.2">
      <c r="C24" s="26" t="str">
        <f>IF(Scorecard!H37=0,"",Scorecard!H37)</f>
        <v/>
      </c>
    </row>
    <row r="25" spans="3:20" ht="16" x14ac:dyDescent="0.2">
      <c r="C25" s="26" t="str">
        <f>IF(Scorecard!H38=0,"",Scorecard!H38)</f>
        <v/>
      </c>
    </row>
    <row r="26" spans="3:20" ht="16" x14ac:dyDescent="0.2">
      <c r="C26" s="26" t="str">
        <f>IF(Scorecard!H39=0,"",Scorecard!H39)</f>
        <v/>
      </c>
    </row>
    <row r="27" spans="3:20" ht="16" x14ac:dyDescent="0.2">
      <c r="C27" s="26" t="str">
        <f>IF(Scorecard!H40=0,"",Scorecard!H40)</f>
        <v/>
      </c>
    </row>
    <row r="28" spans="3:20" ht="16" x14ac:dyDescent="0.2">
      <c r="C28" s="26" t="str">
        <f>IF(Scorecard!H41=0,"",Scorecard!H41)</f>
        <v/>
      </c>
    </row>
    <row r="29" spans="3:20" ht="16" x14ac:dyDescent="0.2">
      <c r="C29" s="26" t="str">
        <f>IF(Scorecard!H42=0,"",Scorecard!H42)</f>
        <v/>
      </c>
    </row>
    <row r="30" spans="3:20" ht="16" x14ac:dyDescent="0.2">
      <c r="C30" s="26" t="str">
        <f>IF(Scorecard!H43=0,"",Scorecard!H43)</f>
        <v/>
      </c>
    </row>
    <row r="31" spans="3:20" ht="16" x14ac:dyDescent="0.2">
      <c r="C31" s="26" t="str">
        <f>IF(Scorecard!H44=0,"",Scorecard!H44)</f>
        <v/>
      </c>
    </row>
    <row r="32" spans="3:20" ht="16" x14ac:dyDescent="0.2">
      <c r="C32" s="26" t="str">
        <f>IF(Scorecard!H45=0,"",Scorecard!H45)</f>
        <v/>
      </c>
    </row>
    <row r="33" spans="3:3" ht="16" x14ac:dyDescent="0.2">
      <c r="C33" s="26" t="str">
        <f>IF(Scorecard!H46=0,"",Scorecard!H46)</f>
        <v/>
      </c>
    </row>
    <row r="34" spans="3:3" ht="16" x14ac:dyDescent="0.2">
      <c r="C34" s="26" t="str">
        <f>IF(Scorecard!H47=0,"",Scorecard!H47)</f>
        <v/>
      </c>
    </row>
    <row r="35" spans="3:3" ht="16" x14ac:dyDescent="0.2">
      <c r="C35" s="26" t="str">
        <f>IF(Scorecard!H48=0,"",Scorecard!H48)</f>
        <v/>
      </c>
    </row>
    <row r="36" spans="3:3" ht="16" x14ac:dyDescent="0.2">
      <c r="C36" s="26" t="str">
        <f>IF(Scorecard!H49=0,"",Scorecard!H49)</f>
        <v/>
      </c>
    </row>
    <row r="37" spans="3:3" ht="16" x14ac:dyDescent="0.2">
      <c r="C37" s="26" t="str">
        <f>IF(Scorecard!H50=0,"",Scorecard!H50)</f>
        <v/>
      </c>
    </row>
    <row r="38" spans="3:3" ht="16" x14ac:dyDescent="0.2">
      <c r="C38" s="26" t="str">
        <f>IF(Scorecard!H51=0,"",Scorecard!H51)</f>
        <v/>
      </c>
    </row>
    <row r="39" spans="3:3" ht="16" x14ac:dyDescent="0.2">
      <c r="C39" s="26" t="str">
        <f>IF(Scorecard!H52=0,"",Scorecard!H52)</f>
        <v/>
      </c>
    </row>
    <row r="40" spans="3:3" ht="16" x14ac:dyDescent="0.2">
      <c r="C40" s="26" t="str">
        <f>IF(Scorecard!H53=0,"",Scorecard!H53)</f>
        <v/>
      </c>
    </row>
    <row r="41" spans="3:3" ht="16" x14ac:dyDescent="0.2">
      <c r="C41" s="26" t="str">
        <f>IF(Scorecard!H54=0,"",Scorecard!H54)</f>
        <v/>
      </c>
    </row>
  </sheetData>
  <mergeCells count="4">
    <mergeCell ref="F7:G7"/>
    <mergeCell ref="H7:J7"/>
    <mergeCell ref="S7:T7"/>
    <mergeCell ref="K7:R7"/>
  </mergeCells>
  <phoneticPr fontId="4" type="noConversion"/>
  <pageMargins left="0.7" right="0.7" top="0.75" bottom="0.75" header="0.3" footer="0.3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0D1A1-1361-4CE2-8B02-43EDF7EE817C}">
  <dimension ref="A1:S13"/>
  <sheetViews>
    <sheetView showGridLines="0" zoomScale="80" zoomScaleNormal="8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23" sqref="F23"/>
    </sheetView>
  </sheetViews>
  <sheetFormatPr baseColWidth="10" defaultColWidth="8.83203125" defaultRowHeight="15" x14ac:dyDescent="0.2"/>
  <cols>
    <col min="1" max="1" width="13.5" customWidth="1"/>
    <col min="2" max="2" width="13.1640625" style="18" customWidth="1"/>
    <col min="3" max="8" width="13.1640625" customWidth="1"/>
    <col min="9" max="9" width="13.1640625" style="18" customWidth="1"/>
    <col min="10" max="19" width="13.1640625" customWidth="1"/>
  </cols>
  <sheetData>
    <row r="1" spans="1:19" x14ac:dyDescent="0.2">
      <c r="B1" s="18" t="s">
        <v>80</v>
      </c>
      <c r="I1" s="18" t="s">
        <v>81</v>
      </c>
    </row>
    <row r="2" spans="1:19" s="21" customFormat="1" x14ac:dyDescent="0.2">
      <c r="A2" s="21">
        <f>1</f>
        <v>1</v>
      </c>
      <c r="B2" s="21">
        <f>A2+1</f>
        <v>2</v>
      </c>
      <c r="C2" s="21">
        <f t="shared" ref="C2:P2" si="0">B2+1</f>
        <v>3</v>
      </c>
      <c r="D2" s="21">
        <f t="shared" si="0"/>
        <v>4</v>
      </c>
      <c r="E2" s="21">
        <f t="shared" si="0"/>
        <v>5</v>
      </c>
      <c r="F2" s="21">
        <f t="shared" si="0"/>
        <v>6</v>
      </c>
      <c r="G2" s="21">
        <f t="shared" si="0"/>
        <v>7</v>
      </c>
      <c r="H2" s="21">
        <f t="shared" si="0"/>
        <v>8</v>
      </c>
      <c r="I2" s="21">
        <f t="shared" si="0"/>
        <v>9</v>
      </c>
      <c r="J2" s="21">
        <f t="shared" si="0"/>
        <v>10</v>
      </c>
      <c r="K2" s="21">
        <f t="shared" si="0"/>
        <v>11</v>
      </c>
      <c r="L2" s="21">
        <f t="shared" si="0"/>
        <v>12</v>
      </c>
      <c r="M2" s="21">
        <f t="shared" si="0"/>
        <v>13</v>
      </c>
      <c r="N2" s="21">
        <f t="shared" si="0"/>
        <v>14</v>
      </c>
      <c r="O2" s="21">
        <f t="shared" si="0"/>
        <v>15</v>
      </c>
      <c r="P2" s="21">
        <f t="shared" si="0"/>
        <v>16</v>
      </c>
      <c r="Q2" s="21">
        <f t="shared" ref="Q2" si="1">P2+1</f>
        <v>17</v>
      </c>
      <c r="R2" s="21">
        <f t="shared" ref="R2" si="2">Q2+1</f>
        <v>18</v>
      </c>
      <c r="S2" s="21">
        <f>Q2+1</f>
        <v>18</v>
      </c>
    </row>
    <row r="3" spans="1:19" ht="69" customHeight="1" x14ac:dyDescent="0.2">
      <c r="A3" s="17" t="s">
        <v>56</v>
      </c>
      <c r="B3" s="20" t="s">
        <v>66</v>
      </c>
      <c r="C3" s="20" t="s">
        <v>61</v>
      </c>
      <c r="D3" s="17" t="s">
        <v>60</v>
      </c>
      <c r="E3" s="17" t="s">
        <v>72</v>
      </c>
      <c r="F3" s="17" t="s">
        <v>73</v>
      </c>
      <c r="G3" s="17" t="s">
        <v>68</v>
      </c>
      <c r="H3" s="17" t="s">
        <v>70</v>
      </c>
      <c r="I3" s="20" t="s">
        <v>37</v>
      </c>
      <c r="J3" s="17" t="s">
        <v>79</v>
      </c>
      <c r="K3" s="17" t="s">
        <v>71</v>
      </c>
      <c r="L3" s="17" t="s">
        <v>74</v>
      </c>
      <c r="M3" s="17" t="s">
        <v>67</v>
      </c>
      <c r="N3" s="17" t="s">
        <v>75</v>
      </c>
      <c r="O3" s="17" t="s">
        <v>76</v>
      </c>
      <c r="P3" s="17" t="s">
        <v>77</v>
      </c>
      <c r="Q3" s="17" t="s">
        <v>78</v>
      </c>
      <c r="R3" t="s">
        <v>91</v>
      </c>
      <c r="S3" s="17" t="s">
        <v>69</v>
      </c>
    </row>
    <row r="4" spans="1:19" ht="16" x14ac:dyDescent="0.2">
      <c r="A4" s="1" t="str">
        <f>Scorecard!E7</f>
        <v>EQIX</v>
      </c>
      <c r="B4" s="19">
        <v>6</v>
      </c>
      <c r="C4" s="19">
        <v>2.278</v>
      </c>
      <c r="D4" s="1"/>
      <c r="E4" s="1"/>
      <c r="F4" s="1"/>
      <c r="G4" s="1">
        <v>2.2829999999999999</v>
      </c>
      <c r="H4" s="1">
        <v>0.94799999999999995</v>
      </c>
      <c r="I4" s="19">
        <v>27.01</v>
      </c>
      <c r="J4" s="1">
        <f t="shared" ref="J4" si="3">1.621+15.978+0.914+0.275</f>
        <v>18.788</v>
      </c>
      <c r="K4" s="1">
        <v>1.5089999999999999</v>
      </c>
      <c r="L4" s="1">
        <v>0.37</v>
      </c>
      <c r="M4" s="1">
        <f t="shared" ref="M4" si="4">0.987+0.406+1.509</f>
        <v>2.9020000000000001</v>
      </c>
      <c r="N4" s="1">
        <v>0.17499999999999999</v>
      </c>
      <c r="O4" s="1"/>
      <c r="P4" s="1">
        <v>13.9</v>
      </c>
      <c r="Q4" s="1">
        <f>FinancialsTable[[#This Row],[Total Debt]]-1.621</f>
        <v>12.279</v>
      </c>
      <c r="R4" s="69">
        <v>2</v>
      </c>
      <c r="S4" s="1">
        <v>0.40600000000000003</v>
      </c>
    </row>
    <row r="5" spans="1:19" ht="16" x14ac:dyDescent="0.2">
      <c r="A5" s="1" t="str">
        <f>Scorecard!E6</f>
        <v>AMT</v>
      </c>
      <c r="B5" s="19">
        <v>8.0399999999999991</v>
      </c>
      <c r="C5" s="19">
        <v>4.3159999999999998</v>
      </c>
      <c r="D5" s="1"/>
      <c r="E5" s="1"/>
      <c r="F5" s="1"/>
      <c r="G5" s="1">
        <v>1.032</v>
      </c>
      <c r="H5" s="1">
        <v>1.9279999999999999</v>
      </c>
      <c r="I5" s="19">
        <v>47.23</v>
      </c>
      <c r="J5" s="1">
        <f>20.5+1.86+0.65+0.584</f>
        <v>23.593999999999998</v>
      </c>
      <c r="K5" s="1">
        <v>1.8819999999999999</v>
      </c>
      <c r="L5" s="1">
        <v>1.6910000000000001</v>
      </c>
      <c r="M5" s="1">
        <f>3.166+1.8+0.794</f>
        <v>5.76</v>
      </c>
      <c r="N5" s="1">
        <v>-0.435</v>
      </c>
      <c r="O5" s="1">
        <v>0</v>
      </c>
      <c r="P5" s="1">
        <v>36.712000000000003</v>
      </c>
      <c r="Q5" s="1">
        <f>FinancialsTable[[#This Row],[Total Debt]]-1.861</f>
        <v>34.851000000000006</v>
      </c>
      <c r="R5" s="69">
        <v>7</v>
      </c>
      <c r="S5" s="69">
        <v>0.79400000000000004</v>
      </c>
    </row>
    <row r="6" spans="1:19" ht="16" x14ac:dyDescent="0.2">
      <c r="A6" s="1" t="str">
        <f>Scorecard!E8</f>
        <v>DLR</v>
      </c>
      <c r="B6" s="19">
        <v>3.9060000000000001</v>
      </c>
      <c r="C6" s="19">
        <v>1.726</v>
      </c>
      <c r="D6" s="1"/>
      <c r="E6" s="1"/>
      <c r="F6" s="1"/>
      <c r="G6" s="1">
        <v>0.115</v>
      </c>
      <c r="H6" s="1">
        <v>1.2390000000000001</v>
      </c>
      <c r="I6" s="19">
        <v>36.08</v>
      </c>
      <c r="J6" s="1">
        <f>1.387+0.124+0.603+0.734</f>
        <v>2.8479999999999999</v>
      </c>
      <c r="K6" s="1">
        <v>1.377</v>
      </c>
      <c r="L6" s="1">
        <v>0.34</v>
      </c>
      <c r="M6" s="1">
        <f>0.563+0.325+1.377</f>
        <v>2.2649999999999997</v>
      </c>
      <c r="N6" s="1">
        <v>-1.9E-2</v>
      </c>
      <c r="O6" s="1"/>
      <c r="P6" s="1">
        <v>15.007</v>
      </c>
      <c r="Q6" s="1">
        <f>FinancialsTable[[#This Row],[Total Debt]]-0.124</f>
        <v>14.882999999999999</v>
      </c>
      <c r="R6" s="69"/>
      <c r="S6" s="1">
        <v>0.32500000000000001</v>
      </c>
    </row>
    <row r="7" spans="1:19" ht="16" x14ac:dyDescent="0.2">
      <c r="A7" s="1" t="str">
        <f>Scorecard!E9</f>
        <v>SPG</v>
      </c>
      <c r="B7" s="19">
        <v>4.6079999999999997</v>
      </c>
      <c r="C7" s="19">
        <v>2.887</v>
      </c>
      <c r="D7" s="1"/>
      <c r="E7" s="1"/>
      <c r="F7" s="1"/>
      <c r="G7" s="1">
        <v>0.48399999999999999</v>
      </c>
      <c r="H7" s="1">
        <v>1.6639999999999999</v>
      </c>
      <c r="I7" s="19">
        <v>34.79</v>
      </c>
      <c r="J7" s="1">
        <f>0.513+1.012+1.017+0.598</f>
        <v>3.1399999999999997</v>
      </c>
      <c r="K7" s="1">
        <v>1.3180000000000001</v>
      </c>
      <c r="L7" s="1">
        <v>1.228</v>
      </c>
      <c r="M7" s="1">
        <f>1.972+0.784+1.318</f>
        <v>4.0739999999999998</v>
      </c>
      <c r="N7" s="1">
        <v>-0.42499999999999999</v>
      </c>
      <c r="O7" s="1">
        <v>2E-3</v>
      </c>
      <c r="P7" s="1">
        <v>27.239000000000001</v>
      </c>
      <c r="Q7" s="1">
        <f>FinancialsTable[[#This Row],[Total Debt]]-1.012</f>
        <v>26.227</v>
      </c>
      <c r="R7" s="69"/>
      <c r="S7" s="1">
        <v>0.78400000000000003</v>
      </c>
    </row>
    <row r="8" spans="1:19" ht="16" x14ac:dyDescent="0.2">
      <c r="A8" s="1" t="str">
        <f>Scorecard!E10</f>
        <v>INVH</v>
      </c>
      <c r="B8" s="19">
        <v>1.712</v>
      </c>
      <c r="C8" s="19">
        <v>0.79700000000000004</v>
      </c>
      <c r="D8" s="1"/>
      <c r="E8" s="1"/>
      <c r="F8" s="1"/>
      <c r="G8" s="1">
        <v>2.7099999999999999E-2</v>
      </c>
      <c r="H8" s="1">
        <v>3.32E-2</v>
      </c>
      <c r="I8" s="19">
        <v>17.510000000000002</v>
      </c>
      <c r="J8" s="1">
        <f>0.32+0.0254+0.0217+0.035</f>
        <v>0.40210000000000001</v>
      </c>
      <c r="K8" s="1">
        <v>0.55300000000000005</v>
      </c>
      <c r="L8" s="1">
        <v>0.19600000000000001</v>
      </c>
      <c r="M8" s="1">
        <f>0.387+0.241+0.553</f>
        <v>1.181</v>
      </c>
      <c r="N8" s="1">
        <v>-4.5999999999999999E-2</v>
      </c>
      <c r="O8" s="1">
        <v>0</v>
      </c>
      <c r="P8" s="1">
        <v>8.0500000000000007</v>
      </c>
      <c r="Q8" s="1">
        <f>FinancialsTable[[#This Row],[Total Debt]]-0.254</f>
        <v>7.7960000000000012</v>
      </c>
      <c r="R8" s="69">
        <v>0.4</v>
      </c>
      <c r="S8" s="1">
        <v>0.24099999999999999</v>
      </c>
    </row>
    <row r="9" spans="1:19" ht="16" x14ac:dyDescent="0.2">
      <c r="A9" s="1" t="str">
        <f>Scorecard!E11</f>
        <v>PSA</v>
      </c>
      <c r="B9" s="19">
        <v>2.915</v>
      </c>
      <c r="C9" s="19">
        <v>2.0680000000000001</v>
      </c>
      <c r="D9" s="1"/>
      <c r="E9" s="1"/>
      <c r="F9" s="1"/>
      <c r="G9" s="1">
        <v>0.35899999999999999</v>
      </c>
      <c r="H9" s="1">
        <v>1.6</v>
      </c>
      <c r="I9" s="19">
        <v>11.82</v>
      </c>
      <c r="J9" s="1">
        <f>0.258+0.148+10.4</f>
        <v>10.806000000000001</v>
      </c>
      <c r="K9" s="1">
        <v>0.55300000000000005</v>
      </c>
      <c r="L9" s="1">
        <v>1.3540000000000001</v>
      </c>
      <c r="M9" s="1">
        <f>1.411+0.553+0.056</f>
        <v>2.02</v>
      </c>
      <c r="N9" s="1"/>
      <c r="O9" s="1"/>
      <c r="P9" s="1">
        <v>2.5449999999999999</v>
      </c>
      <c r="Q9" s="1">
        <f>FinancialsTable[[#This Row],[Total Debt]]-0.258</f>
        <v>2.2869999999999999</v>
      </c>
      <c r="R9" s="69"/>
      <c r="S9" s="1">
        <v>5.6000000000000001E-2</v>
      </c>
    </row>
    <row r="10" spans="1:19" ht="16" x14ac:dyDescent="0.2">
      <c r="A10" s="1" t="str">
        <f>Scorecard!E12</f>
        <v>PLD</v>
      </c>
      <c r="B10" s="19">
        <v>4.4390000000000001</v>
      </c>
      <c r="C10" s="19">
        <v>2.9710000000000001</v>
      </c>
      <c r="D10" s="1"/>
      <c r="E10" s="1"/>
      <c r="F10" s="1"/>
      <c r="G10" s="1">
        <v>0.371</v>
      </c>
      <c r="H10" s="1">
        <v>1.7230000000000001</v>
      </c>
      <c r="I10" s="19">
        <v>56.07</v>
      </c>
      <c r="J10" s="1">
        <f>0.611+0.598+1.228+0.38</f>
        <v>2.8170000000000002</v>
      </c>
      <c r="K10" s="1">
        <v>1.5620000000000001</v>
      </c>
      <c r="L10" s="1">
        <v>1.482</v>
      </c>
      <c r="M10" s="1">
        <f>1.402+1.562+0.315</f>
        <v>3.2789999999999999</v>
      </c>
      <c r="N10" s="1">
        <v>-3.4000000000000002E-2</v>
      </c>
      <c r="O10" s="1"/>
      <c r="P10" s="1">
        <v>17.335999999999999</v>
      </c>
      <c r="Q10" s="1">
        <f>FinancialsTable[[#This Row],[Total Debt]]-0.598</f>
        <v>16.738</v>
      </c>
      <c r="R10" s="69"/>
      <c r="S10" s="1">
        <v>0.315</v>
      </c>
    </row>
    <row r="11" spans="1:19" ht="16" x14ac:dyDescent="0.2">
      <c r="A11" s="1" t="str">
        <f>Scorecard!E13</f>
        <v>VTR</v>
      </c>
      <c r="B11" s="19">
        <v>3.7949999999999999</v>
      </c>
      <c r="C11" s="19">
        <v>1.591</v>
      </c>
      <c r="D11" s="1"/>
      <c r="E11" s="1"/>
      <c r="F11" s="1"/>
      <c r="G11" s="1">
        <v>0.52900000000000003</v>
      </c>
      <c r="H11" s="1">
        <v>0.93600000000000005</v>
      </c>
      <c r="I11" s="19">
        <v>23.93</v>
      </c>
      <c r="J11" s="1">
        <f>20.55+0.452+0.17+0.234</f>
        <v>21.406000000000006</v>
      </c>
      <c r="K11" s="1">
        <v>0.95599999999999996</v>
      </c>
      <c r="L11" s="1">
        <v>0.439</v>
      </c>
      <c r="M11" s="1">
        <f>0.745+0.956+0.47</f>
        <v>2.1710000000000003</v>
      </c>
      <c r="N11" s="1">
        <v>0.122</v>
      </c>
      <c r="O11" s="1"/>
      <c r="P11" s="1">
        <v>12.105</v>
      </c>
      <c r="Q11" s="1">
        <f>FinancialsTable[[#This Row],[Total Debt]]-0.452</f>
        <v>11.653</v>
      </c>
      <c r="R11" s="69"/>
      <c r="S11" s="1">
        <v>0.47</v>
      </c>
    </row>
    <row r="12" spans="1:19" ht="16" x14ac:dyDescent="0.2">
      <c r="A12" s="1" t="str">
        <f>Scorecard!E14</f>
        <v>VER</v>
      </c>
      <c r="B12" s="19">
        <v>1.2370000000000001</v>
      </c>
      <c r="C12" s="19">
        <v>5.3999999999999999E-2</v>
      </c>
      <c r="D12" s="1"/>
      <c r="E12" s="1"/>
      <c r="F12" s="1"/>
      <c r="G12" s="1">
        <v>3.9E-2</v>
      </c>
      <c r="H12" s="1">
        <v>0.66500000000000004</v>
      </c>
      <c r="I12" s="19">
        <v>13.32</v>
      </c>
      <c r="J12" s="1">
        <f>0.22+0.035+0.308+0.034</f>
        <v>0.59699999999999998</v>
      </c>
      <c r="K12" s="1">
        <v>0.48399999999999999</v>
      </c>
      <c r="L12" s="1">
        <v>0.3</v>
      </c>
      <c r="M12" s="1">
        <f>0.279+0.484+0.958</f>
        <v>1.7210000000000001</v>
      </c>
      <c r="N12" s="1">
        <v>-5.3999999999999999E-2</v>
      </c>
      <c r="O12" s="1"/>
      <c r="P12" s="1">
        <v>5.9269999999999996</v>
      </c>
      <c r="Q12" s="1">
        <f>FinancialsTable[[#This Row],[Total Debt]]-0.034</f>
        <v>5.8929999999999998</v>
      </c>
      <c r="R12" s="69"/>
      <c r="S12" s="1">
        <v>0.27600000000000002</v>
      </c>
    </row>
    <row r="13" spans="1:19" ht="16" x14ac:dyDescent="0.2">
      <c r="A13" s="1" t="str">
        <f>Scorecard!E15</f>
        <v>WELL</v>
      </c>
      <c r="B13" s="19">
        <v>4.6040000000000001</v>
      </c>
      <c r="C13" s="19">
        <v>2.516</v>
      </c>
      <c r="D13" s="1"/>
      <c r="E13" s="1"/>
      <c r="F13" s="1"/>
      <c r="G13" s="1">
        <v>0.44600000000000001</v>
      </c>
      <c r="H13" s="1">
        <v>1.119</v>
      </c>
      <c r="I13" s="19">
        <v>32.484000000000002</v>
      </c>
      <c r="J13" s="1">
        <f>27.566+2.021+0.344+0.619</f>
        <v>30.55</v>
      </c>
      <c r="K13" s="1">
        <v>1.0369999999999999</v>
      </c>
      <c r="L13" s="1">
        <v>-0.11</v>
      </c>
      <c r="M13" s="1">
        <f>0.682+1.037+0.531</f>
        <v>2.25</v>
      </c>
      <c r="N13" s="1">
        <v>-3.2000000000000001E-2</v>
      </c>
      <c r="O13" s="1"/>
      <c r="P13" s="1">
        <v>14.217000000000001</v>
      </c>
      <c r="Q13" s="1">
        <f>FinancialsTable[[#This Row],[Total Debt]]-2.021</f>
        <v>12.196000000000002</v>
      </c>
      <c r="R13" s="69"/>
      <c r="S13" s="1">
        <v>0.53100000000000003</v>
      </c>
    </row>
  </sheetData>
  <phoneticPr fontId="4" type="noConversion"/>
  <pageMargins left="0.7" right="0.7" top="0.75" bottom="0.75" header="0.3" footer="0.3"/>
  <legacy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65EC7-0D30-46C9-8B10-9D963FADB519}">
  <dimension ref="A1"/>
  <sheetViews>
    <sheetView workbookViewId="0">
      <selection activeCell="A28" sqref="A28"/>
    </sheetView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Scorecard</vt:lpstr>
      <vt:lpstr>Ratings</vt:lpstr>
      <vt:lpstr>Financials</vt:lpstr>
      <vt:lpstr>Qualitative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Sands</dc:creator>
  <cp:lastModifiedBy>Microsoft Office User</cp:lastModifiedBy>
  <dcterms:created xsi:type="dcterms:W3CDTF">2021-03-09T16:16:35Z</dcterms:created>
  <dcterms:modified xsi:type="dcterms:W3CDTF">2021-03-30T02:49:26Z</dcterms:modified>
</cp:coreProperties>
</file>