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yoDataset" sheetId="1" r:id="rId4"/>
    <sheet state="visible" name="Time" sheetId="2" r:id="rId5"/>
    <sheet state="visible" name="Number_of_Warts" sheetId="3" r:id="rId6"/>
    <sheet state="visible" name="Age" sheetId="4" r:id="rId7"/>
    <sheet state="visible" name="Area" sheetId="5" r:id="rId8"/>
  </sheets>
  <definedNames/>
  <calcPr/>
</workbook>
</file>

<file path=xl/sharedStrings.xml><?xml version="1.0" encoding="utf-8"?>
<sst xmlns="http://schemas.openxmlformats.org/spreadsheetml/2006/main" count="225" uniqueCount="89">
  <si>
    <t>sex</t>
  </si>
  <si>
    <t>age</t>
  </si>
  <si>
    <t>Time</t>
  </si>
  <si>
    <t>Number_of_Warts</t>
  </si>
  <si>
    <t>Type</t>
  </si>
  <si>
    <t>Area</t>
  </si>
  <si>
    <t>Result_of_Treatment</t>
  </si>
  <si>
    <t>MIN</t>
  </si>
  <si>
    <t>MAX</t>
  </si>
  <si>
    <t>RANGE</t>
  </si>
  <si>
    <t>MODE</t>
  </si>
  <si>
    <t>Lebar Kelas</t>
  </si>
  <si>
    <t>Age</t>
  </si>
  <si>
    <t>n = 90</t>
  </si>
  <si>
    <t>Jumlah kelas</t>
  </si>
  <si>
    <t>Dibulatkan ke atas</t>
  </si>
  <si>
    <t>Mean</t>
  </si>
  <si>
    <t>varian</t>
  </si>
  <si>
    <t>Interval</t>
  </si>
  <si>
    <t>Frekuensi</t>
  </si>
  <si>
    <t>Batas Bawah</t>
  </si>
  <si>
    <t>Batas Atas</t>
  </si>
  <si>
    <t xml:space="preserve">Frekuensi Kumulatif </t>
  </si>
  <si>
    <t>Histogram</t>
  </si>
  <si>
    <t>Poligon Frekuensi</t>
  </si>
  <si>
    <t>Ukuran Pemusatan</t>
  </si>
  <si>
    <t>0,25 - 1,75</t>
  </si>
  <si>
    <t>Median</t>
  </si>
  <si>
    <t>Modus</t>
  </si>
  <si>
    <t>Kuartil 1</t>
  </si>
  <si>
    <t>Kuartil 2</t>
  </si>
  <si>
    <t>Kuartil 3</t>
  </si>
  <si>
    <t>1,75 - 3,25</t>
  </si>
  <si>
    <t>3,25 - 4,75</t>
  </si>
  <si>
    <t>Median = (x45+x46)/2</t>
  </si>
  <si>
    <t>4,75 - 6,25</t>
  </si>
  <si>
    <t>6,25 - 7,75</t>
  </si>
  <si>
    <t>7,75 - 9,25</t>
  </si>
  <si>
    <t>9,25 - 10,75</t>
  </si>
  <si>
    <t>10,75 - 12,25</t>
  </si>
  <si>
    <t>Nilai Tengah</t>
  </si>
  <si>
    <t>|x-xmi|</t>
  </si>
  <si>
    <t>fi(|x-xmi|)</t>
  </si>
  <si>
    <t>|x-xmi|^2</t>
  </si>
  <si>
    <t>fi*|x-xmi|^2</t>
  </si>
  <si>
    <t>SImpangan Mutlak Rata-Rata</t>
  </si>
  <si>
    <t xml:space="preserve">MDx = </t>
  </si>
  <si>
    <t xml:space="preserve">Varian = </t>
  </si>
  <si>
    <t xml:space="preserve">(Deviasi Standar) sx = </t>
  </si>
  <si>
    <t>Batas bawah</t>
  </si>
  <si>
    <t>Batas atas</t>
  </si>
  <si>
    <t>Frekuensi Kumulatif</t>
  </si>
  <si>
    <t>Number Of Wartz</t>
  </si>
  <si>
    <t>1 - 2,374</t>
  </si>
  <si>
    <t>0.5</t>
  </si>
  <si>
    <t>2,375 - 3,749</t>
  </si>
  <si>
    <t>3,750 - 5,124</t>
  </si>
  <si>
    <t xml:space="preserve">5,125 - 6,499
</t>
  </si>
  <si>
    <t>6,500 - 7,874</t>
  </si>
  <si>
    <t>7,875 - 9,249</t>
  </si>
  <si>
    <t>9,250 - 10,624</t>
  </si>
  <si>
    <t>10,625 - 12,000</t>
  </si>
  <si>
    <t>Min</t>
  </si>
  <si>
    <t>Max</t>
  </si>
  <si>
    <t>15 - 21</t>
  </si>
  <si>
    <t>22 - 28</t>
  </si>
  <si>
    <t>29 - 35</t>
  </si>
  <si>
    <t>36 - 42</t>
  </si>
  <si>
    <t>43 - 49</t>
  </si>
  <si>
    <t>50 - 56</t>
  </si>
  <si>
    <t>57 - 63</t>
  </si>
  <si>
    <t>64 - 70</t>
  </si>
  <si>
    <t>Titik Tengah</t>
  </si>
  <si>
    <t>4 - 97</t>
  </si>
  <si>
    <t>97.5</t>
  </si>
  <si>
    <t>98 - 191</t>
  </si>
  <si>
    <t>191.5</t>
  </si>
  <si>
    <t>192 - 285</t>
  </si>
  <si>
    <t>285.5</t>
  </si>
  <si>
    <t>286 - 379</t>
  </si>
  <si>
    <t>379.5</t>
  </si>
  <si>
    <t>380 - 473</t>
  </si>
  <si>
    <t>473.5</t>
  </si>
  <si>
    <t>474 - 567</t>
  </si>
  <si>
    <t>567.5</t>
  </si>
  <si>
    <t>568 - 661</t>
  </si>
  <si>
    <t>661.5</t>
  </si>
  <si>
    <t>662 - 755</t>
  </si>
  <si>
    <t>755.5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</si>
</sst>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.m"/>
    <numFmt numFmtId="166" formatCode="d-m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9.0"/>
      <color rgb="FF000000"/>
      <name val="&quot;Google Sans Mono&quot;"/>
    </font>
    <font>
      <color rgb="FF000000"/>
      <name val="&quot;Helvetica Neue&quot;"/>
    </font>
    <font>
      <sz val="11.0"/>
      <color rgb="FF000000"/>
      <name val="Calibri"/>
      <scheme val="minor"/>
    </font>
    <font>
      <color rgb="FF000000"/>
      <name val="Calibri"/>
      <scheme val="minor"/>
    </font>
    <font>
      <color rgb="FF000000"/>
      <name val="Docs-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1" fillId="3" fontId="2" numFmtId="0" xfId="0" applyAlignment="1" applyBorder="1" applyFont="1">
      <alignment readingOrder="0"/>
    </xf>
    <xf borderId="1" fillId="4" fontId="6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 vertical="top"/>
    </xf>
    <xf borderId="1" fillId="2" fontId="1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2" fillId="6" fontId="1" numFmtId="0" xfId="0" applyAlignment="1" applyBorder="1" applyFill="1" applyFont="1">
      <alignment horizontal="center" readingOrder="0"/>
    </xf>
    <xf borderId="5" fillId="0" fontId="4" numFmtId="0" xfId="0" applyBorder="1" applyFont="1"/>
    <xf borderId="1" fillId="4" fontId="8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1" numFmtId="0" xfId="0" applyBorder="1" applyFont="1"/>
    <xf borderId="2" fillId="6" fontId="1" numFmtId="0" xfId="0" applyAlignment="1" applyBorder="1" applyFont="1">
      <alignment horizontal="right" readingOrder="0"/>
    </xf>
    <xf borderId="1" fillId="6" fontId="1" numFmtId="0" xfId="0" applyAlignment="1" applyBorder="1" applyFont="1">
      <alignment horizontal="right" readingOrder="0"/>
    </xf>
    <xf borderId="1" fillId="6" fontId="1" numFmtId="0" xfId="0" applyBorder="1" applyFont="1"/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right" readingOrder="0"/>
    </xf>
    <xf borderId="1" fillId="7" fontId="1" numFmtId="0" xfId="0" applyAlignment="1" applyBorder="1" applyFont="1">
      <alignment horizontal="center"/>
    </xf>
    <xf borderId="0" fillId="0" fontId="1" numFmtId="0" xfId="0" applyAlignment="1" applyFont="1">
      <alignment horizontal="right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6" fillId="6" fontId="10" numFmtId="0" xfId="0" applyAlignment="1" applyBorder="1" applyFont="1">
      <alignment horizontal="right" readingOrder="0"/>
    </xf>
    <xf borderId="6" fillId="0" fontId="4" numFmtId="0" xfId="0" applyBorder="1" applyFont="1"/>
    <xf borderId="7" fillId="0" fontId="1" numFmtId="0" xfId="0" applyAlignment="1" applyBorder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4" fontId="6" numFmtId="0" xfId="0" applyBorder="1" applyFont="1"/>
    <xf borderId="1" fillId="0" fontId="1" numFmtId="0" xfId="0" applyAlignment="1" applyBorder="1" applyFont="1">
      <alignment horizontal="right" readingOrder="0"/>
    </xf>
    <xf borderId="1" fillId="4" fontId="11" numFmtId="0" xfId="0" applyBorder="1" applyFont="1"/>
    <xf borderId="1" fillId="4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Poligon Frekuensi dan Histogram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Time!$G$1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Time!$A$2:$A$9</c:f>
            </c:strRef>
          </c:cat>
          <c:val>
            <c:numRef>
              <c:f>Time!$G$2:$G$9</c:f>
              <c:numCache/>
            </c:numRef>
          </c:val>
          <c:smooth val="0"/>
        </c:ser>
        <c:axId val="1841892730"/>
        <c:axId val="1406147201"/>
      </c:lineChart>
      <c:areaChart>
        <c:ser>
          <c:idx val="1"/>
          <c:order val="1"/>
          <c:tx>
            <c:strRef>
              <c:f>Time!$F$1</c:f>
            </c:strRef>
          </c:tx>
          <c:spPr>
            <a:solidFill>
              <a:schemeClr val="accent1"/>
            </a:solidFill>
            <a:ln cmpd="sng" w="9525">
              <a:solidFill>
                <a:schemeClr val="accent1"/>
              </a:solidFill>
            </a:ln>
          </c:spPr>
          <c:cat>
            <c:strRef>
              <c:f>Time!$A$2:$A$9</c:f>
            </c:strRef>
          </c:cat>
          <c:val>
            <c:numRef>
              <c:f>Time!$F$2:$F$9</c:f>
              <c:numCache/>
            </c:numRef>
          </c:val>
        </c:ser>
        <c:axId val="1841892730"/>
        <c:axId val="1406147201"/>
      </c:areaChart>
      <c:catAx>
        <c:axId val="184189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47201"/>
      </c:catAx>
      <c:valAx>
        <c:axId val="1406147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Frekuensi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892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dan Poligon Frekuensi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Number_of_Warts!$G$1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Number_of_Warts!$A$2:$A$9</c:f>
            </c:strRef>
          </c:cat>
          <c:val>
            <c:numRef>
              <c:f>Number_of_Warts!$G$2:$G$9</c:f>
              <c:numCache/>
            </c:numRef>
          </c:val>
          <c:smooth val="0"/>
        </c:ser>
        <c:axId val="1553464780"/>
        <c:axId val="1228319916"/>
      </c:lineChart>
      <c:areaChart>
        <c:ser>
          <c:idx val="0"/>
          <c:order val="0"/>
          <c:tx>
            <c:strRef>
              <c:f>Number_of_Warts!$F$1</c:f>
            </c:strRef>
          </c:tx>
          <c:spPr>
            <a:solidFill>
              <a:srgbClr val="5B9BD5"/>
            </a:solidFill>
            <a:ln cmpd="sng" w="9525">
              <a:solidFill>
                <a:srgbClr val="5B9BD5"/>
              </a:solidFill>
              <a:prstDash val="solid"/>
            </a:ln>
          </c:spPr>
          <c:cat>
            <c:strRef>
              <c:f>Number_of_Warts!$A$2:$A$9</c:f>
            </c:strRef>
          </c:cat>
          <c:val>
            <c:numRef>
              <c:f>Number_of_Warts!$F$2:$F$9</c:f>
              <c:numCache/>
            </c:numRef>
          </c:val>
        </c:ser>
        <c:axId val="1553464780"/>
        <c:axId val="1228319916"/>
      </c:areaChart>
      <c:catAx>
        <c:axId val="1553464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319916"/>
      </c:catAx>
      <c:valAx>
        <c:axId val="1228319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Frekuensi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464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Poligon Frekuensi dan Histogram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Age!$F$1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Age!$A$2:$A$9</c:f>
            </c:strRef>
          </c:cat>
          <c:val>
            <c:numRef>
              <c:f>Age!$F$2:$F$9</c:f>
              <c:numCache/>
            </c:numRef>
          </c:val>
          <c:smooth val="0"/>
        </c:ser>
        <c:axId val="1324907741"/>
        <c:axId val="1978457431"/>
      </c:lineChart>
      <c:areaChart>
        <c:ser>
          <c:idx val="0"/>
          <c:order val="0"/>
          <c:tx>
            <c:strRef>
              <c:f>Age!$G$1</c:f>
            </c:strRef>
          </c:tx>
          <c:spPr>
            <a:solidFill>
              <a:srgbClr val="5B9BD5"/>
            </a:solidFill>
            <a:ln cmpd="sng">
              <a:solidFill>
                <a:srgbClr val="5B9BD5"/>
              </a:solidFill>
            </a:ln>
          </c:spPr>
          <c:cat>
            <c:strRef>
              <c:f>Age!$A$2:$A$9</c:f>
            </c:strRef>
          </c:cat>
          <c:val>
            <c:numRef>
              <c:f>Age!$G$2:$G$9</c:f>
              <c:numCache/>
            </c:numRef>
          </c:val>
        </c:ser>
        <c:axId val="1324907741"/>
        <c:axId val="1978457431"/>
      </c:areaChart>
      <c:catAx>
        <c:axId val="132490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78457431"/>
      </c:catAx>
      <c:valAx>
        <c:axId val="1978457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Frekuensi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90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Poligon Frekuensi dan Histogram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Area!$G$1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Area!$A$2:$A$9</c:f>
            </c:strRef>
          </c:cat>
          <c:val>
            <c:numRef>
              <c:f>Area!$G$2:$G$9</c:f>
              <c:numCache/>
            </c:numRef>
          </c:val>
          <c:smooth val="0"/>
        </c:ser>
        <c:axId val="1059251997"/>
        <c:axId val="278524917"/>
      </c:lineChart>
      <c:areaChart>
        <c:ser>
          <c:idx val="0"/>
          <c:order val="0"/>
          <c:tx>
            <c:strRef>
              <c:f>Area!$F$1</c:f>
            </c:strRef>
          </c:tx>
          <c:spPr>
            <a:solidFill>
              <a:srgbClr val="4A86E8"/>
            </a:solidFill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cat>
            <c:strRef>
              <c:f>Area!$A$2:$A$9</c:f>
            </c:strRef>
          </c:cat>
          <c:val>
            <c:numRef>
              <c:f>Area!$F$2:$F$9</c:f>
              <c:numCache/>
            </c:numRef>
          </c:val>
        </c:ser>
        <c:axId val="1059251997"/>
        <c:axId val="278524917"/>
      </c:areaChart>
      <c:catAx>
        <c:axId val="1059251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Rentang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524917"/>
      </c:catAx>
      <c:valAx>
        <c:axId val="278524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Frekuensi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251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Area!$P$2</c:f>
            </c:strRef>
          </c:cat>
          <c:val>
            <c:numRef>
              <c:f>Area!$L$3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Area!$P$2</c:f>
            </c:strRef>
          </c:cat>
          <c:val>
            <c:numRef>
              <c:f>Area!$R$2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Area!$P$2</c:f>
            </c:strRef>
          </c:cat>
          <c:val>
            <c:numRef>
              <c:f>Area!$Q$2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Area!$P$2</c:f>
            </c:strRef>
          </c:cat>
          <c:val>
            <c:numRef>
              <c:f>Area!$N$3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13061056"/>
        <c:axId val="1190633202"/>
      </c:stockChart>
      <c:dateAx>
        <c:axId val="15130610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33202"/>
      </c:dateAx>
      <c:valAx>
        <c:axId val="1190633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061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23</xdr:row>
      <xdr:rowOff>190500</xdr:rowOff>
    </xdr:from>
    <xdr:ext cx="5505450" cy="43338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23</xdr:row>
      <xdr:rowOff>190500</xdr:rowOff>
    </xdr:from>
    <xdr:ext cx="6086475" cy="4333875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46</xdr:row>
      <xdr:rowOff>19050</xdr:rowOff>
    </xdr:from>
    <xdr:ext cx="5353050" cy="4333875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85725</xdr:colOff>
      <xdr:row>46</xdr:row>
      <xdr:rowOff>85725</xdr:rowOff>
    </xdr:from>
    <xdr:ext cx="5438775" cy="4333875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371475</xdr:colOff>
      <xdr:row>68</xdr:row>
      <xdr:rowOff>171450</xdr:rowOff>
    </xdr:from>
    <xdr:ext cx="5438775" cy="4333875"/>
    <xdr:pic>
      <xdr:nvPicPr>
        <xdr:cNvPr id="0" name="image4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9</xdr:row>
      <xdr:rowOff>123825</xdr:rowOff>
    </xdr:from>
    <xdr:ext cx="607695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10</xdr:row>
      <xdr:rowOff>0</xdr:rowOff>
    </xdr:from>
    <xdr:ext cx="6819900" cy="281940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171450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152400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5</xdr:row>
      <xdr:rowOff>38100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3" width="8.71"/>
    <col customWidth="1" min="4" max="4" width="17.29"/>
    <col customWidth="1" min="5" max="6" width="8.71"/>
    <col customWidth="1" min="7" max="7" width="19.86"/>
    <col customWidth="1" min="8" max="8" width="8.71"/>
    <col customWidth="1" min="9" max="9" width="17.43"/>
    <col customWidth="1" min="10" max="10" width="20.57"/>
    <col customWidth="1" min="11" max="11" width="12.71"/>
    <col customWidth="1" min="12" max="12" width="15.71"/>
    <col customWidth="1" min="13" max="13" width="12.86"/>
    <col customWidth="1" min="14" max="14" width="22.43"/>
    <col customWidth="1" min="15" max="15" width="20.43"/>
    <col customWidth="1" min="16" max="16" width="13.0"/>
    <col customWidth="1" min="17" max="17" width="14.14"/>
    <col customWidth="1" min="18" max="18" width="16.57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/>
      <c r="P1" s="6"/>
      <c r="Q1" s="7"/>
    </row>
    <row r="2">
      <c r="A2" s="8">
        <v>1.0</v>
      </c>
      <c r="B2" s="8">
        <v>35.0</v>
      </c>
      <c r="C2" s="9">
        <v>12.0</v>
      </c>
      <c r="D2" s="8">
        <v>5.0</v>
      </c>
      <c r="E2" s="8">
        <v>1.0</v>
      </c>
      <c r="F2" s="8">
        <v>100.0</v>
      </c>
      <c r="G2" s="8">
        <v>0.0</v>
      </c>
      <c r="H2" s="10"/>
      <c r="I2" s="11" t="s">
        <v>12</v>
      </c>
      <c r="J2" s="12">
        <f>MIN(B2:B91)</f>
        <v>15</v>
      </c>
      <c r="K2" s="12">
        <f>MAX(B2:B91)</f>
        <v>67</v>
      </c>
      <c r="L2" s="12">
        <f t="shared" ref="L2:L5" si="1">K2-J2</f>
        <v>52</v>
      </c>
      <c r="M2" s="13">
        <f>MODE(B2:B91)</f>
        <v>15</v>
      </c>
      <c r="N2" s="8">
        <f t="shared" ref="N2:N5" si="2">L2/$J$9</f>
        <v>6.5</v>
      </c>
      <c r="O2" s="14">
        <v>7.0</v>
      </c>
      <c r="P2" s="15"/>
    </row>
    <row r="3">
      <c r="A3" s="8">
        <v>1.0</v>
      </c>
      <c r="B3" s="8">
        <v>29.0</v>
      </c>
      <c r="C3" s="8">
        <v>7.0</v>
      </c>
      <c r="D3" s="8">
        <v>5.0</v>
      </c>
      <c r="E3" s="8">
        <v>1.0</v>
      </c>
      <c r="F3" s="8">
        <v>96.0</v>
      </c>
      <c r="G3" s="8">
        <v>1.0</v>
      </c>
      <c r="H3" s="10"/>
      <c r="I3" s="16" t="s">
        <v>2</v>
      </c>
      <c r="J3" s="8">
        <f>MIN(C2:C91)</f>
        <v>0.25</v>
      </c>
      <c r="K3" s="17">
        <f>MAX(C2:C91)</f>
        <v>12</v>
      </c>
      <c r="L3" s="12">
        <f t="shared" si="1"/>
        <v>11.75</v>
      </c>
      <c r="M3" s="17">
        <f>MODE(C2:C91)</f>
        <v>12</v>
      </c>
      <c r="N3" s="8">
        <f t="shared" si="2"/>
        <v>1.46875</v>
      </c>
      <c r="O3" s="14">
        <v>2.0</v>
      </c>
      <c r="P3" s="15"/>
    </row>
    <row r="4">
      <c r="A4" s="8">
        <v>1.0</v>
      </c>
      <c r="B4" s="8">
        <v>50.0</v>
      </c>
      <c r="C4" s="8">
        <v>8.0</v>
      </c>
      <c r="D4" s="8">
        <v>1.0</v>
      </c>
      <c r="E4" s="8">
        <v>3.0</v>
      </c>
      <c r="F4" s="8">
        <v>132.0</v>
      </c>
      <c r="G4" s="8">
        <v>0.0</v>
      </c>
      <c r="H4" s="10"/>
      <c r="I4" s="18" t="s">
        <v>3</v>
      </c>
      <c r="J4" s="8">
        <f>min(D2:D91)</f>
        <v>1</v>
      </c>
      <c r="K4" s="8">
        <f>max(D2:D91)</f>
        <v>12</v>
      </c>
      <c r="L4" s="12">
        <f t="shared" si="1"/>
        <v>11</v>
      </c>
      <c r="M4" s="8">
        <f>mode(D2:D91)</f>
        <v>2</v>
      </c>
      <c r="N4" s="8">
        <f t="shared" si="2"/>
        <v>1.375</v>
      </c>
      <c r="O4" s="14">
        <v>2.0</v>
      </c>
      <c r="P4" s="15"/>
    </row>
    <row r="5">
      <c r="A5" s="8">
        <v>1.0</v>
      </c>
      <c r="B5" s="8">
        <v>32.0</v>
      </c>
      <c r="C5" s="9">
        <v>11.75</v>
      </c>
      <c r="D5" s="8">
        <v>7.0</v>
      </c>
      <c r="E5" s="8">
        <v>3.0</v>
      </c>
      <c r="F5" s="8">
        <v>750.0</v>
      </c>
      <c r="G5" s="8">
        <v>0.0</v>
      </c>
      <c r="H5" s="10"/>
      <c r="I5" s="18" t="s">
        <v>5</v>
      </c>
      <c r="J5" s="8">
        <f>MIN(F2:F91)</f>
        <v>4</v>
      </c>
      <c r="K5" s="8">
        <f>MAX(F2:F91)</f>
        <v>750</v>
      </c>
      <c r="L5" s="12">
        <f t="shared" si="1"/>
        <v>746</v>
      </c>
      <c r="M5" s="8">
        <f>MODE(F2:F91)</f>
        <v>100</v>
      </c>
      <c r="N5" s="8">
        <f t="shared" si="2"/>
        <v>93.25</v>
      </c>
      <c r="O5" s="19">
        <v>94.0</v>
      </c>
      <c r="P5" s="15"/>
    </row>
    <row r="6">
      <c r="A6" s="8">
        <v>1.0</v>
      </c>
      <c r="B6" s="8">
        <v>67.0</v>
      </c>
      <c r="C6" s="8">
        <v>9.25</v>
      </c>
      <c r="D6" s="8">
        <v>1.0</v>
      </c>
      <c r="E6" s="8">
        <v>1.0</v>
      </c>
      <c r="F6" s="8">
        <v>42.0</v>
      </c>
      <c r="G6" s="8">
        <v>0.0</v>
      </c>
      <c r="H6" s="10"/>
    </row>
    <row r="7">
      <c r="A7" s="8">
        <v>1.0</v>
      </c>
      <c r="B7" s="8">
        <v>41.0</v>
      </c>
      <c r="C7" s="8">
        <v>8.0</v>
      </c>
      <c r="D7" s="8">
        <v>2.0</v>
      </c>
      <c r="E7" s="8">
        <v>2.0</v>
      </c>
      <c r="F7" s="8">
        <v>20.0</v>
      </c>
      <c r="G7" s="8">
        <v>1.0</v>
      </c>
      <c r="H7" s="10"/>
      <c r="I7" s="20" t="s">
        <v>13</v>
      </c>
      <c r="J7" s="10"/>
      <c r="K7" s="10"/>
      <c r="L7" s="10"/>
      <c r="M7" s="10"/>
    </row>
    <row r="8">
      <c r="A8" s="8">
        <v>1.0</v>
      </c>
      <c r="B8" s="8">
        <v>36.0</v>
      </c>
      <c r="C8" s="8">
        <v>11.0</v>
      </c>
      <c r="D8" s="8">
        <v>2.0</v>
      </c>
      <c r="E8" s="8">
        <v>1.0</v>
      </c>
      <c r="F8" s="8">
        <v>8.0</v>
      </c>
      <c r="G8" s="8">
        <v>0.0</v>
      </c>
      <c r="H8" s="10"/>
      <c r="I8" s="7" t="s">
        <v>14</v>
      </c>
      <c r="J8" s="10">
        <f>1+(3.3*LOG(90))</f>
        <v>7.449000281</v>
      </c>
      <c r="K8" s="10"/>
      <c r="L8" s="10"/>
      <c r="M8" s="10"/>
    </row>
    <row r="9">
      <c r="A9" s="8">
        <v>1.0</v>
      </c>
      <c r="B9" s="8">
        <v>59.0</v>
      </c>
      <c r="C9" s="8">
        <v>3.5</v>
      </c>
      <c r="D9" s="8">
        <v>3.0</v>
      </c>
      <c r="E9" s="8">
        <v>3.0</v>
      </c>
      <c r="F9" s="8">
        <v>20.0</v>
      </c>
      <c r="G9" s="8">
        <v>0.0</v>
      </c>
      <c r="H9" s="10"/>
      <c r="I9" s="7" t="s">
        <v>15</v>
      </c>
      <c r="J9" s="7">
        <v>8.0</v>
      </c>
      <c r="K9" s="10"/>
      <c r="L9" s="10"/>
      <c r="M9" s="10"/>
    </row>
    <row r="10">
      <c r="A10" s="8">
        <v>1.0</v>
      </c>
      <c r="B10" s="8">
        <v>20.0</v>
      </c>
      <c r="C10" s="8">
        <v>4.5</v>
      </c>
      <c r="D10" s="8">
        <v>12.0</v>
      </c>
      <c r="E10" s="8">
        <v>1.0</v>
      </c>
      <c r="F10" s="8">
        <v>6.0</v>
      </c>
      <c r="G10" s="8">
        <v>1.0</v>
      </c>
      <c r="H10" s="10"/>
      <c r="J10" s="10"/>
      <c r="K10" s="10"/>
      <c r="L10" s="10"/>
      <c r="M10" s="10"/>
    </row>
    <row r="11">
      <c r="A11" s="8">
        <v>2.0</v>
      </c>
      <c r="B11" s="8">
        <v>34.0</v>
      </c>
      <c r="C11" s="8">
        <v>11.25</v>
      </c>
      <c r="D11" s="8">
        <v>3.0</v>
      </c>
      <c r="E11" s="8">
        <v>3.0</v>
      </c>
      <c r="F11" s="8">
        <v>150.0</v>
      </c>
      <c r="G11" s="8">
        <v>0.0</v>
      </c>
      <c r="H11" s="10"/>
      <c r="I11" s="10"/>
      <c r="J11" s="10"/>
      <c r="K11" s="10"/>
      <c r="L11" s="10"/>
      <c r="M11" s="10"/>
    </row>
    <row r="12">
      <c r="A12" s="8">
        <v>2.0</v>
      </c>
      <c r="B12" s="8">
        <v>21.0</v>
      </c>
      <c r="C12" s="8">
        <v>10.75</v>
      </c>
      <c r="D12" s="8">
        <v>5.0</v>
      </c>
      <c r="E12" s="8">
        <v>1.0</v>
      </c>
      <c r="F12" s="8">
        <v>35.0</v>
      </c>
      <c r="G12" s="8">
        <v>0.0</v>
      </c>
      <c r="H12" s="10"/>
      <c r="I12" s="10"/>
      <c r="J12" s="10"/>
      <c r="K12" s="10"/>
      <c r="L12" s="10"/>
      <c r="M12" s="10"/>
    </row>
    <row r="13">
      <c r="A13" s="8">
        <v>2.0</v>
      </c>
      <c r="B13" s="8">
        <v>15.0</v>
      </c>
      <c r="C13" s="8">
        <v>6.0</v>
      </c>
      <c r="D13" s="8">
        <v>2.0</v>
      </c>
      <c r="E13" s="8">
        <v>1.0</v>
      </c>
      <c r="F13" s="8">
        <v>30.0</v>
      </c>
      <c r="G13" s="8">
        <v>1.0</v>
      </c>
      <c r="H13" s="10"/>
      <c r="I13" s="10"/>
      <c r="J13" s="10"/>
      <c r="K13" s="10"/>
      <c r="L13" s="10"/>
      <c r="M13" s="10"/>
    </row>
    <row r="14">
      <c r="A14" s="8">
        <v>2.0</v>
      </c>
      <c r="B14" s="8">
        <v>15.0</v>
      </c>
      <c r="C14" s="8">
        <v>2.0</v>
      </c>
      <c r="D14" s="8">
        <v>3.0</v>
      </c>
      <c r="E14" s="8">
        <v>1.0</v>
      </c>
      <c r="F14" s="8">
        <v>4.0</v>
      </c>
      <c r="G14" s="8">
        <v>1.0</v>
      </c>
      <c r="H14" s="10"/>
      <c r="I14" s="10"/>
      <c r="J14" s="10"/>
      <c r="K14" s="10"/>
      <c r="L14" s="10"/>
      <c r="M14" s="10"/>
    </row>
    <row r="15">
      <c r="A15" s="8">
        <v>2.0</v>
      </c>
      <c r="B15" s="8">
        <v>15.0</v>
      </c>
      <c r="C15" s="8">
        <v>3.75</v>
      </c>
      <c r="D15" s="8">
        <v>2.0</v>
      </c>
      <c r="E15" s="8">
        <v>3.0</v>
      </c>
      <c r="F15" s="8">
        <v>70.0</v>
      </c>
      <c r="G15" s="8">
        <v>1.0</v>
      </c>
      <c r="H15" s="10"/>
      <c r="I15" s="10"/>
      <c r="J15" s="10"/>
      <c r="K15" s="10"/>
      <c r="L15" s="10"/>
      <c r="M15" s="10"/>
    </row>
    <row r="16">
      <c r="A16" s="8">
        <v>2.0</v>
      </c>
      <c r="B16" s="8">
        <v>17.0</v>
      </c>
      <c r="C16" s="8">
        <v>11.0</v>
      </c>
      <c r="D16" s="8">
        <v>2.0</v>
      </c>
      <c r="E16" s="8">
        <v>1.0</v>
      </c>
      <c r="F16" s="8">
        <v>10.0</v>
      </c>
      <c r="G16" s="8">
        <v>0.0</v>
      </c>
      <c r="H16" s="10"/>
      <c r="I16" s="10"/>
      <c r="J16" s="10"/>
      <c r="K16" s="10"/>
      <c r="L16" s="10"/>
      <c r="M16" s="10"/>
    </row>
    <row r="17">
      <c r="A17" s="8">
        <v>2.0</v>
      </c>
      <c r="B17" s="8">
        <v>17.0</v>
      </c>
      <c r="C17" s="8">
        <v>5.25</v>
      </c>
      <c r="D17" s="8">
        <v>3.0</v>
      </c>
      <c r="E17" s="8">
        <v>1.0</v>
      </c>
      <c r="F17" s="8">
        <v>63.0</v>
      </c>
      <c r="G17" s="8">
        <v>1.0</v>
      </c>
      <c r="H17" s="10"/>
      <c r="I17" s="7" t="s">
        <v>16</v>
      </c>
      <c r="J17" s="10"/>
      <c r="K17" s="10"/>
      <c r="L17" s="10"/>
      <c r="M17" s="10"/>
    </row>
    <row r="18">
      <c r="A18" s="8">
        <v>2.0</v>
      </c>
      <c r="B18" s="8">
        <v>23.0</v>
      </c>
      <c r="C18" s="8">
        <v>11.75</v>
      </c>
      <c r="D18" s="8">
        <v>12.0</v>
      </c>
      <c r="E18" s="8">
        <v>3.0</v>
      </c>
      <c r="F18" s="8">
        <v>72.0</v>
      </c>
      <c r="G18" s="8">
        <v>0.0</v>
      </c>
      <c r="H18" s="10"/>
      <c r="I18" s="21" t="s">
        <v>1</v>
      </c>
      <c r="J18" s="21" t="s">
        <v>2</v>
      </c>
      <c r="K18" s="21" t="s">
        <v>3</v>
      </c>
      <c r="L18" s="21" t="s">
        <v>4</v>
      </c>
      <c r="M18" s="21" t="s">
        <v>5</v>
      </c>
      <c r="N18" s="21" t="s">
        <v>6</v>
      </c>
    </row>
    <row r="19">
      <c r="A19" s="8">
        <v>2.0</v>
      </c>
      <c r="B19" s="8">
        <v>27.0</v>
      </c>
      <c r="C19" s="8">
        <v>8.75</v>
      </c>
      <c r="D19" s="8">
        <v>2.0</v>
      </c>
      <c r="E19" s="8">
        <v>1.0</v>
      </c>
      <c r="F19" s="8">
        <v>6.0</v>
      </c>
      <c r="G19" s="8">
        <v>0.0</v>
      </c>
      <c r="H19" s="10"/>
      <c r="I19" s="10">
        <f t="shared" ref="I19:N19" si="3">AVERAGE(B2:B91)</f>
        <v>28.6</v>
      </c>
      <c r="J19" s="10">
        <f t="shared" si="3"/>
        <v>7.666666667</v>
      </c>
      <c r="K19" s="10">
        <f t="shared" si="3"/>
        <v>5.511111111</v>
      </c>
      <c r="L19" s="10">
        <f t="shared" si="3"/>
        <v>1.7</v>
      </c>
      <c r="M19" s="10">
        <f t="shared" si="3"/>
        <v>85.83333333</v>
      </c>
      <c r="N19" s="10">
        <f t="shared" si="3"/>
        <v>0.5333333333</v>
      </c>
    </row>
    <row r="20">
      <c r="A20" s="8">
        <v>2.0</v>
      </c>
      <c r="B20" s="8">
        <v>15.0</v>
      </c>
      <c r="C20" s="8">
        <v>4.25</v>
      </c>
      <c r="D20" s="8">
        <v>1.0</v>
      </c>
      <c r="E20" s="8">
        <v>1.0</v>
      </c>
      <c r="F20" s="8">
        <v>6.0</v>
      </c>
      <c r="G20" s="8">
        <v>1.0</v>
      </c>
      <c r="H20" s="10"/>
      <c r="I20" s="10"/>
      <c r="J20" s="10"/>
      <c r="K20" s="10"/>
      <c r="L20" s="10"/>
      <c r="M20" s="10"/>
    </row>
    <row r="21" ht="15.75" customHeight="1">
      <c r="A21" s="8">
        <v>2.0</v>
      </c>
      <c r="B21" s="8">
        <v>18.0</v>
      </c>
      <c r="C21" s="8">
        <v>5.75</v>
      </c>
      <c r="D21" s="8">
        <v>1.0</v>
      </c>
      <c r="E21" s="8">
        <v>1.0</v>
      </c>
      <c r="F21" s="8">
        <v>80.0</v>
      </c>
      <c r="G21" s="8">
        <v>1.0</v>
      </c>
      <c r="H21" s="10"/>
      <c r="I21" s="22" t="s">
        <v>17</v>
      </c>
      <c r="J21" s="10"/>
      <c r="K21" s="10"/>
      <c r="L21" s="10"/>
      <c r="M21" s="10"/>
    </row>
    <row r="22" ht="15.75" customHeight="1">
      <c r="A22" s="8">
        <v>1.0</v>
      </c>
      <c r="B22" s="8">
        <v>22.0</v>
      </c>
      <c r="C22" s="8">
        <v>5.5</v>
      </c>
      <c r="D22" s="8">
        <v>2.0</v>
      </c>
      <c r="E22" s="8">
        <v>1.0</v>
      </c>
      <c r="F22" s="8">
        <v>70.0</v>
      </c>
      <c r="G22" s="8">
        <v>1.0</v>
      </c>
      <c r="H22" s="10"/>
      <c r="I22" s="21" t="s">
        <v>0</v>
      </c>
      <c r="J22" s="21" t="s">
        <v>1</v>
      </c>
      <c r="K22" s="21" t="s">
        <v>2</v>
      </c>
      <c r="L22" s="21" t="s">
        <v>3</v>
      </c>
      <c r="M22" s="21" t="s">
        <v>4</v>
      </c>
      <c r="N22" s="21" t="s">
        <v>5</v>
      </c>
      <c r="O22" s="21" t="s">
        <v>6</v>
      </c>
    </row>
    <row r="23" ht="15.75" customHeight="1">
      <c r="A23" s="8">
        <v>2.0</v>
      </c>
      <c r="B23" s="8">
        <v>16.0</v>
      </c>
      <c r="C23" s="8">
        <v>8.5</v>
      </c>
      <c r="D23" s="8">
        <v>1.0</v>
      </c>
      <c r="E23" s="8">
        <v>2.0</v>
      </c>
      <c r="F23" s="8">
        <v>60.0</v>
      </c>
      <c r="G23" s="8">
        <v>1.0</v>
      </c>
      <c r="H23" s="10"/>
      <c r="I23" s="7">
        <v>2.0</v>
      </c>
      <c r="J23" s="10">
        <f t="shared" ref="J23:O23" si="4">VAR(B2:B91)</f>
        <v>178.5123596</v>
      </c>
      <c r="K23" s="10">
        <f t="shared" si="4"/>
        <v>11.60533708</v>
      </c>
      <c r="L23" s="10">
        <f t="shared" si="4"/>
        <v>12.72459426</v>
      </c>
      <c r="M23" s="10">
        <f t="shared" si="4"/>
        <v>0.8191011236</v>
      </c>
      <c r="N23" s="10">
        <f t="shared" si="4"/>
        <v>17353.6236</v>
      </c>
      <c r="O23" s="10">
        <f t="shared" si="4"/>
        <v>0.2516853933</v>
      </c>
    </row>
    <row r="24" ht="15.75" customHeight="1">
      <c r="A24" s="8">
        <v>1.0</v>
      </c>
      <c r="B24" s="8">
        <v>28.0</v>
      </c>
      <c r="C24" s="8">
        <v>4.75</v>
      </c>
      <c r="D24" s="8">
        <v>3.0</v>
      </c>
      <c r="E24" s="8">
        <v>1.0</v>
      </c>
      <c r="F24" s="8">
        <v>100.0</v>
      </c>
      <c r="G24" s="8">
        <v>1.0</v>
      </c>
      <c r="H24" s="10"/>
      <c r="I24" s="10"/>
      <c r="J24" s="10"/>
      <c r="K24" s="10"/>
      <c r="L24" s="10"/>
      <c r="M24" s="10"/>
    </row>
    <row r="25" ht="15.75" customHeight="1">
      <c r="A25" s="8">
        <v>2.0</v>
      </c>
      <c r="B25" s="8">
        <v>40.0</v>
      </c>
      <c r="C25" s="8">
        <v>9.75</v>
      </c>
      <c r="D25" s="8">
        <v>1.0</v>
      </c>
      <c r="E25" s="8">
        <v>2.0</v>
      </c>
      <c r="F25" s="8">
        <v>80.0</v>
      </c>
      <c r="G25" s="8">
        <v>0.0</v>
      </c>
      <c r="H25" s="10"/>
      <c r="I25" s="10"/>
      <c r="J25" s="10"/>
      <c r="K25" s="10"/>
      <c r="L25" s="10"/>
      <c r="M25" s="10"/>
    </row>
    <row r="26" ht="15.75" customHeight="1">
      <c r="A26" s="8">
        <v>1.0</v>
      </c>
      <c r="B26" s="8">
        <v>30.0</v>
      </c>
      <c r="C26" s="8">
        <v>2.5</v>
      </c>
      <c r="D26" s="8">
        <v>2.0</v>
      </c>
      <c r="E26" s="8">
        <v>1.0</v>
      </c>
      <c r="F26" s="8">
        <v>115.0</v>
      </c>
      <c r="G26" s="8">
        <v>1.0</v>
      </c>
      <c r="H26" s="10"/>
      <c r="I26" s="10"/>
      <c r="J26" s="10"/>
      <c r="K26" s="10"/>
      <c r="L26" s="10"/>
      <c r="M26" s="10"/>
    </row>
    <row r="27" ht="15.75" customHeight="1">
      <c r="A27" s="8">
        <v>2.0</v>
      </c>
      <c r="B27" s="8">
        <v>34.0</v>
      </c>
      <c r="C27" s="8">
        <v>12.0</v>
      </c>
      <c r="D27" s="8">
        <v>3.0</v>
      </c>
      <c r="E27" s="8">
        <v>3.0</v>
      </c>
      <c r="F27" s="8">
        <v>95.0</v>
      </c>
      <c r="G27" s="8">
        <v>0.0</v>
      </c>
      <c r="H27" s="10"/>
    </row>
    <row r="28" ht="15.75" customHeight="1">
      <c r="A28" s="8">
        <v>1.0</v>
      </c>
      <c r="B28" s="8">
        <v>20.0</v>
      </c>
      <c r="C28" s="8">
        <v>0.5</v>
      </c>
      <c r="D28" s="8">
        <v>2.0</v>
      </c>
      <c r="E28" s="8">
        <v>1.0</v>
      </c>
      <c r="F28" s="8">
        <v>75.0</v>
      </c>
      <c r="G28" s="8">
        <v>1.0</v>
      </c>
      <c r="H28" s="10"/>
    </row>
    <row r="29" ht="15.75" customHeight="1">
      <c r="A29" s="8">
        <v>2.0</v>
      </c>
      <c r="B29" s="8">
        <v>35.0</v>
      </c>
      <c r="C29" s="8">
        <v>12.0</v>
      </c>
      <c r="D29" s="8">
        <v>5.0</v>
      </c>
      <c r="E29" s="8">
        <v>3.0</v>
      </c>
      <c r="F29" s="8">
        <v>100.0</v>
      </c>
      <c r="G29" s="8">
        <v>0.0</v>
      </c>
      <c r="H29" s="10"/>
    </row>
    <row r="30" ht="15.75" customHeight="1">
      <c r="A30" s="8">
        <v>2.0</v>
      </c>
      <c r="B30" s="8">
        <v>24.0</v>
      </c>
      <c r="C30" s="8">
        <v>9.5</v>
      </c>
      <c r="D30" s="8">
        <v>3.0</v>
      </c>
      <c r="E30" s="8">
        <v>3.0</v>
      </c>
      <c r="F30" s="8">
        <v>20.0</v>
      </c>
      <c r="G30" s="8">
        <v>0.0</v>
      </c>
      <c r="H30" s="10"/>
      <c r="I30" s="10"/>
      <c r="J30" s="10"/>
      <c r="K30" s="10"/>
      <c r="L30" s="10"/>
      <c r="M30" s="10"/>
    </row>
    <row r="31" ht="15.75" customHeight="1">
      <c r="A31" s="8">
        <v>2.0</v>
      </c>
      <c r="B31" s="8">
        <v>19.0</v>
      </c>
      <c r="C31" s="8">
        <v>8.75</v>
      </c>
      <c r="D31" s="8">
        <v>6.0</v>
      </c>
      <c r="E31" s="8">
        <v>1.0</v>
      </c>
      <c r="F31" s="8">
        <v>160.0</v>
      </c>
      <c r="G31" s="8">
        <v>1.0</v>
      </c>
      <c r="H31" s="10"/>
      <c r="I31" s="10"/>
      <c r="J31" s="10"/>
      <c r="K31" s="10"/>
      <c r="L31" s="10"/>
      <c r="M31" s="10"/>
    </row>
    <row r="32" ht="15.75" customHeight="1">
      <c r="A32" s="8">
        <v>1.0</v>
      </c>
      <c r="B32" s="8">
        <v>35.0</v>
      </c>
      <c r="C32" s="8">
        <v>9.25</v>
      </c>
      <c r="D32" s="8">
        <v>9.0</v>
      </c>
      <c r="E32" s="8">
        <v>1.0</v>
      </c>
      <c r="F32" s="8">
        <v>100.0</v>
      </c>
      <c r="G32" s="8">
        <v>1.0</v>
      </c>
      <c r="H32" s="10"/>
      <c r="I32" s="10"/>
      <c r="J32" s="10"/>
      <c r="K32" s="10"/>
      <c r="L32" s="10"/>
      <c r="M32" s="10"/>
    </row>
    <row r="33" ht="15.75" customHeight="1">
      <c r="A33" s="8">
        <v>1.0</v>
      </c>
      <c r="B33" s="8">
        <v>29.0</v>
      </c>
      <c r="C33" s="8">
        <v>7.25</v>
      </c>
      <c r="D33" s="8">
        <v>6.0</v>
      </c>
      <c r="E33" s="8">
        <v>1.0</v>
      </c>
      <c r="F33" s="8">
        <v>96.0</v>
      </c>
      <c r="G33" s="8">
        <v>1.0</v>
      </c>
      <c r="H33" s="10"/>
      <c r="I33" s="10"/>
      <c r="J33" s="10"/>
      <c r="K33" s="10"/>
      <c r="L33" s="10"/>
      <c r="M33" s="10"/>
    </row>
    <row r="34" ht="15.75" customHeight="1">
      <c r="A34" s="8">
        <v>1.0</v>
      </c>
      <c r="B34" s="8">
        <v>50.0</v>
      </c>
      <c r="C34" s="8">
        <v>8.75</v>
      </c>
      <c r="D34" s="8">
        <v>11.0</v>
      </c>
      <c r="E34" s="8">
        <v>3.0</v>
      </c>
      <c r="F34" s="8">
        <v>132.0</v>
      </c>
      <c r="G34" s="8">
        <v>0.0</v>
      </c>
      <c r="H34" s="10"/>
      <c r="I34" s="10"/>
      <c r="J34" s="10"/>
      <c r="K34" s="10"/>
      <c r="L34" s="10"/>
      <c r="M34" s="10"/>
    </row>
    <row r="35" ht="15.75" customHeight="1">
      <c r="A35" s="8">
        <v>2.0</v>
      </c>
      <c r="B35" s="8">
        <v>32.0</v>
      </c>
      <c r="C35" s="8">
        <v>12.0</v>
      </c>
      <c r="D35" s="8">
        <v>4.0</v>
      </c>
      <c r="E35" s="8">
        <v>3.0</v>
      </c>
      <c r="F35" s="8">
        <v>750.0</v>
      </c>
      <c r="G35" s="8">
        <v>0.0</v>
      </c>
      <c r="H35" s="10"/>
      <c r="I35" s="10"/>
      <c r="J35" s="10"/>
      <c r="K35" s="10"/>
      <c r="L35" s="10"/>
      <c r="M35" s="10"/>
    </row>
    <row r="36" ht="15.75" customHeight="1">
      <c r="A36" s="8">
        <v>2.0</v>
      </c>
      <c r="B36" s="8">
        <v>67.0</v>
      </c>
      <c r="C36" s="8">
        <v>12.0</v>
      </c>
      <c r="D36" s="8">
        <v>12.0</v>
      </c>
      <c r="E36" s="8">
        <v>3.0</v>
      </c>
      <c r="F36" s="8">
        <v>42.0</v>
      </c>
      <c r="G36" s="8">
        <v>0.0</v>
      </c>
      <c r="H36" s="10"/>
      <c r="I36" s="10"/>
      <c r="J36" s="10"/>
      <c r="K36" s="10"/>
      <c r="L36" s="10"/>
      <c r="M36" s="10"/>
    </row>
    <row r="37" ht="15.75" customHeight="1">
      <c r="A37" s="8">
        <v>2.0</v>
      </c>
      <c r="B37" s="8">
        <v>41.0</v>
      </c>
      <c r="C37" s="8">
        <v>10.5</v>
      </c>
      <c r="D37" s="8">
        <v>2.0</v>
      </c>
      <c r="E37" s="8">
        <v>2.0</v>
      </c>
      <c r="F37" s="8">
        <v>20.0</v>
      </c>
      <c r="G37" s="8">
        <v>1.0</v>
      </c>
      <c r="H37" s="10"/>
      <c r="I37" s="10"/>
      <c r="J37" s="10"/>
      <c r="K37" s="10"/>
      <c r="L37" s="10"/>
      <c r="M37" s="10"/>
    </row>
    <row r="38" ht="15.75" customHeight="1">
      <c r="A38" s="8">
        <v>2.0</v>
      </c>
      <c r="B38" s="8">
        <v>36.0</v>
      </c>
      <c r="C38" s="8">
        <v>11.0</v>
      </c>
      <c r="D38" s="8">
        <v>6.0</v>
      </c>
      <c r="E38" s="8">
        <v>1.0</v>
      </c>
      <c r="F38" s="8">
        <v>8.0</v>
      </c>
      <c r="G38" s="8">
        <v>0.0</v>
      </c>
      <c r="H38" s="10"/>
      <c r="I38" s="10"/>
      <c r="J38" s="10"/>
      <c r="K38" s="10"/>
      <c r="L38" s="10"/>
      <c r="M38" s="10"/>
    </row>
    <row r="39" ht="15.75" customHeight="1">
      <c r="A39" s="8">
        <v>1.0</v>
      </c>
      <c r="B39" s="8">
        <v>63.0</v>
      </c>
      <c r="C39" s="8">
        <v>2.75</v>
      </c>
      <c r="D39" s="8">
        <v>3.0</v>
      </c>
      <c r="E39" s="8">
        <v>3.0</v>
      </c>
      <c r="F39" s="8">
        <v>20.0</v>
      </c>
      <c r="G39" s="8">
        <v>0.0</v>
      </c>
      <c r="H39" s="10"/>
      <c r="I39" s="10"/>
      <c r="J39" s="10"/>
      <c r="K39" s="10"/>
      <c r="L39" s="10"/>
      <c r="M39" s="10"/>
    </row>
    <row r="40" ht="15.75" customHeight="1">
      <c r="A40" s="8">
        <v>1.0</v>
      </c>
      <c r="B40" s="8">
        <v>20.0</v>
      </c>
      <c r="C40" s="8">
        <v>5.0</v>
      </c>
      <c r="D40" s="8">
        <v>3.0</v>
      </c>
      <c r="E40" s="8">
        <v>1.0</v>
      </c>
      <c r="F40" s="8">
        <v>6.0</v>
      </c>
      <c r="G40" s="8">
        <v>1.0</v>
      </c>
      <c r="H40" s="10"/>
      <c r="I40" s="10"/>
      <c r="J40" s="10"/>
      <c r="K40" s="10"/>
      <c r="L40" s="10"/>
      <c r="M40" s="10"/>
    </row>
    <row r="41" ht="15.75" customHeight="1">
      <c r="A41" s="8">
        <v>1.0</v>
      </c>
      <c r="B41" s="8">
        <v>34.0</v>
      </c>
      <c r="C41" s="8">
        <v>12.0</v>
      </c>
      <c r="D41" s="8">
        <v>1.0</v>
      </c>
      <c r="E41" s="8">
        <v>3.0</v>
      </c>
      <c r="F41" s="8">
        <v>150.0</v>
      </c>
      <c r="G41" s="8">
        <v>0.0</v>
      </c>
      <c r="H41" s="10"/>
      <c r="I41" s="10"/>
      <c r="J41" s="10"/>
      <c r="K41" s="10"/>
      <c r="L41" s="10"/>
      <c r="M41" s="10"/>
    </row>
    <row r="42" ht="15.75" customHeight="1">
      <c r="A42" s="8">
        <v>2.0</v>
      </c>
      <c r="B42" s="8">
        <v>21.0</v>
      </c>
      <c r="C42" s="8">
        <v>10.5</v>
      </c>
      <c r="D42" s="8">
        <v>5.0</v>
      </c>
      <c r="E42" s="8">
        <v>1.0</v>
      </c>
      <c r="F42" s="8">
        <v>35.0</v>
      </c>
      <c r="G42" s="8">
        <v>0.0</v>
      </c>
      <c r="H42" s="10"/>
      <c r="I42" s="10"/>
      <c r="J42" s="10"/>
      <c r="K42" s="10"/>
      <c r="L42" s="10"/>
      <c r="M42" s="10"/>
    </row>
    <row r="43" ht="15.75" customHeight="1">
      <c r="A43" s="8">
        <v>2.0</v>
      </c>
      <c r="B43" s="8">
        <v>15.0</v>
      </c>
      <c r="C43" s="8">
        <v>8.0</v>
      </c>
      <c r="D43" s="8">
        <v>12.0</v>
      </c>
      <c r="E43" s="8">
        <v>1.0</v>
      </c>
      <c r="F43" s="8">
        <v>30.0</v>
      </c>
      <c r="G43" s="8">
        <v>1.0</v>
      </c>
      <c r="H43" s="10"/>
      <c r="I43" s="10"/>
      <c r="J43" s="10"/>
      <c r="K43" s="10"/>
      <c r="L43" s="10"/>
      <c r="M43" s="10"/>
    </row>
    <row r="44" ht="15.75" customHeight="1">
      <c r="A44" s="8">
        <v>1.0</v>
      </c>
      <c r="B44" s="8">
        <v>15.0</v>
      </c>
      <c r="C44" s="8">
        <v>3.5</v>
      </c>
      <c r="D44" s="8">
        <v>2.0</v>
      </c>
      <c r="E44" s="8">
        <v>1.0</v>
      </c>
      <c r="F44" s="8">
        <v>4.0</v>
      </c>
      <c r="G44" s="8">
        <v>1.0</v>
      </c>
      <c r="H44" s="10"/>
      <c r="I44" s="10"/>
      <c r="J44" s="10"/>
      <c r="K44" s="10"/>
      <c r="L44" s="10"/>
      <c r="M44" s="10"/>
    </row>
    <row r="45" ht="15.75" customHeight="1">
      <c r="A45" s="8">
        <v>2.0</v>
      </c>
      <c r="B45" s="8">
        <v>15.0</v>
      </c>
      <c r="C45" s="8">
        <v>1.5</v>
      </c>
      <c r="D45" s="8">
        <v>12.0</v>
      </c>
      <c r="E45" s="8">
        <v>3.0</v>
      </c>
      <c r="F45" s="8">
        <v>70.0</v>
      </c>
      <c r="G45" s="8">
        <v>1.0</v>
      </c>
      <c r="H45" s="10"/>
      <c r="I45" s="10"/>
      <c r="J45" s="10"/>
      <c r="K45" s="10"/>
      <c r="L45" s="10"/>
      <c r="M45" s="10"/>
    </row>
    <row r="46" ht="15.75" customHeight="1">
      <c r="A46" s="8">
        <v>1.0</v>
      </c>
      <c r="B46" s="8">
        <v>17.0</v>
      </c>
      <c r="C46" s="8">
        <v>11.5</v>
      </c>
      <c r="D46" s="8">
        <v>2.0</v>
      </c>
      <c r="E46" s="8">
        <v>1.0</v>
      </c>
      <c r="F46" s="8">
        <v>10.0</v>
      </c>
      <c r="G46" s="8">
        <v>0.0</v>
      </c>
      <c r="H46" s="10"/>
      <c r="I46" s="10"/>
      <c r="J46" s="10"/>
      <c r="K46" s="10"/>
      <c r="L46" s="10"/>
      <c r="M46" s="10"/>
    </row>
    <row r="47" ht="15.75" customHeight="1">
      <c r="A47" s="8">
        <v>1.0</v>
      </c>
      <c r="B47" s="8">
        <v>17.0</v>
      </c>
      <c r="C47" s="8">
        <v>5.25</v>
      </c>
      <c r="D47" s="8">
        <v>4.0</v>
      </c>
      <c r="E47" s="8">
        <v>1.0</v>
      </c>
      <c r="F47" s="8">
        <v>63.0</v>
      </c>
      <c r="G47" s="8">
        <v>1.0</v>
      </c>
      <c r="H47" s="10"/>
      <c r="I47" s="10"/>
      <c r="J47" s="10"/>
      <c r="K47" s="10"/>
      <c r="L47" s="10"/>
      <c r="M47" s="10"/>
    </row>
    <row r="48" ht="15.75" customHeight="1">
      <c r="A48" s="8">
        <v>2.0</v>
      </c>
      <c r="B48" s="8">
        <v>23.0</v>
      </c>
      <c r="C48" s="8">
        <v>9.5</v>
      </c>
      <c r="D48" s="8">
        <v>5.0</v>
      </c>
      <c r="E48" s="8">
        <v>3.0</v>
      </c>
      <c r="F48" s="8">
        <v>72.0</v>
      </c>
      <c r="G48" s="8">
        <v>0.0</v>
      </c>
      <c r="H48" s="10"/>
      <c r="I48" s="10"/>
      <c r="J48" s="10"/>
      <c r="K48" s="10"/>
      <c r="L48" s="10"/>
      <c r="M48" s="10"/>
    </row>
    <row r="49" ht="15.75" customHeight="1">
      <c r="A49" s="8">
        <v>1.0</v>
      </c>
      <c r="B49" s="8">
        <v>27.0</v>
      </c>
      <c r="C49" s="8">
        <v>10.0</v>
      </c>
      <c r="D49" s="8">
        <v>5.0</v>
      </c>
      <c r="E49" s="8">
        <v>1.0</v>
      </c>
      <c r="F49" s="8">
        <v>6.0</v>
      </c>
      <c r="G49" s="8">
        <v>0.0</v>
      </c>
      <c r="H49" s="10"/>
      <c r="I49" s="10"/>
      <c r="J49" s="10"/>
      <c r="K49" s="10"/>
      <c r="L49" s="10"/>
      <c r="M49" s="10"/>
    </row>
    <row r="50" ht="15.75" customHeight="1">
      <c r="A50" s="8">
        <v>1.0</v>
      </c>
      <c r="B50" s="8">
        <v>15.0</v>
      </c>
      <c r="C50" s="8">
        <v>4.0</v>
      </c>
      <c r="D50" s="8">
        <v>7.0</v>
      </c>
      <c r="E50" s="8">
        <v>1.0</v>
      </c>
      <c r="F50" s="8">
        <v>6.0</v>
      </c>
      <c r="G50" s="8">
        <v>1.0</v>
      </c>
      <c r="H50" s="10"/>
      <c r="I50" s="10"/>
      <c r="J50" s="10"/>
      <c r="K50" s="10"/>
      <c r="L50" s="10"/>
      <c r="M50" s="10"/>
    </row>
    <row r="51" ht="15.75" customHeight="1">
      <c r="A51" s="8">
        <v>2.0</v>
      </c>
      <c r="B51" s="8">
        <v>18.0</v>
      </c>
      <c r="C51" s="8">
        <v>4.5</v>
      </c>
      <c r="D51" s="8">
        <v>8.0</v>
      </c>
      <c r="E51" s="8">
        <v>1.0</v>
      </c>
      <c r="F51" s="8">
        <v>80.0</v>
      </c>
      <c r="G51" s="8">
        <v>1.0</v>
      </c>
      <c r="H51" s="10"/>
      <c r="I51" s="10"/>
      <c r="J51" s="10"/>
      <c r="K51" s="10"/>
      <c r="L51" s="10"/>
      <c r="M51" s="10"/>
    </row>
    <row r="52" ht="15.75" customHeight="1">
      <c r="A52" s="8">
        <v>2.0</v>
      </c>
      <c r="B52" s="8">
        <v>22.0</v>
      </c>
      <c r="C52" s="8">
        <v>5.0</v>
      </c>
      <c r="D52" s="8">
        <v>9.0</v>
      </c>
      <c r="E52" s="8">
        <v>1.0</v>
      </c>
      <c r="F52" s="8">
        <v>70.0</v>
      </c>
      <c r="G52" s="8">
        <v>1.0</v>
      </c>
      <c r="H52" s="10"/>
      <c r="I52" s="10"/>
      <c r="J52" s="10"/>
      <c r="K52" s="10"/>
      <c r="L52" s="10"/>
      <c r="M52" s="10"/>
    </row>
    <row r="53" ht="15.75" customHeight="1">
      <c r="A53" s="8">
        <v>1.0</v>
      </c>
      <c r="B53" s="8">
        <v>16.0</v>
      </c>
      <c r="C53" s="8">
        <v>10.25</v>
      </c>
      <c r="D53" s="8">
        <v>3.0</v>
      </c>
      <c r="E53" s="8">
        <v>2.0</v>
      </c>
      <c r="F53" s="8">
        <v>60.0</v>
      </c>
      <c r="G53" s="8">
        <v>1.0</v>
      </c>
      <c r="H53" s="10"/>
      <c r="I53" s="10"/>
      <c r="J53" s="10"/>
      <c r="K53" s="10"/>
      <c r="L53" s="10"/>
      <c r="M53" s="10"/>
    </row>
    <row r="54" ht="15.75" customHeight="1">
      <c r="A54" s="8">
        <v>2.0</v>
      </c>
      <c r="B54" s="8">
        <v>28.0</v>
      </c>
      <c r="C54" s="8">
        <v>4.0</v>
      </c>
      <c r="D54" s="8">
        <v>11.0</v>
      </c>
      <c r="E54" s="8">
        <v>1.0</v>
      </c>
      <c r="F54" s="8">
        <v>100.0</v>
      </c>
      <c r="G54" s="8">
        <v>1.0</v>
      </c>
      <c r="H54" s="10"/>
      <c r="I54" s="10"/>
      <c r="J54" s="10"/>
      <c r="K54" s="10"/>
      <c r="L54" s="10"/>
      <c r="M54" s="10"/>
    </row>
    <row r="55" ht="15.75" customHeight="1">
      <c r="A55" s="8">
        <v>2.0</v>
      </c>
      <c r="B55" s="8">
        <v>40.0</v>
      </c>
      <c r="C55" s="8">
        <v>8.75</v>
      </c>
      <c r="D55" s="8">
        <v>6.0</v>
      </c>
      <c r="E55" s="8">
        <v>2.0</v>
      </c>
      <c r="F55" s="8">
        <v>80.0</v>
      </c>
      <c r="G55" s="8">
        <v>0.0</v>
      </c>
      <c r="H55" s="10"/>
      <c r="I55" s="10"/>
      <c r="J55" s="10"/>
      <c r="K55" s="10"/>
      <c r="L55" s="10"/>
      <c r="M55" s="10"/>
    </row>
    <row r="56" ht="15.75" customHeight="1">
      <c r="A56" s="8">
        <v>2.0</v>
      </c>
      <c r="B56" s="8">
        <v>30.0</v>
      </c>
      <c r="C56" s="8">
        <v>0.5</v>
      </c>
      <c r="D56" s="8">
        <v>8.0</v>
      </c>
      <c r="E56" s="8">
        <v>3.0</v>
      </c>
      <c r="F56" s="8">
        <v>115.0</v>
      </c>
      <c r="G56" s="8">
        <v>1.0</v>
      </c>
      <c r="H56" s="10"/>
      <c r="I56" s="10"/>
      <c r="J56" s="10"/>
      <c r="K56" s="10"/>
      <c r="L56" s="10"/>
      <c r="M56" s="10"/>
    </row>
    <row r="57" ht="15.75" customHeight="1">
      <c r="A57" s="8">
        <v>1.0</v>
      </c>
      <c r="B57" s="8">
        <v>34.0</v>
      </c>
      <c r="C57" s="8">
        <v>10.75</v>
      </c>
      <c r="D57" s="8">
        <v>1.0</v>
      </c>
      <c r="E57" s="8">
        <v>3.0</v>
      </c>
      <c r="F57" s="8">
        <v>95.0</v>
      </c>
      <c r="G57" s="8">
        <v>0.0</v>
      </c>
      <c r="H57" s="10"/>
      <c r="I57" s="10"/>
      <c r="J57" s="10"/>
      <c r="K57" s="10"/>
      <c r="L57" s="10"/>
      <c r="M57" s="10"/>
    </row>
    <row r="58" ht="15.75" customHeight="1">
      <c r="A58" s="8">
        <v>1.0</v>
      </c>
      <c r="B58" s="8">
        <v>20.0</v>
      </c>
      <c r="C58" s="8">
        <v>3.75</v>
      </c>
      <c r="D58" s="8">
        <v>11.0</v>
      </c>
      <c r="E58" s="8">
        <v>1.0</v>
      </c>
      <c r="F58" s="8">
        <v>75.0</v>
      </c>
      <c r="G58" s="8">
        <v>1.0</v>
      </c>
      <c r="H58" s="10"/>
      <c r="I58" s="10"/>
      <c r="J58" s="10"/>
      <c r="K58" s="10"/>
      <c r="L58" s="10"/>
      <c r="M58" s="10"/>
    </row>
    <row r="59" ht="15.75" customHeight="1">
      <c r="A59" s="8">
        <v>2.0</v>
      </c>
      <c r="B59" s="8">
        <v>35.0</v>
      </c>
      <c r="C59" s="8">
        <v>8.5</v>
      </c>
      <c r="D59" s="8">
        <v>6.0</v>
      </c>
      <c r="E59" s="8">
        <v>3.0</v>
      </c>
      <c r="F59" s="8">
        <v>100.0</v>
      </c>
      <c r="G59" s="8">
        <v>0.0</v>
      </c>
      <c r="H59" s="10"/>
      <c r="I59" s="10"/>
      <c r="J59" s="10"/>
      <c r="K59" s="10"/>
      <c r="L59" s="10"/>
      <c r="M59" s="10"/>
    </row>
    <row r="60" ht="15.75" customHeight="1">
      <c r="A60" s="8">
        <v>1.0</v>
      </c>
      <c r="B60" s="8">
        <v>24.0</v>
      </c>
      <c r="C60" s="8">
        <v>9.5</v>
      </c>
      <c r="D60" s="8">
        <v>8.0</v>
      </c>
      <c r="E60" s="8">
        <v>1.0</v>
      </c>
      <c r="F60" s="8">
        <v>20.0</v>
      </c>
      <c r="G60" s="8">
        <v>1.0</v>
      </c>
      <c r="H60" s="10"/>
      <c r="I60" s="10"/>
      <c r="J60" s="10"/>
      <c r="K60" s="10"/>
      <c r="L60" s="10"/>
      <c r="M60" s="10"/>
    </row>
    <row r="61" ht="15.75" customHeight="1">
      <c r="A61" s="8">
        <v>2.0</v>
      </c>
      <c r="B61" s="8">
        <v>19.0</v>
      </c>
      <c r="C61" s="8">
        <v>8.0</v>
      </c>
      <c r="D61" s="8">
        <v>9.0</v>
      </c>
      <c r="E61" s="8">
        <v>1.0</v>
      </c>
      <c r="F61" s="8">
        <v>160.0</v>
      </c>
      <c r="G61" s="8">
        <v>1.0</v>
      </c>
      <c r="H61" s="10"/>
      <c r="I61" s="10"/>
      <c r="J61" s="10"/>
      <c r="K61" s="10"/>
      <c r="L61" s="10"/>
      <c r="M61" s="10"/>
    </row>
    <row r="62" ht="15.75" customHeight="1">
      <c r="A62" s="8">
        <v>1.0</v>
      </c>
      <c r="B62" s="8">
        <v>35.0</v>
      </c>
      <c r="C62" s="8">
        <v>7.25</v>
      </c>
      <c r="D62" s="8">
        <v>2.0</v>
      </c>
      <c r="E62" s="8">
        <v>1.0</v>
      </c>
      <c r="F62" s="8">
        <v>100.0</v>
      </c>
      <c r="G62" s="8">
        <v>1.0</v>
      </c>
      <c r="H62" s="10"/>
      <c r="I62" s="10"/>
      <c r="J62" s="10"/>
      <c r="K62" s="10"/>
      <c r="L62" s="10"/>
      <c r="M62" s="10"/>
    </row>
    <row r="63" ht="15.75" customHeight="1">
      <c r="A63" s="8">
        <v>1.0</v>
      </c>
      <c r="B63" s="8">
        <v>29.0</v>
      </c>
      <c r="C63" s="8">
        <v>11.75</v>
      </c>
      <c r="D63" s="8">
        <v>5.0</v>
      </c>
      <c r="E63" s="8">
        <v>1.0</v>
      </c>
      <c r="F63" s="8">
        <v>96.0</v>
      </c>
      <c r="G63" s="8">
        <v>0.0</v>
      </c>
      <c r="H63" s="10"/>
      <c r="I63" s="10"/>
      <c r="J63" s="10"/>
      <c r="K63" s="10"/>
      <c r="L63" s="10"/>
      <c r="M63" s="10"/>
    </row>
    <row r="64" ht="15.75" customHeight="1">
      <c r="A64" s="8">
        <v>2.0</v>
      </c>
      <c r="B64" s="8">
        <v>50.0</v>
      </c>
      <c r="C64" s="8">
        <v>9.5</v>
      </c>
      <c r="D64" s="8">
        <v>4.0</v>
      </c>
      <c r="E64" s="8">
        <v>3.0</v>
      </c>
      <c r="F64" s="8">
        <v>132.0</v>
      </c>
      <c r="G64" s="8">
        <v>0.0</v>
      </c>
      <c r="H64" s="10"/>
      <c r="I64" s="10"/>
      <c r="J64" s="10"/>
      <c r="K64" s="10"/>
      <c r="L64" s="10"/>
      <c r="M64" s="10"/>
    </row>
    <row r="65" ht="15.75" customHeight="1">
      <c r="A65" s="8">
        <v>2.0</v>
      </c>
      <c r="B65" s="8">
        <v>32.0</v>
      </c>
      <c r="C65" s="8">
        <v>12.0</v>
      </c>
      <c r="D65" s="8">
        <v>12.0</v>
      </c>
      <c r="E65" s="8">
        <v>3.0</v>
      </c>
      <c r="F65" s="8">
        <v>750.0</v>
      </c>
      <c r="G65" s="8">
        <v>0.0</v>
      </c>
      <c r="H65" s="10"/>
      <c r="I65" s="10"/>
      <c r="J65" s="10"/>
      <c r="K65" s="10"/>
      <c r="L65" s="10"/>
      <c r="M65" s="10"/>
    </row>
    <row r="66" ht="15.75" customHeight="1">
      <c r="A66" s="8">
        <v>1.0</v>
      </c>
      <c r="B66" s="8">
        <v>67.0</v>
      </c>
      <c r="C66" s="8">
        <v>10.0</v>
      </c>
      <c r="D66" s="8">
        <v>7.0</v>
      </c>
      <c r="E66" s="8">
        <v>1.0</v>
      </c>
      <c r="F66" s="8">
        <v>42.0</v>
      </c>
      <c r="G66" s="8">
        <v>0.0</v>
      </c>
      <c r="H66" s="10"/>
      <c r="I66" s="10"/>
      <c r="J66" s="10"/>
      <c r="K66" s="10"/>
      <c r="L66" s="10"/>
      <c r="M66" s="10"/>
    </row>
    <row r="67" ht="15.75" customHeight="1">
      <c r="A67" s="8">
        <v>2.0</v>
      </c>
      <c r="B67" s="8">
        <v>41.0</v>
      </c>
      <c r="C67" s="8">
        <v>7.75</v>
      </c>
      <c r="D67" s="8">
        <v>5.0</v>
      </c>
      <c r="E67" s="8">
        <v>2.0</v>
      </c>
      <c r="F67" s="8">
        <v>20.0</v>
      </c>
      <c r="G67" s="8">
        <v>1.0</v>
      </c>
      <c r="H67" s="10"/>
      <c r="I67" s="10"/>
      <c r="J67" s="10"/>
      <c r="K67" s="10"/>
      <c r="L67" s="10"/>
      <c r="M67" s="10"/>
    </row>
    <row r="68" ht="15.75" customHeight="1">
      <c r="A68" s="8">
        <v>2.0</v>
      </c>
      <c r="B68" s="8">
        <v>36.0</v>
      </c>
      <c r="C68" s="8">
        <v>10.5</v>
      </c>
      <c r="D68" s="8">
        <v>4.0</v>
      </c>
      <c r="E68" s="8">
        <v>1.0</v>
      </c>
      <c r="F68" s="8">
        <v>8.0</v>
      </c>
      <c r="G68" s="8">
        <v>0.0</v>
      </c>
      <c r="H68" s="10"/>
      <c r="I68" s="10"/>
      <c r="J68" s="10"/>
      <c r="K68" s="10"/>
      <c r="L68" s="10"/>
      <c r="M68" s="10"/>
    </row>
    <row r="69" ht="15.75" customHeight="1">
      <c r="A69" s="8">
        <v>1.0</v>
      </c>
      <c r="B69" s="8">
        <v>67.0</v>
      </c>
      <c r="C69" s="8">
        <v>3.75</v>
      </c>
      <c r="D69" s="8">
        <v>11.0</v>
      </c>
      <c r="E69" s="8">
        <v>3.0</v>
      </c>
      <c r="F69" s="8">
        <v>20.0</v>
      </c>
      <c r="G69" s="8">
        <v>0.0</v>
      </c>
      <c r="H69" s="10"/>
      <c r="I69" s="10"/>
      <c r="J69" s="10"/>
      <c r="K69" s="10"/>
      <c r="L69" s="10"/>
      <c r="M69" s="10"/>
    </row>
    <row r="70" ht="15.75" customHeight="1">
      <c r="A70" s="8">
        <v>1.0</v>
      </c>
      <c r="B70" s="8">
        <v>20.0</v>
      </c>
      <c r="C70" s="8">
        <v>4.0</v>
      </c>
      <c r="D70" s="8">
        <v>3.0</v>
      </c>
      <c r="E70" s="8">
        <v>1.0</v>
      </c>
      <c r="F70" s="8">
        <v>6.0</v>
      </c>
      <c r="G70" s="8">
        <v>1.0</v>
      </c>
      <c r="H70" s="10"/>
      <c r="I70" s="10"/>
      <c r="J70" s="10"/>
      <c r="K70" s="10"/>
      <c r="L70" s="10"/>
      <c r="M70" s="10"/>
    </row>
    <row r="71" ht="15.75" customHeight="1">
      <c r="A71" s="8">
        <v>1.0</v>
      </c>
      <c r="B71" s="8">
        <v>34.0</v>
      </c>
      <c r="C71" s="8">
        <v>11.25</v>
      </c>
      <c r="D71" s="8">
        <v>1.0</v>
      </c>
      <c r="E71" s="8">
        <v>3.0</v>
      </c>
      <c r="F71" s="8">
        <v>150.0</v>
      </c>
      <c r="G71" s="8">
        <v>0.0</v>
      </c>
      <c r="H71" s="10"/>
      <c r="I71" s="10"/>
      <c r="J71" s="10"/>
      <c r="K71" s="10"/>
      <c r="L71" s="10"/>
      <c r="M71" s="10"/>
    </row>
    <row r="72" ht="15.75" customHeight="1">
      <c r="A72" s="8">
        <v>2.0</v>
      </c>
      <c r="B72" s="8">
        <v>21.0</v>
      </c>
      <c r="C72" s="8">
        <v>10.75</v>
      </c>
      <c r="D72" s="8">
        <v>7.0</v>
      </c>
      <c r="E72" s="8">
        <v>1.0</v>
      </c>
      <c r="F72" s="8">
        <v>35.0</v>
      </c>
      <c r="G72" s="8">
        <v>0.0</v>
      </c>
      <c r="H72" s="10"/>
      <c r="I72" s="10"/>
      <c r="J72" s="10"/>
      <c r="K72" s="10"/>
      <c r="L72" s="10"/>
      <c r="M72" s="10"/>
    </row>
    <row r="73" ht="15.75" customHeight="1">
      <c r="A73" s="8">
        <v>1.0</v>
      </c>
      <c r="B73" s="8">
        <v>15.0</v>
      </c>
      <c r="C73" s="8">
        <v>10.5</v>
      </c>
      <c r="D73" s="8">
        <v>11.0</v>
      </c>
      <c r="E73" s="8">
        <v>1.0</v>
      </c>
      <c r="F73" s="8">
        <v>30.0</v>
      </c>
      <c r="G73" s="8">
        <v>1.0</v>
      </c>
      <c r="H73" s="10"/>
      <c r="I73" s="10"/>
      <c r="J73" s="10"/>
      <c r="K73" s="10"/>
      <c r="L73" s="10"/>
      <c r="M73" s="10"/>
    </row>
    <row r="74" ht="15.75" customHeight="1">
      <c r="A74" s="8">
        <v>1.0</v>
      </c>
      <c r="B74" s="8">
        <v>15.0</v>
      </c>
      <c r="C74" s="8">
        <v>2.0</v>
      </c>
      <c r="D74" s="8">
        <v>11.0</v>
      </c>
      <c r="E74" s="8">
        <v>1.0</v>
      </c>
      <c r="F74" s="8">
        <v>4.0</v>
      </c>
      <c r="G74" s="8">
        <v>1.0</v>
      </c>
      <c r="H74" s="10"/>
      <c r="I74" s="10"/>
      <c r="J74" s="10"/>
      <c r="K74" s="10"/>
      <c r="L74" s="10"/>
      <c r="M74" s="10"/>
    </row>
    <row r="75" ht="15.75" customHeight="1">
      <c r="A75" s="8">
        <v>2.0</v>
      </c>
      <c r="B75" s="8">
        <v>15.0</v>
      </c>
      <c r="C75" s="8">
        <v>2.0</v>
      </c>
      <c r="D75" s="8">
        <v>10.0</v>
      </c>
      <c r="E75" s="8">
        <v>3.0</v>
      </c>
      <c r="F75" s="8">
        <v>70.0</v>
      </c>
      <c r="G75" s="8">
        <v>1.0</v>
      </c>
      <c r="H75" s="10"/>
      <c r="I75" s="10"/>
      <c r="J75" s="10"/>
      <c r="K75" s="10"/>
      <c r="L75" s="10"/>
      <c r="M75" s="10"/>
    </row>
    <row r="76" ht="15.75" customHeight="1">
      <c r="A76" s="8">
        <v>1.0</v>
      </c>
      <c r="B76" s="8">
        <v>17.0</v>
      </c>
      <c r="C76" s="8">
        <v>9.25</v>
      </c>
      <c r="D76" s="8">
        <v>12.0</v>
      </c>
      <c r="E76" s="8">
        <v>1.0</v>
      </c>
      <c r="F76" s="8">
        <v>10.0</v>
      </c>
      <c r="G76" s="8">
        <v>0.0</v>
      </c>
      <c r="H76" s="10"/>
      <c r="I76" s="10"/>
      <c r="J76" s="10"/>
      <c r="K76" s="10"/>
      <c r="L76" s="10"/>
      <c r="M76" s="10"/>
    </row>
    <row r="77" ht="15.75" customHeight="1">
      <c r="A77" s="8">
        <v>1.0</v>
      </c>
      <c r="B77" s="8">
        <v>17.0</v>
      </c>
      <c r="C77" s="8">
        <v>5.75</v>
      </c>
      <c r="D77" s="8">
        <v>10.0</v>
      </c>
      <c r="E77" s="8">
        <v>1.0</v>
      </c>
      <c r="F77" s="8">
        <v>63.0</v>
      </c>
      <c r="G77" s="8">
        <v>1.0</v>
      </c>
      <c r="H77" s="10"/>
      <c r="I77" s="10"/>
      <c r="J77" s="10"/>
      <c r="K77" s="10"/>
      <c r="L77" s="10"/>
      <c r="M77" s="10"/>
    </row>
    <row r="78" ht="15.75" customHeight="1">
      <c r="A78" s="8">
        <v>1.0</v>
      </c>
      <c r="B78" s="8">
        <v>23.0</v>
      </c>
      <c r="C78" s="8">
        <v>10.25</v>
      </c>
      <c r="D78" s="8">
        <v>7.0</v>
      </c>
      <c r="E78" s="8">
        <v>3.0</v>
      </c>
      <c r="F78" s="8">
        <v>72.0</v>
      </c>
      <c r="G78" s="8">
        <v>0.0</v>
      </c>
      <c r="H78" s="10"/>
      <c r="I78" s="10"/>
      <c r="J78" s="10"/>
      <c r="K78" s="10"/>
      <c r="L78" s="10"/>
      <c r="M78" s="10"/>
    </row>
    <row r="79" ht="15.75" customHeight="1">
      <c r="A79" s="8">
        <v>1.0</v>
      </c>
      <c r="B79" s="8">
        <v>27.0</v>
      </c>
      <c r="C79" s="8">
        <v>10.5</v>
      </c>
      <c r="D79" s="8">
        <v>7.0</v>
      </c>
      <c r="E79" s="8">
        <v>1.0</v>
      </c>
      <c r="F79" s="8">
        <v>6.0</v>
      </c>
      <c r="G79" s="8">
        <v>0.0</v>
      </c>
      <c r="H79" s="10"/>
      <c r="I79" s="10"/>
      <c r="J79" s="10"/>
      <c r="K79" s="10"/>
      <c r="L79" s="10"/>
      <c r="M79" s="10"/>
    </row>
    <row r="80" ht="15.75" customHeight="1">
      <c r="A80" s="8">
        <v>1.0</v>
      </c>
      <c r="B80" s="8">
        <v>15.0</v>
      </c>
      <c r="C80" s="8">
        <v>5.5</v>
      </c>
      <c r="D80" s="8">
        <v>5.0</v>
      </c>
      <c r="E80" s="8">
        <v>1.0</v>
      </c>
      <c r="F80" s="8">
        <v>6.0</v>
      </c>
      <c r="G80" s="8">
        <v>1.0</v>
      </c>
      <c r="H80" s="10"/>
      <c r="I80" s="10"/>
      <c r="J80" s="10"/>
      <c r="K80" s="10"/>
      <c r="L80" s="10"/>
      <c r="M80" s="10"/>
    </row>
    <row r="81" ht="15.75" customHeight="1">
      <c r="A81" s="8">
        <v>1.0</v>
      </c>
      <c r="B81" s="8">
        <v>18.0</v>
      </c>
      <c r="C81" s="8">
        <v>4.0</v>
      </c>
      <c r="D81" s="8">
        <v>1.0</v>
      </c>
      <c r="E81" s="8">
        <v>1.0</v>
      </c>
      <c r="F81" s="8">
        <v>80.0</v>
      </c>
      <c r="G81" s="8">
        <v>1.0</v>
      </c>
      <c r="H81" s="10"/>
      <c r="I81" s="10"/>
      <c r="J81" s="10"/>
      <c r="K81" s="10"/>
      <c r="L81" s="10"/>
      <c r="M81" s="10"/>
    </row>
    <row r="82" ht="15.75" customHeight="1">
      <c r="A82" s="8">
        <v>2.0</v>
      </c>
      <c r="B82" s="8">
        <v>22.0</v>
      </c>
      <c r="C82" s="8">
        <v>4.5</v>
      </c>
      <c r="D82" s="8">
        <v>2.0</v>
      </c>
      <c r="E82" s="8">
        <v>1.0</v>
      </c>
      <c r="F82" s="8">
        <v>70.0</v>
      </c>
      <c r="G82" s="8">
        <v>1.0</v>
      </c>
      <c r="H82" s="10"/>
      <c r="I82" s="10"/>
      <c r="J82" s="10"/>
      <c r="K82" s="10"/>
      <c r="L82" s="10"/>
      <c r="M82" s="10"/>
    </row>
    <row r="83" ht="15.75" customHeight="1">
      <c r="A83" s="8">
        <v>1.0</v>
      </c>
      <c r="B83" s="8">
        <v>16.0</v>
      </c>
      <c r="C83" s="8">
        <v>11.0</v>
      </c>
      <c r="D83" s="8">
        <v>3.0</v>
      </c>
      <c r="E83" s="8">
        <v>2.0</v>
      </c>
      <c r="F83" s="8">
        <v>60.0</v>
      </c>
      <c r="G83" s="8">
        <v>1.0</v>
      </c>
      <c r="H83" s="10"/>
      <c r="I83" s="10"/>
      <c r="J83" s="10"/>
      <c r="K83" s="10"/>
      <c r="L83" s="10"/>
      <c r="M83" s="10"/>
    </row>
    <row r="84" ht="15.75" customHeight="1">
      <c r="A84" s="8">
        <v>2.0</v>
      </c>
      <c r="B84" s="8">
        <v>28.0</v>
      </c>
      <c r="C84" s="8">
        <v>5.0</v>
      </c>
      <c r="D84" s="8">
        <v>9.0</v>
      </c>
      <c r="E84" s="8">
        <v>1.0</v>
      </c>
      <c r="F84" s="8">
        <v>100.0</v>
      </c>
      <c r="G84" s="8">
        <v>1.0</v>
      </c>
      <c r="H84" s="10"/>
      <c r="I84" s="10"/>
      <c r="J84" s="10"/>
      <c r="K84" s="10"/>
      <c r="L84" s="10"/>
      <c r="M84" s="10"/>
    </row>
    <row r="85" ht="15.75" customHeight="1">
      <c r="A85" s="8">
        <v>1.0</v>
      </c>
      <c r="B85" s="8">
        <v>40.0</v>
      </c>
      <c r="C85" s="8">
        <v>11.5</v>
      </c>
      <c r="D85" s="8">
        <v>9.0</v>
      </c>
      <c r="E85" s="8">
        <v>2.0</v>
      </c>
      <c r="F85" s="8">
        <v>80.0</v>
      </c>
      <c r="G85" s="8">
        <v>0.0</v>
      </c>
      <c r="H85" s="10"/>
      <c r="I85" s="10"/>
      <c r="J85" s="10"/>
      <c r="K85" s="10"/>
      <c r="L85" s="10"/>
      <c r="M85" s="10"/>
    </row>
    <row r="86" ht="15.75" customHeight="1">
      <c r="A86" s="8">
        <v>1.0</v>
      </c>
      <c r="B86" s="8">
        <v>30.0</v>
      </c>
      <c r="C86" s="8">
        <v>0.25</v>
      </c>
      <c r="D86" s="8">
        <v>10.0</v>
      </c>
      <c r="E86" s="8">
        <v>1.0</v>
      </c>
      <c r="F86" s="8">
        <v>115.0</v>
      </c>
      <c r="G86" s="8">
        <v>1.0</v>
      </c>
      <c r="H86" s="10"/>
      <c r="I86" s="10"/>
      <c r="J86" s="10"/>
      <c r="K86" s="10"/>
      <c r="L86" s="10"/>
      <c r="M86" s="10"/>
    </row>
    <row r="87" ht="15.75" customHeight="1">
      <c r="A87" s="8">
        <v>2.0</v>
      </c>
      <c r="B87" s="8">
        <v>34.0</v>
      </c>
      <c r="C87" s="8">
        <v>12.0</v>
      </c>
      <c r="D87" s="8">
        <v>3.0</v>
      </c>
      <c r="E87" s="8">
        <v>3.0</v>
      </c>
      <c r="F87" s="8">
        <v>95.0</v>
      </c>
      <c r="G87" s="8">
        <v>0.0</v>
      </c>
      <c r="H87" s="10"/>
      <c r="I87" s="10"/>
      <c r="J87" s="10"/>
      <c r="K87" s="10"/>
      <c r="L87" s="10"/>
      <c r="M87" s="10"/>
    </row>
    <row r="88" ht="15.75" customHeight="1">
      <c r="A88" s="8">
        <v>2.0</v>
      </c>
      <c r="B88" s="8">
        <v>20.0</v>
      </c>
      <c r="C88" s="8">
        <v>3.5</v>
      </c>
      <c r="D88" s="8">
        <v>6.0</v>
      </c>
      <c r="E88" s="8">
        <v>1.0</v>
      </c>
      <c r="F88" s="8">
        <v>75.0</v>
      </c>
      <c r="G88" s="8">
        <v>1.0</v>
      </c>
      <c r="H88" s="10"/>
      <c r="I88" s="10"/>
      <c r="J88" s="10"/>
      <c r="K88" s="10"/>
      <c r="L88" s="10"/>
      <c r="M88" s="10"/>
    </row>
    <row r="89" ht="15.75" customHeight="1">
      <c r="A89" s="8">
        <v>2.0</v>
      </c>
      <c r="B89" s="8">
        <v>35.0</v>
      </c>
      <c r="C89" s="8">
        <v>8.25</v>
      </c>
      <c r="D89" s="8">
        <v>8.0</v>
      </c>
      <c r="E89" s="8">
        <v>3.0</v>
      </c>
      <c r="F89" s="8">
        <v>100.0</v>
      </c>
      <c r="G89" s="8">
        <v>0.0</v>
      </c>
      <c r="H89" s="10"/>
      <c r="I89" s="10"/>
      <c r="J89" s="10"/>
      <c r="K89" s="10"/>
      <c r="L89" s="10"/>
      <c r="M89" s="10"/>
    </row>
    <row r="90" ht="15.75" customHeight="1">
      <c r="A90" s="8">
        <v>1.0</v>
      </c>
      <c r="B90" s="8">
        <v>24.0</v>
      </c>
      <c r="C90" s="8">
        <v>10.75</v>
      </c>
      <c r="D90" s="8">
        <v>10.0</v>
      </c>
      <c r="E90" s="8">
        <v>1.0</v>
      </c>
      <c r="F90" s="8">
        <v>20.0</v>
      </c>
      <c r="G90" s="8">
        <v>1.0</v>
      </c>
      <c r="H90" s="10"/>
      <c r="I90" s="10"/>
      <c r="J90" s="10"/>
      <c r="K90" s="10"/>
      <c r="L90" s="10"/>
      <c r="M90" s="10"/>
    </row>
    <row r="91" ht="15.75" customHeight="1">
      <c r="A91" s="8">
        <v>1.0</v>
      </c>
      <c r="B91" s="8">
        <v>19.0</v>
      </c>
      <c r="C91" s="8">
        <v>8.0</v>
      </c>
      <c r="D91" s="8">
        <v>8.0</v>
      </c>
      <c r="E91" s="8">
        <v>1.0</v>
      </c>
      <c r="F91" s="8">
        <v>160.0</v>
      </c>
      <c r="G91" s="8">
        <v>1.0</v>
      </c>
      <c r="H91" s="10"/>
      <c r="I91" s="10"/>
      <c r="J91" s="10"/>
      <c r="K91" s="10"/>
      <c r="L91" s="10"/>
      <c r="M91" s="10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1.0"/>
    <col customWidth="1" min="5" max="5" width="19.71"/>
    <col customWidth="1" min="6" max="6" width="17.29"/>
    <col customWidth="1" min="7" max="7" width="18.29"/>
    <col customWidth="1" min="8" max="8" width="15.14"/>
  </cols>
  <sheetData>
    <row r="1">
      <c r="A1" s="23" t="s">
        <v>18</v>
      </c>
      <c r="B1" s="23" t="s">
        <v>19</v>
      </c>
      <c r="C1" s="23" t="s">
        <v>20</v>
      </c>
      <c r="D1" s="23" t="s">
        <v>21</v>
      </c>
      <c r="E1" s="24" t="s">
        <v>22</v>
      </c>
      <c r="F1" s="24" t="s">
        <v>23</v>
      </c>
      <c r="G1" s="24" t="s">
        <v>24</v>
      </c>
      <c r="I1" s="25" t="s">
        <v>25</v>
      </c>
      <c r="J1" s="26"/>
      <c r="K1" s="26"/>
      <c r="L1" s="26"/>
      <c r="M1" s="26"/>
      <c r="N1" s="5"/>
      <c r="P1" s="20" t="s">
        <v>2</v>
      </c>
      <c r="Q1" s="20" t="s">
        <v>7</v>
      </c>
      <c r="R1" s="20" t="s">
        <v>8</v>
      </c>
    </row>
    <row r="2" ht="15.75" customHeight="1">
      <c r="A2" s="27" t="s">
        <v>26</v>
      </c>
      <c r="B2" s="9">
        <f>COUNTIFS(CrayoDataset!C2:C91, "&gt;=0,25", CrayoDataset!C2:C91, "&lt;1,75")
</f>
        <v>4</v>
      </c>
      <c r="C2" s="9">
        <v>-0.25</v>
      </c>
      <c r="D2" s="9">
        <v>2.25</v>
      </c>
      <c r="E2" s="9">
        <v>4.0</v>
      </c>
      <c r="F2" s="8">
        <f t="shared" ref="F2:F9" si="1">B2</f>
        <v>4</v>
      </c>
      <c r="G2" s="8">
        <f t="shared" ref="G2:G9" si="2">B2</f>
        <v>4</v>
      </c>
      <c r="I2" s="28" t="s">
        <v>16</v>
      </c>
      <c r="J2" s="28" t="s">
        <v>27</v>
      </c>
      <c r="K2" s="28" t="s">
        <v>28</v>
      </c>
      <c r="L2" s="28" t="s">
        <v>29</v>
      </c>
      <c r="M2" s="28" t="s">
        <v>30</v>
      </c>
      <c r="N2" s="28" t="s">
        <v>31</v>
      </c>
      <c r="Q2" s="21">
        <f>MIN(CrayoDataset!C2:C91)</f>
        <v>0.25</v>
      </c>
      <c r="R2" s="21">
        <f>MAX(CrayoDataset!C2:C91)</f>
        <v>12</v>
      </c>
    </row>
    <row r="3">
      <c r="A3" s="27" t="s">
        <v>32</v>
      </c>
      <c r="B3" s="8">
        <f>COUNTIFS(CrayoDataset!C2:C91, "&gt;=1,75", CrayoDataset!C2:C91, "&lt;3,25")</f>
        <v>5</v>
      </c>
      <c r="C3" s="9">
        <v>1.25</v>
      </c>
      <c r="D3" s="9">
        <v>3.75</v>
      </c>
      <c r="E3" s="8">
        <f t="shared" ref="E3:E9" si="3">E2+B3</f>
        <v>9</v>
      </c>
      <c r="F3" s="8">
        <f t="shared" si="1"/>
        <v>5</v>
      </c>
      <c r="G3" s="8">
        <f t="shared" si="2"/>
        <v>5</v>
      </c>
      <c r="I3" s="29">
        <f>AVERAGE(CrayoDataset!C2:C91)</f>
        <v>7.666666667</v>
      </c>
      <c r="J3" s="8">
        <f>C7+(((90/2)-E6)/B7)*1.5</f>
        <v>8.173076923</v>
      </c>
      <c r="K3" s="8">
        <f>C9+((B9-B8)/((B9-B8)+(B9-0)))*1.5</f>
        <v>10.56034483</v>
      </c>
      <c r="L3" s="8">
        <f>C4+(((1/4*90)-E3)/B4)*1.5</f>
        <v>4.196428571</v>
      </c>
      <c r="M3" s="8">
        <f>C7+(((2/4*90)-E6)/B7)*1.5</f>
        <v>8.173076923</v>
      </c>
      <c r="N3" s="8">
        <f>C9+(((3/4*90)-E8)/B9)*1.5</f>
        <v>10.2826087</v>
      </c>
    </row>
    <row r="4">
      <c r="A4" s="27" t="s">
        <v>33</v>
      </c>
      <c r="B4" s="8">
        <f>COUNTIFS(CrayoDataset!C2:C91, "&gt;=3,25", CrayoDataset!C2:C91, "&lt;4,75")</f>
        <v>14</v>
      </c>
      <c r="C4" s="9">
        <v>2.75</v>
      </c>
      <c r="D4" s="9">
        <v>5.25</v>
      </c>
      <c r="E4" s="8">
        <f t="shared" si="3"/>
        <v>23</v>
      </c>
      <c r="F4" s="8">
        <f t="shared" si="1"/>
        <v>14</v>
      </c>
      <c r="G4" s="8">
        <f t="shared" si="2"/>
        <v>14</v>
      </c>
      <c r="J4" s="20" t="s">
        <v>34</v>
      </c>
    </row>
    <row r="5">
      <c r="A5" s="27" t="s">
        <v>35</v>
      </c>
      <c r="B5" s="30">
        <f>COUNTIFS(CrayoDataset!C2:C91, "&gt;=4,75", CrayoDataset!C2:C91, "&lt;6,25")</f>
        <v>11</v>
      </c>
      <c r="C5" s="9">
        <v>4.25</v>
      </c>
      <c r="D5" s="9">
        <v>6.75</v>
      </c>
      <c r="E5" s="8">
        <f t="shared" si="3"/>
        <v>34</v>
      </c>
      <c r="F5" s="8">
        <f t="shared" si="1"/>
        <v>11</v>
      </c>
      <c r="G5" s="8">
        <f t="shared" si="2"/>
        <v>11</v>
      </c>
    </row>
    <row r="6">
      <c r="A6" s="27" t="s">
        <v>36</v>
      </c>
      <c r="B6" s="30">
        <f>COUNTIFS(CrayoDataset!C2:C91, "&gt;=6,25", CrayoDataset!C2:C91, "&lt;7,75")</f>
        <v>3</v>
      </c>
      <c r="C6" s="9">
        <v>5.75</v>
      </c>
      <c r="D6" s="9">
        <v>8.25</v>
      </c>
      <c r="E6" s="8">
        <f t="shared" si="3"/>
        <v>37</v>
      </c>
      <c r="F6" s="8">
        <f t="shared" si="1"/>
        <v>3</v>
      </c>
      <c r="G6" s="8">
        <f t="shared" si="2"/>
        <v>3</v>
      </c>
    </row>
    <row r="7">
      <c r="A7" s="27" t="s">
        <v>37</v>
      </c>
      <c r="B7" s="30">
        <f>COUNTIFS(CrayoDataset!C2:C91, "&gt;=7,75", CrayoDataset!C2:C91, "&lt;9,25")</f>
        <v>13</v>
      </c>
      <c r="C7" s="9">
        <v>7.25</v>
      </c>
      <c r="D7" s="9">
        <v>9.75</v>
      </c>
      <c r="E7" s="8">
        <f t="shared" si="3"/>
        <v>50</v>
      </c>
      <c r="F7" s="8">
        <f t="shared" si="1"/>
        <v>13</v>
      </c>
      <c r="G7" s="8">
        <f t="shared" si="2"/>
        <v>13</v>
      </c>
    </row>
    <row r="8">
      <c r="A8" s="9" t="s">
        <v>38</v>
      </c>
      <c r="B8" s="8">
        <f>COUNTIFS(CrayoDataset!C2:C91, "&gt;=9,25", CrayoDataset!C2:C91, "&lt;10,75")</f>
        <v>17</v>
      </c>
      <c r="C8" s="9">
        <v>8.75</v>
      </c>
      <c r="D8" s="9">
        <v>11.25</v>
      </c>
      <c r="E8" s="8">
        <f t="shared" si="3"/>
        <v>67</v>
      </c>
      <c r="F8" s="8">
        <f t="shared" si="1"/>
        <v>17</v>
      </c>
      <c r="G8" s="8">
        <f t="shared" si="2"/>
        <v>17</v>
      </c>
    </row>
    <row r="9">
      <c r="A9" s="9" t="s">
        <v>39</v>
      </c>
      <c r="B9" s="8">
        <f>COUNTIFS(CrayoDataset!C2:C91, "&gt;=10,75", CrayoDataset!C2:C91, "&lt;12,25")</f>
        <v>23</v>
      </c>
      <c r="C9" s="9">
        <v>10.25</v>
      </c>
      <c r="D9" s="9">
        <v>12.75</v>
      </c>
      <c r="E9" s="8">
        <f t="shared" si="3"/>
        <v>90</v>
      </c>
      <c r="F9" s="8">
        <f t="shared" si="1"/>
        <v>23</v>
      </c>
      <c r="G9" s="8">
        <f t="shared" si="2"/>
        <v>23</v>
      </c>
    </row>
    <row r="11">
      <c r="A11" s="7"/>
    </row>
    <row r="30">
      <c r="A30" s="23" t="s">
        <v>18</v>
      </c>
      <c r="B30" s="23" t="s">
        <v>19</v>
      </c>
      <c r="C30" s="23" t="s">
        <v>40</v>
      </c>
      <c r="D30" s="31" t="s">
        <v>41</v>
      </c>
      <c r="E30" s="31" t="s">
        <v>42</v>
      </c>
      <c r="F30" s="31" t="s">
        <v>43</v>
      </c>
      <c r="G30" s="31" t="s">
        <v>44</v>
      </c>
    </row>
    <row r="31">
      <c r="A31" s="27" t="s">
        <v>26</v>
      </c>
      <c r="B31" s="9">
        <f>COUNTIFS(CrayoDataset!C33:C122, "&gt;=0,25", CrayoDataset!C33:C122, "&lt;1,75")
</f>
        <v>3</v>
      </c>
      <c r="C31" s="8">
        <f>(0.25+1.75)/2</f>
        <v>1</v>
      </c>
      <c r="D31" s="32">
        <f t="shared" ref="D31:D38" si="4">ABS($I$3-C31)</f>
        <v>6.666666667</v>
      </c>
      <c r="E31" s="32">
        <f t="shared" ref="E31:E38" si="5">B31*D31</f>
        <v>20</v>
      </c>
      <c r="F31" s="8">
        <f t="shared" ref="F31:F38" si="6">D31^2</f>
        <v>44.44444444</v>
      </c>
      <c r="G31" s="8">
        <f t="shared" ref="G31:G38" si="7">F31*B31</f>
        <v>133.3333333</v>
      </c>
    </row>
    <row r="32">
      <c r="A32" s="27" t="s">
        <v>32</v>
      </c>
      <c r="B32" s="8">
        <f>COUNTIFS(CrayoDataset!C33:C122, "&gt;=1,75", CrayoDataset!C33:C122, "&lt;3,25")</f>
        <v>3</v>
      </c>
      <c r="C32" s="8">
        <f>(1.75+3.25)/2</f>
        <v>2.5</v>
      </c>
      <c r="D32" s="32">
        <f t="shared" si="4"/>
        <v>5.166666667</v>
      </c>
      <c r="E32" s="32">
        <f t="shared" si="5"/>
        <v>15.5</v>
      </c>
      <c r="F32" s="8">
        <f t="shared" si="6"/>
        <v>26.69444444</v>
      </c>
      <c r="G32" s="8">
        <f t="shared" si="7"/>
        <v>80.08333333</v>
      </c>
    </row>
    <row r="33">
      <c r="A33" s="27" t="s">
        <v>33</v>
      </c>
      <c r="B33" s="8">
        <f>COUNTIFS(CrayoDataset!C33:C122, "&gt;=3,25", CrayoDataset!C33:C122, "&lt;4,75")</f>
        <v>10</v>
      </c>
      <c r="C33" s="8">
        <f>(3.25+4.75)/2</f>
        <v>4</v>
      </c>
      <c r="D33" s="32">
        <f t="shared" si="4"/>
        <v>3.666666667</v>
      </c>
      <c r="E33" s="32">
        <f t="shared" si="5"/>
        <v>36.66666667</v>
      </c>
      <c r="F33" s="8">
        <f t="shared" si="6"/>
        <v>13.44444444</v>
      </c>
      <c r="G33" s="8">
        <f t="shared" si="7"/>
        <v>134.4444444</v>
      </c>
    </row>
    <row r="34">
      <c r="A34" s="27" t="s">
        <v>35</v>
      </c>
      <c r="B34" s="30">
        <f>COUNTIFS(CrayoDataset!C33:C122, "&gt;=4,75", CrayoDataset!C33:C122, "&lt;6,25")</f>
        <v>6</v>
      </c>
      <c r="C34" s="8">
        <f>(4.75+6.25)/2</f>
        <v>5.5</v>
      </c>
      <c r="D34" s="32">
        <f t="shared" si="4"/>
        <v>2.166666667</v>
      </c>
      <c r="E34" s="32">
        <f t="shared" si="5"/>
        <v>13</v>
      </c>
      <c r="F34" s="8">
        <f t="shared" si="6"/>
        <v>4.694444444</v>
      </c>
      <c r="G34" s="8">
        <f t="shared" si="7"/>
        <v>28.16666667</v>
      </c>
    </row>
    <row r="35">
      <c r="A35" s="27" t="s">
        <v>36</v>
      </c>
      <c r="B35" s="30">
        <f>COUNTIFS(CrayoDataset!C33:C122, "&gt;=6,25", CrayoDataset!C33:C122, "&lt;7,75")</f>
        <v>2</v>
      </c>
      <c r="C35" s="8">
        <f>(6.25+7.75)/2</f>
        <v>7</v>
      </c>
      <c r="D35" s="32">
        <f t="shared" si="4"/>
        <v>0.6666666667</v>
      </c>
      <c r="E35" s="32">
        <f t="shared" si="5"/>
        <v>1.333333333</v>
      </c>
      <c r="F35" s="8">
        <f t="shared" si="6"/>
        <v>0.4444444444</v>
      </c>
      <c r="G35" s="8">
        <f t="shared" si="7"/>
        <v>0.8888888889</v>
      </c>
    </row>
    <row r="36">
      <c r="A36" s="27" t="s">
        <v>37</v>
      </c>
      <c r="B36" s="30">
        <f>COUNTIFS(CrayoDataset!C33:C122, "&gt;=7,75", CrayoDataset!C33:C122, "&lt;9,25")</f>
        <v>8</v>
      </c>
      <c r="C36" s="8">
        <f>(7.75+9.25)/2</f>
        <v>8.5</v>
      </c>
      <c r="D36" s="32">
        <f t="shared" si="4"/>
        <v>0.8333333333</v>
      </c>
      <c r="E36" s="32">
        <f t="shared" si="5"/>
        <v>6.666666667</v>
      </c>
      <c r="F36" s="8">
        <f t="shared" si="6"/>
        <v>0.6944444444</v>
      </c>
      <c r="G36" s="8">
        <f t="shared" si="7"/>
        <v>5.555555556</v>
      </c>
    </row>
    <row r="37">
      <c r="A37" s="9" t="s">
        <v>38</v>
      </c>
      <c r="B37" s="8">
        <f>COUNTIFS(CrayoDataset!C33:C122, "&gt;=9,25", CrayoDataset!C33:C122, "&lt;10,75")</f>
        <v>13</v>
      </c>
      <c r="C37" s="8">
        <f>(9.25+10.75)/2</f>
        <v>10</v>
      </c>
      <c r="D37" s="32">
        <f t="shared" si="4"/>
        <v>2.333333333</v>
      </c>
      <c r="E37" s="32">
        <f t="shared" si="5"/>
        <v>30.33333333</v>
      </c>
      <c r="F37" s="8">
        <f t="shared" si="6"/>
        <v>5.444444444</v>
      </c>
      <c r="G37" s="8">
        <f t="shared" si="7"/>
        <v>70.77777778</v>
      </c>
    </row>
    <row r="38">
      <c r="A38" s="9" t="s">
        <v>39</v>
      </c>
      <c r="B38" s="8">
        <f>COUNTIFS(CrayoDataset!C33:C122, "&gt;=10,75", CrayoDataset!C33:C122, "&lt;12,25")</f>
        <v>14</v>
      </c>
      <c r="C38" s="8">
        <f>(10.75+12.25)/2</f>
        <v>11.5</v>
      </c>
      <c r="D38" s="32">
        <f t="shared" si="4"/>
        <v>3.833333333</v>
      </c>
      <c r="E38" s="32">
        <f t="shared" si="5"/>
        <v>53.66666667</v>
      </c>
      <c r="F38" s="8">
        <f t="shared" si="6"/>
        <v>14.69444444</v>
      </c>
      <c r="G38" s="8">
        <f t="shared" si="7"/>
        <v>205.7222222</v>
      </c>
    </row>
    <row r="39">
      <c r="A39" s="33" t="s">
        <v>45</v>
      </c>
      <c r="B39" s="26"/>
      <c r="C39" s="5"/>
      <c r="D39" s="34" t="s">
        <v>46</v>
      </c>
      <c r="E39" s="35">
        <f>SUM(E31:E38)/90</f>
        <v>1.968518519</v>
      </c>
      <c r="F39" s="36"/>
      <c r="G39" s="36">
        <f>SUM(G31:G38)</f>
        <v>658.9722222</v>
      </c>
    </row>
    <row r="40">
      <c r="F40" s="37" t="s">
        <v>47</v>
      </c>
      <c r="G40" s="38">
        <f>G39/89</f>
        <v>7.404182272</v>
      </c>
    </row>
    <row r="41">
      <c r="F41" s="39" t="s">
        <v>48</v>
      </c>
      <c r="G41" s="10">
        <f>SQRT(G40)</f>
        <v>2.72106271</v>
      </c>
    </row>
  </sheetData>
  <mergeCells count="3">
    <mergeCell ref="I1:N1"/>
    <mergeCell ref="A39:C39"/>
    <mergeCell ref="A40:E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5" max="5" width="15.86"/>
    <col customWidth="1" min="6" max="6" width="16.29"/>
    <col customWidth="1" min="7" max="7" width="17.0"/>
  </cols>
  <sheetData>
    <row r="1">
      <c r="A1" s="23" t="s">
        <v>18</v>
      </c>
      <c r="B1" s="23" t="s">
        <v>19</v>
      </c>
      <c r="C1" s="23" t="s">
        <v>49</v>
      </c>
      <c r="D1" s="23" t="s">
        <v>50</v>
      </c>
      <c r="E1" s="24" t="s">
        <v>51</v>
      </c>
      <c r="F1" s="23" t="s">
        <v>23</v>
      </c>
      <c r="G1" s="23" t="s">
        <v>24</v>
      </c>
      <c r="H1" s="23" t="s">
        <v>40</v>
      </c>
      <c r="O1" s="20" t="s">
        <v>52</v>
      </c>
      <c r="P1" s="20" t="s">
        <v>7</v>
      </c>
      <c r="Q1" s="20" t="s">
        <v>8</v>
      </c>
      <c r="S1" s="23" t="s">
        <v>19</v>
      </c>
      <c r="T1" s="23" t="s">
        <v>49</v>
      </c>
      <c r="U1" s="23" t="s">
        <v>50</v>
      </c>
    </row>
    <row r="2">
      <c r="A2" s="9" t="s">
        <v>53</v>
      </c>
      <c r="B2" s="9">
        <f>COUNTIFS(CrayoDataset!D2:D91, "&gt;=1", CrayoDataset!D2:D91, "&lt;=2,374")
</f>
        <v>24</v>
      </c>
      <c r="C2" s="40">
        <v>0.5</v>
      </c>
      <c r="D2" s="40">
        <v>1.875</v>
      </c>
      <c r="E2" s="8">
        <f>B2</f>
        <v>24</v>
      </c>
      <c r="F2" s="8">
        <f t="shared" ref="F2:F9" si="1">B2</f>
        <v>24</v>
      </c>
      <c r="G2" s="8">
        <f t="shared" ref="G2:G9" si="2">B2</f>
        <v>24</v>
      </c>
      <c r="H2" s="8">
        <f>(2.374+1)/2</f>
        <v>1.687</v>
      </c>
      <c r="I2" s="25" t="s">
        <v>25</v>
      </c>
      <c r="J2" s="26"/>
      <c r="K2" s="26"/>
      <c r="L2" s="26"/>
      <c r="M2" s="26"/>
      <c r="N2" s="5"/>
      <c r="P2" s="21">
        <f>MIN(CrayoDataset!D2:D91)</f>
        <v>1</v>
      </c>
      <c r="Q2" s="21">
        <f>MAX(CrayoDataset!D2:D91)</f>
        <v>12</v>
      </c>
      <c r="S2" s="9">
        <f>COUNTIFS(CrayoDataset!D2:D91, "&gt;=1", CrayoDataset!D2:D91, "&lt;=2")
</f>
        <v>24</v>
      </c>
      <c r="T2" s="9" t="s">
        <v>54</v>
      </c>
      <c r="U2" s="41">
        <v>45414.0</v>
      </c>
    </row>
    <row r="3">
      <c r="A3" s="9" t="s">
        <v>55</v>
      </c>
      <c r="B3" s="9">
        <f>COUNTIFS(CrayoDataset!D2:D91, "&gt;=2,375", CrayoDataset!D2:D91, "&lt;=3,748")
</f>
        <v>13</v>
      </c>
      <c r="C3" s="40">
        <v>1.875</v>
      </c>
      <c r="D3" s="40">
        <v>3.25</v>
      </c>
      <c r="E3" s="8">
        <f t="shared" ref="E3:E9" si="3">E2+B3</f>
        <v>37</v>
      </c>
      <c r="F3" s="8">
        <f t="shared" si="1"/>
        <v>13</v>
      </c>
      <c r="G3" s="8">
        <f t="shared" si="2"/>
        <v>13</v>
      </c>
      <c r="H3" s="8">
        <f>(2.375+3.749)/2</f>
        <v>3.062</v>
      </c>
      <c r="I3" s="28" t="s">
        <v>16</v>
      </c>
      <c r="J3" s="28" t="s">
        <v>27</v>
      </c>
      <c r="K3" s="28" t="s">
        <v>28</v>
      </c>
      <c r="L3" s="28" t="s">
        <v>29</v>
      </c>
      <c r="M3" s="28" t="s">
        <v>30</v>
      </c>
      <c r="N3" s="28" t="s">
        <v>31</v>
      </c>
      <c r="S3" s="9">
        <f>COUNTIFS(CrayoDataset!D2:D92, "&gt;=3", CrayoDataset!D2:D92, "&lt;=3")
</f>
        <v>13</v>
      </c>
      <c r="T3" s="41">
        <v>45414.0</v>
      </c>
      <c r="U3" s="41">
        <v>45416.0</v>
      </c>
    </row>
    <row r="4">
      <c r="A4" s="9" t="s">
        <v>56</v>
      </c>
      <c r="B4" s="9">
        <f>COUNTIFS(CrayoDataset!D2:D91, "&gt;=3,750", CrayoDataset!D2:D91, "&lt;=5,124")
</f>
        <v>14</v>
      </c>
      <c r="C4" s="40">
        <v>3.25</v>
      </c>
      <c r="D4" s="40">
        <v>4.625</v>
      </c>
      <c r="E4" s="8">
        <f t="shared" si="3"/>
        <v>51</v>
      </c>
      <c r="F4" s="8">
        <f t="shared" si="1"/>
        <v>14</v>
      </c>
      <c r="G4" s="8">
        <f t="shared" si="2"/>
        <v>14</v>
      </c>
      <c r="H4" s="8">
        <f>(3.75+5.124)/2</f>
        <v>4.437</v>
      </c>
      <c r="I4" s="8">
        <f>AVERAGE(CrayoDataset!D2:D91)</f>
        <v>5.511111111</v>
      </c>
      <c r="J4" s="42">
        <f>C4+(((90/2)-E3)/B4)*1.375</f>
        <v>4.035714286</v>
      </c>
      <c r="K4" s="42">
        <f>C2+(24/(24+11))*1.375</f>
        <v>1.442857143</v>
      </c>
      <c r="L4" s="42">
        <f>C2+(((1/4*90)-0)/B2)*1.375</f>
        <v>1.7890625</v>
      </c>
      <c r="M4" s="42">
        <f>C4+(((2/4*90)-E3)/B4)*1.375</f>
        <v>4.035714286</v>
      </c>
      <c r="N4" s="42">
        <f>C7+(((3/4*90)-E6)/B7)*1.375</f>
        <v>7.99375</v>
      </c>
      <c r="S4" s="9">
        <f>COUNTIFS(CrayoDataset!D2:D93, "&gt;=4", CrayoDataset!D2:D93, "&lt;=5")
</f>
        <v>14</v>
      </c>
      <c r="T4" s="41">
        <v>45416.0</v>
      </c>
      <c r="U4" s="41">
        <v>45418.0</v>
      </c>
    </row>
    <row r="5" ht="12.75" customHeight="1">
      <c r="A5" s="9" t="s">
        <v>57</v>
      </c>
      <c r="B5" s="9">
        <f>COUNTIFS(CrayoDataset!D2:D91, "&gt;=5,125", CrayoDataset!D2:D91, "&lt;=6,499")
</f>
        <v>6</v>
      </c>
      <c r="C5" s="40">
        <v>4.625</v>
      </c>
      <c r="D5" s="40">
        <v>6.0</v>
      </c>
      <c r="E5" s="8">
        <f t="shared" si="3"/>
        <v>57</v>
      </c>
      <c r="F5" s="8">
        <f t="shared" si="1"/>
        <v>6</v>
      </c>
      <c r="G5" s="8">
        <f t="shared" si="2"/>
        <v>6</v>
      </c>
      <c r="H5" s="8">
        <f>(5.125+6.499)/2</f>
        <v>5.812</v>
      </c>
      <c r="S5" s="9">
        <f>COUNTIFS(CrayoDataset!D2:D94, "&gt;=6", CrayoDataset!D2:D94, "&lt;=6")
</f>
        <v>6</v>
      </c>
      <c r="T5" s="41">
        <v>45418.0</v>
      </c>
      <c r="U5" s="41">
        <v>45543.0</v>
      </c>
    </row>
    <row r="6">
      <c r="A6" s="9" t="s">
        <v>58</v>
      </c>
      <c r="B6" s="9">
        <f>COUNTIFS(CrayoDataset!D2:D91, "&gt;=6,500", CrayoDataset!D2:D91, "&lt;=7,874")
</f>
        <v>6</v>
      </c>
      <c r="C6" s="40">
        <v>6.0</v>
      </c>
      <c r="D6" s="40">
        <v>7.375</v>
      </c>
      <c r="E6" s="8">
        <f t="shared" si="3"/>
        <v>63</v>
      </c>
      <c r="F6" s="8">
        <f t="shared" si="1"/>
        <v>6</v>
      </c>
      <c r="G6" s="8">
        <f t="shared" si="2"/>
        <v>6</v>
      </c>
      <c r="H6" s="8">
        <f>(6.5+7.874)/2</f>
        <v>7.187</v>
      </c>
      <c r="R6" s="9">
        <v>7.0</v>
      </c>
      <c r="S6" s="9">
        <f>COUNTIFS(CrayoDataset!D2:D95, "&gt;=7", CrayoDataset!D2:D95, "&lt;=7")
</f>
        <v>6</v>
      </c>
      <c r="T6" s="41">
        <v>45420.0</v>
      </c>
      <c r="U6" s="41">
        <v>45422.0</v>
      </c>
    </row>
    <row r="7">
      <c r="A7" s="9" t="s">
        <v>59</v>
      </c>
      <c r="B7" s="9">
        <f>COUNTIFS(CrayoDataset!D2:D91, "&gt;=7,875", CrayoDataset!D2:D91, "&lt;=9,249")
</f>
        <v>10</v>
      </c>
      <c r="C7" s="40">
        <v>7.375</v>
      </c>
      <c r="D7" s="40">
        <v>8.75</v>
      </c>
      <c r="E7" s="8">
        <f t="shared" si="3"/>
        <v>73</v>
      </c>
      <c r="F7" s="8">
        <f t="shared" si="1"/>
        <v>10</v>
      </c>
      <c r="G7" s="8">
        <f t="shared" si="2"/>
        <v>10</v>
      </c>
      <c r="H7" s="8">
        <f>(7.875+9.249)/2</f>
        <v>8.562</v>
      </c>
      <c r="R7" s="43">
        <v>45543.0</v>
      </c>
      <c r="S7" s="9">
        <f>COUNTIFS(CrayoDataset!D2:D96, "&gt;=8", CrayoDataset!D2:D96, "&lt;=9")
</f>
        <v>10</v>
      </c>
      <c r="T7" s="41">
        <v>45422.0</v>
      </c>
      <c r="U7" s="41">
        <v>45424.0</v>
      </c>
    </row>
    <row r="8">
      <c r="A8" s="9" t="s">
        <v>60</v>
      </c>
      <c r="B8" s="9">
        <f>COUNTIFS(CrayoDataset!D2:D92, "&gt;=9,250", CrayoDataset!D2:D92, "&lt;=10,624")
</f>
        <v>4</v>
      </c>
      <c r="C8" s="40">
        <v>8.75</v>
      </c>
      <c r="D8" s="40">
        <v>10.125</v>
      </c>
      <c r="E8" s="8">
        <f t="shared" si="3"/>
        <v>77</v>
      </c>
      <c r="F8" s="8">
        <f t="shared" si="1"/>
        <v>4</v>
      </c>
      <c r="G8" s="8">
        <f t="shared" si="2"/>
        <v>4</v>
      </c>
      <c r="H8" s="8">
        <f>(9.25+10.624)/2</f>
        <v>9.937</v>
      </c>
      <c r="R8" s="7">
        <v>10.0</v>
      </c>
      <c r="S8" s="9">
        <f>COUNTIFS(CrayoDataset!D2:D97, "&gt;=10", CrayoDataset!D2:D97, "&lt;=10")
</f>
        <v>4</v>
      </c>
    </row>
    <row r="9">
      <c r="A9" s="9" t="s">
        <v>61</v>
      </c>
      <c r="B9" s="9">
        <f>COUNTIFS(CrayoDataset!D2:D93, "&gt;=10,625", CrayoDataset!D2:D93, "&lt;=12")
</f>
        <v>13</v>
      </c>
      <c r="C9" s="40">
        <v>10.125</v>
      </c>
      <c r="D9" s="40">
        <v>12.5</v>
      </c>
      <c r="E9" s="8">
        <f t="shared" si="3"/>
        <v>90</v>
      </c>
      <c r="F9" s="8">
        <f t="shared" si="1"/>
        <v>13</v>
      </c>
      <c r="G9" s="8">
        <f t="shared" si="2"/>
        <v>13</v>
      </c>
      <c r="H9" s="8">
        <f>(10.625+12)/2</f>
        <v>11.3125</v>
      </c>
      <c r="R9" s="44">
        <v>45637.0</v>
      </c>
      <c r="S9" s="9">
        <f>COUNTIFS(CrayoDataset!D2:D98, "&gt;=11", CrayoDataset!D2:D98, "&lt;=12")
</f>
        <v>13</v>
      </c>
    </row>
    <row r="10">
      <c r="C10" s="10"/>
      <c r="D10" s="10"/>
      <c r="G10" s="10"/>
    </row>
    <row r="11">
      <c r="A11" s="7"/>
      <c r="C11" s="10"/>
      <c r="D11" s="10"/>
      <c r="G11" s="10"/>
    </row>
    <row r="12">
      <c r="C12" s="10"/>
      <c r="D12" s="10"/>
    </row>
    <row r="27">
      <c r="A27" s="23" t="s">
        <v>18</v>
      </c>
      <c r="B27" s="23" t="s">
        <v>19</v>
      </c>
      <c r="C27" s="23" t="s">
        <v>40</v>
      </c>
      <c r="D27" s="31" t="s">
        <v>41</v>
      </c>
      <c r="E27" s="31" t="s">
        <v>42</v>
      </c>
      <c r="F27" s="31" t="s">
        <v>43</v>
      </c>
      <c r="G27" s="31" t="s">
        <v>44</v>
      </c>
    </row>
    <row r="28">
      <c r="A28" s="9" t="s">
        <v>53</v>
      </c>
      <c r="B28" s="9">
        <f>COUNTIFS(CrayoDataset!D28:D117, "&gt;=1", CrayoDataset!D28:D117, "&lt;=2,374")
</f>
        <v>10</v>
      </c>
      <c r="C28" s="8">
        <f>(2.374+1)/2</f>
        <v>1.687</v>
      </c>
      <c r="D28" s="8">
        <f t="shared" ref="D28:D35" si="4">ABS($I$4-C28)</f>
        <v>3.824111111</v>
      </c>
      <c r="E28" s="8">
        <f t="shared" ref="E28:E35" si="5">B28*D28</f>
        <v>38.24111111</v>
      </c>
      <c r="F28" s="8">
        <f t="shared" ref="F28:F35" si="6">D28^2</f>
        <v>14.62382579</v>
      </c>
      <c r="G28" s="8">
        <f t="shared" ref="G28:G35" si="7">F28*B28</f>
        <v>146.2382579</v>
      </c>
    </row>
    <row r="29">
      <c r="A29" s="9" t="s">
        <v>55</v>
      </c>
      <c r="B29" s="9">
        <f>COUNTIFS(CrayoDataset!D28:D117, "&gt;=2,375", CrayoDataset!D28:D117, "&lt;=3,748")
</f>
        <v>7</v>
      </c>
      <c r="C29" s="8">
        <f>(2.375+3.749)/2</f>
        <v>3.062</v>
      </c>
      <c r="D29" s="8">
        <f t="shared" si="4"/>
        <v>2.449111111</v>
      </c>
      <c r="E29" s="8">
        <f t="shared" si="5"/>
        <v>17.14377778</v>
      </c>
      <c r="F29" s="8">
        <f t="shared" si="6"/>
        <v>5.998145235</v>
      </c>
      <c r="G29" s="8">
        <f t="shared" si="7"/>
        <v>41.98701664</v>
      </c>
    </row>
    <row r="30">
      <c r="A30" s="9" t="s">
        <v>56</v>
      </c>
      <c r="B30" s="9">
        <f>COUNTIFS(CrayoDataset!D28:D117, "&gt;=3,750", CrayoDataset!D28:D117, "&lt;=5,124")
</f>
        <v>11</v>
      </c>
      <c r="C30" s="8">
        <f>(3.75+5.124)/2</f>
        <v>4.437</v>
      </c>
      <c r="D30" s="8">
        <f t="shared" si="4"/>
        <v>1.074111111</v>
      </c>
      <c r="E30" s="8">
        <f t="shared" si="5"/>
        <v>11.81522222</v>
      </c>
      <c r="F30" s="8">
        <f t="shared" si="6"/>
        <v>1.153714679</v>
      </c>
      <c r="G30" s="8">
        <f t="shared" si="7"/>
        <v>12.69086147</v>
      </c>
    </row>
    <row r="31" ht="16.5" customHeight="1">
      <c r="A31" s="9" t="s">
        <v>57</v>
      </c>
      <c r="B31" s="9">
        <f>COUNTIFS(CrayoDataset!D28:D117, "&gt;=5,125", CrayoDataset!D28:D117, "&lt;=6,499")
</f>
        <v>6</v>
      </c>
      <c r="C31" s="8">
        <f>(5.125+6.499)/2</f>
        <v>5.812</v>
      </c>
      <c r="D31" s="8">
        <f t="shared" si="4"/>
        <v>0.3008888889</v>
      </c>
      <c r="E31" s="8">
        <f t="shared" si="5"/>
        <v>1.805333333</v>
      </c>
      <c r="F31" s="8">
        <f t="shared" si="6"/>
        <v>0.09053412346</v>
      </c>
      <c r="G31" s="8">
        <f t="shared" si="7"/>
        <v>0.5432047407</v>
      </c>
    </row>
    <row r="32">
      <c r="A32" s="9" t="s">
        <v>58</v>
      </c>
      <c r="B32" s="9">
        <f>COUNTIFS(CrayoDataset!D28:D117, "&gt;=6,500", CrayoDataset!D28:D117, "&lt;=7,874")
</f>
        <v>5</v>
      </c>
      <c r="C32" s="8">
        <f>(6.5+7.874)/2</f>
        <v>7.187</v>
      </c>
      <c r="D32" s="8">
        <f t="shared" si="4"/>
        <v>1.675888889</v>
      </c>
      <c r="E32" s="8">
        <f t="shared" si="5"/>
        <v>8.379444444</v>
      </c>
      <c r="F32" s="8">
        <f t="shared" si="6"/>
        <v>2.808603568</v>
      </c>
      <c r="G32" s="8">
        <f t="shared" si="7"/>
        <v>14.04301784</v>
      </c>
    </row>
    <row r="33">
      <c r="A33" s="9" t="s">
        <v>59</v>
      </c>
      <c r="B33" s="9">
        <f>COUNTIFS(CrayoDataset!D28:D117, "&gt;=7,875", CrayoDataset!D28:D117, "&lt;=9,249")
</f>
        <v>10</v>
      </c>
      <c r="C33" s="8">
        <f>(7.875+9.249)/2</f>
        <v>8.562</v>
      </c>
      <c r="D33" s="8">
        <f t="shared" si="4"/>
        <v>3.050888889</v>
      </c>
      <c r="E33" s="8">
        <f t="shared" si="5"/>
        <v>30.50888889</v>
      </c>
      <c r="F33" s="8">
        <f t="shared" si="6"/>
        <v>9.307923012</v>
      </c>
      <c r="G33" s="8">
        <f t="shared" si="7"/>
        <v>93.07923012</v>
      </c>
    </row>
    <row r="34">
      <c r="A34" s="9" t="s">
        <v>60</v>
      </c>
      <c r="B34" s="9">
        <f>COUNTIFS(CrayoDataset!D28:D118, "&gt;=9,250", CrayoDataset!D28:D118, "&lt;=10,624")
</f>
        <v>4</v>
      </c>
      <c r="C34" s="8">
        <f>(9.25+10.624)/2</f>
        <v>9.937</v>
      </c>
      <c r="D34" s="8">
        <f t="shared" si="4"/>
        <v>4.425888889</v>
      </c>
      <c r="E34" s="8">
        <f t="shared" si="5"/>
        <v>17.70355556</v>
      </c>
      <c r="F34" s="8">
        <f t="shared" si="6"/>
        <v>19.58849246</v>
      </c>
      <c r="G34" s="8">
        <f t="shared" si="7"/>
        <v>78.35396983</v>
      </c>
    </row>
    <row r="35">
      <c r="A35" s="9" t="s">
        <v>61</v>
      </c>
      <c r="B35" s="9">
        <f>COUNTIFS(CrayoDataset!D28:D119, "&gt;=10,625", CrayoDataset!D28:D119, "&lt;=12")
</f>
        <v>11</v>
      </c>
      <c r="C35" s="8">
        <f>(10.625+12)/2</f>
        <v>11.3125</v>
      </c>
      <c r="D35" s="8">
        <f t="shared" si="4"/>
        <v>5.801388889</v>
      </c>
      <c r="E35" s="8">
        <f t="shared" si="5"/>
        <v>63.81527778</v>
      </c>
      <c r="F35" s="8">
        <f t="shared" si="6"/>
        <v>33.65611304</v>
      </c>
      <c r="G35" s="8">
        <f t="shared" si="7"/>
        <v>370.2172434</v>
      </c>
    </row>
    <row r="36">
      <c r="A36" s="45" t="s">
        <v>45</v>
      </c>
      <c r="B36" s="46"/>
      <c r="C36" s="46"/>
      <c r="D36" s="33" t="s">
        <v>46</v>
      </c>
      <c r="E36" s="35">
        <f>SUM(E28:E35)/90</f>
        <v>2.104584568</v>
      </c>
      <c r="F36" s="36"/>
      <c r="G36" s="36">
        <f>SUM(G28:G35)</f>
        <v>757.152802</v>
      </c>
    </row>
    <row r="37">
      <c r="F37" s="37" t="s">
        <v>47</v>
      </c>
      <c r="G37" s="38">
        <f>G36/89</f>
        <v>8.507334854</v>
      </c>
    </row>
    <row r="38">
      <c r="F38" s="39" t="s">
        <v>48</v>
      </c>
      <c r="G38" s="10">
        <f>SQRT(G37)</f>
        <v>2.916733593</v>
      </c>
    </row>
  </sheetData>
  <mergeCells count="3">
    <mergeCell ref="I2:N2"/>
    <mergeCell ref="A36:C36"/>
    <mergeCell ref="A37:E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0.43"/>
    <col customWidth="1" min="3" max="3" width="21.57"/>
    <col customWidth="1" min="4" max="4" width="20.29"/>
    <col customWidth="1" min="5" max="5" width="20.86"/>
    <col customWidth="1" min="6" max="6" width="15.43"/>
    <col customWidth="1" min="7" max="7" width="15.71"/>
    <col customWidth="1" min="8" max="8" width="14.86"/>
    <col customWidth="1" min="9" max="9" width="11.86"/>
    <col customWidth="1" min="10" max="10" width="10.57"/>
    <col customWidth="1" min="11" max="11" width="11.43"/>
    <col customWidth="1" min="12" max="13" width="11.71"/>
    <col customWidth="1" min="14" max="14" width="15.43"/>
    <col customWidth="1" min="15" max="15" width="13.86"/>
    <col customWidth="1" min="16" max="16" width="12.29"/>
    <col customWidth="1" min="17" max="26" width="8.71"/>
  </cols>
  <sheetData>
    <row r="1">
      <c r="A1" s="23" t="s">
        <v>18</v>
      </c>
      <c r="B1" s="23" t="s">
        <v>19</v>
      </c>
      <c r="C1" s="23" t="s">
        <v>20</v>
      </c>
      <c r="D1" s="23" t="s">
        <v>21</v>
      </c>
      <c r="E1" s="24" t="s">
        <v>51</v>
      </c>
      <c r="F1" s="24" t="s">
        <v>23</v>
      </c>
      <c r="G1" s="24" t="s">
        <v>24</v>
      </c>
      <c r="I1" s="25" t="s">
        <v>25</v>
      </c>
      <c r="J1" s="26"/>
      <c r="K1" s="26"/>
      <c r="L1" s="26"/>
      <c r="M1" s="26"/>
      <c r="N1" s="5"/>
      <c r="Q1" s="20" t="s">
        <v>62</v>
      </c>
      <c r="R1" s="20" t="s">
        <v>63</v>
      </c>
    </row>
    <row r="2">
      <c r="A2" s="9" t="s">
        <v>64</v>
      </c>
      <c r="B2" s="9">
        <f>COUNTIFS(CrayoDataset!B2:B91, "&gt;=15", CrayoDataset!B2:B91, "&lt;=21")
</f>
        <v>36</v>
      </c>
      <c r="C2" s="9">
        <v>14.5</v>
      </c>
      <c r="D2" s="9">
        <v>21.5</v>
      </c>
      <c r="E2" s="8">
        <f>B2</f>
        <v>36</v>
      </c>
      <c r="F2" s="8">
        <f t="shared" ref="F2:F9" si="1">B2</f>
        <v>36</v>
      </c>
      <c r="G2" s="8">
        <f t="shared" ref="G2:G9" si="2">B2</f>
        <v>36</v>
      </c>
      <c r="I2" s="28" t="s">
        <v>16</v>
      </c>
      <c r="J2" s="28" t="s">
        <v>27</v>
      </c>
      <c r="K2" s="28" t="s">
        <v>28</v>
      </c>
      <c r="L2" s="28" t="s">
        <v>29</v>
      </c>
      <c r="M2" s="28" t="s">
        <v>30</v>
      </c>
      <c r="N2" s="28" t="s">
        <v>31</v>
      </c>
      <c r="P2" s="20" t="s">
        <v>12</v>
      </c>
      <c r="Q2" s="21">
        <f>MIN(CrayoDataset!B1:B92)</f>
        <v>15</v>
      </c>
      <c r="R2" s="21">
        <f>MAX(CrayoDataset!B1:B92)</f>
        <v>67</v>
      </c>
    </row>
    <row r="3">
      <c r="A3" s="9" t="s">
        <v>65</v>
      </c>
      <c r="B3" s="9">
        <f>COUNTIFS(CrayoDataset!B1:B92, "&gt;=22", CrayoDataset!B1:B92, "&lt;=28")
</f>
        <v>15</v>
      </c>
      <c r="C3" s="9">
        <v>21.5</v>
      </c>
      <c r="D3" s="9">
        <v>29.5</v>
      </c>
      <c r="E3" s="8">
        <f t="shared" ref="E3:E9" si="3">E2+B3</f>
        <v>51</v>
      </c>
      <c r="F3" s="8">
        <f t="shared" si="1"/>
        <v>15</v>
      </c>
      <c r="G3" s="8">
        <f t="shared" si="2"/>
        <v>15</v>
      </c>
      <c r="I3" s="8">
        <f>AVERAGE(CrayoDataset!B2:B91)</f>
        <v>28.6</v>
      </c>
      <c r="J3" s="8">
        <f>C3+((45-B2)/B3)*7</f>
        <v>25.7</v>
      </c>
      <c r="K3" s="8">
        <f>C2+((B2-0)/((B2-0)+(B2-B3))*7)</f>
        <v>18.92105263</v>
      </c>
      <c r="L3" s="8">
        <f>C2+(((1/4*90)-0)/36)*7</f>
        <v>18.875</v>
      </c>
      <c r="M3" s="17">
        <f>C3+(((2/4*90)-E2)/E3)*7</f>
        <v>22.73529412</v>
      </c>
      <c r="N3" s="8">
        <f>B4+(((3/4*90)-E3)/E4)*7</f>
        <v>22.60416667</v>
      </c>
    </row>
    <row r="4">
      <c r="A4" s="9" t="s">
        <v>66</v>
      </c>
      <c r="B4" s="9">
        <f>COUNTIFS(CrayoDataset!B1:B92, "&gt;=29", CrayoDataset!B1:B92, "&lt;=35")
</f>
        <v>21</v>
      </c>
      <c r="C4" s="9">
        <v>29.5</v>
      </c>
      <c r="D4" s="9">
        <v>36.5</v>
      </c>
      <c r="E4" s="8">
        <f t="shared" si="3"/>
        <v>72</v>
      </c>
      <c r="F4" s="8">
        <f t="shared" si="1"/>
        <v>21</v>
      </c>
      <c r="G4" s="8">
        <f t="shared" si="2"/>
        <v>21</v>
      </c>
      <c r="J4" s="20" t="s">
        <v>34</v>
      </c>
    </row>
    <row r="5">
      <c r="A5" s="9" t="s">
        <v>67</v>
      </c>
      <c r="B5" s="9">
        <f>COUNTIFS(CrayoDataset!B1:B92, "&gt;=36", CrayoDataset!B1:B92, "&lt;=42")
</f>
        <v>9</v>
      </c>
      <c r="C5" s="9">
        <v>36.5</v>
      </c>
      <c r="D5" s="9">
        <v>42.5</v>
      </c>
      <c r="E5" s="8">
        <f t="shared" si="3"/>
        <v>81</v>
      </c>
      <c r="F5" s="8">
        <f t="shared" si="1"/>
        <v>9</v>
      </c>
      <c r="G5" s="8">
        <f t="shared" si="2"/>
        <v>9</v>
      </c>
    </row>
    <row r="6">
      <c r="A6" s="9" t="s">
        <v>68</v>
      </c>
      <c r="B6" s="9">
        <f>COUNTIFS(CrayoDataset!B1:B92, "&gt;=43", CrayoDataset!B1:B92, "&lt;=49")
</f>
        <v>0</v>
      </c>
      <c r="C6" s="9">
        <v>42.5</v>
      </c>
      <c r="D6" s="9">
        <v>49.5</v>
      </c>
      <c r="E6" s="8">
        <f t="shared" si="3"/>
        <v>81</v>
      </c>
      <c r="F6" s="8">
        <f t="shared" si="1"/>
        <v>0</v>
      </c>
      <c r="G6" s="8">
        <f t="shared" si="2"/>
        <v>0</v>
      </c>
    </row>
    <row r="7">
      <c r="A7" s="9" t="s">
        <v>69</v>
      </c>
      <c r="B7" s="9">
        <f>COUNTIFS(CrayoDataset!B1:B92, "&gt;=50", CrayoDataset!B1:B92, "&lt;=56")
</f>
        <v>3</v>
      </c>
      <c r="C7" s="9">
        <v>49.5</v>
      </c>
      <c r="D7" s="9">
        <v>56.5</v>
      </c>
      <c r="E7" s="8">
        <f t="shared" si="3"/>
        <v>84</v>
      </c>
      <c r="F7" s="8">
        <f t="shared" si="1"/>
        <v>3</v>
      </c>
      <c r="G7" s="8">
        <f t="shared" si="2"/>
        <v>3</v>
      </c>
    </row>
    <row r="8">
      <c r="A8" s="9" t="s">
        <v>70</v>
      </c>
      <c r="B8" s="9">
        <f>COUNTIFS(CrayoDataset!B1:B92, "&gt;=57", CrayoDataset!B1:B92, "&lt;=63")
</f>
        <v>2</v>
      </c>
      <c r="C8" s="9">
        <v>56.5</v>
      </c>
      <c r="D8" s="9">
        <v>63.5</v>
      </c>
      <c r="E8" s="8">
        <f t="shared" si="3"/>
        <v>86</v>
      </c>
      <c r="F8" s="8">
        <f t="shared" si="1"/>
        <v>2</v>
      </c>
      <c r="G8" s="8">
        <f t="shared" si="2"/>
        <v>2</v>
      </c>
    </row>
    <row r="9">
      <c r="A9" s="9" t="s">
        <v>71</v>
      </c>
      <c r="B9" s="9">
        <f>COUNTIFS(CrayoDataset!B1:B92, "&gt;=64", CrayoDataset!B1:B92, "&lt;=70")
</f>
        <v>4</v>
      </c>
      <c r="C9" s="9">
        <v>63.5</v>
      </c>
      <c r="D9" s="9">
        <v>69.5</v>
      </c>
      <c r="E9" s="8">
        <f t="shared" si="3"/>
        <v>90</v>
      </c>
      <c r="F9" s="8">
        <f t="shared" si="1"/>
        <v>4</v>
      </c>
      <c r="G9" s="8">
        <f t="shared" si="2"/>
        <v>4</v>
      </c>
    </row>
    <row r="11">
      <c r="A11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31" t="s">
        <v>18</v>
      </c>
      <c r="B30" s="31" t="s">
        <v>19</v>
      </c>
      <c r="C30" s="31" t="s">
        <v>72</v>
      </c>
      <c r="D30" s="31" t="s">
        <v>41</v>
      </c>
      <c r="E30" s="31" t="s">
        <v>42</v>
      </c>
      <c r="F30" s="31" t="s">
        <v>43</v>
      </c>
      <c r="G30" s="31" t="s">
        <v>44</v>
      </c>
    </row>
    <row r="31" ht="15.75" customHeight="1">
      <c r="A31" s="9" t="s">
        <v>64</v>
      </c>
      <c r="B31" s="9">
        <f>COUNTIFS(CrayoDataset!B31:B120, "&gt;=15", CrayoDataset!B31:B120, "&lt;=21")
</f>
        <v>25</v>
      </c>
      <c r="C31" s="8">
        <f>(15+21)/2</f>
        <v>18</v>
      </c>
      <c r="D31" s="8">
        <f t="shared" ref="D31:D38" si="4">ABS($I$4-C31)</f>
        <v>18</v>
      </c>
      <c r="E31" s="8">
        <f t="shared" ref="E31:E38" si="5">B31*D31</f>
        <v>450</v>
      </c>
      <c r="F31" s="8">
        <f t="shared" ref="F31:F38" si="6">D31^2</f>
        <v>324</v>
      </c>
      <c r="G31" s="8">
        <f t="shared" ref="G31:G38" si="7">F31*B31</f>
        <v>8100</v>
      </c>
    </row>
    <row r="32" ht="15.75" customHeight="1">
      <c r="A32" s="9" t="s">
        <v>65</v>
      </c>
      <c r="B32" s="9">
        <f>COUNTIFS(CrayoDataset!B30:B121, "&gt;=22", CrayoDataset!B30:B121, "&lt;=28")
</f>
        <v>11</v>
      </c>
      <c r="C32" s="8">
        <f>(22+28)/2</f>
        <v>25</v>
      </c>
      <c r="D32" s="8">
        <f t="shared" si="4"/>
        <v>25</v>
      </c>
      <c r="E32" s="8">
        <f t="shared" si="5"/>
        <v>275</v>
      </c>
      <c r="F32" s="8">
        <f t="shared" si="6"/>
        <v>625</v>
      </c>
      <c r="G32" s="8">
        <f t="shared" si="7"/>
        <v>6875</v>
      </c>
    </row>
    <row r="33" ht="15.75" customHeight="1">
      <c r="A33" s="9" t="s">
        <v>66</v>
      </c>
      <c r="B33" s="9">
        <f>COUNTIFS(CrayoDataset!B30:B121, "&gt;=29", CrayoDataset!B30:B121, "&lt;=35")
</f>
        <v>14</v>
      </c>
      <c r="C33" s="8">
        <f>(29+35)/2</f>
        <v>32</v>
      </c>
      <c r="D33" s="8">
        <f t="shared" si="4"/>
        <v>32</v>
      </c>
      <c r="E33" s="8">
        <f t="shared" si="5"/>
        <v>448</v>
      </c>
      <c r="F33" s="8">
        <f t="shared" si="6"/>
        <v>1024</v>
      </c>
      <c r="G33" s="8">
        <f t="shared" si="7"/>
        <v>14336</v>
      </c>
    </row>
    <row r="34" ht="12.0" customHeight="1">
      <c r="A34" s="9" t="s">
        <v>67</v>
      </c>
      <c r="B34" s="9">
        <f>COUNTIFS(CrayoDataset!B30:B121, "&gt;=36", CrayoDataset!B30:B121, "&lt;=42")
</f>
        <v>6</v>
      </c>
      <c r="C34" s="8">
        <f>(36+42)/2</f>
        <v>39</v>
      </c>
      <c r="D34" s="8">
        <f t="shared" si="4"/>
        <v>39</v>
      </c>
      <c r="E34" s="8">
        <f t="shared" si="5"/>
        <v>234</v>
      </c>
      <c r="F34" s="8">
        <f t="shared" si="6"/>
        <v>1521</v>
      </c>
      <c r="G34" s="8">
        <f t="shared" si="7"/>
        <v>9126</v>
      </c>
    </row>
    <row r="35" ht="15.75" customHeight="1">
      <c r="A35" s="9" t="s">
        <v>68</v>
      </c>
      <c r="B35" s="9">
        <f>COUNTIFS(CrayoDataset!B30:B121, "&gt;=43", CrayoDataset!B30:B121, "&lt;=49")
</f>
        <v>0</v>
      </c>
      <c r="C35" s="8">
        <f>(43+49)/2</f>
        <v>46</v>
      </c>
      <c r="D35" s="8">
        <f t="shared" si="4"/>
        <v>46</v>
      </c>
      <c r="E35" s="8">
        <f t="shared" si="5"/>
        <v>0</v>
      </c>
      <c r="F35" s="8">
        <f t="shared" si="6"/>
        <v>2116</v>
      </c>
      <c r="G35" s="8">
        <f t="shared" si="7"/>
        <v>0</v>
      </c>
    </row>
    <row r="36" ht="15.75" customHeight="1">
      <c r="A36" s="9" t="s">
        <v>69</v>
      </c>
      <c r="B36" s="9">
        <f>COUNTIFS(CrayoDataset!B30:B121, "&gt;=50", CrayoDataset!B30:B121, "&lt;=56")
</f>
        <v>2</v>
      </c>
      <c r="C36" s="8">
        <f>(50+56)/2</f>
        <v>53</v>
      </c>
      <c r="D36" s="8">
        <f t="shared" si="4"/>
        <v>53</v>
      </c>
      <c r="E36" s="8">
        <f t="shared" si="5"/>
        <v>106</v>
      </c>
      <c r="F36" s="8">
        <f t="shared" si="6"/>
        <v>2809</v>
      </c>
      <c r="G36" s="8">
        <f t="shared" si="7"/>
        <v>5618</v>
      </c>
    </row>
    <row r="37" ht="15.75" customHeight="1">
      <c r="A37" s="9" t="s">
        <v>70</v>
      </c>
      <c r="B37" s="9">
        <f>COUNTIFS(CrayoDataset!B30:B121, "&gt;=57", CrayoDataset!B30:B121, "&lt;=63")
</f>
        <v>1</v>
      </c>
      <c r="C37" s="8">
        <f>(57+63)/2</f>
        <v>60</v>
      </c>
      <c r="D37" s="8">
        <f t="shared" si="4"/>
        <v>60</v>
      </c>
      <c r="E37" s="8">
        <f t="shared" si="5"/>
        <v>60</v>
      </c>
      <c r="F37" s="8">
        <f t="shared" si="6"/>
        <v>3600</v>
      </c>
      <c r="G37" s="8">
        <f t="shared" si="7"/>
        <v>3600</v>
      </c>
    </row>
    <row r="38" ht="15.75" customHeight="1">
      <c r="A38" s="9" t="s">
        <v>71</v>
      </c>
      <c r="B38" s="9">
        <f>COUNTIFS(CrayoDataset!B30:B121, "&gt;=64", CrayoDataset!B30:B121, "&lt;=70")
</f>
        <v>3</v>
      </c>
      <c r="C38" s="8">
        <f>(64+70)/2</f>
        <v>67</v>
      </c>
      <c r="D38" s="8">
        <f t="shared" si="4"/>
        <v>67</v>
      </c>
      <c r="E38" s="8">
        <f t="shared" si="5"/>
        <v>201</v>
      </c>
      <c r="F38" s="8">
        <f t="shared" si="6"/>
        <v>4489</v>
      </c>
      <c r="G38" s="8">
        <f t="shared" si="7"/>
        <v>13467</v>
      </c>
    </row>
    <row r="39" ht="15.75" customHeight="1">
      <c r="A39" s="45" t="s">
        <v>45</v>
      </c>
      <c r="B39" s="46"/>
      <c r="C39" s="46"/>
      <c r="D39" s="33" t="s">
        <v>46</v>
      </c>
      <c r="E39" s="35">
        <f>SUM(E31:E38)/90</f>
        <v>19.71111111</v>
      </c>
      <c r="F39" s="36"/>
      <c r="G39" s="36">
        <f>SUM(G31:G38)</f>
        <v>61122</v>
      </c>
    </row>
    <row r="40" ht="15.75" customHeight="1">
      <c r="A40" s="47"/>
      <c r="B40" s="48"/>
      <c r="C40" s="48"/>
      <c r="D40" s="48"/>
      <c r="E40" s="49"/>
      <c r="F40" s="37" t="s">
        <v>47</v>
      </c>
      <c r="G40" s="38">
        <f>G39/89</f>
        <v>686.7640449</v>
      </c>
    </row>
    <row r="41" ht="15.75" customHeight="1">
      <c r="A41" s="50"/>
      <c r="B41" s="46"/>
      <c r="C41" s="46"/>
      <c r="D41" s="46"/>
      <c r="E41" s="51"/>
      <c r="F41" s="39" t="s">
        <v>48</v>
      </c>
      <c r="G41" s="10">
        <f>SQRT(G40)</f>
        <v>26.20618333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1:N1"/>
    <mergeCell ref="A39:C39"/>
    <mergeCell ref="A40:E4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43"/>
    <col customWidth="1" min="5" max="5" width="19.86"/>
    <col customWidth="1" min="7" max="7" width="17.29"/>
  </cols>
  <sheetData>
    <row r="1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51</v>
      </c>
      <c r="F1" s="23" t="s">
        <v>23</v>
      </c>
      <c r="G1" s="23" t="s">
        <v>24</v>
      </c>
      <c r="I1" s="25" t="s">
        <v>25</v>
      </c>
      <c r="J1" s="26"/>
      <c r="K1" s="26"/>
      <c r="L1" s="26"/>
      <c r="M1" s="26"/>
      <c r="N1" s="5"/>
      <c r="Q1" s="20" t="s">
        <v>62</v>
      </c>
      <c r="R1" s="20" t="s">
        <v>63</v>
      </c>
    </row>
    <row r="2">
      <c r="A2" s="9" t="s">
        <v>73</v>
      </c>
      <c r="B2" s="52">
        <f>COUNTIFS(CrayoDataset!F2:F91, "&gt;=4", CrayoDataset!F2:F91, "&lt;=97")</f>
        <v>66</v>
      </c>
      <c r="C2" s="53">
        <v>3.5</v>
      </c>
      <c r="D2" s="53" t="s">
        <v>74</v>
      </c>
      <c r="E2" s="8">
        <f>B2</f>
        <v>66</v>
      </c>
      <c r="F2" s="8">
        <f t="shared" ref="F2:F9" si="1">B2</f>
        <v>66</v>
      </c>
      <c r="G2" s="8">
        <f t="shared" ref="G2:G9" si="2">B2</f>
        <v>66</v>
      </c>
      <c r="I2" s="28" t="s">
        <v>16</v>
      </c>
      <c r="J2" s="28" t="s">
        <v>27</v>
      </c>
      <c r="K2" s="28" t="s">
        <v>28</v>
      </c>
      <c r="L2" s="28" t="s">
        <v>29</v>
      </c>
      <c r="M2" s="28" t="s">
        <v>30</v>
      </c>
      <c r="N2" s="28" t="s">
        <v>31</v>
      </c>
      <c r="P2" s="20" t="s">
        <v>5</v>
      </c>
      <c r="Q2" s="21">
        <f>MIN(CrayoDataset!F2:F91)</f>
        <v>4</v>
      </c>
      <c r="R2" s="21">
        <f>MAX(CrayoDataset!F2:F91)</f>
        <v>750</v>
      </c>
    </row>
    <row r="3">
      <c r="A3" s="9" t="s">
        <v>75</v>
      </c>
      <c r="B3" s="52">
        <f>COUNTIFS(CrayoDataset!F2:F91, "&gt;=98", CrayoDataset!F2:F91, "&lt;=191")</f>
        <v>21</v>
      </c>
      <c r="C3" s="53">
        <v>97.5</v>
      </c>
      <c r="D3" s="53" t="s">
        <v>76</v>
      </c>
      <c r="E3" s="8">
        <f t="shared" ref="E3:E9" si="3">E2+B3</f>
        <v>87</v>
      </c>
      <c r="F3" s="8">
        <f t="shared" si="1"/>
        <v>21</v>
      </c>
      <c r="G3" s="8">
        <f t="shared" si="2"/>
        <v>21</v>
      </c>
      <c r="I3" s="8">
        <f>AVERAGE(CrayoDataset!F2:F91)</f>
        <v>85.83333333</v>
      </c>
      <c r="J3" s="8">
        <f>C2+((45-0)/66)*94</f>
        <v>67.59090909</v>
      </c>
      <c r="K3" s="17">
        <f>C2+((B2-0)/((B2-0)+(B2-B3))*94)</f>
        <v>59.39189189</v>
      </c>
      <c r="L3" s="8">
        <f>C2+(((1/4*90)-0)/66)*94</f>
        <v>35.54545455</v>
      </c>
      <c r="M3" s="17">
        <f>C2+(((2/4*90)-0)/66)*94</f>
        <v>67.59090909</v>
      </c>
      <c r="N3" s="8">
        <f>C3+(((3/4*90)-B2)/87)*94</f>
        <v>99.12068966</v>
      </c>
    </row>
    <row r="4">
      <c r="A4" s="9" t="s">
        <v>77</v>
      </c>
      <c r="B4" s="54">
        <f>COUNTIFS(CrayoDataset!F2:F91, "&gt;=192", CrayoDataset!F2:F91, "&lt;=285")</f>
        <v>0</v>
      </c>
      <c r="C4" s="53">
        <v>191.5</v>
      </c>
      <c r="D4" s="53" t="s">
        <v>78</v>
      </c>
      <c r="E4" s="8">
        <f t="shared" si="3"/>
        <v>87</v>
      </c>
      <c r="F4" s="8">
        <f t="shared" si="1"/>
        <v>0</v>
      </c>
      <c r="G4" s="8">
        <f t="shared" si="2"/>
        <v>0</v>
      </c>
    </row>
    <row r="5">
      <c r="A5" s="9" t="s">
        <v>79</v>
      </c>
      <c r="B5" s="52">
        <f>COUNTIFS(CrayoDataset!F2:F91, "&gt;=286", CrayoDataset!F2:F91, "&lt;=379")</f>
        <v>0</v>
      </c>
      <c r="C5" s="53">
        <v>285.5</v>
      </c>
      <c r="D5" s="53" t="s">
        <v>80</v>
      </c>
      <c r="E5" s="8">
        <f t="shared" si="3"/>
        <v>87</v>
      </c>
      <c r="F5" s="8">
        <f t="shared" si="1"/>
        <v>0</v>
      </c>
      <c r="G5" s="8">
        <f t="shared" si="2"/>
        <v>0</v>
      </c>
    </row>
    <row r="6">
      <c r="A6" s="9" t="s">
        <v>81</v>
      </c>
      <c r="B6" s="52">
        <f>COUNTIFS(CrayoDataset!F2:F91, "&gt;=380", CrayoDataset!F2:F91, "&lt;=473")</f>
        <v>0</v>
      </c>
      <c r="C6" s="53">
        <v>379.5</v>
      </c>
      <c r="D6" s="53" t="s">
        <v>82</v>
      </c>
      <c r="E6" s="8">
        <f t="shared" si="3"/>
        <v>87</v>
      </c>
      <c r="F6" s="8">
        <f t="shared" si="1"/>
        <v>0</v>
      </c>
      <c r="G6" s="8">
        <f t="shared" si="2"/>
        <v>0</v>
      </c>
    </row>
    <row r="7">
      <c r="A7" s="9" t="s">
        <v>83</v>
      </c>
      <c r="B7" s="52">
        <f>COUNTIFS(CrayoDataset!F2:F91, "&gt;=474", CrayoDataset!F2:F91, "&lt;=567")</f>
        <v>0</v>
      </c>
      <c r="C7" s="53">
        <v>473.5</v>
      </c>
      <c r="D7" s="53" t="s">
        <v>84</v>
      </c>
      <c r="E7" s="8">
        <f t="shared" si="3"/>
        <v>87</v>
      </c>
      <c r="F7" s="8">
        <f t="shared" si="1"/>
        <v>0</v>
      </c>
      <c r="G7" s="8">
        <f t="shared" si="2"/>
        <v>0</v>
      </c>
    </row>
    <row r="8">
      <c r="A8" s="9" t="s">
        <v>85</v>
      </c>
      <c r="B8" s="52">
        <f>COUNTIFS(CrayoDataset!F2:F91, "&gt;=568", CrayoDataset!F2:F91, "&lt;=661")</f>
        <v>0</v>
      </c>
      <c r="C8" s="53">
        <v>567.5</v>
      </c>
      <c r="D8" s="53" t="s">
        <v>86</v>
      </c>
      <c r="E8" s="8">
        <f t="shared" si="3"/>
        <v>87</v>
      </c>
      <c r="F8" s="8">
        <f t="shared" si="1"/>
        <v>0</v>
      </c>
      <c r="G8" s="8">
        <f t="shared" si="2"/>
        <v>0</v>
      </c>
    </row>
    <row r="9">
      <c r="A9" s="9" t="s">
        <v>87</v>
      </c>
      <c r="B9" s="52">
        <f>COUNTIFS(CrayoDataset!F2:F91, "&gt;=662", CrayoDataset!F2:F91, "&lt;=755")</f>
        <v>3</v>
      </c>
      <c r="C9" s="53">
        <v>661.5</v>
      </c>
      <c r="D9" s="53" t="s">
        <v>88</v>
      </c>
      <c r="E9" s="8">
        <f t="shared" si="3"/>
        <v>90</v>
      </c>
      <c r="F9" s="8">
        <f t="shared" si="1"/>
        <v>3</v>
      </c>
      <c r="G9" s="8">
        <f t="shared" si="2"/>
        <v>3</v>
      </c>
    </row>
    <row r="11">
      <c r="A11" s="7"/>
    </row>
    <row r="30">
      <c r="A30" s="31" t="s">
        <v>18</v>
      </c>
      <c r="B30" s="31" t="s">
        <v>19</v>
      </c>
      <c r="C30" s="31" t="s">
        <v>40</v>
      </c>
      <c r="D30" s="31" t="s">
        <v>41</v>
      </c>
      <c r="E30" s="31" t="s">
        <v>42</v>
      </c>
      <c r="F30" s="31" t="s">
        <v>43</v>
      </c>
      <c r="G30" s="31" t="s">
        <v>44</v>
      </c>
    </row>
    <row r="31">
      <c r="A31" s="9" t="s">
        <v>73</v>
      </c>
      <c r="B31" s="17">
        <f>COUNTIFS(CrayoDataset!F31:F120, "&gt;=4", CrayoDataset!F31:F120, "&lt;=97")</f>
        <v>44</v>
      </c>
      <c r="C31" s="8">
        <f>(4+97)/2</f>
        <v>50.5</v>
      </c>
      <c r="D31" s="8">
        <f t="shared" ref="D31:D38" si="4">ABS($I$3-C31)</f>
        <v>35.33333333</v>
      </c>
      <c r="E31" s="8">
        <f t="shared" ref="E31:E38" si="5">B31*D31</f>
        <v>1554.666667</v>
      </c>
      <c r="F31" s="8">
        <f t="shared" ref="F31:F38" si="6">D31^2</f>
        <v>1248.444444</v>
      </c>
      <c r="G31" s="8">
        <f t="shared" ref="G31:G38" si="7">F31*B31</f>
        <v>54931.55556</v>
      </c>
    </row>
    <row r="32">
      <c r="A32" s="9" t="s">
        <v>75</v>
      </c>
      <c r="B32" s="17">
        <f>COUNTIFS(CrayoDataset!F31:F120, "&gt;=98", CrayoDataset!F31:F120, "&lt;=191")</f>
        <v>15</v>
      </c>
      <c r="C32" s="8">
        <f>(98+191)/2</f>
        <v>144.5</v>
      </c>
      <c r="D32" s="8">
        <f t="shared" si="4"/>
        <v>58.66666667</v>
      </c>
      <c r="E32" s="8">
        <f t="shared" si="5"/>
        <v>880</v>
      </c>
      <c r="F32" s="8">
        <f t="shared" si="6"/>
        <v>3441.777778</v>
      </c>
      <c r="G32" s="8">
        <f t="shared" si="7"/>
        <v>51626.66667</v>
      </c>
    </row>
    <row r="33">
      <c r="A33" s="9" t="s">
        <v>77</v>
      </c>
      <c r="B33" s="55">
        <f>COUNTIFS(CrayoDataset!F31:F120, "&gt;=192", CrayoDataset!F31:F120, "&lt;=285")</f>
        <v>0</v>
      </c>
      <c r="C33" s="8">
        <f>(192+285)/2</f>
        <v>238.5</v>
      </c>
      <c r="D33" s="8">
        <f t="shared" si="4"/>
        <v>152.6666667</v>
      </c>
      <c r="E33" s="8">
        <f t="shared" si="5"/>
        <v>0</v>
      </c>
      <c r="F33" s="8">
        <f t="shared" si="6"/>
        <v>23307.11111</v>
      </c>
      <c r="G33" s="8">
        <f t="shared" si="7"/>
        <v>0</v>
      </c>
    </row>
    <row r="34">
      <c r="A34" s="9" t="s">
        <v>79</v>
      </c>
      <c r="B34" s="17">
        <f>COUNTIFS(CrayoDataset!F31:F120, "&gt;=286", CrayoDataset!F31:F120, "&lt;=379")</f>
        <v>0</v>
      </c>
      <c r="C34" s="8">
        <f>(286+379)/2</f>
        <v>332.5</v>
      </c>
      <c r="D34" s="8">
        <f t="shared" si="4"/>
        <v>246.6666667</v>
      </c>
      <c r="E34" s="8">
        <f t="shared" si="5"/>
        <v>0</v>
      </c>
      <c r="F34" s="8">
        <f t="shared" si="6"/>
        <v>60844.44444</v>
      </c>
      <c r="G34" s="8">
        <f t="shared" si="7"/>
        <v>0</v>
      </c>
    </row>
    <row r="35">
      <c r="A35" s="9" t="s">
        <v>81</v>
      </c>
      <c r="B35" s="17">
        <f>COUNTIFS(CrayoDataset!F31:F120, "&gt;=380", CrayoDataset!F31:F120, "&lt;=473")</f>
        <v>0</v>
      </c>
      <c r="C35" s="8">
        <f>(380+473)/2</f>
        <v>426.5</v>
      </c>
      <c r="D35" s="8">
        <f t="shared" si="4"/>
        <v>340.6666667</v>
      </c>
      <c r="E35" s="8">
        <f t="shared" si="5"/>
        <v>0</v>
      </c>
      <c r="F35" s="8">
        <f t="shared" si="6"/>
        <v>116053.7778</v>
      </c>
      <c r="G35" s="8">
        <f t="shared" si="7"/>
        <v>0</v>
      </c>
    </row>
    <row r="36">
      <c r="A36" s="9" t="s">
        <v>83</v>
      </c>
      <c r="B36" s="17">
        <f>COUNTIFS(CrayoDataset!F31:F120, "&gt;=474", CrayoDataset!F31:F120, "&lt;=567")</f>
        <v>0</v>
      </c>
      <c r="C36" s="8">
        <f>(474+567)/2</f>
        <v>520.5</v>
      </c>
      <c r="D36" s="8">
        <f t="shared" si="4"/>
        <v>434.6666667</v>
      </c>
      <c r="E36" s="8">
        <f t="shared" si="5"/>
        <v>0</v>
      </c>
      <c r="F36" s="8">
        <f t="shared" si="6"/>
        <v>188935.1111</v>
      </c>
      <c r="G36" s="8">
        <f t="shared" si="7"/>
        <v>0</v>
      </c>
    </row>
    <row r="37">
      <c r="A37" s="9" t="s">
        <v>85</v>
      </c>
      <c r="B37" s="17">
        <f>COUNTIFS(CrayoDataset!F31:F120, "&gt;=568", CrayoDataset!F31:F120, "&lt;=661")</f>
        <v>0</v>
      </c>
      <c r="C37" s="8">
        <f>(568+661)/2</f>
        <v>614.5</v>
      </c>
      <c r="D37" s="8">
        <f t="shared" si="4"/>
        <v>528.6666667</v>
      </c>
      <c r="E37" s="8">
        <f t="shared" si="5"/>
        <v>0</v>
      </c>
      <c r="F37" s="8">
        <f t="shared" si="6"/>
        <v>279488.4444</v>
      </c>
      <c r="G37" s="8">
        <f t="shared" si="7"/>
        <v>0</v>
      </c>
    </row>
    <row r="38">
      <c r="A38" s="9" t="s">
        <v>87</v>
      </c>
      <c r="B38" s="17">
        <f>COUNTIFS(CrayoDataset!F31:F120, "&gt;=662", CrayoDataset!F31:F120, "&lt;=755")</f>
        <v>2</v>
      </c>
      <c r="C38" s="8">
        <f>(662+755)/2</f>
        <v>708.5</v>
      </c>
      <c r="D38" s="8">
        <f t="shared" si="4"/>
        <v>622.6666667</v>
      </c>
      <c r="E38" s="8">
        <f t="shared" si="5"/>
        <v>1245.333333</v>
      </c>
      <c r="F38" s="8">
        <f t="shared" si="6"/>
        <v>387713.7778</v>
      </c>
      <c r="G38" s="8">
        <f t="shared" si="7"/>
        <v>775427.5556</v>
      </c>
    </row>
    <row r="39">
      <c r="A39" s="45" t="s">
        <v>45</v>
      </c>
      <c r="B39" s="46"/>
      <c r="C39" s="46"/>
      <c r="D39" s="33" t="s">
        <v>46</v>
      </c>
      <c r="E39" s="35">
        <f>SUM(E31:E38)/90</f>
        <v>40.88888889</v>
      </c>
      <c r="F39" s="36"/>
      <c r="G39" s="36">
        <f>SUM(G31:G38)</f>
        <v>881985.7778</v>
      </c>
    </row>
    <row r="40">
      <c r="F40" s="37" t="s">
        <v>47</v>
      </c>
      <c r="G40" s="38">
        <f>G39/89</f>
        <v>9909.952559</v>
      </c>
    </row>
    <row r="41">
      <c r="F41" s="39" t="s">
        <v>48</v>
      </c>
      <c r="G41" s="10">
        <f>SQRT(G40)</f>
        <v>99.54874464</v>
      </c>
    </row>
  </sheetData>
  <mergeCells count="3">
    <mergeCell ref="I1:N1"/>
    <mergeCell ref="A39:C39"/>
    <mergeCell ref="A40:E41"/>
  </mergeCells>
  <drawing r:id="rId1"/>
</worksheet>
</file>